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hidePivotFieldList="1"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OBRA\0.5 DOCUMENTOS DEF\"/>
    </mc:Choice>
  </mc:AlternateContent>
  <xr:revisionPtr revIDLastSave="0" documentId="13_ncr:1_{7BD0945E-B392-4AE4-830E-20FA79D8CAD8}" xr6:coauthVersionLast="47" xr6:coauthVersionMax="47" xr10:uidLastSave="{00000000-0000-0000-0000-000000000000}"/>
  <bookViews>
    <workbookView xWindow="-108" yWindow="-108" windowWidth="23256" windowHeight="12456" firstSheet="1" activeTab="1" xr2:uid="{A688B341-6D89-4296-A776-5CBDCFD11527}"/>
  </bookViews>
  <sheets>
    <sheet name="DATOS DEL PROCESO" sheetId="2" state="hidden" r:id="rId1"/>
    <sheet name="Formulario" sheetId="35" r:id="rId2"/>
    <sheet name="PRECIOS APU 2025" sheetId="1" r:id="rId3"/>
    <sheet name="INSUMOS 2025" sheetId="3" r:id="rId4"/>
    <sheet name="Filtro_Conservacion" sheetId="26" r:id="rId5"/>
    <sheet name="TABLAS" sheetId="14" r:id="rId6"/>
    <sheet name="F.P" sheetId="15" r:id="rId7"/>
    <sheet name="CIV PRIO" sheetId="36" r:id="rId8"/>
    <sheet name="Cantidades" sheetId="32" r:id="rId9"/>
    <sheet name="CantidadesConsolidadas" sheetId="33" r:id="rId10"/>
    <sheet name="CostoDirecto" sheetId="34" r:id="rId11"/>
    <sheet name="EYD" sheetId="25" r:id="rId12"/>
    <sheet name="AjusteCambioVigencia" sheetId="27" r:id="rId13"/>
    <sheet name="AIU OBRA " sheetId="16" r:id="rId14"/>
    <sheet name="PGA Y SST" sheetId="17" r:id="rId15"/>
    <sheet name="AIU PGA Y SST" sheetId="20" r:id="rId16"/>
    <sheet name="PGS" sheetId="19" r:id="rId17"/>
    <sheet name="AIU PGS" sheetId="21" r:id="rId18"/>
    <sheet name="PMT" sheetId="22" r:id="rId19"/>
    <sheet name="AIU PMT" sheetId="23" r:id="rId20"/>
  </sheets>
  <definedNames>
    <definedName name="_________key2" localSheetId="1" hidden="1">#REF!</definedName>
    <definedName name="_________key2" hidden="1">#REF!</definedName>
    <definedName name="________key2" localSheetId="1" hidden="1">#REF!</definedName>
    <definedName name="________key2" hidden="1">#REF!</definedName>
    <definedName name="________key3" localSheetId="1" hidden="1">#REF!</definedName>
    <definedName name="________key3" hidden="1">#REF!</definedName>
    <definedName name="________r" localSheetId="8" hidden="1">{"TAB1",#N/A,TRUE,"GENERAL";"TAB2",#N/A,TRUE,"GENERAL";"TAB3",#N/A,TRUE,"GENERAL";"TAB4",#N/A,TRUE,"GENERAL";"TAB5",#N/A,TRUE,"GENERAL"}</definedName>
    <definedName name="________r" localSheetId="9" hidden="1">{"TAB1",#N/A,TRUE,"GENERAL";"TAB2",#N/A,TRUE,"GENERAL";"TAB3",#N/A,TRUE,"GENERAL";"TAB4",#N/A,TRUE,"GENERAL";"TAB5",#N/A,TRUE,"GENERAL"}</definedName>
    <definedName name="________r" localSheetId="7" hidden="1">{"TAB1",#N/A,TRUE,"GENERAL";"TAB2",#N/A,TRUE,"GENERAL";"TAB3",#N/A,TRUE,"GENERAL";"TAB4",#N/A,TRUE,"GENERAL";"TAB5",#N/A,TRUE,"GENERAL"}</definedName>
    <definedName name="________r" localSheetId="10" hidden="1">{"TAB1",#N/A,TRUE,"GENERAL";"TAB2",#N/A,TRUE,"GENERAL";"TAB3",#N/A,TRUE,"GENERAL";"TAB4",#N/A,TRUE,"GENERAL";"TAB5",#N/A,TRUE,"GENERAL"}</definedName>
    <definedName name="________r" localSheetId="4" hidden="1">{"TAB1",#N/A,TRUE,"GENERAL";"TAB2",#N/A,TRUE,"GENERAL";"TAB3",#N/A,TRUE,"GENERAL";"TAB4",#N/A,TRUE,"GENERAL";"TAB5",#N/A,TRUE,"GENERAL"}</definedName>
    <definedName name="________r" localSheetId="1" hidden="1">{"TAB1",#N/A,TRUE,"GENERAL";"TAB2",#N/A,TRUE,"GENERAL";"TAB3",#N/A,TRUE,"GENERAL";"TAB4",#N/A,TRUE,"GENERAL";"TAB5",#N/A,TRUE,"GENERAL"}</definedName>
    <definedName name="________r4r" localSheetId="12" hidden="1">{"via1",#N/A,TRUE,"general";"via2",#N/A,TRUE,"general";"via3",#N/A,TRUE,"general"}</definedName>
    <definedName name="________r4r" localSheetId="8" hidden="1">{"via1",#N/A,TRUE,"general";"via2",#N/A,TRUE,"general";"via3",#N/A,TRUE,"general"}</definedName>
    <definedName name="________r4r" localSheetId="9" hidden="1">{"via1",#N/A,TRUE,"general";"via2",#N/A,TRUE,"general";"via3",#N/A,TRUE,"general"}</definedName>
    <definedName name="________r4r" localSheetId="7" hidden="1">{"via1",#N/A,TRUE,"general";"via2",#N/A,TRUE,"general";"via3",#N/A,TRUE,"general"}</definedName>
    <definedName name="________r4r" localSheetId="1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12"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1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2"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1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2"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localSheetId="7" hidden="1">{"via1",#N/A,TRUE,"general";"via2",#N/A,TRUE,"general";"via3",#N/A,TRUE,"general"}</definedName>
    <definedName name="_______a4" localSheetId="1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12"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1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2"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1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2"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1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2"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1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2"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1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2"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1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2"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1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2"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localSheetId="7" hidden="1">{"via1",#N/A,TRUE,"general";"via2",#N/A,TRUE,"general";"via3",#N/A,TRUE,"general"}</definedName>
    <definedName name="_______b7" localSheetId="1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12"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localSheetId="7" hidden="1">{"via1",#N/A,TRUE,"general";"via2",#N/A,TRUE,"general";"via3",#N/A,TRUE,"general"}</definedName>
    <definedName name="_______b8" localSheetId="1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2"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1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2"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1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2"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1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2"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localSheetId="7" hidden="1">{"via1",#N/A,TRUE,"general";"via2",#N/A,TRUE,"general";"via3",#N/A,TRUE,"general"}</definedName>
    <definedName name="_______g3" localSheetId="1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12"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localSheetId="7" hidden="1">{"via1",#N/A,TRUE,"general";"via2",#N/A,TRUE,"general";"via3",#N/A,TRUE,"general"}</definedName>
    <definedName name="_______g4" localSheetId="1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2"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localSheetId="7" hidden="1">{"via1",#N/A,TRUE,"general";"via2",#N/A,TRUE,"general";"via3",#N/A,TRUE,"general"}</definedName>
    <definedName name="_______g5" localSheetId="1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2"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localSheetId="7" hidden="1">{"via1",#N/A,TRUE,"general";"via2",#N/A,TRUE,"general";"via3",#N/A,TRUE,"general"}</definedName>
    <definedName name="_______g6" localSheetId="1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2"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1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2"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1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2"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localSheetId="7" hidden="1">{"via1",#N/A,TRUE,"general";"via2",#N/A,TRUE,"general";"via3",#N/A,TRUE,"general"}</definedName>
    <definedName name="_______gtr4" localSheetId="1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12"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localSheetId="7" hidden="1">{"via1",#N/A,TRUE,"general";"via2",#N/A,TRUE,"general";"via3",#N/A,TRUE,"general"}</definedName>
    <definedName name="_______h2" localSheetId="1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2"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localSheetId="7" hidden="1">{"via1",#N/A,TRUE,"general";"via2",#N/A,TRUE,"general";"via3",#N/A,TRUE,"general"}</definedName>
    <definedName name="_______h3" localSheetId="1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2"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1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2"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1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2"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localSheetId="7" hidden="1">{"via1",#N/A,TRUE,"general";"via2",#N/A,TRUE,"general";"via3",#N/A,TRUE,"general"}</definedName>
    <definedName name="_______h6" localSheetId="1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12"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1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2"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localSheetId="7" hidden="1">{"via1",#N/A,TRUE,"general";"via2",#N/A,TRUE,"general";"via3",#N/A,TRUE,"general"}</definedName>
    <definedName name="_______h8" localSheetId="1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12"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localSheetId="7" hidden="1">{"via1",#N/A,TRUE,"general";"via2",#N/A,TRUE,"general";"via3",#N/A,TRUE,"general"}</definedName>
    <definedName name="_______hfh7" localSheetId="1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2"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localSheetId="7" hidden="1">{"via1",#N/A,TRUE,"general";"via2",#N/A,TRUE,"general";"via3",#N/A,TRUE,"general"}</definedName>
    <definedName name="_______i4" localSheetId="1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2"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1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2"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1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2"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localSheetId="7" hidden="1">{"via1",#N/A,TRUE,"general";"via2",#N/A,TRUE,"general";"via3",#N/A,TRUE,"general"}</definedName>
    <definedName name="_______i7" localSheetId="1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12"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1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2"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localSheetId="7" hidden="1">{"via1",#N/A,TRUE,"general";"via2",#N/A,TRUE,"general";"via3",#N/A,TRUE,"general"}</definedName>
    <definedName name="_______i8" localSheetId="1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12"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1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2"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1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2"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localSheetId="7" hidden="1">{"via1",#N/A,TRUE,"general";"via2",#N/A,TRUE,"general";"via3",#N/A,TRUE,"general"}</definedName>
    <definedName name="_______k4" localSheetId="1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12"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localSheetId="7" hidden="1">{"via1",#N/A,TRUE,"general";"via2",#N/A,TRUE,"general";"via3",#N/A,TRUE,"general"}</definedName>
    <definedName name="_______k5" localSheetId="1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2"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1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2"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localSheetId="7" hidden="1">{"via1",#N/A,TRUE,"general";"via2",#N/A,TRUE,"general";"via3",#N/A,TRUE,"general"}</definedName>
    <definedName name="_______k7" localSheetId="1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12"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localSheetId="7" hidden="1">{"via1",#N/A,TRUE,"general";"via2",#N/A,TRUE,"general";"via3",#N/A,TRUE,"general"}</definedName>
    <definedName name="_______k8" localSheetId="1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2"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1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2"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1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2"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localSheetId="7" hidden="1">{"via1",#N/A,TRUE,"general";"via2",#N/A,TRUE,"general";"via3",#N/A,TRUE,"general"}</definedName>
    <definedName name="_______m3" localSheetId="1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12"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1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2"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localSheetId="7" hidden="1">{"via1",#N/A,TRUE,"general";"via2",#N/A,TRUE,"general";"via3",#N/A,TRUE,"general"}</definedName>
    <definedName name="_______m5" localSheetId="1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12"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1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2"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1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2"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localSheetId="7" hidden="1">{"via1",#N/A,TRUE,"general";"via2",#N/A,TRUE,"general";"via3",#N/A,TRUE,"general"}</definedName>
    <definedName name="_______m8" localSheetId="1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12"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localSheetId="7" hidden="1">{"via1",#N/A,TRUE,"general";"via2",#N/A,TRUE,"general";"via3",#N/A,TRUE,"general"}</definedName>
    <definedName name="_______m9" localSheetId="1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2"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1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2"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localSheetId="7" hidden="1">{"via1",#N/A,TRUE,"general";"via2",#N/A,TRUE,"general";"via3",#N/A,TRUE,"general"}</definedName>
    <definedName name="_______n4" localSheetId="1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12"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1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2"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localSheetId="7" hidden="1">{"via1",#N/A,TRUE,"general";"via2",#N/A,TRUE,"general";"via3",#N/A,TRUE,"general"}</definedName>
    <definedName name="_______nyn7" localSheetId="1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12"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localSheetId="7" hidden="1">{"via1",#N/A,TRUE,"general";"via2",#N/A,TRUE,"general";"via3",#N/A,TRUE,"general"}</definedName>
    <definedName name="_______o4" localSheetId="1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2"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1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2"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1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2"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1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2"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localSheetId="7" hidden="1">{"via1",#N/A,TRUE,"general";"via2",#N/A,TRUE,"general";"via3",#N/A,TRUE,"general"}</definedName>
    <definedName name="_______o8" localSheetId="1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12"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1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2"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localSheetId="7" hidden="1">{"via1",#N/A,TRUE,"general";"via2",#N/A,TRUE,"general";"via3",#N/A,TRUE,"general"}</definedName>
    <definedName name="_______p6" localSheetId="1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12"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localSheetId="7" hidden="1">{"via1",#N/A,TRUE,"general";"via2",#N/A,TRUE,"general";"via3",#N/A,TRUE,"general"}</definedName>
    <definedName name="_______p7" localSheetId="1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2"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1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9"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10"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1" hidden="1">{"TAB1",#N/A,TRUE,"GENERAL";"TAB2",#N/A,TRUE,"GENERAL";"TAB3",#N/A,TRUE,"GENERAL";"TAB4",#N/A,TRUE,"GENERAL";"TAB5",#N/A,TRUE,"GENERAL"}</definedName>
    <definedName name="_______r4r" localSheetId="12"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localSheetId="7" hidden="1">{"via1",#N/A,TRUE,"general";"via2",#N/A,TRUE,"general";"via3",#N/A,TRUE,"general"}</definedName>
    <definedName name="_______r4r" localSheetId="1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12"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localSheetId="7" hidden="1">{"via1",#N/A,TRUE,"general";"via2",#N/A,TRUE,"general";"via3",#N/A,TRUE,"general"}</definedName>
    <definedName name="_______rtu6" localSheetId="1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2"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localSheetId="7" hidden="1">{"via1",#N/A,TRUE,"general";"via2",#N/A,TRUE,"general";"via3",#N/A,TRUE,"general"}</definedName>
    <definedName name="_______s1" localSheetId="1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2"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1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2"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1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2"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localSheetId="7" hidden="1">{"via1",#N/A,TRUE,"general";"via2",#N/A,TRUE,"general";"via3",#N/A,TRUE,"general"}</definedName>
    <definedName name="_______s4" localSheetId="1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12"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localSheetId="7" hidden="1">{"via1",#N/A,TRUE,"general";"via2",#N/A,TRUE,"general";"via3",#N/A,TRUE,"general"}</definedName>
    <definedName name="_______s5" localSheetId="1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2"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1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2"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localSheetId="7" hidden="1">{"via1",#N/A,TRUE,"general";"via2",#N/A,TRUE,"general";"via3",#N/A,TRUE,"general"}</definedName>
    <definedName name="_______s7" localSheetId="1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12"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1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2"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localSheetId="7" hidden="1">{"via1",#N/A,TRUE,"general";"via2",#N/A,TRUE,"general";"via3",#N/A,TRUE,"general"}</definedName>
    <definedName name="_______t4" localSheetId="1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12"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1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2"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localSheetId="7" hidden="1">{"via1",#N/A,TRUE,"general";"via2",#N/A,TRUE,"general";"via3",#N/A,TRUE,"general"}</definedName>
    <definedName name="_______t6" localSheetId="1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12"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1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2"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localSheetId="7" hidden="1">{"via1",#N/A,TRUE,"general";"via2",#N/A,TRUE,"general";"via3",#N/A,TRUE,"general"}</definedName>
    <definedName name="_______t7" localSheetId="1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12"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1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2"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1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2"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localSheetId="7" hidden="1">{"via1",#N/A,TRUE,"general";"via2",#N/A,TRUE,"general";"via3",#N/A,TRUE,"general"}</definedName>
    <definedName name="_______t88" localSheetId="1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12"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1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2"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localSheetId="7" hidden="1">{"via1",#N/A,TRUE,"general";"via2",#N/A,TRUE,"general";"via3",#N/A,TRUE,"general"}</definedName>
    <definedName name="_______t99" localSheetId="1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12"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1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2"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1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2"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1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2"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localSheetId="7" hidden="1">{"via1",#N/A,TRUE,"general";"via2",#N/A,TRUE,"general";"via3",#N/A,TRUE,"general"}</definedName>
    <definedName name="_______u7" localSheetId="1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12"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1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2"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1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2"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1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2"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localSheetId="7" hidden="1">{"via1",#N/A,TRUE,"general";"via2",#N/A,TRUE,"general";"via3",#N/A,TRUE,"general"}</definedName>
    <definedName name="_______v2" localSheetId="1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12"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1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2"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1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2"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1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2"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1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2"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localSheetId="7" hidden="1">{"via1",#N/A,TRUE,"general";"via2",#N/A,TRUE,"general";"via3",#N/A,TRUE,"general"}</definedName>
    <definedName name="_______v7" localSheetId="1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12"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1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2"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1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2"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localSheetId="7" hidden="1">{"via1",#N/A,TRUE,"general";"via2",#N/A,TRUE,"general";"via3",#N/A,TRUE,"general"}</definedName>
    <definedName name="_______vfv4" localSheetId="1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12"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1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2"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localSheetId="7" hidden="1">{"via1",#N/A,TRUE,"general";"via2",#N/A,TRUE,"general";"via3",#N/A,TRUE,"general"}</definedName>
    <definedName name="_______x2" localSheetId="1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12"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localSheetId="7" hidden="1">{"via1",#N/A,TRUE,"general";"via2",#N/A,TRUE,"general";"via3",#N/A,TRUE,"general"}</definedName>
    <definedName name="_______x3" localSheetId="1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2"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localSheetId="7" hidden="1">{"via1",#N/A,TRUE,"general";"via2",#N/A,TRUE,"general";"via3",#N/A,TRUE,"general"}</definedName>
    <definedName name="_______x4" localSheetId="1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2"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1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2"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1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2"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1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2"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localSheetId="7" hidden="1">{"via1",#N/A,TRUE,"general";"via2",#N/A,TRUE,"general";"via3",#N/A,TRUE,"general"}</definedName>
    <definedName name="_______x8" localSheetId="1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12"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1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2"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1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2"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localSheetId="7" hidden="1">{"via1",#N/A,TRUE,"general";"via2",#N/A,TRUE,"general";"via3",#N/A,TRUE,"general"}</definedName>
    <definedName name="_______y3" localSheetId="1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12"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localSheetId="7" hidden="1">{"via1",#N/A,TRUE,"general";"via2",#N/A,TRUE,"general";"via3",#N/A,TRUE,"general"}</definedName>
    <definedName name="_______y4" localSheetId="1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2"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1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2"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localSheetId="7" hidden="1">{"via1",#N/A,TRUE,"general";"via2",#N/A,TRUE,"general";"via3",#N/A,TRUE,"general"}</definedName>
    <definedName name="_______y6" localSheetId="1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12"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localSheetId="7" hidden="1">{"via1",#N/A,TRUE,"general";"via2",#N/A,TRUE,"general";"via3",#N/A,TRUE,"general"}</definedName>
    <definedName name="_______y7" localSheetId="1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2"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localSheetId="7" hidden="1">{"via1",#N/A,TRUE,"general";"via2",#N/A,TRUE,"general";"via3",#N/A,TRUE,"general"}</definedName>
    <definedName name="_______y8" localSheetId="1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2"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1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2"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1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2"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localSheetId="7" hidden="1">{"via1",#N/A,TRUE,"general";"via2",#N/A,TRUE,"general";"via3",#N/A,TRUE,"general"}</definedName>
    <definedName name="_______z2" localSheetId="1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12"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localSheetId="7" hidden="1">{"via1",#N/A,TRUE,"general";"via2",#N/A,TRUE,"general";"via3",#N/A,TRUE,"general"}</definedName>
    <definedName name="_______z3" localSheetId="1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2"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1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2"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localSheetId="7" hidden="1">{"via1",#N/A,TRUE,"general";"via2",#N/A,TRUE,"general";"via3",#N/A,TRUE,"general"}</definedName>
    <definedName name="_______z5" localSheetId="1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12"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1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2"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1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2"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1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2"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localSheetId="7" hidden="1">{"via1",#N/A,TRUE,"general";"via2",#N/A,TRUE,"general";"via3",#N/A,TRUE,"general"}</definedName>
    <definedName name="______a4" localSheetId="1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12"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1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2"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1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2"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1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2"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1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2"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1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2"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1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2"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1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2"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localSheetId="7" hidden="1">{"via1",#N/A,TRUE,"general";"via2",#N/A,TRUE,"general";"via3",#N/A,TRUE,"general"}</definedName>
    <definedName name="______b7" localSheetId="1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12"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localSheetId="7" hidden="1">{"via1",#N/A,TRUE,"general";"via2",#N/A,TRUE,"general";"via3",#N/A,TRUE,"general"}</definedName>
    <definedName name="______b8" localSheetId="1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2"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1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2"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1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2"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1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2"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localSheetId="7" hidden="1">{"via1",#N/A,TRUE,"general";"via2",#N/A,TRUE,"general";"via3",#N/A,TRUE,"general"}</definedName>
    <definedName name="______g3" localSheetId="1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12"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localSheetId="7" hidden="1">{"via1",#N/A,TRUE,"general";"via2",#N/A,TRUE,"general";"via3",#N/A,TRUE,"general"}</definedName>
    <definedName name="______g4" localSheetId="1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2"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localSheetId="7" hidden="1">{"via1",#N/A,TRUE,"general";"via2",#N/A,TRUE,"general";"via3",#N/A,TRUE,"general"}</definedName>
    <definedName name="______g5" localSheetId="1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2"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localSheetId="7" hidden="1">{"via1",#N/A,TRUE,"general";"via2",#N/A,TRUE,"general";"via3",#N/A,TRUE,"general"}</definedName>
    <definedName name="______g6" localSheetId="1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2"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1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2"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1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2"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localSheetId="7" hidden="1">{"via1",#N/A,TRUE,"general";"via2",#N/A,TRUE,"general";"via3",#N/A,TRUE,"general"}</definedName>
    <definedName name="______gtr4" localSheetId="1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12"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localSheetId="7" hidden="1">{"via1",#N/A,TRUE,"general";"via2",#N/A,TRUE,"general";"via3",#N/A,TRUE,"general"}</definedName>
    <definedName name="______h2" localSheetId="1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2"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localSheetId="7" hidden="1">{"via1",#N/A,TRUE,"general";"via2",#N/A,TRUE,"general";"via3",#N/A,TRUE,"general"}</definedName>
    <definedName name="______h3" localSheetId="1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2"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1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2"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1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2"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localSheetId="7" hidden="1">{"via1",#N/A,TRUE,"general";"via2",#N/A,TRUE,"general";"via3",#N/A,TRUE,"general"}</definedName>
    <definedName name="______h6" localSheetId="1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12"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1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2"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localSheetId="7" hidden="1">{"via1",#N/A,TRUE,"general";"via2",#N/A,TRUE,"general";"via3",#N/A,TRUE,"general"}</definedName>
    <definedName name="______h8" localSheetId="1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12"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localSheetId="7" hidden="1">{"via1",#N/A,TRUE,"general";"via2",#N/A,TRUE,"general";"via3",#N/A,TRUE,"general"}</definedName>
    <definedName name="______hfh7" localSheetId="1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2"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localSheetId="7" hidden="1">{"via1",#N/A,TRUE,"general";"via2",#N/A,TRUE,"general";"via3",#N/A,TRUE,"general"}</definedName>
    <definedName name="______i4" localSheetId="1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2"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1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2"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1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2"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localSheetId="7" hidden="1">{"via1",#N/A,TRUE,"general";"via2",#N/A,TRUE,"general";"via3",#N/A,TRUE,"general"}</definedName>
    <definedName name="______i7" localSheetId="1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12"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1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2"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localSheetId="7" hidden="1">{"via1",#N/A,TRUE,"general";"via2",#N/A,TRUE,"general";"via3",#N/A,TRUE,"general"}</definedName>
    <definedName name="______i8" localSheetId="1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12"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1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2"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1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2"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localSheetId="7" hidden="1">{"via1",#N/A,TRUE,"general";"via2",#N/A,TRUE,"general";"via3",#N/A,TRUE,"general"}</definedName>
    <definedName name="______k4" localSheetId="1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12"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localSheetId="7" hidden="1">{"via1",#N/A,TRUE,"general";"via2",#N/A,TRUE,"general";"via3",#N/A,TRUE,"general"}</definedName>
    <definedName name="______k5" localSheetId="1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2"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1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2"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localSheetId="7" hidden="1">{"via1",#N/A,TRUE,"general";"via2",#N/A,TRUE,"general";"via3",#N/A,TRUE,"general"}</definedName>
    <definedName name="______k7" localSheetId="1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12"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localSheetId="7" hidden="1">{"via1",#N/A,TRUE,"general";"via2",#N/A,TRUE,"general";"via3",#N/A,TRUE,"general"}</definedName>
    <definedName name="______k8" localSheetId="1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2"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1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2"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1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2"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localSheetId="7" hidden="1">{"via1",#N/A,TRUE,"general";"via2",#N/A,TRUE,"general";"via3",#N/A,TRUE,"general"}</definedName>
    <definedName name="______m3" localSheetId="1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12"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1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2"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localSheetId="7" hidden="1">{"via1",#N/A,TRUE,"general";"via2",#N/A,TRUE,"general";"via3",#N/A,TRUE,"general"}</definedName>
    <definedName name="______m5" localSheetId="1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12"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1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2"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1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2"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localSheetId="7" hidden="1">{"via1",#N/A,TRUE,"general";"via2",#N/A,TRUE,"general";"via3",#N/A,TRUE,"general"}</definedName>
    <definedName name="______m8" localSheetId="1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12"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localSheetId="7" hidden="1">{"via1",#N/A,TRUE,"general";"via2",#N/A,TRUE,"general";"via3",#N/A,TRUE,"general"}</definedName>
    <definedName name="______m9" localSheetId="1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2"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1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2"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localSheetId="7" hidden="1">{"via1",#N/A,TRUE,"general";"via2",#N/A,TRUE,"general";"via3",#N/A,TRUE,"general"}</definedName>
    <definedName name="______n4" localSheetId="1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12"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1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2"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localSheetId="7" hidden="1">{"via1",#N/A,TRUE,"general";"via2",#N/A,TRUE,"general";"via3",#N/A,TRUE,"general"}</definedName>
    <definedName name="______nyn7" localSheetId="1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12"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localSheetId="7" hidden="1">{"via1",#N/A,TRUE,"general";"via2",#N/A,TRUE,"general";"via3",#N/A,TRUE,"general"}</definedName>
    <definedName name="______o4" localSheetId="1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2"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1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2"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1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2"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1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2"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localSheetId="7" hidden="1">{"via1",#N/A,TRUE,"general";"via2",#N/A,TRUE,"general";"via3",#N/A,TRUE,"general"}</definedName>
    <definedName name="______o8" localSheetId="1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12"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1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2"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localSheetId="7" hidden="1">{"via1",#N/A,TRUE,"general";"via2",#N/A,TRUE,"general";"via3",#N/A,TRUE,"general"}</definedName>
    <definedName name="______p6" localSheetId="1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12"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localSheetId="7" hidden="1">{"via1",#N/A,TRUE,"general";"via2",#N/A,TRUE,"general";"via3",#N/A,TRUE,"general"}</definedName>
    <definedName name="______p7" localSheetId="1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2"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1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9"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10"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1" hidden="1">{"TAB1",#N/A,TRUE,"GENERAL";"TAB2",#N/A,TRUE,"GENERAL";"TAB3",#N/A,TRUE,"GENERAL";"TAB4",#N/A,TRUE,"GENERAL";"TAB5",#N/A,TRUE,"GENERAL"}</definedName>
    <definedName name="______r4r" localSheetId="12"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localSheetId="7" hidden="1">{"via1",#N/A,TRUE,"general";"via2",#N/A,TRUE,"general";"via3",#N/A,TRUE,"general"}</definedName>
    <definedName name="______r4r" localSheetId="1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12"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localSheetId="7" hidden="1">{"via1",#N/A,TRUE,"general";"via2",#N/A,TRUE,"general";"via3",#N/A,TRUE,"general"}</definedName>
    <definedName name="______rtu6" localSheetId="1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2"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localSheetId="7" hidden="1">{"via1",#N/A,TRUE,"general";"via2",#N/A,TRUE,"general";"via3",#N/A,TRUE,"general"}</definedName>
    <definedName name="______s1" localSheetId="1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2"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1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2"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1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2"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localSheetId="7" hidden="1">{"via1",#N/A,TRUE,"general";"via2",#N/A,TRUE,"general";"via3",#N/A,TRUE,"general"}</definedName>
    <definedName name="______s4" localSheetId="1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12"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localSheetId="7" hidden="1">{"via1",#N/A,TRUE,"general";"via2",#N/A,TRUE,"general";"via3",#N/A,TRUE,"general"}</definedName>
    <definedName name="______s5" localSheetId="1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2"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1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2"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localSheetId="7" hidden="1">{"via1",#N/A,TRUE,"general";"via2",#N/A,TRUE,"general";"via3",#N/A,TRUE,"general"}</definedName>
    <definedName name="______s7" localSheetId="1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12"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1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2"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localSheetId="7" hidden="1">{"via1",#N/A,TRUE,"general";"via2",#N/A,TRUE,"general";"via3",#N/A,TRUE,"general"}</definedName>
    <definedName name="______t4" localSheetId="1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12"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1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2"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localSheetId="7" hidden="1">{"via1",#N/A,TRUE,"general";"via2",#N/A,TRUE,"general";"via3",#N/A,TRUE,"general"}</definedName>
    <definedName name="______t6" localSheetId="1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12"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1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2"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localSheetId="7" hidden="1">{"via1",#N/A,TRUE,"general";"via2",#N/A,TRUE,"general";"via3",#N/A,TRUE,"general"}</definedName>
    <definedName name="______t7" localSheetId="1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12"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1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2"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1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2"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localSheetId="7" hidden="1">{"via1",#N/A,TRUE,"general";"via2",#N/A,TRUE,"general";"via3",#N/A,TRUE,"general"}</definedName>
    <definedName name="______t88" localSheetId="1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12"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1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2"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localSheetId="7" hidden="1">{"via1",#N/A,TRUE,"general";"via2",#N/A,TRUE,"general";"via3",#N/A,TRUE,"general"}</definedName>
    <definedName name="______t99" localSheetId="1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12"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1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2"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1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2"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1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2"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localSheetId="7" hidden="1">{"via1",#N/A,TRUE,"general";"via2",#N/A,TRUE,"general";"via3",#N/A,TRUE,"general"}</definedName>
    <definedName name="______u7" localSheetId="1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12"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1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2"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1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2"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1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2"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localSheetId="7" hidden="1">{"via1",#N/A,TRUE,"general";"via2",#N/A,TRUE,"general";"via3",#N/A,TRUE,"general"}</definedName>
    <definedName name="______v2" localSheetId="1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12"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1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2"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1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2"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1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2"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1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2"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localSheetId="7" hidden="1">{"via1",#N/A,TRUE,"general";"via2",#N/A,TRUE,"general";"via3",#N/A,TRUE,"general"}</definedName>
    <definedName name="______v7" localSheetId="1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12"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1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2"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1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2"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localSheetId="7" hidden="1">{"via1",#N/A,TRUE,"general";"via2",#N/A,TRUE,"general";"via3",#N/A,TRUE,"general"}</definedName>
    <definedName name="______vfv4" localSheetId="1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12"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1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2"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localSheetId="7" hidden="1">{"via1",#N/A,TRUE,"general";"via2",#N/A,TRUE,"general";"via3",#N/A,TRUE,"general"}</definedName>
    <definedName name="______x2" localSheetId="1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12"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localSheetId="7" hidden="1">{"via1",#N/A,TRUE,"general";"via2",#N/A,TRUE,"general";"via3",#N/A,TRUE,"general"}</definedName>
    <definedName name="______x3" localSheetId="1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2"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localSheetId="7" hidden="1">{"via1",#N/A,TRUE,"general";"via2",#N/A,TRUE,"general";"via3",#N/A,TRUE,"general"}</definedName>
    <definedName name="______x4" localSheetId="1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2"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1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2"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1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2"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1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2"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localSheetId="7" hidden="1">{"via1",#N/A,TRUE,"general";"via2",#N/A,TRUE,"general";"via3",#N/A,TRUE,"general"}</definedName>
    <definedName name="______x8" localSheetId="1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12"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1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2"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1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2"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localSheetId="7" hidden="1">{"via1",#N/A,TRUE,"general";"via2",#N/A,TRUE,"general";"via3",#N/A,TRUE,"general"}</definedName>
    <definedName name="______y3" localSheetId="1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12"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localSheetId="7" hidden="1">{"via1",#N/A,TRUE,"general";"via2",#N/A,TRUE,"general";"via3",#N/A,TRUE,"general"}</definedName>
    <definedName name="______y4" localSheetId="1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2"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1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2"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localSheetId="7" hidden="1">{"via1",#N/A,TRUE,"general";"via2",#N/A,TRUE,"general";"via3",#N/A,TRUE,"general"}</definedName>
    <definedName name="______y6" localSheetId="1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12"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localSheetId="7" hidden="1">{"via1",#N/A,TRUE,"general";"via2",#N/A,TRUE,"general";"via3",#N/A,TRUE,"general"}</definedName>
    <definedName name="______y7" localSheetId="1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2"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localSheetId="7" hidden="1">{"via1",#N/A,TRUE,"general";"via2",#N/A,TRUE,"general";"via3",#N/A,TRUE,"general"}</definedName>
    <definedName name="______y8" localSheetId="1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2"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1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2"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1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2"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localSheetId="7" hidden="1">{"via1",#N/A,TRUE,"general";"via2",#N/A,TRUE,"general";"via3",#N/A,TRUE,"general"}</definedName>
    <definedName name="______z2" localSheetId="1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12"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localSheetId="7" hidden="1">{"via1",#N/A,TRUE,"general";"via2",#N/A,TRUE,"general";"via3",#N/A,TRUE,"general"}</definedName>
    <definedName name="______z3" localSheetId="1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2"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1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2"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localSheetId="7" hidden="1">{"via1",#N/A,TRUE,"general";"via2",#N/A,TRUE,"general";"via3",#N/A,TRUE,"general"}</definedName>
    <definedName name="______z5" localSheetId="1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12"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1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2"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1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2"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1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2"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localSheetId="7" hidden="1">{"via1",#N/A,TRUE,"general";"via2",#N/A,TRUE,"general";"via3",#N/A,TRUE,"general"}</definedName>
    <definedName name="_____a4" localSheetId="1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12"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1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2"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1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2"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1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2"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1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2"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1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2"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1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2"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1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2"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localSheetId="7" hidden="1">{"via1",#N/A,TRUE,"general";"via2",#N/A,TRUE,"general";"via3",#N/A,TRUE,"general"}</definedName>
    <definedName name="_____b7" localSheetId="1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12"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localSheetId="7" hidden="1">{"via1",#N/A,TRUE,"general";"via2",#N/A,TRUE,"general";"via3",#N/A,TRUE,"general"}</definedName>
    <definedName name="_____b8" localSheetId="1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2"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1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2"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1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2"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1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2"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localSheetId="7" hidden="1">{"via1",#N/A,TRUE,"general";"via2",#N/A,TRUE,"general";"via3",#N/A,TRUE,"general"}</definedName>
    <definedName name="_____g3" localSheetId="1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12"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localSheetId="7" hidden="1">{"via1",#N/A,TRUE,"general";"via2",#N/A,TRUE,"general";"via3",#N/A,TRUE,"general"}</definedName>
    <definedName name="_____g4" localSheetId="1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2"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localSheetId="7" hidden="1">{"via1",#N/A,TRUE,"general";"via2",#N/A,TRUE,"general";"via3",#N/A,TRUE,"general"}</definedName>
    <definedName name="_____g5" localSheetId="1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2"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localSheetId="7" hidden="1">{"via1",#N/A,TRUE,"general";"via2",#N/A,TRUE,"general";"via3",#N/A,TRUE,"general"}</definedName>
    <definedName name="_____g6" localSheetId="1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2"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1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2"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1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2"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localSheetId="7" hidden="1">{"via1",#N/A,TRUE,"general";"via2",#N/A,TRUE,"general";"via3",#N/A,TRUE,"general"}</definedName>
    <definedName name="_____gtr4" localSheetId="1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12"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localSheetId="7" hidden="1">{"via1",#N/A,TRUE,"general";"via2",#N/A,TRUE,"general";"via3",#N/A,TRUE,"general"}</definedName>
    <definedName name="_____h2" localSheetId="1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2"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localSheetId="7" hidden="1">{"via1",#N/A,TRUE,"general";"via2",#N/A,TRUE,"general";"via3",#N/A,TRUE,"general"}</definedName>
    <definedName name="_____h3" localSheetId="1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2"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1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2"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1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2"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localSheetId="7" hidden="1">{"via1",#N/A,TRUE,"general";"via2",#N/A,TRUE,"general";"via3",#N/A,TRUE,"general"}</definedName>
    <definedName name="_____h6" localSheetId="1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12"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1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2"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localSheetId="7" hidden="1">{"via1",#N/A,TRUE,"general";"via2",#N/A,TRUE,"general";"via3",#N/A,TRUE,"general"}</definedName>
    <definedName name="_____h8" localSheetId="1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12"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localSheetId="7" hidden="1">{"via1",#N/A,TRUE,"general";"via2",#N/A,TRUE,"general";"via3",#N/A,TRUE,"general"}</definedName>
    <definedName name="_____hfh7" localSheetId="1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2"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localSheetId="7" hidden="1">{"via1",#N/A,TRUE,"general";"via2",#N/A,TRUE,"general";"via3",#N/A,TRUE,"general"}</definedName>
    <definedName name="_____i4" localSheetId="1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2"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1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2"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1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2"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localSheetId="7" hidden="1">{"via1",#N/A,TRUE,"general";"via2",#N/A,TRUE,"general";"via3",#N/A,TRUE,"general"}</definedName>
    <definedName name="_____i7" localSheetId="1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12"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1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2"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localSheetId="7" hidden="1">{"via1",#N/A,TRUE,"general";"via2",#N/A,TRUE,"general";"via3",#N/A,TRUE,"general"}</definedName>
    <definedName name="_____i8" localSheetId="1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12"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1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2"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1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2"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localSheetId="7" hidden="1">{"via1",#N/A,TRUE,"general";"via2",#N/A,TRUE,"general";"via3",#N/A,TRUE,"general"}</definedName>
    <definedName name="_____k4" localSheetId="1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12"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localSheetId="7" hidden="1">{"via1",#N/A,TRUE,"general";"via2",#N/A,TRUE,"general";"via3",#N/A,TRUE,"general"}</definedName>
    <definedName name="_____k5" localSheetId="1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2"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1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2"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localSheetId="7" hidden="1">{"via1",#N/A,TRUE,"general";"via2",#N/A,TRUE,"general";"via3",#N/A,TRUE,"general"}</definedName>
    <definedName name="_____k7" localSheetId="1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12"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localSheetId="7" hidden="1">{"via1",#N/A,TRUE,"general";"via2",#N/A,TRUE,"general";"via3",#N/A,TRUE,"general"}</definedName>
    <definedName name="_____k8" localSheetId="1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2"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1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2"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1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2"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localSheetId="7" hidden="1">{"via1",#N/A,TRUE,"general";"via2",#N/A,TRUE,"general";"via3",#N/A,TRUE,"general"}</definedName>
    <definedName name="_____m3" localSheetId="1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12"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1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2"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localSheetId="7" hidden="1">{"via1",#N/A,TRUE,"general";"via2",#N/A,TRUE,"general";"via3",#N/A,TRUE,"general"}</definedName>
    <definedName name="_____m5" localSheetId="1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12"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1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2"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1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2"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localSheetId="7" hidden="1">{"via1",#N/A,TRUE,"general";"via2",#N/A,TRUE,"general";"via3",#N/A,TRUE,"general"}</definedName>
    <definedName name="_____m8" localSheetId="1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12"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localSheetId="7" hidden="1">{"via1",#N/A,TRUE,"general";"via2",#N/A,TRUE,"general";"via3",#N/A,TRUE,"general"}</definedName>
    <definedName name="_____m9" localSheetId="1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2"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1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2"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localSheetId="7" hidden="1">{"via1",#N/A,TRUE,"general";"via2",#N/A,TRUE,"general";"via3",#N/A,TRUE,"general"}</definedName>
    <definedName name="_____n4" localSheetId="1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12"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1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2"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localSheetId="7" hidden="1">{"via1",#N/A,TRUE,"general";"via2",#N/A,TRUE,"general";"via3",#N/A,TRUE,"general"}</definedName>
    <definedName name="_____nyn7" localSheetId="1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12"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localSheetId="7" hidden="1">{"via1",#N/A,TRUE,"general";"via2",#N/A,TRUE,"general";"via3",#N/A,TRUE,"general"}</definedName>
    <definedName name="_____o4" localSheetId="1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2"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1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2"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1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2"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1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2"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localSheetId="7" hidden="1">{"via1",#N/A,TRUE,"general";"via2",#N/A,TRUE,"general";"via3",#N/A,TRUE,"general"}</definedName>
    <definedName name="_____o8" localSheetId="1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12"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1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2"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localSheetId="7" hidden="1">{"via1",#N/A,TRUE,"general";"via2",#N/A,TRUE,"general";"via3",#N/A,TRUE,"general"}</definedName>
    <definedName name="_____p6" localSheetId="1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12"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localSheetId="7" hidden="1">{"via1",#N/A,TRUE,"general";"via2",#N/A,TRUE,"general";"via3",#N/A,TRUE,"general"}</definedName>
    <definedName name="_____p7" localSheetId="1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2"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1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8" hidden="1">{"TAB1",#N/A,TRUE,"GENERAL";"TAB2",#N/A,TRUE,"GENERAL";"TAB3",#N/A,TRUE,"GENERAL";"TAB4",#N/A,TRUE,"GENERAL";"TAB5",#N/A,TRUE,"GENERAL"}</definedName>
    <definedName name="_____r" localSheetId="9" hidden="1">{"TAB1",#N/A,TRUE,"GENERAL";"TAB2",#N/A,TRUE,"GENERAL";"TAB3",#N/A,TRUE,"GENERAL";"TAB4",#N/A,TRUE,"GENERAL";"TAB5",#N/A,TRUE,"GENERAL"}</definedName>
    <definedName name="_____r" localSheetId="7" hidden="1">{"TAB1",#N/A,TRUE,"GENERAL";"TAB2",#N/A,TRUE,"GENERAL";"TAB3",#N/A,TRUE,"GENERAL";"TAB4",#N/A,TRUE,"GENERAL";"TAB5",#N/A,TRUE,"GENERAL"}</definedName>
    <definedName name="_____r" localSheetId="10" hidden="1">{"TAB1",#N/A,TRUE,"GENERAL";"TAB2",#N/A,TRUE,"GENERAL";"TAB3",#N/A,TRUE,"GENERAL";"TAB4",#N/A,TRUE,"GENERAL";"TAB5",#N/A,TRUE,"GENERAL"}</definedName>
    <definedName name="_____r" localSheetId="4" hidden="1">{"TAB1",#N/A,TRUE,"GENERAL";"TAB2",#N/A,TRUE,"GENERAL";"TAB3",#N/A,TRUE,"GENERAL";"TAB4",#N/A,TRUE,"GENERAL";"TAB5",#N/A,TRUE,"GENERAL"}</definedName>
    <definedName name="_____r" localSheetId="1" hidden="1">{"TAB1",#N/A,TRUE,"GENERAL";"TAB2",#N/A,TRUE,"GENERAL";"TAB3",#N/A,TRUE,"GENERAL";"TAB4",#N/A,TRUE,"GENERAL";"TAB5",#N/A,TRUE,"GENERAL"}</definedName>
    <definedName name="_____r4r" localSheetId="12"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localSheetId="7" hidden="1">{"via1",#N/A,TRUE,"general";"via2",#N/A,TRUE,"general";"via3",#N/A,TRUE,"general"}</definedName>
    <definedName name="_____r4r" localSheetId="1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12"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localSheetId="7" hidden="1">{"via1",#N/A,TRUE,"general";"via2",#N/A,TRUE,"general";"via3",#N/A,TRUE,"general"}</definedName>
    <definedName name="_____rtu6" localSheetId="1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2"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localSheetId="7" hidden="1">{"via1",#N/A,TRUE,"general";"via2",#N/A,TRUE,"general";"via3",#N/A,TRUE,"general"}</definedName>
    <definedName name="_____s1" localSheetId="1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2"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1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2"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1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2"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localSheetId="7" hidden="1">{"via1",#N/A,TRUE,"general";"via2",#N/A,TRUE,"general";"via3",#N/A,TRUE,"general"}</definedName>
    <definedName name="_____s4" localSheetId="1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12"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localSheetId="7" hidden="1">{"via1",#N/A,TRUE,"general";"via2",#N/A,TRUE,"general";"via3",#N/A,TRUE,"general"}</definedName>
    <definedName name="_____s5" localSheetId="1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2"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1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2"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localSheetId="7" hidden="1">{"via1",#N/A,TRUE,"general";"via2",#N/A,TRUE,"general";"via3",#N/A,TRUE,"general"}</definedName>
    <definedName name="_____s7" localSheetId="1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12"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1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2"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localSheetId="7" hidden="1">{"via1",#N/A,TRUE,"general";"via2",#N/A,TRUE,"general";"via3",#N/A,TRUE,"general"}</definedName>
    <definedName name="_____t4" localSheetId="1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12"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1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2"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localSheetId="7" hidden="1">{"via1",#N/A,TRUE,"general";"via2",#N/A,TRUE,"general";"via3",#N/A,TRUE,"general"}</definedName>
    <definedName name="_____t6" localSheetId="1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12"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1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2"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localSheetId="7" hidden="1">{"via1",#N/A,TRUE,"general";"via2",#N/A,TRUE,"general";"via3",#N/A,TRUE,"general"}</definedName>
    <definedName name="_____t7" localSheetId="1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12"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1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2"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1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2"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localSheetId="7" hidden="1">{"via1",#N/A,TRUE,"general";"via2",#N/A,TRUE,"general";"via3",#N/A,TRUE,"general"}</definedName>
    <definedName name="_____t88" localSheetId="1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12"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1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2"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localSheetId="7" hidden="1">{"via1",#N/A,TRUE,"general";"via2",#N/A,TRUE,"general";"via3",#N/A,TRUE,"general"}</definedName>
    <definedName name="_____t99" localSheetId="1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12"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1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2"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1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2"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1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2"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localSheetId="7" hidden="1">{"via1",#N/A,TRUE,"general";"via2",#N/A,TRUE,"general";"via3",#N/A,TRUE,"general"}</definedName>
    <definedName name="_____u7" localSheetId="1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12"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1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2"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1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2"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1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2"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localSheetId="7" hidden="1">{"via1",#N/A,TRUE,"general";"via2",#N/A,TRUE,"general";"via3",#N/A,TRUE,"general"}</definedName>
    <definedName name="_____v2" localSheetId="1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12"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1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2"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1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2"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1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2"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1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2"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localSheetId="7" hidden="1">{"via1",#N/A,TRUE,"general";"via2",#N/A,TRUE,"general";"via3",#N/A,TRUE,"general"}</definedName>
    <definedName name="_____v7" localSheetId="1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12"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1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2"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1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2"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localSheetId="7" hidden="1">{"via1",#N/A,TRUE,"general";"via2",#N/A,TRUE,"general";"via3",#N/A,TRUE,"general"}</definedName>
    <definedName name="_____vfv4" localSheetId="1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12"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1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2"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localSheetId="7" hidden="1">{"via1",#N/A,TRUE,"general";"via2",#N/A,TRUE,"general";"via3",#N/A,TRUE,"general"}</definedName>
    <definedName name="_____x2" localSheetId="1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12"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localSheetId="7" hidden="1">{"via1",#N/A,TRUE,"general";"via2",#N/A,TRUE,"general";"via3",#N/A,TRUE,"general"}</definedName>
    <definedName name="_____x3" localSheetId="1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2"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localSheetId="7" hidden="1">{"via1",#N/A,TRUE,"general";"via2",#N/A,TRUE,"general";"via3",#N/A,TRUE,"general"}</definedName>
    <definedName name="_____x4" localSheetId="1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2"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1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2"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1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2"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1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2"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localSheetId="7" hidden="1">{"via1",#N/A,TRUE,"general";"via2",#N/A,TRUE,"general";"via3",#N/A,TRUE,"general"}</definedName>
    <definedName name="_____x8" localSheetId="1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12"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1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2"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1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2"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localSheetId="7" hidden="1">{"via1",#N/A,TRUE,"general";"via2",#N/A,TRUE,"general";"via3",#N/A,TRUE,"general"}</definedName>
    <definedName name="_____y3" localSheetId="1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12"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localSheetId="7" hidden="1">{"via1",#N/A,TRUE,"general";"via2",#N/A,TRUE,"general";"via3",#N/A,TRUE,"general"}</definedName>
    <definedName name="_____y4" localSheetId="1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2"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1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2"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localSheetId="7" hidden="1">{"via1",#N/A,TRUE,"general";"via2",#N/A,TRUE,"general";"via3",#N/A,TRUE,"general"}</definedName>
    <definedName name="_____y6" localSheetId="1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12"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localSheetId="7" hidden="1">{"via1",#N/A,TRUE,"general";"via2",#N/A,TRUE,"general";"via3",#N/A,TRUE,"general"}</definedName>
    <definedName name="_____y7" localSheetId="1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2"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localSheetId="7" hidden="1">{"via1",#N/A,TRUE,"general";"via2",#N/A,TRUE,"general";"via3",#N/A,TRUE,"general"}</definedName>
    <definedName name="_____y8" localSheetId="1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2"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1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2"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1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2"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localSheetId="7" hidden="1">{"via1",#N/A,TRUE,"general";"via2",#N/A,TRUE,"general";"via3",#N/A,TRUE,"general"}</definedName>
    <definedName name="_____z2" localSheetId="1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12"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localSheetId="7" hidden="1">{"via1",#N/A,TRUE,"general";"via2",#N/A,TRUE,"general";"via3",#N/A,TRUE,"general"}</definedName>
    <definedName name="_____z3" localSheetId="1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2"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1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2"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localSheetId="7" hidden="1">{"via1",#N/A,TRUE,"general";"via2",#N/A,TRUE,"general";"via3",#N/A,TRUE,"general"}</definedName>
    <definedName name="_____z5" localSheetId="1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12"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1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2"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1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2"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1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2"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localSheetId="7" hidden="1">{"via1",#N/A,TRUE,"general";"via2",#N/A,TRUE,"general";"via3",#N/A,TRUE,"general"}</definedName>
    <definedName name="____a4" localSheetId="1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12"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1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2"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1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2"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1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2"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1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2"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1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2"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1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2"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1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2"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localSheetId="7" hidden="1">{"via1",#N/A,TRUE,"general";"via2",#N/A,TRUE,"general";"via3",#N/A,TRUE,"general"}</definedName>
    <definedName name="____b7" localSheetId="1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12"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localSheetId="7" hidden="1">{"via1",#N/A,TRUE,"general";"via2",#N/A,TRUE,"general";"via3",#N/A,TRUE,"general"}</definedName>
    <definedName name="____b8" localSheetId="1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2"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1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2"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1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2"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1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2"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localSheetId="7" hidden="1">{"via1",#N/A,TRUE,"general";"via2",#N/A,TRUE,"general";"via3",#N/A,TRUE,"general"}</definedName>
    <definedName name="____g3" localSheetId="1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12"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localSheetId="7" hidden="1">{"via1",#N/A,TRUE,"general";"via2",#N/A,TRUE,"general";"via3",#N/A,TRUE,"general"}</definedName>
    <definedName name="____g4" localSheetId="1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2"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localSheetId="7" hidden="1">{"via1",#N/A,TRUE,"general";"via2",#N/A,TRUE,"general";"via3",#N/A,TRUE,"general"}</definedName>
    <definedName name="____g5" localSheetId="1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2"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localSheetId="7" hidden="1">{"via1",#N/A,TRUE,"general";"via2",#N/A,TRUE,"general";"via3",#N/A,TRUE,"general"}</definedName>
    <definedName name="____g6" localSheetId="1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2"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1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2"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1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2"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localSheetId="7" hidden="1">{"via1",#N/A,TRUE,"general";"via2",#N/A,TRUE,"general";"via3",#N/A,TRUE,"general"}</definedName>
    <definedName name="____gtr4" localSheetId="1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12"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localSheetId="7" hidden="1">{"via1",#N/A,TRUE,"general";"via2",#N/A,TRUE,"general";"via3",#N/A,TRUE,"general"}</definedName>
    <definedName name="____h2" localSheetId="1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2"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localSheetId="7" hidden="1">{"via1",#N/A,TRUE,"general";"via2",#N/A,TRUE,"general";"via3",#N/A,TRUE,"general"}</definedName>
    <definedName name="____h3" localSheetId="1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2"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1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2"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1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2"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localSheetId="7" hidden="1">{"via1",#N/A,TRUE,"general";"via2",#N/A,TRUE,"general";"via3",#N/A,TRUE,"general"}</definedName>
    <definedName name="____h6" localSheetId="1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12"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1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2"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localSheetId="7" hidden="1">{"via1",#N/A,TRUE,"general";"via2",#N/A,TRUE,"general";"via3",#N/A,TRUE,"general"}</definedName>
    <definedName name="____h8" localSheetId="1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12"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localSheetId="7" hidden="1">{"via1",#N/A,TRUE,"general";"via2",#N/A,TRUE,"general";"via3",#N/A,TRUE,"general"}</definedName>
    <definedName name="____hfh7" localSheetId="1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2"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localSheetId="7" hidden="1">{"via1",#N/A,TRUE,"general";"via2",#N/A,TRUE,"general";"via3",#N/A,TRUE,"general"}</definedName>
    <definedName name="____i4" localSheetId="1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2"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1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2"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1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2"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localSheetId="7" hidden="1">{"via1",#N/A,TRUE,"general";"via2",#N/A,TRUE,"general";"via3",#N/A,TRUE,"general"}</definedName>
    <definedName name="____i7" localSheetId="1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12"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1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2"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localSheetId="7" hidden="1">{"via1",#N/A,TRUE,"general";"via2",#N/A,TRUE,"general";"via3",#N/A,TRUE,"general"}</definedName>
    <definedName name="____i8" localSheetId="1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12"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1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2"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1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2"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localSheetId="7" hidden="1">{"via1",#N/A,TRUE,"general";"via2",#N/A,TRUE,"general";"via3",#N/A,TRUE,"general"}</definedName>
    <definedName name="____k4" localSheetId="1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12"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localSheetId="7" hidden="1">{"via1",#N/A,TRUE,"general";"via2",#N/A,TRUE,"general";"via3",#N/A,TRUE,"general"}</definedName>
    <definedName name="____k5" localSheetId="1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2"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1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2"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localSheetId="7" hidden="1">{"via1",#N/A,TRUE,"general";"via2",#N/A,TRUE,"general";"via3",#N/A,TRUE,"general"}</definedName>
    <definedName name="____k7" localSheetId="1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12"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localSheetId="7" hidden="1">{"via1",#N/A,TRUE,"general";"via2",#N/A,TRUE,"general";"via3",#N/A,TRUE,"general"}</definedName>
    <definedName name="____k8" localSheetId="1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2"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1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2"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1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2"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localSheetId="7" hidden="1">{"via1",#N/A,TRUE,"general";"via2",#N/A,TRUE,"general";"via3",#N/A,TRUE,"general"}</definedName>
    <definedName name="____m3" localSheetId="1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12"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1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2"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localSheetId="7" hidden="1">{"via1",#N/A,TRUE,"general";"via2",#N/A,TRUE,"general";"via3",#N/A,TRUE,"general"}</definedName>
    <definedName name="____m5" localSheetId="1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12"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1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2"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1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2"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localSheetId="7" hidden="1">{"via1",#N/A,TRUE,"general";"via2",#N/A,TRUE,"general";"via3",#N/A,TRUE,"general"}</definedName>
    <definedName name="____m8" localSheetId="1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12"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localSheetId="7" hidden="1">{"via1",#N/A,TRUE,"general";"via2",#N/A,TRUE,"general";"via3",#N/A,TRUE,"general"}</definedName>
    <definedName name="____m9" localSheetId="1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2"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1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2"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localSheetId="7" hidden="1">{"via1",#N/A,TRUE,"general";"via2",#N/A,TRUE,"general";"via3",#N/A,TRUE,"general"}</definedName>
    <definedName name="____n4" localSheetId="1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12"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1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2"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localSheetId="7" hidden="1">{"via1",#N/A,TRUE,"general";"via2",#N/A,TRUE,"general";"via3",#N/A,TRUE,"general"}</definedName>
    <definedName name="____nyn7" localSheetId="1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12"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localSheetId="7" hidden="1">{"via1",#N/A,TRUE,"general";"via2",#N/A,TRUE,"general";"via3",#N/A,TRUE,"general"}</definedName>
    <definedName name="____o4" localSheetId="1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2"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1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2"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1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2"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1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2"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localSheetId="7" hidden="1">{"via1",#N/A,TRUE,"general";"via2",#N/A,TRUE,"general";"via3",#N/A,TRUE,"general"}</definedName>
    <definedName name="____o8" localSheetId="1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12"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1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2"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localSheetId="7" hidden="1">{"via1",#N/A,TRUE,"general";"via2",#N/A,TRUE,"general";"via3",#N/A,TRUE,"general"}</definedName>
    <definedName name="____p6" localSheetId="1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12"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localSheetId="7" hidden="1">{"via1",#N/A,TRUE,"general";"via2",#N/A,TRUE,"general";"via3",#N/A,TRUE,"general"}</definedName>
    <definedName name="____p7" localSheetId="1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2"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1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8" hidden="1">{"TAB1",#N/A,TRUE,"GENERAL";"TAB2",#N/A,TRUE,"GENERAL";"TAB3",#N/A,TRUE,"GENERAL";"TAB4",#N/A,TRUE,"GENERAL";"TAB5",#N/A,TRUE,"GENERAL"}</definedName>
    <definedName name="____r" localSheetId="9" hidden="1">{"TAB1",#N/A,TRUE,"GENERAL";"TAB2",#N/A,TRUE,"GENERAL";"TAB3",#N/A,TRUE,"GENERAL";"TAB4",#N/A,TRUE,"GENERAL";"TAB5",#N/A,TRUE,"GENERAL"}</definedName>
    <definedName name="____r" localSheetId="7" hidden="1">{"TAB1",#N/A,TRUE,"GENERAL";"TAB2",#N/A,TRUE,"GENERAL";"TAB3",#N/A,TRUE,"GENERAL";"TAB4",#N/A,TRUE,"GENERAL";"TAB5",#N/A,TRUE,"GENERAL"}</definedName>
    <definedName name="____r" localSheetId="10" hidden="1">{"TAB1",#N/A,TRUE,"GENERAL";"TAB2",#N/A,TRUE,"GENERAL";"TAB3",#N/A,TRUE,"GENERAL";"TAB4",#N/A,TRUE,"GENERAL";"TAB5",#N/A,TRUE,"GENERAL"}</definedName>
    <definedName name="____r" localSheetId="4" hidden="1">{"TAB1",#N/A,TRUE,"GENERAL";"TAB2",#N/A,TRUE,"GENERAL";"TAB3",#N/A,TRUE,"GENERAL";"TAB4",#N/A,TRUE,"GENERAL";"TAB5",#N/A,TRUE,"GENERAL"}</definedName>
    <definedName name="____r" localSheetId="1" hidden="1">{"TAB1",#N/A,TRUE,"GENERAL";"TAB2",#N/A,TRUE,"GENERAL";"TAB3",#N/A,TRUE,"GENERAL";"TAB4",#N/A,TRUE,"GENERAL";"TAB5",#N/A,TRUE,"GENERAL"}</definedName>
    <definedName name="____r4r" localSheetId="12"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localSheetId="7" hidden="1">{"via1",#N/A,TRUE,"general";"via2",#N/A,TRUE,"general";"via3",#N/A,TRUE,"general"}</definedName>
    <definedName name="____r4r" localSheetId="1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12"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localSheetId="7" hidden="1">{"via1",#N/A,TRUE,"general";"via2",#N/A,TRUE,"general";"via3",#N/A,TRUE,"general"}</definedName>
    <definedName name="____rtu6" localSheetId="1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2"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localSheetId="7" hidden="1">{"via1",#N/A,TRUE,"general";"via2",#N/A,TRUE,"general";"via3",#N/A,TRUE,"general"}</definedName>
    <definedName name="____s1" localSheetId="1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2"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1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2"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1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2"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localSheetId="7" hidden="1">{"via1",#N/A,TRUE,"general";"via2",#N/A,TRUE,"general";"via3",#N/A,TRUE,"general"}</definedName>
    <definedName name="____s4" localSheetId="1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12"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localSheetId="7" hidden="1">{"via1",#N/A,TRUE,"general";"via2",#N/A,TRUE,"general";"via3",#N/A,TRUE,"general"}</definedName>
    <definedName name="____s5" localSheetId="1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2"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1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2"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localSheetId="7" hidden="1">{"via1",#N/A,TRUE,"general";"via2",#N/A,TRUE,"general";"via3",#N/A,TRUE,"general"}</definedName>
    <definedName name="____s7" localSheetId="1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12"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1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2"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localSheetId="7" hidden="1">{"via1",#N/A,TRUE,"general";"via2",#N/A,TRUE,"general";"via3",#N/A,TRUE,"general"}</definedName>
    <definedName name="____t4" localSheetId="1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12"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1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2"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localSheetId="7" hidden="1">{"via1",#N/A,TRUE,"general";"via2",#N/A,TRUE,"general";"via3",#N/A,TRUE,"general"}</definedName>
    <definedName name="____t6" localSheetId="1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12"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1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2"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localSheetId="7" hidden="1">{"via1",#N/A,TRUE,"general";"via2",#N/A,TRUE,"general";"via3",#N/A,TRUE,"general"}</definedName>
    <definedName name="____t7" localSheetId="1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12"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1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2"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1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2"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localSheetId="7" hidden="1">{"via1",#N/A,TRUE,"general";"via2",#N/A,TRUE,"general";"via3",#N/A,TRUE,"general"}</definedName>
    <definedName name="____t88" localSheetId="1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12"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1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2"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localSheetId="7" hidden="1">{"via1",#N/A,TRUE,"general";"via2",#N/A,TRUE,"general";"via3",#N/A,TRUE,"general"}</definedName>
    <definedName name="____t99" localSheetId="1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12"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1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2"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1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2"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1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2"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localSheetId="7" hidden="1">{"via1",#N/A,TRUE,"general";"via2",#N/A,TRUE,"general";"via3",#N/A,TRUE,"general"}</definedName>
    <definedName name="____u7" localSheetId="1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12"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1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2"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1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2"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1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2"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localSheetId="7" hidden="1">{"via1",#N/A,TRUE,"general";"via2",#N/A,TRUE,"general";"via3",#N/A,TRUE,"general"}</definedName>
    <definedName name="____v2" localSheetId="1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12"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1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2"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1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2"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1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2"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1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2"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localSheetId="7" hidden="1">{"via1",#N/A,TRUE,"general";"via2",#N/A,TRUE,"general";"via3",#N/A,TRUE,"general"}</definedName>
    <definedName name="____v7" localSheetId="1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12"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1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2"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1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2"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localSheetId="7" hidden="1">{"via1",#N/A,TRUE,"general";"via2",#N/A,TRUE,"general";"via3",#N/A,TRUE,"general"}</definedName>
    <definedName name="____vfv4" localSheetId="1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12"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1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2"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localSheetId="7" hidden="1">{"via1",#N/A,TRUE,"general";"via2",#N/A,TRUE,"general";"via3",#N/A,TRUE,"general"}</definedName>
    <definedName name="____x2" localSheetId="1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12"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localSheetId="7" hidden="1">{"via1",#N/A,TRUE,"general";"via2",#N/A,TRUE,"general";"via3",#N/A,TRUE,"general"}</definedName>
    <definedName name="____x3" localSheetId="1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2"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localSheetId="7" hidden="1">{"via1",#N/A,TRUE,"general";"via2",#N/A,TRUE,"general";"via3",#N/A,TRUE,"general"}</definedName>
    <definedName name="____x4" localSheetId="1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2"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1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2"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1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2"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1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2"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localSheetId="7" hidden="1">{"via1",#N/A,TRUE,"general";"via2",#N/A,TRUE,"general";"via3",#N/A,TRUE,"general"}</definedName>
    <definedName name="____x8" localSheetId="1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12"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1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2"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1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2"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localSheetId="7" hidden="1">{"via1",#N/A,TRUE,"general";"via2",#N/A,TRUE,"general";"via3",#N/A,TRUE,"general"}</definedName>
    <definedName name="____y3" localSheetId="1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12"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localSheetId="7" hidden="1">{"via1",#N/A,TRUE,"general";"via2",#N/A,TRUE,"general";"via3",#N/A,TRUE,"general"}</definedName>
    <definedName name="____y4" localSheetId="1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2"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1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2"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localSheetId="7" hidden="1">{"via1",#N/A,TRUE,"general";"via2",#N/A,TRUE,"general";"via3",#N/A,TRUE,"general"}</definedName>
    <definedName name="____y6" localSheetId="1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12"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localSheetId="7" hidden="1">{"via1",#N/A,TRUE,"general";"via2",#N/A,TRUE,"general";"via3",#N/A,TRUE,"general"}</definedName>
    <definedName name="____y7" localSheetId="1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2"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localSheetId="7" hidden="1">{"via1",#N/A,TRUE,"general";"via2",#N/A,TRUE,"general";"via3",#N/A,TRUE,"general"}</definedName>
    <definedName name="____y8" localSheetId="1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2"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1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2"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1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2"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localSheetId="7" hidden="1">{"via1",#N/A,TRUE,"general";"via2",#N/A,TRUE,"general";"via3",#N/A,TRUE,"general"}</definedName>
    <definedName name="____z2" localSheetId="1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12"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localSheetId="7" hidden="1">{"via1",#N/A,TRUE,"general";"via2",#N/A,TRUE,"general";"via3",#N/A,TRUE,"general"}</definedName>
    <definedName name="____z3" localSheetId="1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2"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1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2"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localSheetId="7" hidden="1">{"via1",#N/A,TRUE,"general";"via2",#N/A,TRUE,"general";"via3",#N/A,TRUE,"general"}</definedName>
    <definedName name="____z5" localSheetId="1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12"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1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2" hidden="1">{"TAB1",#N/A,TRUE,"GENERAL";"TAB2",#N/A,TRUE,"GENERAL";"TAB3",#N/A,TRUE,"GENERAL";"TAB4",#N/A,TRUE,"GENERAL";"TAB5",#N/A,TRUE,"GENERAL"}</definedName>
    <definedName name="___a1" localSheetId="8" hidden="1">{"TAB1",#N/A,TRUE,"GENERAL";"TAB2",#N/A,TRUE,"GENERAL";"TAB3",#N/A,TRUE,"GENERAL";"TAB4",#N/A,TRUE,"GENERAL";"TAB5",#N/A,TRUE,"GENERAL"}</definedName>
    <definedName name="___a1" localSheetId="9" hidden="1">{"TAB1",#N/A,TRUE,"GENERAL";"TAB2",#N/A,TRUE,"GENERAL";"TAB3",#N/A,TRUE,"GENERAL";"TAB4",#N/A,TRUE,"GENERAL";"TAB5",#N/A,TRUE,"GENERAL"}</definedName>
    <definedName name="___a1" localSheetId="7" hidden="1">{"TAB1",#N/A,TRUE,"GENERAL";"TAB2",#N/A,TRUE,"GENERAL";"TAB3",#N/A,TRUE,"GENERAL";"TAB4",#N/A,TRUE,"GENERAL";"TAB5",#N/A,TRUE,"GENERAL"}</definedName>
    <definedName name="___a1" localSheetId="1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2"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7"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2"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7" hidden="1">{"via1",#N/A,TRUE,"general";"via2",#N/A,TRUE,"general";"via3",#N/A,TRUE,"general"}</definedName>
    <definedName name="___a4" localSheetId="1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12"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7"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2"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7"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2"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7"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2"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7"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2"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7"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2"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7"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2"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7"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2"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7" hidden="1">{"via1",#N/A,TRUE,"general";"via2",#N/A,TRUE,"general";"via3",#N/A,TRUE,"general"}</definedName>
    <definedName name="___b7" localSheetId="1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12"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7" hidden="1">{"via1",#N/A,TRUE,"general";"via2",#N/A,TRUE,"general";"via3",#N/A,TRUE,"general"}</definedName>
    <definedName name="___b8" localSheetId="1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2"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2"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2"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7"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2"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7" hidden="1">{"via1",#N/A,TRUE,"general";"via2",#N/A,TRUE,"general";"via3",#N/A,TRUE,"general"}</definedName>
    <definedName name="___g3" localSheetId="1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12"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7" hidden="1">{"via1",#N/A,TRUE,"general";"via2",#N/A,TRUE,"general";"via3",#N/A,TRUE,"general"}</definedName>
    <definedName name="___g4" localSheetId="1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2"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7" hidden="1">{"via1",#N/A,TRUE,"general";"via2",#N/A,TRUE,"general";"via3",#N/A,TRUE,"general"}</definedName>
    <definedName name="___g5" localSheetId="1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2"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7" hidden="1">{"via1",#N/A,TRUE,"general";"via2",#N/A,TRUE,"general";"via3",#N/A,TRUE,"general"}</definedName>
    <definedName name="___g6" localSheetId="1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2"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7"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2"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2"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7" hidden="1">{"via1",#N/A,TRUE,"general";"via2",#N/A,TRUE,"general";"via3",#N/A,TRUE,"general"}</definedName>
    <definedName name="___gtr4" localSheetId="1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12"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7" hidden="1">{"via1",#N/A,TRUE,"general";"via2",#N/A,TRUE,"general";"via3",#N/A,TRUE,"general"}</definedName>
    <definedName name="___h2" localSheetId="1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2"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7" hidden="1">{"via1",#N/A,TRUE,"general";"via2",#N/A,TRUE,"general";"via3",#N/A,TRUE,"general"}</definedName>
    <definedName name="___h3" localSheetId="1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2"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7"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2"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7"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2"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7" hidden="1">{"via1",#N/A,TRUE,"general";"via2",#N/A,TRUE,"general";"via3",#N/A,TRUE,"general"}</definedName>
    <definedName name="___h6" localSheetId="1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12"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7"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2"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7" hidden="1">{"via1",#N/A,TRUE,"general";"via2",#N/A,TRUE,"general";"via3",#N/A,TRUE,"general"}</definedName>
    <definedName name="___h8" localSheetId="1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12"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7" hidden="1">{"via1",#N/A,TRUE,"general";"via2",#N/A,TRUE,"general";"via3",#N/A,TRUE,"general"}</definedName>
    <definedName name="___hfh7" localSheetId="1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2"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7" hidden="1">{"via1",#N/A,TRUE,"general";"via2",#N/A,TRUE,"general";"via3",#N/A,TRUE,"general"}</definedName>
    <definedName name="___i4" localSheetId="1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2"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7"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2"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7"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2"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7" hidden="1">{"via1",#N/A,TRUE,"general";"via2",#N/A,TRUE,"general";"via3",#N/A,TRUE,"general"}</definedName>
    <definedName name="___i7" localSheetId="1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12"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2"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7" hidden="1">{"via1",#N/A,TRUE,"general";"via2",#N/A,TRUE,"general";"via3",#N/A,TRUE,"general"}</definedName>
    <definedName name="___i8" localSheetId="1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12"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7"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2"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7"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2"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7" hidden="1">{"via1",#N/A,TRUE,"general";"via2",#N/A,TRUE,"general";"via3",#N/A,TRUE,"general"}</definedName>
    <definedName name="___k4" localSheetId="1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12"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7" hidden="1">{"via1",#N/A,TRUE,"general";"via2",#N/A,TRUE,"general";"via3",#N/A,TRUE,"general"}</definedName>
    <definedName name="___k5" localSheetId="1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2"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7"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2"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7" hidden="1">{"via1",#N/A,TRUE,"general";"via2",#N/A,TRUE,"general";"via3",#N/A,TRUE,"general"}</definedName>
    <definedName name="___k7" localSheetId="1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12"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7" hidden="1">{"via1",#N/A,TRUE,"general";"via2",#N/A,TRUE,"general";"via3",#N/A,TRUE,"general"}</definedName>
    <definedName name="___k8" localSheetId="1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2"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7"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localSheetId="8" hidden="1">#REF!</definedName>
    <definedName name="___key2" localSheetId="9" hidden="1">#REF!</definedName>
    <definedName name="___key2" localSheetId="10" hidden="1">#REF!</definedName>
    <definedName name="___key2" localSheetId="1" hidden="1">#REF!</definedName>
    <definedName name="___key2" hidden="1">#REF!</definedName>
    <definedName name="___key3" localSheetId="8" hidden="1">#REF!</definedName>
    <definedName name="___key3" localSheetId="9" hidden="1">#REF!</definedName>
    <definedName name="___key3" localSheetId="10" hidden="1">#REF!</definedName>
    <definedName name="___key3" localSheetId="1" hidden="1">#REF!</definedName>
    <definedName name="___key3" hidden="1">#REF!</definedName>
    <definedName name="___key31" localSheetId="8" hidden="1">#REF!</definedName>
    <definedName name="___key31" localSheetId="9" hidden="1">#REF!</definedName>
    <definedName name="___key31" localSheetId="10" hidden="1">#REF!</definedName>
    <definedName name="___key31" localSheetId="1" hidden="1">#REF!</definedName>
    <definedName name="___key31" hidden="1">#REF!</definedName>
    <definedName name="___kjk6" localSheetId="12"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2"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7" hidden="1">{"via1",#N/A,TRUE,"general";"via2",#N/A,TRUE,"general";"via3",#N/A,TRUE,"general"}</definedName>
    <definedName name="___m3" localSheetId="1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12"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7"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2"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7" hidden="1">{"via1",#N/A,TRUE,"general";"via2",#N/A,TRUE,"general";"via3",#N/A,TRUE,"general"}</definedName>
    <definedName name="___m5" localSheetId="1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12"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7"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2"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7"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2"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7" hidden="1">{"via1",#N/A,TRUE,"general";"via2",#N/A,TRUE,"general";"via3",#N/A,TRUE,"general"}</definedName>
    <definedName name="___m8" localSheetId="1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12"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7" hidden="1">{"via1",#N/A,TRUE,"general";"via2",#N/A,TRUE,"general";"via3",#N/A,TRUE,"general"}</definedName>
    <definedName name="___m9" localSheetId="1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2"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7"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2"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7" hidden="1">{"via1",#N/A,TRUE,"general";"via2",#N/A,TRUE,"general";"via3",#N/A,TRUE,"general"}</definedName>
    <definedName name="___n4" localSheetId="1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12"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7"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2"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7" hidden="1">{"via1",#N/A,TRUE,"general";"via2",#N/A,TRUE,"general";"via3",#N/A,TRUE,"general"}</definedName>
    <definedName name="___nyn7" localSheetId="1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12"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7" hidden="1">{"via1",#N/A,TRUE,"general";"via2",#N/A,TRUE,"general";"via3",#N/A,TRUE,"general"}</definedName>
    <definedName name="___o4" localSheetId="1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2"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7"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2"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7"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2"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7"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2"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7" hidden="1">{"via1",#N/A,TRUE,"general";"via2",#N/A,TRUE,"general";"via3",#N/A,TRUE,"general"}</definedName>
    <definedName name="___o8" localSheetId="1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12"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7"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2"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7" hidden="1">{"via1",#N/A,TRUE,"general";"via2",#N/A,TRUE,"general";"via3",#N/A,TRUE,"general"}</definedName>
    <definedName name="___p6" localSheetId="1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12"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7" hidden="1">{"via1",#N/A,TRUE,"general";"via2",#N/A,TRUE,"general";"via3",#N/A,TRUE,"general"}</definedName>
    <definedName name="___p7" localSheetId="1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2"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7"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8" hidden="1">{"TAB1",#N/A,TRUE,"GENERAL";"TAB2",#N/A,TRUE,"GENERAL";"TAB3",#N/A,TRUE,"GENERAL";"TAB4",#N/A,TRUE,"GENERAL";"TAB5",#N/A,TRUE,"GENERAL"}</definedName>
    <definedName name="___r" localSheetId="9" hidden="1">{"TAB1",#N/A,TRUE,"GENERAL";"TAB2",#N/A,TRUE,"GENERAL";"TAB3",#N/A,TRUE,"GENERAL";"TAB4",#N/A,TRUE,"GENERAL";"TAB5",#N/A,TRUE,"GENERAL"}</definedName>
    <definedName name="___r" localSheetId="7" hidden="1">{"TAB1",#N/A,TRUE,"GENERAL";"TAB2",#N/A,TRUE,"GENERAL";"TAB3",#N/A,TRUE,"GENERAL";"TAB4",#N/A,TRUE,"GENERAL";"TAB5",#N/A,TRUE,"GENERAL"}</definedName>
    <definedName name="___r" localSheetId="10" hidden="1">{"TAB1",#N/A,TRUE,"GENERAL";"TAB2",#N/A,TRUE,"GENERAL";"TAB3",#N/A,TRUE,"GENERAL";"TAB4",#N/A,TRUE,"GENERAL";"TAB5",#N/A,TRUE,"GENERAL"}</definedName>
    <definedName name="___r" localSheetId="4" hidden="1">{"TAB1",#N/A,TRUE,"GENERAL";"TAB2",#N/A,TRUE,"GENERAL";"TAB3",#N/A,TRUE,"GENERAL";"TAB4",#N/A,TRUE,"GENERAL";"TAB5",#N/A,TRUE,"GENERAL"}</definedName>
    <definedName name="___r" localSheetId="1" hidden="1">{"TAB1",#N/A,TRUE,"GENERAL";"TAB2",#N/A,TRUE,"GENERAL";"TAB3",#N/A,TRUE,"GENERAL";"TAB4",#N/A,TRUE,"GENERAL";"TAB5",#N/A,TRUE,"GENERAL"}</definedName>
    <definedName name="___r4r" localSheetId="12"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7" hidden="1">{"via1",#N/A,TRUE,"general";"via2",#N/A,TRUE,"general";"via3",#N/A,TRUE,"general"}</definedName>
    <definedName name="___r4r" localSheetId="1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12"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7" hidden="1">{"via1",#N/A,TRUE,"general";"via2",#N/A,TRUE,"general";"via3",#N/A,TRUE,"general"}</definedName>
    <definedName name="___rtu6" localSheetId="1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2"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7" hidden="1">{"via1",#N/A,TRUE,"general";"via2",#N/A,TRUE,"general";"via3",#N/A,TRUE,"general"}</definedName>
    <definedName name="___s1" localSheetId="1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2"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7"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2"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7"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2"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7" hidden="1">{"via1",#N/A,TRUE,"general";"via2",#N/A,TRUE,"general";"via3",#N/A,TRUE,"general"}</definedName>
    <definedName name="___s4" localSheetId="1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12"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7" hidden="1">{"via1",#N/A,TRUE,"general";"via2",#N/A,TRUE,"general";"via3",#N/A,TRUE,"general"}</definedName>
    <definedName name="___s5" localSheetId="1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2"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7"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2"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7" hidden="1">{"via1",#N/A,TRUE,"general";"via2",#N/A,TRUE,"general";"via3",#N/A,TRUE,"general"}</definedName>
    <definedName name="___s7" localSheetId="1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12"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7"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2"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7" hidden="1">{"via1",#N/A,TRUE,"general";"via2",#N/A,TRUE,"general";"via3",#N/A,TRUE,"general"}</definedName>
    <definedName name="___t4" localSheetId="1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12"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7"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2"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7" hidden="1">{"via1",#N/A,TRUE,"general";"via2",#N/A,TRUE,"general";"via3",#N/A,TRUE,"general"}</definedName>
    <definedName name="___t6" localSheetId="1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12"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2"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7" hidden="1">{"via1",#N/A,TRUE,"general";"via2",#N/A,TRUE,"general";"via3",#N/A,TRUE,"general"}</definedName>
    <definedName name="___t7" localSheetId="1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12"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2"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7"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2"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7" hidden="1">{"via1",#N/A,TRUE,"general";"via2",#N/A,TRUE,"general";"via3",#N/A,TRUE,"general"}</definedName>
    <definedName name="___t88" localSheetId="1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12"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7"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2"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7" hidden="1">{"via1",#N/A,TRUE,"general";"via2",#N/A,TRUE,"general";"via3",#N/A,TRUE,"general"}</definedName>
    <definedName name="___t99" localSheetId="1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12"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7"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2"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7"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2"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7"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2"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7" hidden="1">{"via1",#N/A,TRUE,"general";"via2",#N/A,TRUE,"general";"via3",#N/A,TRUE,"general"}</definedName>
    <definedName name="___u7" localSheetId="1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12"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7"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2"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7"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2"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2"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localSheetId="7" hidden="1">{"via1",#N/A,TRUE,"general";"via2",#N/A,TRUE,"general";"via3",#N/A,TRUE,"general"}</definedName>
    <definedName name="___v2" localSheetId="1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12"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7"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2"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localSheetId="7" hidden="1">{"TAB1",#N/A,TRUE,"GENERAL";"TAB2",#N/A,TRUE,"GENERAL";"TAB3",#N/A,TRUE,"GENERAL";"TAB4",#N/A,TRUE,"GENERAL";"TAB5",#N/A,TRUE,"GENERAL"}</definedName>
    <definedName name="___v4" localSheetId="1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2"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localSheetId="7" hidden="1">{"TAB1",#N/A,TRUE,"GENERAL";"TAB2",#N/A,TRUE,"GENERAL";"TAB3",#N/A,TRUE,"GENERAL";"TAB4",#N/A,TRUE,"GENERAL";"TAB5",#N/A,TRUE,"GENERAL"}</definedName>
    <definedName name="___v5" localSheetId="1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2"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localSheetId="7" hidden="1">{"TAB1",#N/A,TRUE,"GENERAL";"TAB2",#N/A,TRUE,"GENERAL";"TAB3",#N/A,TRUE,"GENERAL";"TAB4",#N/A,TRUE,"GENERAL";"TAB5",#N/A,TRUE,"GENERAL"}</definedName>
    <definedName name="___v6" localSheetId="1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2"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localSheetId="7" hidden="1">{"via1",#N/A,TRUE,"general";"via2",#N/A,TRUE,"general";"via3",#N/A,TRUE,"general"}</definedName>
    <definedName name="___v7" localSheetId="1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12"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localSheetId="7" hidden="1">{"TAB1",#N/A,TRUE,"GENERAL";"TAB2",#N/A,TRUE,"GENERAL";"TAB3",#N/A,TRUE,"GENERAL";"TAB4",#N/A,TRUE,"GENERAL";"TAB5",#N/A,TRUE,"GENERAL"}</definedName>
    <definedName name="___v8" localSheetId="1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2"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7"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2"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7" hidden="1">{"via1",#N/A,TRUE,"general";"via2",#N/A,TRUE,"general";"via3",#N/A,TRUE,"general"}</definedName>
    <definedName name="___vfv4" localSheetId="1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12"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localSheetId="7" hidden="1">{"TAB1",#N/A,TRUE,"GENERAL";"TAB2",#N/A,TRUE,"GENERAL";"TAB3",#N/A,TRUE,"GENERAL";"TAB4",#N/A,TRUE,"GENERAL";"TAB5",#N/A,TRUE,"GENERAL"}</definedName>
    <definedName name="___x1" localSheetId="1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2"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localSheetId="7" hidden="1">{"via1",#N/A,TRUE,"general";"via2",#N/A,TRUE,"general";"via3",#N/A,TRUE,"general"}</definedName>
    <definedName name="___x2" localSheetId="1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12"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localSheetId="7" hidden="1">{"via1",#N/A,TRUE,"general";"via2",#N/A,TRUE,"general";"via3",#N/A,TRUE,"general"}</definedName>
    <definedName name="___x3" localSheetId="1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2"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localSheetId="7" hidden="1">{"via1",#N/A,TRUE,"general";"via2",#N/A,TRUE,"general";"via3",#N/A,TRUE,"general"}</definedName>
    <definedName name="___x4" localSheetId="1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2"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localSheetId="7" hidden="1">{"TAB1",#N/A,TRUE,"GENERAL";"TAB2",#N/A,TRUE,"GENERAL";"TAB3",#N/A,TRUE,"GENERAL";"TAB4",#N/A,TRUE,"GENERAL";"TAB5",#N/A,TRUE,"GENERAL"}</definedName>
    <definedName name="___x5" localSheetId="1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2"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localSheetId="7" hidden="1">{"TAB1",#N/A,TRUE,"GENERAL";"TAB2",#N/A,TRUE,"GENERAL";"TAB3",#N/A,TRUE,"GENERAL";"TAB4",#N/A,TRUE,"GENERAL";"TAB5",#N/A,TRUE,"GENERAL"}</definedName>
    <definedName name="___x6" localSheetId="1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2"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localSheetId="7" hidden="1">{"TAB1",#N/A,TRUE,"GENERAL";"TAB2",#N/A,TRUE,"GENERAL";"TAB3",#N/A,TRUE,"GENERAL";"TAB4",#N/A,TRUE,"GENERAL";"TAB5",#N/A,TRUE,"GENERAL"}</definedName>
    <definedName name="___x7" localSheetId="1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2"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7" hidden="1">{"via1",#N/A,TRUE,"general";"via2",#N/A,TRUE,"general";"via3",#N/A,TRUE,"general"}</definedName>
    <definedName name="___x8" localSheetId="1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2"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7"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2"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localSheetId="7" hidden="1">{"TAB1",#N/A,TRUE,"GENERAL";"TAB2",#N/A,TRUE,"GENERAL";"TAB3",#N/A,TRUE,"GENERAL";"TAB4",#N/A,TRUE,"GENERAL";"TAB5",#N/A,TRUE,"GENERAL"}</definedName>
    <definedName name="___y2" localSheetId="1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2"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localSheetId="7" hidden="1">{"via1",#N/A,TRUE,"general";"via2",#N/A,TRUE,"general";"via3",#N/A,TRUE,"general"}</definedName>
    <definedName name="___y3" localSheetId="1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12"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localSheetId="7" hidden="1">{"via1",#N/A,TRUE,"general";"via2",#N/A,TRUE,"general";"via3",#N/A,TRUE,"general"}</definedName>
    <definedName name="___y4" localSheetId="1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2"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localSheetId="7" hidden="1">{"TAB1",#N/A,TRUE,"GENERAL";"TAB2",#N/A,TRUE,"GENERAL";"TAB3",#N/A,TRUE,"GENERAL";"TAB4",#N/A,TRUE,"GENERAL";"TAB5",#N/A,TRUE,"GENERAL"}</definedName>
    <definedName name="___y5" localSheetId="1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2"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localSheetId="7" hidden="1">{"via1",#N/A,TRUE,"general";"via2",#N/A,TRUE,"general";"via3",#N/A,TRUE,"general"}</definedName>
    <definedName name="___y6" localSheetId="1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12"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localSheetId="7" hidden="1">{"via1",#N/A,TRUE,"general";"via2",#N/A,TRUE,"general";"via3",#N/A,TRUE,"general"}</definedName>
    <definedName name="___y7" localSheetId="1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2"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7" hidden="1">{"via1",#N/A,TRUE,"general";"via2",#N/A,TRUE,"general";"via3",#N/A,TRUE,"general"}</definedName>
    <definedName name="___y8" localSheetId="1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2"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7"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2"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localSheetId="7" hidden="1">{"TAB1",#N/A,TRUE,"GENERAL";"TAB2",#N/A,TRUE,"GENERAL";"TAB3",#N/A,TRUE,"GENERAL";"TAB4",#N/A,TRUE,"GENERAL";"TAB5",#N/A,TRUE,"GENERAL"}</definedName>
    <definedName name="___z1" localSheetId="1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2"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localSheetId="7" hidden="1">{"via1",#N/A,TRUE,"general";"via2",#N/A,TRUE,"general";"via3",#N/A,TRUE,"general"}</definedName>
    <definedName name="___z2" localSheetId="1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12"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7" hidden="1">{"via1",#N/A,TRUE,"general";"via2",#N/A,TRUE,"general";"via3",#N/A,TRUE,"general"}</definedName>
    <definedName name="___z3" localSheetId="1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2"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localSheetId="7" hidden="1">{"TAB1",#N/A,TRUE,"GENERAL";"TAB2",#N/A,TRUE,"GENERAL";"TAB3",#N/A,TRUE,"GENERAL";"TAB4",#N/A,TRUE,"GENERAL";"TAB5",#N/A,TRUE,"GENERAL"}</definedName>
    <definedName name="___z4" localSheetId="1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2"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localSheetId="7" hidden="1">{"via1",#N/A,TRUE,"general";"via2",#N/A,TRUE,"general";"via3",#N/A,TRUE,"general"}</definedName>
    <definedName name="___z5" localSheetId="1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12"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localSheetId="7" hidden="1">{"TAB1",#N/A,TRUE,"GENERAL";"TAB2",#N/A,TRUE,"GENERAL";"TAB3",#N/A,TRUE,"GENERAL";"TAB4",#N/A,TRUE,"GENERAL";"TAB5",#N/A,TRUE,"GENERAL"}</definedName>
    <definedName name="___z6" localSheetId="1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 localSheetId="15" hidden="1">#REF!</definedName>
    <definedName name="__123" localSheetId="17" hidden="1">#REF!</definedName>
    <definedName name="__123" localSheetId="19" hidden="1">#REF!</definedName>
    <definedName name="__123" localSheetId="11" hidden="1">#REF!</definedName>
    <definedName name="__123" localSheetId="14" hidden="1">#REF!</definedName>
    <definedName name="__123" localSheetId="16" hidden="1">#REF!</definedName>
    <definedName name="__123" localSheetId="18" hidden="1">#REF!</definedName>
    <definedName name="__123" hidden="1">#REF!</definedName>
    <definedName name="__1234" localSheetId="15" hidden="1">#REF!</definedName>
    <definedName name="__1234" localSheetId="17" hidden="1">#REF!</definedName>
    <definedName name="__1234" localSheetId="19" hidden="1">#REF!</definedName>
    <definedName name="__1234" localSheetId="11" hidden="1">#REF!</definedName>
    <definedName name="__1234" localSheetId="14" hidden="1">#REF!</definedName>
    <definedName name="__1234" localSheetId="16" hidden="1">#REF!</definedName>
    <definedName name="__1234" localSheetId="18" hidden="1">#REF!</definedName>
    <definedName name="__1234" hidden="1">#REF!</definedName>
    <definedName name="__123Graph_A" localSheetId="15" hidden="1">#REF!</definedName>
    <definedName name="__123Graph_A" localSheetId="17" hidden="1">#REF!</definedName>
    <definedName name="__123Graph_A" localSheetId="19" hidden="1">#REF!</definedName>
    <definedName name="__123Graph_A" localSheetId="12" hidden="1">#REF!</definedName>
    <definedName name="__123Graph_A" localSheetId="8" hidden="1">#REF!</definedName>
    <definedName name="__123Graph_A" localSheetId="9" hidden="1">#REF!</definedName>
    <definedName name="__123Graph_A" localSheetId="7" hidden="1">#REF!</definedName>
    <definedName name="__123Graph_A" localSheetId="10" hidden="1">#REF!</definedName>
    <definedName name="__123Graph_A" localSheetId="11" hidden="1">#REF!</definedName>
    <definedName name="__123Graph_A" localSheetId="4" hidden="1">#REF!</definedName>
    <definedName name="__123Graph_A" localSheetId="1" hidden="1">#REF!</definedName>
    <definedName name="__123Graph_A" localSheetId="14" hidden="1">#REF!</definedName>
    <definedName name="__123Graph_A" localSheetId="16" hidden="1">#REF!</definedName>
    <definedName name="__123Graph_A" localSheetId="18" hidden="1">#REF!</definedName>
    <definedName name="__123Graph_A" hidden="1">#REF!</definedName>
    <definedName name="__123Graph_Acaja" localSheetId="11" hidden="1">#REF!</definedName>
    <definedName name="__123Graph_Acaja" hidden="1">#REF!</definedName>
    <definedName name="__123Graph_ACart_AnticAdic" localSheetId="11" hidden="1">#REF!</definedName>
    <definedName name="__123Graph_ACart_AnticAdic" hidden="1">#REF!</definedName>
    <definedName name="__123Graph_AFACTURAC" localSheetId="11" hidden="1">#REF!</definedName>
    <definedName name="__123Graph_AFACTURAC" hidden="1">#REF!</definedName>
    <definedName name="__123Graph_AGraph2" localSheetId="11" hidden="1">#REF!</definedName>
    <definedName name="__123Graph_AGraph2" hidden="1">#REF!</definedName>
    <definedName name="__123Graph_B" localSheetId="12" hidden="1">#REF!</definedName>
    <definedName name="__123Graph_B" localSheetId="8" hidden="1">#REF!</definedName>
    <definedName name="__123Graph_B" localSheetId="9" hidden="1">#REF!</definedName>
    <definedName name="__123Graph_B" localSheetId="7" hidden="1">#REF!</definedName>
    <definedName name="__123Graph_B" localSheetId="10" hidden="1">#REF!</definedName>
    <definedName name="__123Graph_B" localSheetId="11" hidden="1">#REF!</definedName>
    <definedName name="__123Graph_B" localSheetId="4" hidden="1">#REF!</definedName>
    <definedName name="__123Graph_B" localSheetId="1" hidden="1">#REF!</definedName>
    <definedName name="__123Graph_B" hidden="1">#REF!</definedName>
    <definedName name="__123Graph_Bcaja" localSheetId="11" hidden="1">#REF!</definedName>
    <definedName name="__123Graph_Bcaja" hidden="1">#REF!</definedName>
    <definedName name="__123Graph_BCart_AnticAdic" localSheetId="11" hidden="1">#REF!</definedName>
    <definedName name="__123Graph_BCart_AnticAdic" hidden="1">#REF!</definedName>
    <definedName name="__123Graph_Ccaja" localSheetId="11" hidden="1">#REF!</definedName>
    <definedName name="__123Graph_Ccaja" hidden="1">#REF!</definedName>
    <definedName name="__123Graph_CCart_AnticAdic" localSheetId="11" hidden="1">#REF!</definedName>
    <definedName name="__123Graph_CCart_AnticAdic" hidden="1">#REF!</definedName>
    <definedName name="__123Graph_Dcaja" localSheetId="11" hidden="1">#REF!</definedName>
    <definedName name="__123Graph_Dcaja" hidden="1">#REF!</definedName>
    <definedName name="__123Graph_DCart_AnticAdic" localSheetId="11" hidden="1">#REF!</definedName>
    <definedName name="__123Graph_DCart_AnticAdic" hidden="1">#REF!</definedName>
    <definedName name="__123Graph_ECart_AnticAdic" localSheetId="11" hidden="1">#REF!</definedName>
    <definedName name="__123Graph_ECart_AnticAdic" hidden="1">#REF!</definedName>
    <definedName name="__123Graph_LBL_ACart_AnticAdic" localSheetId="11" hidden="1">#REF!</definedName>
    <definedName name="__123Graph_LBL_ACart_AnticAdic" hidden="1">#REF!</definedName>
    <definedName name="__123Graph_LBL_Ccaja" localSheetId="11" hidden="1">#REF!</definedName>
    <definedName name="__123Graph_LBL_Ccaja" hidden="1">#REF!</definedName>
    <definedName name="__123Graph_LBL_DCart_AnticAdic" localSheetId="11" hidden="1">#REF!</definedName>
    <definedName name="__123Graph_LBL_DCart_AnticAdic" hidden="1">#REF!</definedName>
    <definedName name="__123Graph_X" localSheetId="11" hidden="1">#REF!</definedName>
    <definedName name="__123Graph_X" hidden="1">#REF!</definedName>
    <definedName name="__123Graph_Xcaja" localSheetId="11" hidden="1">#REF!</definedName>
    <definedName name="__123Graph_Xcaja" hidden="1">#REF!</definedName>
    <definedName name="__a1" localSheetId="12"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7" hidden="1">{"TAB1",#N/A,TRUE,"GENERAL";"TAB2",#N/A,TRUE,"GENERAL";"TAB3",#N/A,TRUE,"GENERAL";"TAB4",#N/A,TRUE,"GENERAL";"TAB5",#N/A,TRUE,"GENERAL"}</definedName>
    <definedName name="__a1" localSheetId="1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2"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7" hidden="1">{"TAB1",#N/A,TRUE,"GENERAL";"TAB2",#N/A,TRUE,"GENERAL";"TAB3",#N/A,TRUE,"GENERAL";"TAB4",#N/A,TRUE,"GENERAL";"TAB5",#N/A,TRUE,"GENERAL"}</definedName>
    <definedName name="__a3" localSheetId="1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2"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7" hidden="1">{"via1",#N/A,TRUE,"general";"via2",#N/A,TRUE,"general";"via3",#N/A,TRUE,"general"}</definedName>
    <definedName name="__a4" localSheetId="1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12"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7" hidden="1">{"TAB1",#N/A,TRUE,"GENERAL";"TAB2",#N/A,TRUE,"GENERAL";"TAB3",#N/A,TRUE,"GENERAL";"TAB4",#N/A,TRUE,"GENERAL";"TAB5",#N/A,TRUE,"GENERAL"}</definedName>
    <definedName name="__a5" localSheetId="1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2"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7" hidden="1">{"TAB1",#N/A,TRUE,"GENERAL";"TAB2",#N/A,TRUE,"GENERAL";"TAB3",#N/A,TRUE,"GENERAL";"TAB4",#N/A,TRUE,"GENERAL";"TAB5",#N/A,TRUE,"GENERAL"}</definedName>
    <definedName name="__a6" localSheetId="1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2"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7" hidden="1">{"TAB1",#N/A,TRUE,"GENERAL";"TAB2",#N/A,TRUE,"GENERAL";"TAB3",#N/A,TRUE,"GENERAL";"TAB4",#N/A,TRUE,"GENERAL";"TAB5",#N/A,TRUE,"GENERAL"}</definedName>
    <definedName name="__b2" localSheetId="1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2"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7" hidden="1">{"TAB1",#N/A,TRUE,"GENERAL";"TAB2",#N/A,TRUE,"GENERAL";"TAB3",#N/A,TRUE,"GENERAL";"TAB4",#N/A,TRUE,"GENERAL";"TAB5",#N/A,TRUE,"GENERAL"}</definedName>
    <definedName name="__b3" localSheetId="1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2"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7" hidden="1">{"TAB1",#N/A,TRUE,"GENERAL";"TAB2",#N/A,TRUE,"GENERAL";"TAB3",#N/A,TRUE,"GENERAL";"TAB4",#N/A,TRUE,"GENERAL";"TAB5",#N/A,TRUE,"GENERAL"}</definedName>
    <definedName name="__b4" localSheetId="1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2"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7" hidden="1">{"TAB1",#N/A,TRUE,"GENERAL";"TAB2",#N/A,TRUE,"GENERAL";"TAB3",#N/A,TRUE,"GENERAL";"TAB4",#N/A,TRUE,"GENERAL";"TAB5",#N/A,TRUE,"GENERAL"}</definedName>
    <definedName name="__b5" localSheetId="1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2"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7" hidden="1">{"TAB1",#N/A,TRUE,"GENERAL";"TAB2",#N/A,TRUE,"GENERAL";"TAB3",#N/A,TRUE,"GENERAL";"TAB4",#N/A,TRUE,"GENERAL";"TAB5",#N/A,TRUE,"GENERAL"}</definedName>
    <definedName name="__b6" localSheetId="1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2"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7" hidden="1">{"via1",#N/A,TRUE,"general";"via2",#N/A,TRUE,"general";"via3",#N/A,TRUE,"general"}</definedName>
    <definedName name="__b7" localSheetId="1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12"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7" hidden="1">{"via1",#N/A,TRUE,"general";"via2",#N/A,TRUE,"general";"via3",#N/A,TRUE,"general"}</definedName>
    <definedName name="__b8" localSheetId="1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2"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7"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2"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7" hidden="1">{"TAB1",#N/A,TRUE,"GENERAL";"TAB2",#N/A,TRUE,"GENERAL";"TAB3",#N/A,TRUE,"GENERAL";"TAB4",#N/A,TRUE,"GENERAL";"TAB5",#N/A,TRUE,"GENERAL"}</definedName>
    <definedName name="__g2" localSheetId="1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2"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7" hidden="1">{"via1",#N/A,TRUE,"general";"via2",#N/A,TRUE,"general";"via3",#N/A,TRUE,"general"}</definedName>
    <definedName name="__g3" localSheetId="1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12"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7" hidden="1">{"via1",#N/A,TRUE,"general";"via2",#N/A,TRUE,"general";"via3",#N/A,TRUE,"general"}</definedName>
    <definedName name="__g4" localSheetId="1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2"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7" hidden="1">{"via1",#N/A,TRUE,"general";"via2",#N/A,TRUE,"general";"via3",#N/A,TRUE,"general"}</definedName>
    <definedName name="__g5" localSheetId="1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2"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7" hidden="1">{"via1",#N/A,TRUE,"general";"via2",#N/A,TRUE,"general";"via3",#N/A,TRUE,"general"}</definedName>
    <definedName name="__g6" localSheetId="1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2"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7" hidden="1">{"TAB1",#N/A,TRUE,"GENERAL";"TAB2",#N/A,TRUE,"GENERAL";"TAB3",#N/A,TRUE,"GENERAL";"TAB4",#N/A,TRUE,"GENERAL";"TAB5",#N/A,TRUE,"GENERAL"}</definedName>
    <definedName name="__g7" localSheetId="1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7"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2"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7" hidden="1">{"via1",#N/A,TRUE,"general";"via2",#N/A,TRUE,"general";"via3",#N/A,TRUE,"general"}</definedName>
    <definedName name="__gtr4" localSheetId="1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12"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7" hidden="1">{"via1",#N/A,TRUE,"general";"via2",#N/A,TRUE,"general";"via3",#N/A,TRUE,"general"}</definedName>
    <definedName name="__h2" localSheetId="1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2"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7" hidden="1">{"via1",#N/A,TRUE,"general";"via2",#N/A,TRUE,"general";"via3",#N/A,TRUE,"general"}</definedName>
    <definedName name="__h3" localSheetId="1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2"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7" hidden="1">{"TAB1",#N/A,TRUE,"GENERAL";"TAB2",#N/A,TRUE,"GENERAL";"TAB3",#N/A,TRUE,"GENERAL";"TAB4",#N/A,TRUE,"GENERAL";"TAB5",#N/A,TRUE,"GENERAL"}</definedName>
    <definedName name="__h4" localSheetId="1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2"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7" hidden="1">{"TAB1",#N/A,TRUE,"GENERAL";"TAB2",#N/A,TRUE,"GENERAL";"TAB3",#N/A,TRUE,"GENERAL";"TAB4",#N/A,TRUE,"GENERAL";"TAB5",#N/A,TRUE,"GENERAL"}</definedName>
    <definedName name="__h5" localSheetId="1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2"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7" hidden="1">{"via1",#N/A,TRUE,"general";"via2",#N/A,TRUE,"general";"via3",#N/A,TRUE,"general"}</definedName>
    <definedName name="__h6" localSheetId="1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12"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7" hidden="1">{"TAB1",#N/A,TRUE,"GENERAL";"TAB2",#N/A,TRUE,"GENERAL";"TAB3",#N/A,TRUE,"GENERAL";"TAB4",#N/A,TRUE,"GENERAL";"TAB5",#N/A,TRUE,"GENERAL"}</definedName>
    <definedName name="__h7" localSheetId="1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2"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7" hidden="1">{"via1",#N/A,TRUE,"general";"via2",#N/A,TRUE,"general";"via3",#N/A,TRUE,"general"}</definedName>
    <definedName name="__h8" localSheetId="1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12"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7" hidden="1">{"via1",#N/A,TRUE,"general";"via2",#N/A,TRUE,"general";"via3",#N/A,TRUE,"general"}</definedName>
    <definedName name="__hfh7" localSheetId="1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2"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7" hidden="1">{"via1",#N/A,TRUE,"general";"via2",#N/A,TRUE,"general";"via3",#N/A,TRUE,"general"}</definedName>
    <definedName name="__i4" localSheetId="1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2"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7" hidden="1">{"TAB1",#N/A,TRUE,"GENERAL";"TAB2",#N/A,TRUE,"GENERAL";"TAB3",#N/A,TRUE,"GENERAL";"TAB4",#N/A,TRUE,"GENERAL";"TAB5",#N/A,TRUE,"GENERAL"}</definedName>
    <definedName name="__i5" localSheetId="1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2"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7" hidden="1">{"TAB1",#N/A,TRUE,"GENERAL";"TAB2",#N/A,TRUE,"GENERAL";"TAB3",#N/A,TRUE,"GENERAL";"TAB4",#N/A,TRUE,"GENERAL";"TAB5",#N/A,TRUE,"GENERAL"}</definedName>
    <definedName name="__i6" localSheetId="1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2"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7" hidden="1">{"via1",#N/A,TRUE,"general";"via2",#N/A,TRUE,"general";"via3",#N/A,TRUE,"general"}</definedName>
    <definedName name="__i7" localSheetId="1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12"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7"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2"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7" hidden="1">{"via1",#N/A,TRUE,"general";"via2",#N/A,TRUE,"general";"via3",#N/A,TRUE,"general"}</definedName>
    <definedName name="__i8" localSheetId="1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12"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7" hidden="1">{"TAB1",#N/A,TRUE,"GENERAL";"TAB2",#N/A,TRUE,"GENERAL";"TAB3",#N/A,TRUE,"GENERAL";"TAB4",#N/A,TRUE,"GENERAL";"TAB5",#N/A,TRUE,"GENERAL"}</definedName>
    <definedName name="__i9" localSheetId="1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2"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7" hidden="1">{"TAB1",#N/A,TRUE,"GENERAL";"TAB2",#N/A,TRUE,"GENERAL";"TAB3",#N/A,TRUE,"GENERAL";"TAB4",#N/A,TRUE,"GENERAL";"TAB5",#N/A,TRUE,"GENERAL"}</definedName>
    <definedName name="__k3" localSheetId="1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2"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7" hidden="1">{"via1",#N/A,TRUE,"general";"via2",#N/A,TRUE,"general";"via3",#N/A,TRUE,"general"}</definedName>
    <definedName name="__k4" localSheetId="1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12"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7" hidden="1">{"via1",#N/A,TRUE,"general";"via2",#N/A,TRUE,"general";"via3",#N/A,TRUE,"general"}</definedName>
    <definedName name="__k5" localSheetId="1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2"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7" hidden="1">{"TAB1",#N/A,TRUE,"GENERAL";"TAB2",#N/A,TRUE,"GENERAL";"TAB3",#N/A,TRUE,"GENERAL";"TAB4",#N/A,TRUE,"GENERAL";"TAB5",#N/A,TRUE,"GENERAL"}</definedName>
    <definedName name="__k6" localSheetId="1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2"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7" hidden="1">{"via1",#N/A,TRUE,"general";"via2",#N/A,TRUE,"general";"via3",#N/A,TRUE,"general"}</definedName>
    <definedName name="__k7" localSheetId="1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12"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7" hidden="1">{"via1",#N/A,TRUE,"general";"via2",#N/A,TRUE,"general";"via3",#N/A,TRUE,"general"}</definedName>
    <definedName name="__k8" localSheetId="1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2"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7" hidden="1">{"TAB1",#N/A,TRUE,"GENERAL";"TAB2",#N/A,TRUE,"GENERAL";"TAB3",#N/A,TRUE,"GENERAL";"TAB4",#N/A,TRUE,"GENERAL";"TAB5",#N/A,TRUE,"GENERAL"}</definedName>
    <definedName name="__k9" localSheetId="1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8" hidden="1">#REF!</definedName>
    <definedName name="__key2" localSheetId="9" hidden="1">#REF!</definedName>
    <definedName name="__key2" localSheetId="10" hidden="1">#REF!</definedName>
    <definedName name="__key2" localSheetId="1" hidden="1">#REF!</definedName>
    <definedName name="__key2" hidden="1">#REF!</definedName>
    <definedName name="__key21" localSheetId="8" hidden="1">#REF!</definedName>
    <definedName name="__key21" localSheetId="9" hidden="1">#REF!</definedName>
    <definedName name="__key21" localSheetId="10" hidden="1">#REF!</definedName>
    <definedName name="__key21" localSheetId="1" hidden="1">#REF!</definedName>
    <definedName name="__key21" hidden="1">#REF!</definedName>
    <definedName name="__key3" localSheetId="8" hidden="1">#REF!</definedName>
    <definedName name="__key3" localSheetId="9" hidden="1">#REF!</definedName>
    <definedName name="__key3" localSheetId="10" hidden="1">#REF!</definedName>
    <definedName name="__key3" localSheetId="1" hidden="1">#REF!</definedName>
    <definedName name="__key3" hidden="1">#REF!</definedName>
    <definedName name="__key31" hidden="1">#REF!</definedName>
    <definedName name="__kjk6" localSheetId="12"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2"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7" hidden="1">{"via1",#N/A,TRUE,"general";"via2",#N/A,TRUE,"general";"via3",#N/A,TRUE,"general"}</definedName>
    <definedName name="__m3" localSheetId="1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12"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7" hidden="1">{"TAB1",#N/A,TRUE,"GENERAL";"TAB2",#N/A,TRUE,"GENERAL";"TAB3",#N/A,TRUE,"GENERAL";"TAB4",#N/A,TRUE,"GENERAL";"TAB5",#N/A,TRUE,"GENERAL"}</definedName>
    <definedName name="__m4" localSheetId="1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2"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7" hidden="1">{"via1",#N/A,TRUE,"general";"via2",#N/A,TRUE,"general";"via3",#N/A,TRUE,"general"}</definedName>
    <definedName name="__m5" localSheetId="1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12"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7" hidden="1">{"TAB1",#N/A,TRUE,"GENERAL";"TAB2",#N/A,TRUE,"GENERAL";"TAB3",#N/A,TRUE,"GENERAL";"TAB4",#N/A,TRUE,"GENERAL";"TAB5",#N/A,TRUE,"GENERAL"}</definedName>
    <definedName name="__m6" localSheetId="1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2"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7" hidden="1">{"TAB1",#N/A,TRUE,"GENERAL";"TAB2",#N/A,TRUE,"GENERAL";"TAB3",#N/A,TRUE,"GENERAL";"TAB4",#N/A,TRUE,"GENERAL";"TAB5",#N/A,TRUE,"GENERAL"}</definedName>
    <definedName name="__m7" localSheetId="1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2"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7" hidden="1">{"via1",#N/A,TRUE,"general";"via2",#N/A,TRUE,"general";"via3",#N/A,TRUE,"general"}</definedName>
    <definedName name="__m8" localSheetId="1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12"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7" hidden="1">{"via1",#N/A,TRUE,"general";"via2",#N/A,TRUE,"general";"via3",#N/A,TRUE,"general"}</definedName>
    <definedName name="__m9" localSheetId="1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2"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7" hidden="1">{"TAB1",#N/A,TRUE,"GENERAL";"TAB2",#N/A,TRUE,"GENERAL";"TAB3",#N/A,TRUE,"GENERAL";"TAB4",#N/A,TRUE,"GENERAL";"TAB5",#N/A,TRUE,"GENERAL"}</definedName>
    <definedName name="__n3" localSheetId="1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2"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7" hidden="1">{"via1",#N/A,TRUE,"general";"via2",#N/A,TRUE,"general";"via3",#N/A,TRUE,"general"}</definedName>
    <definedName name="__n4" localSheetId="1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12"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7" hidden="1">{"TAB1",#N/A,TRUE,"GENERAL";"TAB2",#N/A,TRUE,"GENERAL";"TAB3",#N/A,TRUE,"GENERAL";"TAB4",#N/A,TRUE,"GENERAL";"TAB5",#N/A,TRUE,"GENERAL"}</definedName>
    <definedName name="__n5" localSheetId="1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2"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7" hidden="1">{"via1",#N/A,TRUE,"general";"via2",#N/A,TRUE,"general";"via3",#N/A,TRUE,"general"}</definedName>
    <definedName name="__nyn7" localSheetId="1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12"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7" hidden="1">{"via1",#N/A,TRUE,"general";"via2",#N/A,TRUE,"general";"via3",#N/A,TRUE,"general"}</definedName>
    <definedName name="__o4" localSheetId="1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2"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7" hidden="1">{"TAB1",#N/A,TRUE,"GENERAL";"TAB2",#N/A,TRUE,"GENERAL";"TAB3",#N/A,TRUE,"GENERAL";"TAB4",#N/A,TRUE,"GENERAL";"TAB5",#N/A,TRUE,"GENERAL"}</definedName>
    <definedName name="__o5" localSheetId="1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2"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7" hidden="1">{"TAB1",#N/A,TRUE,"GENERAL";"TAB2",#N/A,TRUE,"GENERAL";"TAB3",#N/A,TRUE,"GENERAL";"TAB4",#N/A,TRUE,"GENERAL";"TAB5",#N/A,TRUE,"GENERAL"}</definedName>
    <definedName name="__o6" localSheetId="1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2"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7" hidden="1">{"TAB1",#N/A,TRUE,"GENERAL";"TAB2",#N/A,TRUE,"GENERAL";"TAB3",#N/A,TRUE,"GENERAL";"TAB4",#N/A,TRUE,"GENERAL";"TAB5",#N/A,TRUE,"GENERAL"}</definedName>
    <definedName name="__o7" localSheetId="1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2"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7" hidden="1">{"via1",#N/A,TRUE,"general";"via2",#N/A,TRUE,"general";"via3",#N/A,TRUE,"general"}</definedName>
    <definedName name="__o8" localSheetId="1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12"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7" hidden="1">{"TAB1",#N/A,TRUE,"GENERAL";"TAB2",#N/A,TRUE,"GENERAL";"TAB3",#N/A,TRUE,"GENERAL";"TAB4",#N/A,TRUE,"GENERAL";"TAB5",#N/A,TRUE,"GENERAL"}</definedName>
    <definedName name="__o9" localSheetId="1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2"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7" hidden="1">{"via1",#N/A,TRUE,"general";"via2",#N/A,TRUE,"general";"via3",#N/A,TRUE,"general"}</definedName>
    <definedName name="__p6" localSheetId="1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12"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7" hidden="1">{"via1",#N/A,TRUE,"general";"via2",#N/A,TRUE,"general";"via3",#N/A,TRUE,"general"}</definedName>
    <definedName name="__p7" localSheetId="1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2"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7" hidden="1">{"TAB1",#N/A,TRUE,"GENERAL";"TAB2",#N/A,TRUE,"GENERAL";"TAB3",#N/A,TRUE,"GENERAL";"TAB4",#N/A,TRUE,"GENERAL";"TAB5",#N/A,TRUE,"GENERAL"}</definedName>
    <definedName name="__p8" localSheetId="1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7" hidden="1">{"TAB1",#N/A,TRUE,"GENERAL";"TAB2",#N/A,TRUE,"GENERAL";"TAB3",#N/A,TRUE,"GENERAL";"TAB4",#N/A,TRUE,"GENERAL";"TAB5",#N/A,TRUE,"GENERAL"}</definedName>
    <definedName name="__r" localSheetId="10" hidden="1">{"TAB1",#N/A,TRUE,"GENERAL";"TAB2",#N/A,TRUE,"GENERAL";"TAB3",#N/A,TRUE,"GENERAL";"TAB4",#N/A,TRUE,"GENERAL";"TAB5",#N/A,TRUE,"GENERAL"}</definedName>
    <definedName name="__r" localSheetId="4" hidden="1">{"TAB1",#N/A,TRUE,"GENERAL";"TAB2",#N/A,TRUE,"GENERAL";"TAB3",#N/A,TRUE,"GENERAL";"TAB4",#N/A,TRUE,"GENERAL";"TAB5",#N/A,TRUE,"GENERAL"}</definedName>
    <definedName name="__r" localSheetId="1" hidden="1">{"TAB1",#N/A,TRUE,"GENERAL";"TAB2",#N/A,TRUE,"GENERAL";"TAB3",#N/A,TRUE,"GENERAL";"TAB4",#N/A,TRUE,"GENERAL";"TAB5",#N/A,TRUE,"GENERAL"}</definedName>
    <definedName name="__r4r" localSheetId="12"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7" hidden="1">{"via1",#N/A,TRUE,"general";"via2",#N/A,TRUE,"general";"via3",#N/A,TRUE,"general"}</definedName>
    <definedName name="__r4r" localSheetId="1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12"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7" hidden="1">{"via1",#N/A,TRUE,"general";"via2",#N/A,TRUE,"general";"via3",#N/A,TRUE,"general"}</definedName>
    <definedName name="__rtu6" localSheetId="1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2"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7" hidden="1">{"via1",#N/A,TRUE,"general";"via2",#N/A,TRUE,"general";"via3",#N/A,TRUE,"general"}</definedName>
    <definedName name="__s1" localSheetId="1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2"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7" hidden="1">{"TAB1",#N/A,TRUE,"GENERAL";"TAB2",#N/A,TRUE,"GENERAL";"TAB3",#N/A,TRUE,"GENERAL";"TAB4",#N/A,TRUE,"GENERAL";"TAB5",#N/A,TRUE,"GENERAL"}</definedName>
    <definedName name="__s2" localSheetId="1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2"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7" hidden="1">{"TAB1",#N/A,TRUE,"GENERAL";"TAB2",#N/A,TRUE,"GENERAL";"TAB3",#N/A,TRUE,"GENERAL";"TAB4",#N/A,TRUE,"GENERAL";"TAB5",#N/A,TRUE,"GENERAL"}</definedName>
    <definedName name="__s3" localSheetId="1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2"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7" hidden="1">{"via1",#N/A,TRUE,"general";"via2",#N/A,TRUE,"general";"via3",#N/A,TRUE,"general"}</definedName>
    <definedName name="__s4" localSheetId="1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12"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7" hidden="1">{"via1",#N/A,TRUE,"general";"via2",#N/A,TRUE,"general";"via3",#N/A,TRUE,"general"}</definedName>
    <definedName name="__s5" localSheetId="1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2"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7" hidden="1">{"TAB1",#N/A,TRUE,"GENERAL";"TAB2",#N/A,TRUE,"GENERAL";"TAB3",#N/A,TRUE,"GENERAL";"TAB4",#N/A,TRUE,"GENERAL";"TAB5",#N/A,TRUE,"GENERAL"}</definedName>
    <definedName name="__s6" localSheetId="1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2"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7" hidden="1">{"via1",#N/A,TRUE,"general";"via2",#N/A,TRUE,"general";"via3",#N/A,TRUE,"general"}</definedName>
    <definedName name="__s7" localSheetId="1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12"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7" hidden="1">{"TAB1",#N/A,TRUE,"GENERAL";"TAB2",#N/A,TRUE,"GENERAL";"TAB3",#N/A,TRUE,"GENERAL";"TAB4",#N/A,TRUE,"GENERAL";"TAB5",#N/A,TRUE,"GENERAL"}</definedName>
    <definedName name="__t3" localSheetId="1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2"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7" hidden="1">{"via1",#N/A,TRUE,"general";"via2",#N/A,TRUE,"general";"via3",#N/A,TRUE,"general"}</definedName>
    <definedName name="__t4" localSheetId="1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12"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7" hidden="1">{"TAB1",#N/A,TRUE,"GENERAL";"TAB2",#N/A,TRUE,"GENERAL";"TAB3",#N/A,TRUE,"GENERAL";"TAB4",#N/A,TRUE,"GENERAL";"TAB5",#N/A,TRUE,"GENERAL"}</definedName>
    <definedName name="__t5" localSheetId="1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2"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7" hidden="1">{"via1",#N/A,TRUE,"general";"via2",#N/A,TRUE,"general";"via3",#N/A,TRUE,"general"}</definedName>
    <definedName name="__t6" localSheetId="1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12"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7"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2"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7" hidden="1">{"via1",#N/A,TRUE,"general";"via2",#N/A,TRUE,"general";"via3",#N/A,TRUE,"general"}</definedName>
    <definedName name="__t7" localSheetId="1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12"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7"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2"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7" hidden="1">{"TAB1",#N/A,TRUE,"GENERAL";"TAB2",#N/A,TRUE,"GENERAL";"TAB3",#N/A,TRUE,"GENERAL";"TAB4",#N/A,TRUE,"GENERAL";"TAB5",#N/A,TRUE,"GENERAL"}</definedName>
    <definedName name="__t8" localSheetId="1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2"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7" hidden="1">{"via1",#N/A,TRUE,"general";"via2",#N/A,TRUE,"general";"via3",#N/A,TRUE,"general"}</definedName>
    <definedName name="__t88" localSheetId="1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12"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7" hidden="1">{"TAB1",#N/A,TRUE,"GENERAL";"TAB2",#N/A,TRUE,"GENERAL";"TAB3",#N/A,TRUE,"GENERAL";"TAB4",#N/A,TRUE,"GENERAL";"TAB5",#N/A,TRUE,"GENERAL"}</definedName>
    <definedName name="__t9" localSheetId="1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2"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7" hidden="1">{"via1",#N/A,TRUE,"general";"via2",#N/A,TRUE,"general";"via3",#N/A,TRUE,"general"}</definedName>
    <definedName name="__t99" localSheetId="1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12"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7" hidden="1">{"TAB1",#N/A,TRUE,"GENERAL";"TAB2",#N/A,TRUE,"GENERAL";"TAB3",#N/A,TRUE,"GENERAL";"TAB4",#N/A,TRUE,"GENERAL";"TAB5",#N/A,TRUE,"GENERAL"}</definedName>
    <definedName name="__u4" localSheetId="1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2"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7" hidden="1">{"TAB1",#N/A,TRUE,"GENERAL";"TAB2",#N/A,TRUE,"GENERAL";"TAB3",#N/A,TRUE,"GENERAL";"TAB4",#N/A,TRUE,"GENERAL";"TAB5",#N/A,TRUE,"GENERAL"}</definedName>
    <definedName name="__u5" localSheetId="1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2"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7" hidden="1">{"TAB1",#N/A,TRUE,"GENERAL";"TAB2",#N/A,TRUE,"GENERAL";"TAB3",#N/A,TRUE,"GENERAL";"TAB4",#N/A,TRUE,"GENERAL";"TAB5",#N/A,TRUE,"GENERAL"}</definedName>
    <definedName name="__u6" localSheetId="1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2"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7" hidden="1">{"via1",#N/A,TRUE,"general";"via2",#N/A,TRUE,"general";"via3",#N/A,TRUE,"general"}</definedName>
    <definedName name="__u7" localSheetId="1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12"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7" hidden="1">{"TAB1",#N/A,TRUE,"GENERAL";"TAB2",#N/A,TRUE,"GENERAL";"TAB3",#N/A,TRUE,"GENERAL";"TAB4",#N/A,TRUE,"GENERAL";"TAB5",#N/A,TRUE,"GENERAL"}</definedName>
    <definedName name="__u8" localSheetId="1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2"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7" hidden="1">{"TAB1",#N/A,TRUE,"GENERAL";"TAB2",#N/A,TRUE,"GENERAL";"TAB3",#N/A,TRUE,"GENERAL";"TAB4",#N/A,TRUE,"GENERAL";"TAB5",#N/A,TRUE,"GENERAL"}</definedName>
    <definedName name="__u9" localSheetId="1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7"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2"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7" hidden="1">{"via1",#N/A,TRUE,"general";"via2",#N/A,TRUE,"general";"via3",#N/A,TRUE,"general"}</definedName>
    <definedName name="__v2" localSheetId="1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12"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7" hidden="1">{"TAB1",#N/A,TRUE,"GENERAL";"TAB2",#N/A,TRUE,"GENERAL";"TAB3",#N/A,TRUE,"GENERAL";"TAB4",#N/A,TRUE,"GENERAL";"TAB5",#N/A,TRUE,"GENERAL"}</definedName>
    <definedName name="__v3" localSheetId="1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2"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7" hidden="1">{"TAB1",#N/A,TRUE,"GENERAL";"TAB2",#N/A,TRUE,"GENERAL";"TAB3",#N/A,TRUE,"GENERAL";"TAB4",#N/A,TRUE,"GENERAL";"TAB5",#N/A,TRUE,"GENERAL"}</definedName>
    <definedName name="__v4" localSheetId="1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2"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7" hidden="1">{"TAB1",#N/A,TRUE,"GENERAL";"TAB2",#N/A,TRUE,"GENERAL";"TAB3",#N/A,TRUE,"GENERAL";"TAB4",#N/A,TRUE,"GENERAL";"TAB5",#N/A,TRUE,"GENERAL"}</definedName>
    <definedName name="__v5" localSheetId="1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2"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7" hidden="1">{"TAB1",#N/A,TRUE,"GENERAL";"TAB2",#N/A,TRUE,"GENERAL";"TAB3",#N/A,TRUE,"GENERAL";"TAB4",#N/A,TRUE,"GENERAL";"TAB5",#N/A,TRUE,"GENERAL"}</definedName>
    <definedName name="__v6" localSheetId="1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2"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7" hidden="1">{"via1",#N/A,TRUE,"general";"via2",#N/A,TRUE,"general";"via3",#N/A,TRUE,"general"}</definedName>
    <definedName name="__v7" localSheetId="1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12"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7" hidden="1">{"TAB1",#N/A,TRUE,"GENERAL";"TAB2",#N/A,TRUE,"GENERAL";"TAB3",#N/A,TRUE,"GENERAL";"TAB4",#N/A,TRUE,"GENERAL";"TAB5",#N/A,TRUE,"GENERAL"}</definedName>
    <definedName name="__v8" localSheetId="1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2"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7" hidden="1">{"TAB1",#N/A,TRUE,"GENERAL";"TAB2",#N/A,TRUE,"GENERAL";"TAB3",#N/A,TRUE,"GENERAL";"TAB4",#N/A,TRUE,"GENERAL";"TAB5",#N/A,TRUE,"GENERAL"}</definedName>
    <definedName name="__v9" localSheetId="1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2"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7" hidden="1">{"via1",#N/A,TRUE,"general";"via2",#N/A,TRUE,"general";"via3",#N/A,TRUE,"general"}</definedName>
    <definedName name="__vfv4" localSheetId="1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12"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7" hidden="1">{"TAB1",#N/A,TRUE,"GENERAL";"TAB2",#N/A,TRUE,"GENERAL";"TAB3",#N/A,TRUE,"GENERAL";"TAB4",#N/A,TRUE,"GENERAL";"TAB5",#N/A,TRUE,"GENERAL"}</definedName>
    <definedName name="__x1" localSheetId="1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2"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7" hidden="1">{"via1",#N/A,TRUE,"general";"via2",#N/A,TRUE,"general";"via3",#N/A,TRUE,"general"}</definedName>
    <definedName name="__x2" localSheetId="1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12"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7" hidden="1">{"via1",#N/A,TRUE,"general";"via2",#N/A,TRUE,"general";"via3",#N/A,TRUE,"general"}</definedName>
    <definedName name="__x3" localSheetId="1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2"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7" hidden="1">{"via1",#N/A,TRUE,"general";"via2",#N/A,TRUE,"general";"via3",#N/A,TRUE,"general"}</definedName>
    <definedName name="__x4" localSheetId="1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2"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7" hidden="1">{"TAB1",#N/A,TRUE,"GENERAL";"TAB2",#N/A,TRUE,"GENERAL";"TAB3",#N/A,TRUE,"GENERAL";"TAB4",#N/A,TRUE,"GENERAL";"TAB5",#N/A,TRUE,"GENERAL"}</definedName>
    <definedName name="__x5" localSheetId="1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2"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7" hidden="1">{"TAB1",#N/A,TRUE,"GENERAL";"TAB2",#N/A,TRUE,"GENERAL";"TAB3",#N/A,TRUE,"GENERAL";"TAB4",#N/A,TRUE,"GENERAL";"TAB5",#N/A,TRUE,"GENERAL"}</definedName>
    <definedName name="__x6" localSheetId="1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2"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7" hidden="1">{"TAB1",#N/A,TRUE,"GENERAL";"TAB2",#N/A,TRUE,"GENERAL";"TAB3",#N/A,TRUE,"GENERAL";"TAB4",#N/A,TRUE,"GENERAL";"TAB5",#N/A,TRUE,"GENERAL"}</definedName>
    <definedName name="__x7" localSheetId="1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2"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7" hidden="1">{"via1",#N/A,TRUE,"general";"via2",#N/A,TRUE,"general";"via3",#N/A,TRUE,"general"}</definedName>
    <definedName name="__x8" localSheetId="1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2"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7" hidden="1">{"TAB1",#N/A,TRUE,"GENERAL";"TAB2",#N/A,TRUE,"GENERAL";"TAB3",#N/A,TRUE,"GENERAL";"TAB4",#N/A,TRUE,"GENERAL";"TAB5",#N/A,TRUE,"GENERAL"}</definedName>
    <definedName name="__x9" localSheetId="1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2"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7" hidden="1">{"TAB1",#N/A,TRUE,"GENERAL";"TAB2",#N/A,TRUE,"GENERAL";"TAB3",#N/A,TRUE,"GENERAL";"TAB4",#N/A,TRUE,"GENERAL";"TAB5",#N/A,TRUE,"GENERAL"}</definedName>
    <definedName name="__y2" localSheetId="1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2"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7" hidden="1">{"via1",#N/A,TRUE,"general";"via2",#N/A,TRUE,"general";"via3",#N/A,TRUE,"general"}</definedName>
    <definedName name="__y3" localSheetId="1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12"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7" hidden="1">{"via1",#N/A,TRUE,"general";"via2",#N/A,TRUE,"general";"via3",#N/A,TRUE,"general"}</definedName>
    <definedName name="__y4" localSheetId="1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2"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7" hidden="1">{"TAB1",#N/A,TRUE,"GENERAL";"TAB2",#N/A,TRUE,"GENERAL";"TAB3",#N/A,TRUE,"GENERAL";"TAB4",#N/A,TRUE,"GENERAL";"TAB5",#N/A,TRUE,"GENERAL"}</definedName>
    <definedName name="__y5" localSheetId="1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2"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7" hidden="1">{"via1",#N/A,TRUE,"general";"via2",#N/A,TRUE,"general";"via3",#N/A,TRUE,"general"}</definedName>
    <definedName name="__y6" localSheetId="1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12"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7" hidden="1">{"via1",#N/A,TRUE,"general";"via2",#N/A,TRUE,"general";"via3",#N/A,TRUE,"general"}</definedName>
    <definedName name="__y7" localSheetId="1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2"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7" hidden="1">{"via1",#N/A,TRUE,"general";"via2",#N/A,TRUE,"general";"via3",#N/A,TRUE,"general"}</definedName>
    <definedName name="__y8" localSheetId="1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2"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7" hidden="1">{"TAB1",#N/A,TRUE,"GENERAL";"TAB2",#N/A,TRUE,"GENERAL";"TAB3",#N/A,TRUE,"GENERAL";"TAB4",#N/A,TRUE,"GENERAL";"TAB5",#N/A,TRUE,"GENERAL"}</definedName>
    <definedName name="__y9" localSheetId="1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2"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7" hidden="1">{"TAB1",#N/A,TRUE,"GENERAL";"TAB2",#N/A,TRUE,"GENERAL";"TAB3",#N/A,TRUE,"GENERAL";"TAB4",#N/A,TRUE,"GENERAL";"TAB5",#N/A,TRUE,"GENERAL"}</definedName>
    <definedName name="__z1" localSheetId="1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2"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7" hidden="1">{"via1",#N/A,TRUE,"general";"via2",#N/A,TRUE,"general";"via3",#N/A,TRUE,"general"}</definedName>
    <definedName name="__z2" localSheetId="1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12"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7" hidden="1">{"via1",#N/A,TRUE,"general";"via2",#N/A,TRUE,"general";"via3",#N/A,TRUE,"general"}</definedName>
    <definedName name="__z3" localSheetId="1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2"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7" hidden="1">{"TAB1",#N/A,TRUE,"GENERAL";"TAB2",#N/A,TRUE,"GENERAL";"TAB3",#N/A,TRUE,"GENERAL";"TAB4",#N/A,TRUE,"GENERAL";"TAB5",#N/A,TRUE,"GENERAL"}</definedName>
    <definedName name="__z4" localSheetId="1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2"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7" hidden="1">{"via1",#N/A,TRUE,"general";"via2",#N/A,TRUE,"general";"via3",#N/A,TRUE,"general"}</definedName>
    <definedName name="__z5" localSheetId="1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12"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7" hidden="1">{"TAB1",#N/A,TRUE,"GENERAL";"TAB2",#N/A,TRUE,"GENERAL";"TAB3",#N/A,TRUE,"GENERAL";"TAB4",#N/A,TRUE,"GENERAL";"TAB5",#N/A,TRUE,"GENERAL"}</definedName>
    <definedName name="__z6" localSheetId="1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23" localSheetId="15" hidden="1">#REF!</definedName>
    <definedName name="_123" localSheetId="17" hidden="1">#REF!</definedName>
    <definedName name="_123" localSheetId="19" hidden="1">#REF!</definedName>
    <definedName name="_123" localSheetId="11" hidden="1">#REF!</definedName>
    <definedName name="_123" localSheetId="14" hidden="1">#REF!</definedName>
    <definedName name="_123" localSheetId="16" hidden="1">#REF!</definedName>
    <definedName name="_123" localSheetId="18" hidden="1">#REF!</definedName>
    <definedName name="_123" hidden="1">#REF!</definedName>
    <definedName name="_A1" localSheetId="13" hidden="1">{#N/A,#N/A,TRUE,"1842CWN0"}</definedName>
    <definedName name="_A1" localSheetId="15" hidden="1">{#N/A,#N/A,TRUE,"1842CWN0"}</definedName>
    <definedName name="_A1" localSheetId="17" hidden="1">{#N/A,#N/A,TRUE,"1842CWN0"}</definedName>
    <definedName name="_A1" localSheetId="19" hidden="1">{#N/A,#N/A,TRUE,"1842CWN0"}</definedName>
    <definedName name="_A1" localSheetId="12" hidden="1">{#N/A,#N/A,TRUE,"1842CWN0"}</definedName>
    <definedName name="_A1" localSheetId="8" hidden="1">{#N/A,#N/A,TRUE,"1842CWN0"}</definedName>
    <definedName name="_A1" localSheetId="9" hidden="1">{#N/A,#N/A,TRUE,"1842CWN0"}</definedName>
    <definedName name="_A1" localSheetId="7" hidden="1">{#N/A,#N/A,TRUE,"1842CWN0"}</definedName>
    <definedName name="_A1" localSheetId="10" hidden="1">{#N/A,#N/A,TRUE,"1842CWN0"}</definedName>
    <definedName name="_A1" localSheetId="0" hidden="1">{#N/A,#N/A,TRUE,"1842CWN0"}</definedName>
    <definedName name="_A1" localSheetId="11" hidden="1">{#N/A,#N/A,TRUE,"1842CWN0"}</definedName>
    <definedName name="_A1" localSheetId="6" hidden="1">{#N/A,#N/A,TRUE,"1842CWN0"}</definedName>
    <definedName name="_A1" localSheetId="4" hidden="1">{#N/A,#N/A,TRUE,"1842CWN0"}</definedName>
    <definedName name="_A1" localSheetId="1" hidden="1">{#N/A,#N/A,TRUE,"1842CWN0"}</definedName>
    <definedName name="_A1" localSheetId="14" hidden="1">{#N/A,#N/A,TRUE,"1842CWN0"}</definedName>
    <definedName name="_A1" localSheetId="16" hidden="1">{#N/A,#N/A,TRUE,"1842CWN0"}</definedName>
    <definedName name="_A1" localSheetId="18" hidden="1">{#N/A,#N/A,TRUE,"1842CWN0"}</definedName>
    <definedName name="_A1" localSheetId="5" hidden="1">{#N/A,#N/A,TRUE,"1842CWN0"}</definedName>
    <definedName name="_A1" hidden="1">{#N/A,#N/A,TRUE,"1842CWN0"}</definedName>
    <definedName name="_A1_1" localSheetId="15" hidden="1">{#N/A,#N/A,TRUE,"1842CWN0"}</definedName>
    <definedName name="_A1_1" localSheetId="17" hidden="1">{#N/A,#N/A,TRUE,"1842CWN0"}</definedName>
    <definedName name="_A1_1" localSheetId="19" hidden="1">{#N/A,#N/A,TRUE,"1842CWN0"}</definedName>
    <definedName name="_A1_1" localSheetId="11" hidden="1">{#N/A,#N/A,TRUE,"1842CWN0"}</definedName>
    <definedName name="_A1_1" localSheetId="14" hidden="1">{#N/A,#N/A,TRUE,"1842CWN0"}</definedName>
    <definedName name="_A1_1" localSheetId="16" hidden="1">{#N/A,#N/A,TRUE,"1842CWN0"}</definedName>
    <definedName name="_A1_1" localSheetId="18" hidden="1">{#N/A,#N/A,TRUE,"1842CWN0"}</definedName>
    <definedName name="_A1_1" hidden="1">{#N/A,#N/A,TRUE,"1842CWN0"}</definedName>
    <definedName name="_A1_2" localSheetId="15" hidden="1">{#N/A,#N/A,TRUE,"1842CWN0"}</definedName>
    <definedName name="_A1_2" localSheetId="17" hidden="1">{#N/A,#N/A,TRUE,"1842CWN0"}</definedName>
    <definedName name="_A1_2" localSheetId="19" hidden="1">{#N/A,#N/A,TRUE,"1842CWN0"}</definedName>
    <definedName name="_A1_2" localSheetId="11" hidden="1">{#N/A,#N/A,TRUE,"1842CWN0"}</definedName>
    <definedName name="_A1_2" localSheetId="14" hidden="1">{#N/A,#N/A,TRUE,"1842CWN0"}</definedName>
    <definedName name="_A1_2" localSheetId="16" hidden="1">{#N/A,#N/A,TRUE,"1842CWN0"}</definedName>
    <definedName name="_A1_2" localSheetId="18" hidden="1">{#N/A,#N/A,TRUE,"1842CWN0"}</definedName>
    <definedName name="_A1_2" hidden="1">{#N/A,#N/A,TRUE,"1842CWN0"}</definedName>
    <definedName name="_a3" localSheetId="15" hidden="1">{"TAB1",#N/A,TRUE,"GENERAL";"TAB2",#N/A,TRUE,"GENERAL";"TAB3",#N/A,TRUE,"GENERAL";"TAB4",#N/A,TRUE,"GENERAL";"TAB5",#N/A,TRUE,"GENERAL"}</definedName>
    <definedName name="_a3" localSheetId="17" hidden="1">{"TAB1",#N/A,TRUE,"GENERAL";"TAB2",#N/A,TRUE,"GENERAL";"TAB3",#N/A,TRUE,"GENERAL";"TAB4",#N/A,TRUE,"GENERAL";"TAB5",#N/A,TRUE,"GENERAL"}</definedName>
    <definedName name="_a3" localSheetId="19" hidden="1">{"TAB1",#N/A,TRUE,"GENERAL";"TAB2",#N/A,TRUE,"GENERAL";"TAB3",#N/A,TRUE,"GENERAL";"TAB4",#N/A,TRUE,"GENERAL";"TAB5",#N/A,TRUE,"GENERAL"}</definedName>
    <definedName name="_a3" localSheetId="12"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4" hidden="1">{"TAB1",#N/A,TRUE,"GENERAL";"TAB2",#N/A,TRUE,"GENERAL";"TAB3",#N/A,TRUE,"GENERAL";"TAB4",#N/A,TRUE,"GENERAL";"TAB5",#N/A,TRUE,"GENERAL"}</definedName>
    <definedName name="_a3" localSheetId="1" hidden="1">{"TAB1",#N/A,TRUE,"GENERAL";"TAB2",#N/A,TRUE,"GENERAL";"TAB3",#N/A,TRUE,"GENERAL";"TAB4",#N/A,TRUE,"GENERAL";"TAB5",#N/A,TRUE,"GENERAL"}</definedName>
    <definedName name="_a3" localSheetId="14" hidden="1">{"TAB1",#N/A,TRUE,"GENERAL";"TAB2",#N/A,TRUE,"GENERAL";"TAB3",#N/A,TRUE,"GENERAL";"TAB4",#N/A,TRUE,"GENERAL";"TAB5",#N/A,TRUE,"GENERAL"}</definedName>
    <definedName name="_a3" localSheetId="16" hidden="1">{"TAB1",#N/A,TRUE,"GENERAL";"TAB2",#N/A,TRUE,"GENERAL";"TAB3",#N/A,TRUE,"GENERAL";"TAB4",#N/A,TRUE,"GENERAL";"TAB5",#N/A,TRUE,"GENERAL"}</definedName>
    <definedName name="_a3" localSheetId="18" hidden="1">{"TAB1",#N/A,TRUE,"GENERAL";"TAB2",#N/A,TRUE,"GENERAL";"TAB3",#N/A,TRUE,"GENERAL";"TAB4",#N/A,TRUE,"GENERAL";"TAB5",#N/A,TRUE,"GENERAL"}</definedName>
    <definedName name="_a3" hidden="1">{"TAB1",#N/A,TRUE,"GENERAL";"TAB2",#N/A,TRUE,"GENERAL";"TAB3",#N/A,TRUE,"GENERAL";"TAB4",#N/A,TRUE,"GENERAL";"TAB5",#N/A,TRUE,"GENERAL"}</definedName>
    <definedName name="_a4" localSheetId="15" hidden="1">{"via1",#N/A,TRUE,"general";"via2",#N/A,TRUE,"general";"via3",#N/A,TRUE,"general"}</definedName>
    <definedName name="_a4" localSheetId="17" hidden="1">{"via1",#N/A,TRUE,"general";"via2",#N/A,TRUE,"general";"via3",#N/A,TRUE,"general"}</definedName>
    <definedName name="_a4" localSheetId="19" hidden="1">{"via1",#N/A,TRUE,"general";"via2",#N/A,TRUE,"general";"via3",#N/A,TRUE,"general"}</definedName>
    <definedName name="_a4" localSheetId="12"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4" hidden="1">{"via1",#N/A,TRUE,"general";"via2",#N/A,TRUE,"general";"via3",#N/A,TRUE,"general"}</definedName>
    <definedName name="_a4" localSheetId="1" hidden="1">{"via1",#N/A,TRUE,"general";"via2",#N/A,TRUE,"general";"via3",#N/A,TRUE,"general"}</definedName>
    <definedName name="_a4" localSheetId="14" hidden="1">{"via1",#N/A,TRUE,"general";"via2",#N/A,TRUE,"general";"via3",#N/A,TRUE,"general"}</definedName>
    <definedName name="_a4" localSheetId="16" hidden="1">{"via1",#N/A,TRUE,"general";"via2",#N/A,TRUE,"general";"via3",#N/A,TRUE,"general"}</definedName>
    <definedName name="_a4" localSheetId="18" hidden="1">{"via1",#N/A,TRUE,"general";"via2",#N/A,TRUE,"general";"via3",#N/A,TRUE,"general"}</definedName>
    <definedName name="_a4" hidden="1">{"via1",#N/A,TRUE,"general";"via2",#N/A,TRUE,"general";"via3",#N/A,TRUE,"general"}</definedName>
    <definedName name="_a5" localSheetId="15" hidden="1">{"TAB1",#N/A,TRUE,"GENERAL";"TAB2",#N/A,TRUE,"GENERAL";"TAB3",#N/A,TRUE,"GENERAL";"TAB4",#N/A,TRUE,"GENERAL";"TAB5",#N/A,TRUE,"GENERAL"}</definedName>
    <definedName name="_a5" localSheetId="17" hidden="1">{"TAB1",#N/A,TRUE,"GENERAL";"TAB2",#N/A,TRUE,"GENERAL";"TAB3",#N/A,TRUE,"GENERAL";"TAB4",#N/A,TRUE,"GENERAL";"TAB5",#N/A,TRUE,"GENERAL"}</definedName>
    <definedName name="_a5" localSheetId="19" hidden="1">{"TAB1",#N/A,TRUE,"GENERAL";"TAB2",#N/A,TRUE,"GENERAL";"TAB3",#N/A,TRUE,"GENERAL";"TAB4",#N/A,TRUE,"GENERAL";"TAB5",#N/A,TRUE,"GENERAL"}</definedName>
    <definedName name="_a5" localSheetId="12"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4" hidden="1">{"TAB1",#N/A,TRUE,"GENERAL";"TAB2",#N/A,TRUE,"GENERAL";"TAB3",#N/A,TRUE,"GENERAL";"TAB4",#N/A,TRUE,"GENERAL";"TAB5",#N/A,TRUE,"GENERAL"}</definedName>
    <definedName name="_a5" localSheetId="1" hidden="1">{"TAB1",#N/A,TRUE,"GENERAL";"TAB2",#N/A,TRUE,"GENERAL";"TAB3",#N/A,TRUE,"GENERAL";"TAB4",#N/A,TRUE,"GENERAL";"TAB5",#N/A,TRUE,"GENERAL"}</definedName>
    <definedName name="_a5" localSheetId="14" hidden="1">{"TAB1",#N/A,TRUE,"GENERAL";"TAB2",#N/A,TRUE,"GENERAL";"TAB3",#N/A,TRUE,"GENERAL";"TAB4",#N/A,TRUE,"GENERAL";"TAB5",#N/A,TRUE,"GENERAL"}</definedName>
    <definedName name="_a5" localSheetId="16" hidden="1">{"TAB1",#N/A,TRUE,"GENERAL";"TAB2",#N/A,TRUE,"GENERAL";"TAB3",#N/A,TRUE,"GENERAL";"TAB4",#N/A,TRUE,"GENERAL";"TAB5",#N/A,TRUE,"GENERAL"}</definedName>
    <definedName name="_a5" localSheetId="18" hidden="1">{"TAB1",#N/A,TRUE,"GENERAL";"TAB2",#N/A,TRUE,"GENERAL";"TAB3",#N/A,TRUE,"GENERAL";"TAB4",#N/A,TRUE,"GENERAL";"TAB5",#N/A,TRUE,"GENERAL"}</definedName>
    <definedName name="_a5" hidden="1">{"TAB1",#N/A,TRUE,"GENERAL";"TAB2",#N/A,TRUE,"GENERAL";"TAB3",#N/A,TRUE,"GENERAL";"TAB4",#N/A,TRUE,"GENERAL";"TAB5",#N/A,TRUE,"GENERAL"}</definedName>
    <definedName name="_a6" localSheetId="15" hidden="1">{"TAB1",#N/A,TRUE,"GENERAL";"TAB2",#N/A,TRUE,"GENERAL";"TAB3",#N/A,TRUE,"GENERAL";"TAB4",#N/A,TRUE,"GENERAL";"TAB5",#N/A,TRUE,"GENERAL"}</definedName>
    <definedName name="_a6" localSheetId="17" hidden="1">{"TAB1",#N/A,TRUE,"GENERAL";"TAB2",#N/A,TRUE,"GENERAL";"TAB3",#N/A,TRUE,"GENERAL";"TAB4",#N/A,TRUE,"GENERAL";"TAB5",#N/A,TRUE,"GENERAL"}</definedName>
    <definedName name="_a6" localSheetId="19" hidden="1">{"TAB1",#N/A,TRUE,"GENERAL";"TAB2",#N/A,TRUE,"GENERAL";"TAB3",#N/A,TRUE,"GENERAL";"TAB4",#N/A,TRUE,"GENERAL";"TAB5",#N/A,TRUE,"GENERAL"}</definedName>
    <definedName name="_a6" localSheetId="12"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4" hidden="1">{"TAB1",#N/A,TRUE,"GENERAL";"TAB2",#N/A,TRUE,"GENERAL";"TAB3",#N/A,TRUE,"GENERAL";"TAB4",#N/A,TRUE,"GENERAL";"TAB5",#N/A,TRUE,"GENERAL"}</definedName>
    <definedName name="_a6" localSheetId="1" hidden="1">{"TAB1",#N/A,TRUE,"GENERAL";"TAB2",#N/A,TRUE,"GENERAL";"TAB3",#N/A,TRUE,"GENERAL";"TAB4",#N/A,TRUE,"GENERAL";"TAB5",#N/A,TRUE,"GENERAL"}</definedName>
    <definedName name="_a6" localSheetId="14" hidden="1">{"TAB1",#N/A,TRUE,"GENERAL";"TAB2",#N/A,TRUE,"GENERAL";"TAB3",#N/A,TRUE,"GENERAL";"TAB4",#N/A,TRUE,"GENERAL";"TAB5",#N/A,TRUE,"GENERAL"}</definedName>
    <definedName name="_a6" localSheetId="16" hidden="1">{"TAB1",#N/A,TRUE,"GENERAL";"TAB2",#N/A,TRUE,"GENERAL";"TAB3",#N/A,TRUE,"GENERAL";"TAB4",#N/A,TRUE,"GENERAL";"TAB5",#N/A,TRUE,"GENERAL"}</definedName>
    <definedName name="_a6" localSheetId="18" hidden="1">{"TAB1",#N/A,TRUE,"GENERAL";"TAB2",#N/A,TRUE,"GENERAL";"TAB3",#N/A,TRUE,"GENERAL";"TAB4",#N/A,TRUE,"GENERAL";"TAB5",#N/A,TRUE,"GENERAL"}</definedName>
    <definedName name="_a6" hidden="1">{"TAB1",#N/A,TRUE,"GENERAL";"TAB2",#N/A,TRUE,"GENERAL";"TAB3",#N/A,TRUE,"GENERAL";"TAB4",#N/A,TRUE,"GENERAL";"TAB5",#N/A,TRUE,"GENERAL"}</definedName>
    <definedName name="_AAS1" localSheetId="13" hidden="1">{#N/A,#N/A,TRUE,"INGENIERIA";#N/A,#N/A,TRUE,"COMPRAS";#N/A,#N/A,TRUE,"DIRECCION";#N/A,#N/A,TRUE,"RESUMEN"}</definedName>
    <definedName name="_AAS1" localSheetId="15" hidden="1">{#N/A,#N/A,TRUE,"INGENIERIA";#N/A,#N/A,TRUE,"COMPRAS";#N/A,#N/A,TRUE,"DIRECCION";#N/A,#N/A,TRUE,"RESUMEN"}</definedName>
    <definedName name="_AAS1" localSheetId="17" hidden="1">{#N/A,#N/A,TRUE,"INGENIERIA";#N/A,#N/A,TRUE,"COMPRAS";#N/A,#N/A,TRUE,"DIRECCION";#N/A,#N/A,TRUE,"RESUMEN"}</definedName>
    <definedName name="_AAS1" localSheetId="19" hidden="1">{#N/A,#N/A,TRUE,"INGENIERIA";#N/A,#N/A,TRUE,"COMPRAS";#N/A,#N/A,TRUE,"DIRECCION";#N/A,#N/A,TRUE,"RESUMEN"}</definedName>
    <definedName name="_AAS1" localSheetId="12"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7" hidden="1">{#N/A,#N/A,TRUE,"INGENIERIA";#N/A,#N/A,TRUE,"COMPRAS";#N/A,#N/A,TRUE,"DIRECCION";#N/A,#N/A,TRUE,"RESUMEN"}</definedName>
    <definedName name="_AAS1" localSheetId="10" hidden="1">{#N/A,#N/A,TRUE,"INGENIERIA";#N/A,#N/A,TRUE,"COMPRAS";#N/A,#N/A,TRUE,"DIRECCION";#N/A,#N/A,TRUE,"RESUMEN"}</definedName>
    <definedName name="_AAS1" localSheetId="0" hidden="1">{#N/A,#N/A,TRUE,"INGENIERIA";#N/A,#N/A,TRUE,"COMPRAS";#N/A,#N/A,TRUE,"DIRECCION";#N/A,#N/A,TRUE,"RESUMEN"}</definedName>
    <definedName name="_AAS1" localSheetId="11" hidden="1">{#N/A,#N/A,TRUE,"INGENIERIA";#N/A,#N/A,TRUE,"COMPRAS";#N/A,#N/A,TRUE,"DIRECCION";#N/A,#N/A,TRUE,"RESUMEN"}</definedName>
    <definedName name="_AAS1" localSheetId="6" hidden="1">{#N/A,#N/A,TRUE,"INGENIERIA";#N/A,#N/A,TRUE,"COMPRAS";#N/A,#N/A,TRUE,"DIRECCION";#N/A,#N/A,TRUE,"RESUMEN"}</definedName>
    <definedName name="_AAS1" localSheetId="4" hidden="1">{#N/A,#N/A,TRUE,"INGENIERIA";#N/A,#N/A,TRUE,"COMPRAS";#N/A,#N/A,TRUE,"DIRECCION";#N/A,#N/A,TRUE,"RESUMEN"}</definedName>
    <definedName name="_AAS1" localSheetId="1" hidden="1">{#N/A,#N/A,TRUE,"INGENIERIA";#N/A,#N/A,TRUE,"COMPRAS";#N/A,#N/A,TRUE,"DIRECCION";#N/A,#N/A,TRUE,"RESUMEN"}</definedName>
    <definedName name="_AAS1" localSheetId="14" hidden="1">{#N/A,#N/A,TRUE,"INGENIERIA";#N/A,#N/A,TRUE,"COMPRAS";#N/A,#N/A,TRUE,"DIRECCION";#N/A,#N/A,TRUE,"RESUMEN"}</definedName>
    <definedName name="_AAS1" localSheetId="16" hidden="1">{#N/A,#N/A,TRUE,"INGENIERIA";#N/A,#N/A,TRUE,"COMPRAS";#N/A,#N/A,TRUE,"DIRECCION";#N/A,#N/A,TRUE,"RESUMEN"}</definedName>
    <definedName name="_AAS1" localSheetId="18"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AS1_1" localSheetId="15" hidden="1">{#N/A,#N/A,TRUE,"INGENIERIA";#N/A,#N/A,TRUE,"COMPRAS";#N/A,#N/A,TRUE,"DIRECCION";#N/A,#N/A,TRUE,"RESUMEN"}</definedName>
    <definedName name="_AAS1_1" localSheetId="17" hidden="1">{#N/A,#N/A,TRUE,"INGENIERIA";#N/A,#N/A,TRUE,"COMPRAS";#N/A,#N/A,TRUE,"DIRECCION";#N/A,#N/A,TRUE,"RESUMEN"}</definedName>
    <definedName name="_AAS1_1" localSheetId="19" hidden="1">{#N/A,#N/A,TRUE,"INGENIERIA";#N/A,#N/A,TRUE,"COMPRAS";#N/A,#N/A,TRUE,"DIRECCION";#N/A,#N/A,TRUE,"RESUMEN"}</definedName>
    <definedName name="_AAS1_1" localSheetId="11" hidden="1">{#N/A,#N/A,TRUE,"INGENIERIA";#N/A,#N/A,TRUE,"COMPRAS";#N/A,#N/A,TRUE,"DIRECCION";#N/A,#N/A,TRUE,"RESUMEN"}</definedName>
    <definedName name="_AAS1_1" localSheetId="14" hidden="1">{#N/A,#N/A,TRUE,"INGENIERIA";#N/A,#N/A,TRUE,"COMPRAS";#N/A,#N/A,TRUE,"DIRECCION";#N/A,#N/A,TRUE,"RESUMEN"}</definedName>
    <definedName name="_AAS1_1" localSheetId="16" hidden="1">{#N/A,#N/A,TRUE,"INGENIERIA";#N/A,#N/A,TRUE,"COMPRAS";#N/A,#N/A,TRUE,"DIRECCION";#N/A,#N/A,TRUE,"RESUMEN"}</definedName>
    <definedName name="_AAS1_1" localSheetId="18" hidden="1">{#N/A,#N/A,TRUE,"INGENIERIA";#N/A,#N/A,TRUE,"COMPRAS";#N/A,#N/A,TRUE,"DIRECCION";#N/A,#N/A,TRUE,"RESUMEN"}</definedName>
    <definedName name="_AAS1_1" hidden="1">{#N/A,#N/A,TRUE,"INGENIERIA";#N/A,#N/A,TRUE,"COMPRAS";#N/A,#N/A,TRUE,"DIRECCION";#N/A,#N/A,TRUE,"RESUMEN"}</definedName>
    <definedName name="_AAS1_2" localSheetId="15" hidden="1">{#N/A,#N/A,TRUE,"INGENIERIA";#N/A,#N/A,TRUE,"COMPRAS";#N/A,#N/A,TRUE,"DIRECCION";#N/A,#N/A,TRUE,"RESUMEN"}</definedName>
    <definedName name="_AAS1_2" localSheetId="17" hidden="1">{#N/A,#N/A,TRUE,"INGENIERIA";#N/A,#N/A,TRUE,"COMPRAS";#N/A,#N/A,TRUE,"DIRECCION";#N/A,#N/A,TRUE,"RESUMEN"}</definedName>
    <definedName name="_AAS1_2" localSheetId="19" hidden="1">{#N/A,#N/A,TRUE,"INGENIERIA";#N/A,#N/A,TRUE,"COMPRAS";#N/A,#N/A,TRUE,"DIRECCION";#N/A,#N/A,TRUE,"RESUMEN"}</definedName>
    <definedName name="_AAS1_2" localSheetId="11" hidden="1">{#N/A,#N/A,TRUE,"INGENIERIA";#N/A,#N/A,TRUE,"COMPRAS";#N/A,#N/A,TRUE,"DIRECCION";#N/A,#N/A,TRUE,"RESUMEN"}</definedName>
    <definedName name="_AAS1_2" localSheetId="14" hidden="1">{#N/A,#N/A,TRUE,"INGENIERIA";#N/A,#N/A,TRUE,"COMPRAS";#N/A,#N/A,TRUE,"DIRECCION";#N/A,#N/A,TRUE,"RESUMEN"}</definedName>
    <definedName name="_AAS1_2" localSheetId="16" hidden="1">{#N/A,#N/A,TRUE,"INGENIERIA";#N/A,#N/A,TRUE,"COMPRAS";#N/A,#N/A,TRUE,"DIRECCION";#N/A,#N/A,TRUE,"RESUMEN"}</definedName>
    <definedName name="_AAS1_2" localSheetId="18" hidden="1">{#N/A,#N/A,TRUE,"INGENIERIA";#N/A,#N/A,TRUE,"COMPRAS";#N/A,#N/A,TRUE,"DIRECCION";#N/A,#N/A,TRUE,"RESUMEN"}</definedName>
    <definedName name="_AAS1_2" hidden="1">{#N/A,#N/A,TRUE,"INGENIERIA";#N/A,#N/A,TRUE,"COMPRAS";#N/A,#N/A,TRUE,"DIRECCION";#N/A,#N/A,TRUE,"RESUMEN"}</definedName>
    <definedName name="_ABC1" localSheetId="13" hidden="1">{#N/A,#N/A,TRUE,"1842CWN0"}</definedName>
    <definedName name="_ABC1" localSheetId="15" hidden="1">{#N/A,#N/A,TRUE,"1842CWN0"}</definedName>
    <definedName name="_ABC1" localSheetId="17" hidden="1">{#N/A,#N/A,TRUE,"1842CWN0"}</definedName>
    <definedName name="_ABC1" localSheetId="19" hidden="1">{#N/A,#N/A,TRUE,"1842CWN0"}</definedName>
    <definedName name="_ABC1" localSheetId="12" hidden="1">{#N/A,#N/A,TRUE,"1842CWN0"}</definedName>
    <definedName name="_ABC1" localSheetId="8" hidden="1">{#N/A,#N/A,TRUE,"1842CWN0"}</definedName>
    <definedName name="_ABC1" localSheetId="9" hidden="1">{#N/A,#N/A,TRUE,"1842CWN0"}</definedName>
    <definedName name="_ABC1" localSheetId="7" hidden="1">{#N/A,#N/A,TRUE,"1842CWN0"}</definedName>
    <definedName name="_ABC1" localSheetId="10" hidden="1">{#N/A,#N/A,TRUE,"1842CWN0"}</definedName>
    <definedName name="_ABC1" localSheetId="0" hidden="1">{#N/A,#N/A,TRUE,"1842CWN0"}</definedName>
    <definedName name="_ABC1" localSheetId="11" hidden="1">{#N/A,#N/A,TRUE,"1842CWN0"}</definedName>
    <definedName name="_ABC1" localSheetId="6" hidden="1">{#N/A,#N/A,TRUE,"1842CWN0"}</definedName>
    <definedName name="_ABC1" localSheetId="4" hidden="1">{#N/A,#N/A,TRUE,"1842CWN0"}</definedName>
    <definedName name="_ABC1" localSheetId="1" hidden="1">{#N/A,#N/A,TRUE,"1842CWN0"}</definedName>
    <definedName name="_ABC1" localSheetId="14" hidden="1">{#N/A,#N/A,TRUE,"1842CWN0"}</definedName>
    <definedName name="_ABC1" localSheetId="16" hidden="1">{#N/A,#N/A,TRUE,"1842CWN0"}</definedName>
    <definedName name="_ABC1" localSheetId="18" hidden="1">{#N/A,#N/A,TRUE,"1842CWN0"}</definedName>
    <definedName name="_ABC1" localSheetId="5" hidden="1">{#N/A,#N/A,TRUE,"1842CWN0"}</definedName>
    <definedName name="_ABC1" hidden="1">{#N/A,#N/A,TRUE,"1842CWN0"}</definedName>
    <definedName name="_ABC1_1" localSheetId="15" hidden="1">{#N/A,#N/A,TRUE,"1842CWN0"}</definedName>
    <definedName name="_ABC1_1" localSheetId="17" hidden="1">{#N/A,#N/A,TRUE,"1842CWN0"}</definedName>
    <definedName name="_ABC1_1" localSheetId="19" hidden="1">{#N/A,#N/A,TRUE,"1842CWN0"}</definedName>
    <definedName name="_ABC1_1" localSheetId="11" hidden="1">{#N/A,#N/A,TRUE,"1842CWN0"}</definedName>
    <definedName name="_ABC1_1" localSheetId="14" hidden="1">{#N/A,#N/A,TRUE,"1842CWN0"}</definedName>
    <definedName name="_ABC1_1" localSheetId="16" hidden="1">{#N/A,#N/A,TRUE,"1842CWN0"}</definedName>
    <definedName name="_ABC1_1" localSheetId="18" hidden="1">{#N/A,#N/A,TRUE,"1842CWN0"}</definedName>
    <definedName name="_ABC1_1" hidden="1">{#N/A,#N/A,TRUE,"1842CWN0"}</definedName>
    <definedName name="_ABC1_2" localSheetId="15" hidden="1">{#N/A,#N/A,TRUE,"1842CWN0"}</definedName>
    <definedName name="_ABC1_2" localSheetId="17" hidden="1">{#N/A,#N/A,TRUE,"1842CWN0"}</definedName>
    <definedName name="_ABC1_2" localSheetId="19" hidden="1">{#N/A,#N/A,TRUE,"1842CWN0"}</definedName>
    <definedName name="_ABC1_2" localSheetId="11" hidden="1">{#N/A,#N/A,TRUE,"1842CWN0"}</definedName>
    <definedName name="_ABC1_2" localSheetId="14" hidden="1">{#N/A,#N/A,TRUE,"1842CWN0"}</definedName>
    <definedName name="_ABC1_2" localSheetId="16" hidden="1">{#N/A,#N/A,TRUE,"1842CWN0"}</definedName>
    <definedName name="_ABC1_2" localSheetId="18" hidden="1">{#N/A,#N/A,TRUE,"1842CWN0"}</definedName>
    <definedName name="_ABC1_2" hidden="1">{#N/A,#N/A,TRUE,"1842CWN0"}</definedName>
    <definedName name="_abc2" localSheetId="13" hidden="1">{#N/A,#N/A,TRUE,"1842CWN0"}</definedName>
    <definedName name="_abc2" localSheetId="15" hidden="1">{#N/A,#N/A,TRUE,"1842CWN0"}</definedName>
    <definedName name="_abc2" localSheetId="17" hidden="1">{#N/A,#N/A,TRUE,"1842CWN0"}</definedName>
    <definedName name="_abc2" localSheetId="19" hidden="1">{#N/A,#N/A,TRUE,"1842CWN0"}</definedName>
    <definedName name="_abc2" localSheetId="12" hidden="1">{#N/A,#N/A,TRUE,"1842CWN0"}</definedName>
    <definedName name="_abc2" localSheetId="8" hidden="1">{#N/A,#N/A,TRUE,"1842CWN0"}</definedName>
    <definedName name="_abc2" localSheetId="9" hidden="1">{#N/A,#N/A,TRUE,"1842CWN0"}</definedName>
    <definedName name="_abc2" localSheetId="7" hidden="1">{#N/A,#N/A,TRUE,"1842CWN0"}</definedName>
    <definedName name="_abc2" localSheetId="10" hidden="1">{#N/A,#N/A,TRUE,"1842CWN0"}</definedName>
    <definedName name="_abc2" localSheetId="0" hidden="1">{#N/A,#N/A,TRUE,"1842CWN0"}</definedName>
    <definedName name="_abc2" localSheetId="11" hidden="1">{#N/A,#N/A,TRUE,"1842CWN0"}</definedName>
    <definedName name="_abc2" localSheetId="6" hidden="1">{#N/A,#N/A,TRUE,"1842CWN0"}</definedName>
    <definedName name="_abc2" localSheetId="4" hidden="1">{#N/A,#N/A,TRUE,"1842CWN0"}</definedName>
    <definedName name="_abc2" localSheetId="1" hidden="1">{#N/A,#N/A,TRUE,"1842CWN0"}</definedName>
    <definedName name="_abc2" localSheetId="14" hidden="1">{#N/A,#N/A,TRUE,"1842CWN0"}</definedName>
    <definedName name="_abc2" localSheetId="16" hidden="1">{#N/A,#N/A,TRUE,"1842CWN0"}</definedName>
    <definedName name="_abc2" localSheetId="18" hidden="1">{#N/A,#N/A,TRUE,"1842CWN0"}</definedName>
    <definedName name="_abc2" localSheetId="5" hidden="1">{#N/A,#N/A,TRUE,"1842CWN0"}</definedName>
    <definedName name="_abc2" hidden="1">{#N/A,#N/A,TRUE,"1842CWN0"}</definedName>
    <definedName name="_abc2_1" localSheetId="15" hidden="1">{#N/A,#N/A,TRUE,"1842CWN0"}</definedName>
    <definedName name="_abc2_1" localSheetId="17" hidden="1">{#N/A,#N/A,TRUE,"1842CWN0"}</definedName>
    <definedName name="_abc2_1" localSheetId="19" hidden="1">{#N/A,#N/A,TRUE,"1842CWN0"}</definedName>
    <definedName name="_abc2_1" localSheetId="11" hidden="1">{#N/A,#N/A,TRUE,"1842CWN0"}</definedName>
    <definedName name="_abc2_1" localSheetId="14" hidden="1">{#N/A,#N/A,TRUE,"1842CWN0"}</definedName>
    <definedName name="_abc2_1" localSheetId="16" hidden="1">{#N/A,#N/A,TRUE,"1842CWN0"}</definedName>
    <definedName name="_abc2_1" localSheetId="18" hidden="1">{#N/A,#N/A,TRUE,"1842CWN0"}</definedName>
    <definedName name="_abc2_1" hidden="1">{#N/A,#N/A,TRUE,"1842CWN0"}</definedName>
    <definedName name="_abc2_2" localSheetId="15" hidden="1">{#N/A,#N/A,TRUE,"1842CWN0"}</definedName>
    <definedName name="_abc2_2" localSheetId="17" hidden="1">{#N/A,#N/A,TRUE,"1842CWN0"}</definedName>
    <definedName name="_abc2_2" localSheetId="19" hidden="1">{#N/A,#N/A,TRUE,"1842CWN0"}</definedName>
    <definedName name="_abc2_2" localSheetId="11" hidden="1">{#N/A,#N/A,TRUE,"1842CWN0"}</definedName>
    <definedName name="_abc2_2" localSheetId="14" hidden="1">{#N/A,#N/A,TRUE,"1842CWN0"}</definedName>
    <definedName name="_abc2_2" localSheetId="16" hidden="1">{#N/A,#N/A,TRUE,"1842CWN0"}</definedName>
    <definedName name="_abc2_2" localSheetId="18"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5" hidden="1">{"TAB1",#N/A,TRUE,"GENERAL";"TAB2",#N/A,TRUE,"GENERAL";"TAB3",#N/A,TRUE,"GENERAL";"TAB4",#N/A,TRUE,"GENERAL";"TAB5",#N/A,TRUE,"GENERAL"}</definedName>
    <definedName name="_b2" localSheetId="17" hidden="1">{"TAB1",#N/A,TRUE,"GENERAL";"TAB2",#N/A,TRUE,"GENERAL";"TAB3",#N/A,TRUE,"GENERAL";"TAB4",#N/A,TRUE,"GENERAL";"TAB5",#N/A,TRUE,"GENERAL"}</definedName>
    <definedName name="_b2" localSheetId="19" hidden="1">{"TAB1",#N/A,TRUE,"GENERAL";"TAB2",#N/A,TRUE,"GENERAL";"TAB3",#N/A,TRUE,"GENERAL";"TAB4",#N/A,TRUE,"GENERAL";"TAB5",#N/A,TRUE,"GENERAL"}</definedName>
    <definedName name="_b2" localSheetId="12"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4" hidden="1">{"TAB1",#N/A,TRUE,"GENERAL";"TAB2",#N/A,TRUE,"GENERAL";"TAB3",#N/A,TRUE,"GENERAL";"TAB4",#N/A,TRUE,"GENERAL";"TAB5",#N/A,TRUE,"GENERAL"}</definedName>
    <definedName name="_b2" localSheetId="1" hidden="1">{"TAB1",#N/A,TRUE,"GENERAL";"TAB2",#N/A,TRUE,"GENERAL";"TAB3",#N/A,TRUE,"GENERAL";"TAB4",#N/A,TRUE,"GENERAL";"TAB5",#N/A,TRUE,"GENERAL"}</definedName>
    <definedName name="_b2" localSheetId="14" hidden="1">{"TAB1",#N/A,TRUE,"GENERAL";"TAB2",#N/A,TRUE,"GENERAL";"TAB3",#N/A,TRUE,"GENERAL";"TAB4",#N/A,TRUE,"GENERAL";"TAB5",#N/A,TRUE,"GENERAL"}</definedName>
    <definedName name="_b2" localSheetId="16" hidden="1">{"TAB1",#N/A,TRUE,"GENERAL";"TAB2",#N/A,TRUE,"GENERAL";"TAB3",#N/A,TRUE,"GENERAL";"TAB4",#N/A,TRUE,"GENERAL";"TAB5",#N/A,TRUE,"GENERAL"}</definedName>
    <definedName name="_b2" localSheetId="18" hidden="1">{"TAB1",#N/A,TRUE,"GENERAL";"TAB2",#N/A,TRUE,"GENERAL";"TAB3",#N/A,TRUE,"GENERAL";"TAB4",#N/A,TRUE,"GENERAL";"TAB5",#N/A,TRUE,"GENERAL"}</definedName>
    <definedName name="_b2" hidden="1">{"TAB1",#N/A,TRUE,"GENERAL";"TAB2",#N/A,TRUE,"GENERAL";"TAB3",#N/A,TRUE,"GENERAL";"TAB4",#N/A,TRUE,"GENERAL";"TAB5",#N/A,TRUE,"GENERAL"}</definedName>
    <definedName name="_b3" localSheetId="15" hidden="1">{"TAB1",#N/A,TRUE,"GENERAL";"TAB2",#N/A,TRUE,"GENERAL";"TAB3",#N/A,TRUE,"GENERAL";"TAB4",#N/A,TRUE,"GENERAL";"TAB5",#N/A,TRUE,"GENERAL"}</definedName>
    <definedName name="_b3" localSheetId="17" hidden="1">{"TAB1",#N/A,TRUE,"GENERAL";"TAB2",#N/A,TRUE,"GENERAL";"TAB3",#N/A,TRUE,"GENERAL";"TAB4",#N/A,TRUE,"GENERAL";"TAB5",#N/A,TRUE,"GENERAL"}</definedName>
    <definedName name="_b3" localSheetId="19" hidden="1">{"TAB1",#N/A,TRUE,"GENERAL";"TAB2",#N/A,TRUE,"GENERAL";"TAB3",#N/A,TRUE,"GENERAL";"TAB4",#N/A,TRUE,"GENERAL";"TAB5",#N/A,TRUE,"GENERAL"}</definedName>
    <definedName name="_b3" localSheetId="12"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4" hidden="1">{"TAB1",#N/A,TRUE,"GENERAL";"TAB2",#N/A,TRUE,"GENERAL";"TAB3",#N/A,TRUE,"GENERAL";"TAB4",#N/A,TRUE,"GENERAL";"TAB5",#N/A,TRUE,"GENERAL"}</definedName>
    <definedName name="_b3" localSheetId="1" hidden="1">{"TAB1",#N/A,TRUE,"GENERAL";"TAB2",#N/A,TRUE,"GENERAL";"TAB3",#N/A,TRUE,"GENERAL";"TAB4",#N/A,TRUE,"GENERAL";"TAB5",#N/A,TRUE,"GENERAL"}</definedName>
    <definedName name="_b3" localSheetId="14" hidden="1">{"TAB1",#N/A,TRUE,"GENERAL";"TAB2",#N/A,TRUE,"GENERAL";"TAB3",#N/A,TRUE,"GENERAL";"TAB4",#N/A,TRUE,"GENERAL";"TAB5",#N/A,TRUE,"GENERAL"}</definedName>
    <definedName name="_b3" localSheetId="16" hidden="1">{"TAB1",#N/A,TRUE,"GENERAL";"TAB2",#N/A,TRUE,"GENERAL";"TAB3",#N/A,TRUE,"GENERAL";"TAB4",#N/A,TRUE,"GENERAL";"TAB5",#N/A,TRUE,"GENERAL"}</definedName>
    <definedName name="_b3" localSheetId="18" hidden="1">{"TAB1",#N/A,TRUE,"GENERAL";"TAB2",#N/A,TRUE,"GENERAL";"TAB3",#N/A,TRUE,"GENERAL";"TAB4",#N/A,TRUE,"GENERAL";"TAB5",#N/A,TRUE,"GENERAL"}</definedName>
    <definedName name="_b3" hidden="1">{"TAB1",#N/A,TRUE,"GENERAL";"TAB2",#N/A,TRUE,"GENERAL";"TAB3",#N/A,TRUE,"GENERAL";"TAB4",#N/A,TRUE,"GENERAL";"TAB5",#N/A,TRUE,"GENERAL"}</definedName>
    <definedName name="_b4" localSheetId="15" hidden="1">{"TAB1",#N/A,TRUE,"GENERAL";"TAB2",#N/A,TRUE,"GENERAL";"TAB3",#N/A,TRUE,"GENERAL";"TAB4",#N/A,TRUE,"GENERAL";"TAB5",#N/A,TRUE,"GENERAL"}</definedName>
    <definedName name="_b4" localSheetId="17" hidden="1">{"TAB1",#N/A,TRUE,"GENERAL";"TAB2",#N/A,TRUE,"GENERAL";"TAB3",#N/A,TRUE,"GENERAL";"TAB4",#N/A,TRUE,"GENERAL";"TAB5",#N/A,TRUE,"GENERAL"}</definedName>
    <definedName name="_b4" localSheetId="19" hidden="1">{"TAB1",#N/A,TRUE,"GENERAL";"TAB2",#N/A,TRUE,"GENERAL";"TAB3",#N/A,TRUE,"GENERAL";"TAB4",#N/A,TRUE,"GENERAL";"TAB5",#N/A,TRUE,"GENERAL"}</definedName>
    <definedName name="_b4" localSheetId="12"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4" hidden="1">{"TAB1",#N/A,TRUE,"GENERAL";"TAB2",#N/A,TRUE,"GENERAL";"TAB3",#N/A,TRUE,"GENERAL";"TAB4",#N/A,TRUE,"GENERAL";"TAB5",#N/A,TRUE,"GENERAL"}</definedName>
    <definedName name="_b4" localSheetId="1" hidden="1">{"TAB1",#N/A,TRUE,"GENERAL";"TAB2",#N/A,TRUE,"GENERAL";"TAB3",#N/A,TRUE,"GENERAL";"TAB4",#N/A,TRUE,"GENERAL";"TAB5",#N/A,TRUE,"GENERAL"}</definedName>
    <definedName name="_b4" localSheetId="14" hidden="1">{"TAB1",#N/A,TRUE,"GENERAL";"TAB2",#N/A,TRUE,"GENERAL";"TAB3",#N/A,TRUE,"GENERAL";"TAB4",#N/A,TRUE,"GENERAL";"TAB5",#N/A,TRUE,"GENERAL"}</definedName>
    <definedName name="_b4" localSheetId="16" hidden="1">{"TAB1",#N/A,TRUE,"GENERAL";"TAB2",#N/A,TRUE,"GENERAL";"TAB3",#N/A,TRUE,"GENERAL";"TAB4",#N/A,TRUE,"GENERAL";"TAB5",#N/A,TRUE,"GENERAL"}</definedName>
    <definedName name="_b4" localSheetId="18" hidden="1">{"TAB1",#N/A,TRUE,"GENERAL";"TAB2",#N/A,TRUE,"GENERAL";"TAB3",#N/A,TRUE,"GENERAL";"TAB4",#N/A,TRUE,"GENERAL";"TAB5",#N/A,TRUE,"GENERAL"}</definedName>
    <definedName name="_b4" hidden="1">{"TAB1",#N/A,TRUE,"GENERAL";"TAB2",#N/A,TRUE,"GENERAL";"TAB3",#N/A,TRUE,"GENERAL";"TAB4",#N/A,TRUE,"GENERAL";"TAB5",#N/A,TRUE,"GENERAL"}</definedName>
    <definedName name="_b5" localSheetId="15" hidden="1">{"TAB1",#N/A,TRUE,"GENERAL";"TAB2",#N/A,TRUE,"GENERAL";"TAB3",#N/A,TRUE,"GENERAL";"TAB4",#N/A,TRUE,"GENERAL";"TAB5",#N/A,TRUE,"GENERAL"}</definedName>
    <definedName name="_b5" localSheetId="17" hidden="1">{"TAB1",#N/A,TRUE,"GENERAL";"TAB2",#N/A,TRUE,"GENERAL";"TAB3",#N/A,TRUE,"GENERAL";"TAB4",#N/A,TRUE,"GENERAL";"TAB5",#N/A,TRUE,"GENERAL"}</definedName>
    <definedName name="_b5" localSheetId="19" hidden="1">{"TAB1",#N/A,TRUE,"GENERAL";"TAB2",#N/A,TRUE,"GENERAL";"TAB3",#N/A,TRUE,"GENERAL";"TAB4",#N/A,TRUE,"GENERAL";"TAB5",#N/A,TRUE,"GENERAL"}</definedName>
    <definedName name="_b5" localSheetId="12"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4" hidden="1">{"TAB1",#N/A,TRUE,"GENERAL";"TAB2",#N/A,TRUE,"GENERAL";"TAB3",#N/A,TRUE,"GENERAL";"TAB4",#N/A,TRUE,"GENERAL";"TAB5",#N/A,TRUE,"GENERAL"}</definedName>
    <definedName name="_b5" localSheetId="1" hidden="1">{"TAB1",#N/A,TRUE,"GENERAL";"TAB2",#N/A,TRUE,"GENERAL";"TAB3",#N/A,TRUE,"GENERAL";"TAB4",#N/A,TRUE,"GENERAL";"TAB5",#N/A,TRUE,"GENERAL"}</definedName>
    <definedName name="_b5" localSheetId="14" hidden="1">{"TAB1",#N/A,TRUE,"GENERAL";"TAB2",#N/A,TRUE,"GENERAL";"TAB3",#N/A,TRUE,"GENERAL";"TAB4",#N/A,TRUE,"GENERAL";"TAB5",#N/A,TRUE,"GENERAL"}</definedName>
    <definedName name="_b5" localSheetId="16" hidden="1">{"TAB1",#N/A,TRUE,"GENERAL";"TAB2",#N/A,TRUE,"GENERAL";"TAB3",#N/A,TRUE,"GENERAL";"TAB4",#N/A,TRUE,"GENERAL";"TAB5",#N/A,TRUE,"GENERAL"}</definedName>
    <definedName name="_b5" localSheetId="18" hidden="1">{"TAB1",#N/A,TRUE,"GENERAL";"TAB2",#N/A,TRUE,"GENERAL";"TAB3",#N/A,TRUE,"GENERAL";"TAB4",#N/A,TRUE,"GENERAL";"TAB5",#N/A,TRUE,"GENERAL"}</definedName>
    <definedName name="_b5" hidden="1">{"TAB1",#N/A,TRUE,"GENERAL";"TAB2",#N/A,TRUE,"GENERAL";"TAB3",#N/A,TRUE,"GENERAL";"TAB4",#N/A,TRUE,"GENERAL";"TAB5",#N/A,TRUE,"GENERAL"}</definedName>
    <definedName name="_b6" localSheetId="15" hidden="1">{"TAB1",#N/A,TRUE,"GENERAL";"TAB2",#N/A,TRUE,"GENERAL";"TAB3",#N/A,TRUE,"GENERAL";"TAB4",#N/A,TRUE,"GENERAL";"TAB5",#N/A,TRUE,"GENERAL"}</definedName>
    <definedName name="_b6" localSheetId="17" hidden="1">{"TAB1",#N/A,TRUE,"GENERAL";"TAB2",#N/A,TRUE,"GENERAL";"TAB3",#N/A,TRUE,"GENERAL";"TAB4",#N/A,TRUE,"GENERAL";"TAB5",#N/A,TRUE,"GENERAL"}</definedName>
    <definedName name="_b6" localSheetId="19" hidden="1">{"TAB1",#N/A,TRUE,"GENERAL";"TAB2",#N/A,TRUE,"GENERAL";"TAB3",#N/A,TRUE,"GENERAL";"TAB4",#N/A,TRUE,"GENERAL";"TAB5",#N/A,TRUE,"GENERAL"}</definedName>
    <definedName name="_b6" localSheetId="12"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4" hidden="1">{"TAB1",#N/A,TRUE,"GENERAL";"TAB2",#N/A,TRUE,"GENERAL";"TAB3",#N/A,TRUE,"GENERAL";"TAB4",#N/A,TRUE,"GENERAL";"TAB5",#N/A,TRUE,"GENERAL"}</definedName>
    <definedName name="_b6" localSheetId="1" hidden="1">{"TAB1",#N/A,TRUE,"GENERAL";"TAB2",#N/A,TRUE,"GENERAL";"TAB3",#N/A,TRUE,"GENERAL";"TAB4",#N/A,TRUE,"GENERAL";"TAB5",#N/A,TRUE,"GENERAL"}</definedName>
    <definedName name="_b6" localSheetId="14" hidden="1">{"TAB1",#N/A,TRUE,"GENERAL";"TAB2",#N/A,TRUE,"GENERAL";"TAB3",#N/A,TRUE,"GENERAL";"TAB4",#N/A,TRUE,"GENERAL";"TAB5",#N/A,TRUE,"GENERAL"}</definedName>
    <definedName name="_b6" localSheetId="16" hidden="1">{"TAB1",#N/A,TRUE,"GENERAL";"TAB2",#N/A,TRUE,"GENERAL";"TAB3",#N/A,TRUE,"GENERAL";"TAB4",#N/A,TRUE,"GENERAL";"TAB5",#N/A,TRUE,"GENERAL"}</definedName>
    <definedName name="_b6" localSheetId="18" hidden="1">{"TAB1",#N/A,TRUE,"GENERAL";"TAB2",#N/A,TRUE,"GENERAL";"TAB3",#N/A,TRUE,"GENERAL";"TAB4",#N/A,TRUE,"GENERAL";"TAB5",#N/A,TRUE,"GENERAL"}</definedName>
    <definedName name="_b6" hidden="1">{"TAB1",#N/A,TRUE,"GENERAL";"TAB2",#N/A,TRUE,"GENERAL";"TAB3",#N/A,TRUE,"GENERAL";"TAB4",#N/A,TRUE,"GENERAL";"TAB5",#N/A,TRUE,"GENERAL"}</definedName>
    <definedName name="_b7" localSheetId="15" hidden="1">{"via1",#N/A,TRUE,"general";"via2",#N/A,TRUE,"general";"via3",#N/A,TRUE,"general"}</definedName>
    <definedName name="_b7" localSheetId="17" hidden="1">{"via1",#N/A,TRUE,"general";"via2",#N/A,TRUE,"general";"via3",#N/A,TRUE,"general"}</definedName>
    <definedName name="_b7" localSheetId="19" hidden="1">{"via1",#N/A,TRUE,"general";"via2",#N/A,TRUE,"general";"via3",#N/A,TRUE,"general"}</definedName>
    <definedName name="_b7" localSheetId="12"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4" hidden="1">{"via1",#N/A,TRUE,"general";"via2",#N/A,TRUE,"general";"via3",#N/A,TRUE,"general"}</definedName>
    <definedName name="_b7" localSheetId="1" hidden="1">{"via1",#N/A,TRUE,"general";"via2",#N/A,TRUE,"general";"via3",#N/A,TRUE,"general"}</definedName>
    <definedName name="_b7" localSheetId="14" hidden="1">{"via1",#N/A,TRUE,"general";"via2",#N/A,TRUE,"general";"via3",#N/A,TRUE,"general"}</definedName>
    <definedName name="_b7" localSheetId="16" hidden="1">{"via1",#N/A,TRUE,"general";"via2",#N/A,TRUE,"general";"via3",#N/A,TRUE,"general"}</definedName>
    <definedName name="_b7" localSheetId="18" hidden="1">{"via1",#N/A,TRUE,"general";"via2",#N/A,TRUE,"general";"via3",#N/A,TRUE,"general"}</definedName>
    <definedName name="_b7" hidden="1">{"via1",#N/A,TRUE,"general";"via2",#N/A,TRUE,"general";"via3",#N/A,TRUE,"general"}</definedName>
    <definedName name="_b8" localSheetId="15" hidden="1">{"via1",#N/A,TRUE,"general";"via2",#N/A,TRUE,"general";"via3",#N/A,TRUE,"general"}</definedName>
    <definedName name="_b8" localSheetId="17" hidden="1">{"via1",#N/A,TRUE,"general";"via2",#N/A,TRUE,"general";"via3",#N/A,TRUE,"general"}</definedName>
    <definedName name="_b8" localSheetId="19" hidden="1">{"via1",#N/A,TRUE,"general";"via2",#N/A,TRUE,"general";"via3",#N/A,TRUE,"general"}</definedName>
    <definedName name="_b8" localSheetId="12"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4" hidden="1">{"via1",#N/A,TRUE,"general";"via2",#N/A,TRUE,"general";"via3",#N/A,TRUE,"general"}</definedName>
    <definedName name="_b8" localSheetId="1" hidden="1">{"via1",#N/A,TRUE,"general";"via2",#N/A,TRUE,"general";"via3",#N/A,TRUE,"general"}</definedName>
    <definedName name="_b8" localSheetId="14" hidden="1">{"via1",#N/A,TRUE,"general";"via2",#N/A,TRUE,"general";"via3",#N/A,TRUE,"general"}</definedName>
    <definedName name="_b8" localSheetId="16" hidden="1">{"via1",#N/A,TRUE,"general";"via2",#N/A,TRUE,"general";"via3",#N/A,TRUE,"general"}</definedName>
    <definedName name="_b8" localSheetId="18" hidden="1">{"via1",#N/A,TRUE,"general";"via2",#N/A,TRUE,"general";"via3",#N/A,TRUE,"general"}</definedName>
    <definedName name="_b8" hidden="1">{"via1",#N/A,TRUE,"general";"via2",#N/A,TRUE,"general";"via3",#N/A,TRUE,"general"}</definedName>
    <definedName name="_bb9" localSheetId="15" hidden="1">{"TAB1",#N/A,TRUE,"GENERAL";"TAB2",#N/A,TRUE,"GENERAL";"TAB3",#N/A,TRUE,"GENERAL";"TAB4",#N/A,TRUE,"GENERAL";"TAB5",#N/A,TRUE,"GENERAL"}</definedName>
    <definedName name="_bb9" localSheetId="17" hidden="1">{"TAB1",#N/A,TRUE,"GENERAL";"TAB2",#N/A,TRUE,"GENERAL";"TAB3",#N/A,TRUE,"GENERAL";"TAB4",#N/A,TRUE,"GENERAL";"TAB5",#N/A,TRUE,"GENERAL"}</definedName>
    <definedName name="_bb9" localSheetId="19" hidden="1">{"TAB1",#N/A,TRUE,"GENERAL";"TAB2",#N/A,TRUE,"GENERAL";"TAB3",#N/A,TRUE,"GENERAL";"TAB4",#N/A,TRUE,"GENERAL";"TAB5",#N/A,TRUE,"GENERAL"}</definedName>
    <definedName name="_bb9" localSheetId="12"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4" hidden="1">{"TAB1",#N/A,TRUE,"GENERAL";"TAB2",#N/A,TRUE,"GENERAL";"TAB3",#N/A,TRUE,"GENERAL";"TAB4",#N/A,TRUE,"GENERAL";"TAB5",#N/A,TRUE,"GENERAL"}</definedName>
    <definedName name="_bb9" localSheetId="1" hidden="1">{"TAB1",#N/A,TRUE,"GENERAL";"TAB2",#N/A,TRUE,"GENERAL";"TAB3",#N/A,TRUE,"GENERAL";"TAB4",#N/A,TRUE,"GENERAL";"TAB5",#N/A,TRUE,"GENERAL"}</definedName>
    <definedName name="_bb9" localSheetId="14" hidden="1">{"TAB1",#N/A,TRUE,"GENERAL";"TAB2",#N/A,TRUE,"GENERAL";"TAB3",#N/A,TRUE,"GENERAL";"TAB4",#N/A,TRUE,"GENERAL";"TAB5",#N/A,TRUE,"GENERAL"}</definedName>
    <definedName name="_bb9" localSheetId="16" hidden="1">{"TAB1",#N/A,TRUE,"GENERAL";"TAB2",#N/A,TRUE,"GENERAL";"TAB3",#N/A,TRUE,"GENERAL";"TAB4",#N/A,TRUE,"GENERAL";"TAB5",#N/A,TRUE,"GENERAL"}</definedName>
    <definedName name="_bb9" localSheetId="18" hidden="1">{"TAB1",#N/A,TRUE,"GENERAL";"TAB2",#N/A,TRUE,"GENERAL";"TAB3",#N/A,TRUE,"GENERAL";"TAB4",#N/A,TRUE,"GENERAL";"TAB5",#N/A,TRUE,"GENERAL"}</definedName>
    <definedName name="_bb9"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8" hidden="1">{"TAB1",#N/A,TRUE,"GENERAL";"TAB2",#N/A,TRUE,"GENERAL";"TAB3",#N/A,TRUE,"GENERAL";"TAB4",#N/A,TRUE,"GENERAL";"TAB5",#N/A,TRUE,"GENERAL"}</definedName>
    <definedName name="_bgb5" hidden="1">{"TAB1",#N/A,TRUE,"GENERAL";"TAB2",#N/A,TRUE,"GENERAL";"TAB3",#N/A,TRUE,"GENERAL";"TAB4",#N/A,TRUE,"GENERAL";"TAB5",#N/A,TRUE,"GENERAL"}</definedName>
    <definedName name="_dasd" localSheetId="11" hidden="1">#REF!</definedName>
    <definedName name="_dasd" hidden="1">#REF!</definedName>
    <definedName name="_Fill" localSheetId="13" hidden="1">#REF!</definedName>
    <definedName name="_Fill" localSheetId="15" hidden="1">#REF!</definedName>
    <definedName name="_Fill" localSheetId="17" hidden="1">#REF!</definedName>
    <definedName name="_Fill" localSheetId="19" hidden="1">#REF!</definedName>
    <definedName name="_Fill" localSheetId="12" hidden="1">#REF!</definedName>
    <definedName name="_Fill" localSheetId="8" hidden="1">#REF!</definedName>
    <definedName name="_Fill" localSheetId="9" hidden="1">#REF!</definedName>
    <definedName name="_Fill" localSheetId="7" hidden="1">#REF!</definedName>
    <definedName name="_Fill" localSheetId="10" hidden="1">#REF!</definedName>
    <definedName name="_Fill" localSheetId="0" hidden="1">#REF!</definedName>
    <definedName name="_Fill" localSheetId="6" hidden="1">#REF!</definedName>
    <definedName name="_Fill" localSheetId="4" hidden="1">#REF!</definedName>
    <definedName name="_Fill" localSheetId="1" hidden="1">#REF!</definedName>
    <definedName name="_Fill" localSheetId="14" hidden="1">#REF!</definedName>
    <definedName name="_Fill" localSheetId="16" hidden="1">#REF!</definedName>
    <definedName name="_Fill" localSheetId="18" hidden="1">#REF!</definedName>
    <definedName name="_Fill" localSheetId="5" hidden="1">#REF!</definedName>
    <definedName name="_Fill" hidden="1">#REF!</definedName>
    <definedName name="_xlnm._FilterDatabase" localSheetId="15" hidden="1">#REF!</definedName>
    <definedName name="_xlnm._FilterDatabase" localSheetId="17" hidden="1">#REF!</definedName>
    <definedName name="_xlnm._FilterDatabase" localSheetId="19" hidden="1">#REF!</definedName>
    <definedName name="_xlnm._FilterDatabase" localSheetId="7" hidden="1">'CIV PRIO'!$A$4:$K$52</definedName>
    <definedName name="_xlnm._FilterDatabase" localSheetId="11" hidden="1">#REF!</definedName>
    <definedName name="_xlnm._FilterDatabase" localSheetId="1" hidden="1">Formulario!$A$10:$L$124</definedName>
    <definedName name="_xlnm._FilterDatabase" localSheetId="14" hidden="1">#REF!</definedName>
    <definedName name="_xlnm._FilterDatabase" localSheetId="16" hidden="1">#REF!</definedName>
    <definedName name="_xlnm._FilterDatabase" localSheetId="18" hidden="1">#REF!</definedName>
    <definedName name="_xlnm._FilterDatabase" hidden="1">#REF!</definedName>
    <definedName name="_g2" localSheetId="15" hidden="1">{"TAB1",#N/A,TRUE,"GENERAL";"TAB2",#N/A,TRUE,"GENERAL";"TAB3",#N/A,TRUE,"GENERAL";"TAB4",#N/A,TRUE,"GENERAL";"TAB5",#N/A,TRUE,"GENERAL"}</definedName>
    <definedName name="_g2" localSheetId="17" hidden="1">{"TAB1",#N/A,TRUE,"GENERAL";"TAB2",#N/A,TRUE,"GENERAL";"TAB3",#N/A,TRUE,"GENERAL";"TAB4",#N/A,TRUE,"GENERAL";"TAB5",#N/A,TRUE,"GENERAL"}</definedName>
    <definedName name="_g2" localSheetId="19" hidden="1">{"TAB1",#N/A,TRUE,"GENERAL";"TAB2",#N/A,TRUE,"GENERAL";"TAB3",#N/A,TRUE,"GENERAL";"TAB4",#N/A,TRUE,"GENERAL";"TAB5",#N/A,TRUE,"GENERAL"}</definedName>
    <definedName name="_g2" localSheetId="12"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4" hidden="1">{"TAB1",#N/A,TRUE,"GENERAL";"TAB2",#N/A,TRUE,"GENERAL";"TAB3",#N/A,TRUE,"GENERAL";"TAB4",#N/A,TRUE,"GENERAL";"TAB5",#N/A,TRUE,"GENERAL"}</definedName>
    <definedName name="_g2" localSheetId="1" hidden="1">{"TAB1",#N/A,TRUE,"GENERAL";"TAB2",#N/A,TRUE,"GENERAL";"TAB3",#N/A,TRUE,"GENERAL";"TAB4",#N/A,TRUE,"GENERAL";"TAB5",#N/A,TRUE,"GENERAL"}</definedName>
    <definedName name="_g2" localSheetId="14" hidden="1">{"TAB1",#N/A,TRUE,"GENERAL";"TAB2",#N/A,TRUE,"GENERAL";"TAB3",#N/A,TRUE,"GENERAL";"TAB4",#N/A,TRUE,"GENERAL";"TAB5",#N/A,TRUE,"GENERAL"}</definedName>
    <definedName name="_g2" localSheetId="16" hidden="1">{"TAB1",#N/A,TRUE,"GENERAL";"TAB2",#N/A,TRUE,"GENERAL";"TAB3",#N/A,TRUE,"GENERAL";"TAB4",#N/A,TRUE,"GENERAL";"TAB5",#N/A,TRUE,"GENERAL"}</definedName>
    <definedName name="_g2" localSheetId="18" hidden="1">{"TAB1",#N/A,TRUE,"GENERAL";"TAB2",#N/A,TRUE,"GENERAL";"TAB3",#N/A,TRUE,"GENERAL";"TAB4",#N/A,TRUE,"GENERAL";"TAB5",#N/A,TRUE,"GENERAL"}</definedName>
    <definedName name="_g2" hidden="1">{"TAB1",#N/A,TRUE,"GENERAL";"TAB2",#N/A,TRUE,"GENERAL";"TAB3",#N/A,TRUE,"GENERAL";"TAB4",#N/A,TRUE,"GENERAL";"TAB5",#N/A,TRUE,"GENERAL"}</definedName>
    <definedName name="_g3" localSheetId="15" hidden="1">{"via1",#N/A,TRUE,"general";"via2",#N/A,TRUE,"general";"via3",#N/A,TRUE,"general"}</definedName>
    <definedName name="_g3" localSheetId="17" hidden="1">{"via1",#N/A,TRUE,"general";"via2",#N/A,TRUE,"general";"via3",#N/A,TRUE,"general"}</definedName>
    <definedName name="_g3" localSheetId="19" hidden="1">{"via1",#N/A,TRUE,"general";"via2",#N/A,TRUE,"general";"via3",#N/A,TRUE,"general"}</definedName>
    <definedName name="_g3" localSheetId="12"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4" hidden="1">{"via1",#N/A,TRUE,"general";"via2",#N/A,TRUE,"general";"via3",#N/A,TRUE,"general"}</definedName>
    <definedName name="_g3" localSheetId="1" hidden="1">{"via1",#N/A,TRUE,"general";"via2",#N/A,TRUE,"general";"via3",#N/A,TRUE,"general"}</definedName>
    <definedName name="_g3" localSheetId="14" hidden="1">{"via1",#N/A,TRUE,"general";"via2",#N/A,TRUE,"general";"via3",#N/A,TRUE,"general"}</definedName>
    <definedName name="_g3" localSheetId="16" hidden="1">{"via1",#N/A,TRUE,"general";"via2",#N/A,TRUE,"general";"via3",#N/A,TRUE,"general"}</definedName>
    <definedName name="_g3" localSheetId="18" hidden="1">{"via1",#N/A,TRUE,"general";"via2",#N/A,TRUE,"general";"via3",#N/A,TRUE,"general"}</definedName>
    <definedName name="_g3" hidden="1">{"via1",#N/A,TRUE,"general";"via2",#N/A,TRUE,"general";"via3",#N/A,TRUE,"general"}</definedName>
    <definedName name="_g4" localSheetId="15" hidden="1">{"via1",#N/A,TRUE,"general";"via2",#N/A,TRUE,"general";"via3",#N/A,TRUE,"general"}</definedName>
    <definedName name="_g4" localSheetId="17" hidden="1">{"via1",#N/A,TRUE,"general";"via2",#N/A,TRUE,"general";"via3",#N/A,TRUE,"general"}</definedName>
    <definedName name="_g4" localSheetId="19" hidden="1">{"via1",#N/A,TRUE,"general";"via2",#N/A,TRUE,"general";"via3",#N/A,TRUE,"general"}</definedName>
    <definedName name="_g4" localSheetId="12"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4" hidden="1">{"via1",#N/A,TRUE,"general";"via2",#N/A,TRUE,"general";"via3",#N/A,TRUE,"general"}</definedName>
    <definedName name="_g4" localSheetId="1" hidden="1">{"via1",#N/A,TRUE,"general";"via2",#N/A,TRUE,"general";"via3",#N/A,TRUE,"general"}</definedName>
    <definedName name="_g4" localSheetId="14" hidden="1">{"via1",#N/A,TRUE,"general";"via2",#N/A,TRUE,"general";"via3",#N/A,TRUE,"general"}</definedName>
    <definedName name="_g4" localSheetId="16" hidden="1">{"via1",#N/A,TRUE,"general";"via2",#N/A,TRUE,"general";"via3",#N/A,TRUE,"general"}</definedName>
    <definedName name="_g4" localSheetId="18" hidden="1">{"via1",#N/A,TRUE,"general";"via2",#N/A,TRUE,"general";"via3",#N/A,TRUE,"general"}</definedName>
    <definedName name="_g4" hidden="1">{"via1",#N/A,TRUE,"general";"via2",#N/A,TRUE,"general";"via3",#N/A,TRUE,"general"}</definedName>
    <definedName name="_g5" localSheetId="15" hidden="1">{"via1",#N/A,TRUE,"general";"via2",#N/A,TRUE,"general";"via3",#N/A,TRUE,"general"}</definedName>
    <definedName name="_g5" localSheetId="17" hidden="1">{"via1",#N/A,TRUE,"general";"via2",#N/A,TRUE,"general";"via3",#N/A,TRUE,"general"}</definedName>
    <definedName name="_g5" localSheetId="19" hidden="1">{"via1",#N/A,TRUE,"general";"via2",#N/A,TRUE,"general";"via3",#N/A,TRUE,"general"}</definedName>
    <definedName name="_g5" localSheetId="12"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4" hidden="1">{"via1",#N/A,TRUE,"general";"via2",#N/A,TRUE,"general";"via3",#N/A,TRUE,"general"}</definedName>
    <definedName name="_g5" localSheetId="1" hidden="1">{"via1",#N/A,TRUE,"general";"via2",#N/A,TRUE,"general";"via3",#N/A,TRUE,"general"}</definedName>
    <definedName name="_g5" localSheetId="14" hidden="1">{"via1",#N/A,TRUE,"general";"via2",#N/A,TRUE,"general";"via3",#N/A,TRUE,"general"}</definedName>
    <definedName name="_g5" localSheetId="16" hidden="1">{"via1",#N/A,TRUE,"general";"via2",#N/A,TRUE,"general";"via3",#N/A,TRUE,"general"}</definedName>
    <definedName name="_g5" localSheetId="18" hidden="1">{"via1",#N/A,TRUE,"general";"via2",#N/A,TRUE,"general";"via3",#N/A,TRUE,"general"}</definedName>
    <definedName name="_g5" hidden="1">{"via1",#N/A,TRUE,"general";"via2",#N/A,TRUE,"general";"via3",#N/A,TRUE,"general"}</definedName>
    <definedName name="_g6" localSheetId="15" hidden="1">{"via1",#N/A,TRUE,"general";"via2",#N/A,TRUE,"general";"via3",#N/A,TRUE,"general"}</definedName>
    <definedName name="_g6" localSheetId="17" hidden="1">{"via1",#N/A,TRUE,"general";"via2",#N/A,TRUE,"general";"via3",#N/A,TRUE,"general"}</definedName>
    <definedName name="_g6" localSheetId="19" hidden="1">{"via1",#N/A,TRUE,"general";"via2",#N/A,TRUE,"general";"via3",#N/A,TRUE,"general"}</definedName>
    <definedName name="_g6" localSheetId="12"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4" hidden="1">{"via1",#N/A,TRUE,"general";"via2",#N/A,TRUE,"general";"via3",#N/A,TRUE,"general"}</definedName>
    <definedName name="_g6" localSheetId="1" hidden="1">{"via1",#N/A,TRUE,"general";"via2",#N/A,TRUE,"general";"via3",#N/A,TRUE,"general"}</definedName>
    <definedName name="_g6" localSheetId="14" hidden="1">{"via1",#N/A,TRUE,"general";"via2",#N/A,TRUE,"general";"via3",#N/A,TRUE,"general"}</definedName>
    <definedName name="_g6" localSheetId="16" hidden="1">{"via1",#N/A,TRUE,"general";"via2",#N/A,TRUE,"general";"via3",#N/A,TRUE,"general"}</definedName>
    <definedName name="_g6" localSheetId="18" hidden="1">{"via1",#N/A,TRUE,"general";"via2",#N/A,TRUE,"general";"via3",#N/A,TRUE,"general"}</definedName>
    <definedName name="_g6" hidden="1">{"via1",#N/A,TRUE,"general";"via2",#N/A,TRUE,"general";"via3",#N/A,TRUE,"general"}</definedName>
    <definedName name="_g7" localSheetId="15" hidden="1">{"TAB1",#N/A,TRUE,"GENERAL";"TAB2",#N/A,TRUE,"GENERAL";"TAB3",#N/A,TRUE,"GENERAL";"TAB4",#N/A,TRUE,"GENERAL";"TAB5",#N/A,TRUE,"GENERAL"}</definedName>
    <definedName name="_g7" localSheetId="17" hidden="1">{"TAB1",#N/A,TRUE,"GENERAL";"TAB2",#N/A,TRUE,"GENERAL";"TAB3",#N/A,TRUE,"GENERAL";"TAB4",#N/A,TRUE,"GENERAL";"TAB5",#N/A,TRUE,"GENERAL"}</definedName>
    <definedName name="_g7" localSheetId="19" hidden="1">{"TAB1",#N/A,TRUE,"GENERAL";"TAB2",#N/A,TRUE,"GENERAL";"TAB3",#N/A,TRUE,"GENERAL";"TAB4",#N/A,TRUE,"GENERAL";"TAB5",#N/A,TRUE,"GENERAL"}</definedName>
    <definedName name="_g7" localSheetId="12"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4" hidden="1">{"TAB1",#N/A,TRUE,"GENERAL";"TAB2",#N/A,TRUE,"GENERAL";"TAB3",#N/A,TRUE,"GENERAL";"TAB4",#N/A,TRUE,"GENERAL";"TAB5",#N/A,TRUE,"GENERAL"}</definedName>
    <definedName name="_g7" localSheetId="1" hidden="1">{"TAB1",#N/A,TRUE,"GENERAL";"TAB2",#N/A,TRUE,"GENERAL";"TAB3",#N/A,TRUE,"GENERAL";"TAB4",#N/A,TRUE,"GENERAL";"TAB5",#N/A,TRUE,"GENERAL"}</definedName>
    <definedName name="_g7" localSheetId="14" hidden="1">{"TAB1",#N/A,TRUE,"GENERAL";"TAB2",#N/A,TRUE,"GENERAL";"TAB3",#N/A,TRUE,"GENERAL";"TAB4",#N/A,TRUE,"GENERAL";"TAB5",#N/A,TRUE,"GENERAL"}</definedName>
    <definedName name="_g7" localSheetId="16" hidden="1">{"TAB1",#N/A,TRUE,"GENERAL";"TAB2",#N/A,TRUE,"GENERAL";"TAB3",#N/A,TRUE,"GENERAL";"TAB4",#N/A,TRUE,"GENERAL";"TAB5",#N/A,TRUE,"GENERAL"}</definedName>
    <definedName name="_g7" localSheetId="18" hidden="1">{"TAB1",#N/A,TRUE,"GENERAL";"TAB2",#N/A,TRUE,"GENERAL";"TAB3",#N/A,TRUE,"GENERAL";"TAB4",#N/A,TRUE,"GENERAL";"TAB5",#N/A,TRUE,"GENERAL"}</definedName>
    <definedName name="_g7" hidden="1">{"TAB1",#N/A,TRUE,"GENERAL";"TAB2",#N/A,TRUE,"GENERAL";"TAB3",#N/A,TRUE,"GENERAL";"TAB4",#N/A,TRUE,"GENERAL";"TAB5",#N/A,TRUE,"GENERAL"}</definedName>
    <definedName name="_GR1" localSheetId="15" hidden="1">{"TAB1",#N/A,TRUE,"GENERAL";"TAB2",#N/A,TRUE,"GENERAL";"TAB3",#N/A,TRUE,"GENERAL";"TAB4",#N/A,TRUE,"GENERAL";"TAB5",#N/A,TRUE,"GENERAL"}</definedName>
    <definedName name="_GR1" localSheetId="17" hidden="1">{"TAB1",#N/A,TRUE,"GENERAL";"TAB2",#N/A,TRUE,"GENERAL";"TAB3",#N/A,TRUE,"GENERAL";"TAB4",#N/A,TRUE,"GENERAL";"TAB5",#N/A,TRUE,"GENERAL"}</definedName>
    <definedName name="_GR1" localSheetId="19" hidden="1">{"TAB1",#N/A,TRUE,"GENERAL";"TAB2",#N/A,TRUE,"GENERAL";"TAB3",#N/A,TRUE,"GENERAL";"TAB4",#N/A,TRUE,"GENERAL";"TAB5",#N/A,TRUE,"GENERAL"}</definedName>
    <definedName name="_GR1" localSheetId="12"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4" hidden="1">{"TAB1",#N/A,TRUE,"GENERAL";"TAB2",#N/A,TRUE,"GENERAL";"TAB3",#N/A,TRUE,"GENERAL";"TAB4",#N/A,TRUE,"GENERAL";"TAB5",#N/A,TRUE,"GENERAL"}</definedName>
    <definedName name="_GR1" localSheetId="1" hidden="1">{"TAB1",#N/A,TRUE,"GENERAL";"TAB2",#N/A,TRUE,"GENERAL";"TAB3",#N/A,TRUE,"GENERAL";"TAB4",#N/A,TRUE,"GENERAL";"TAB5",#N/A,TRUE,"GENERAL"}</definedName>
    <definedName name="_GR1" localSheetId="14" hidden="1">{"TAB1",#N/A,TRUE,"GENERAL";"TAB2",#N/A,TRUE,"GENERAL";"TAB3",#N/A,TRUE,"GENERAL";"TAB4",#N/A,TRUE,"GENERAL";"TAB5",#N/A,TRUE,"GENERAL"}</definedName>
    <definedName name="_GR1" localSheetId="16" hidden="1">{"TAB1",#N/A,TRUE,"GENERAL";"TAB2",#N/A,TRUE,"GENERAL";"TAB3",#N/A,TRUE,"GENERAL";"TAB4",#N/A,TRUE,"GENERAL";"TAB5",#N/A,TRUE,"GENERAL"}</definedName>
    <definedName name="_GR1" localSheetId="18"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5" hidden="1">{"via1",#N/A,TRUE,"general";"via2",#N/A,TRUE,"general";"via3",#N/A,TRUE,"general"}</definedName>
    <definedName name="_gtr4" localSheetId="17" hidden="1">{"via1",#N/A,TRUE,"general";"via2",#N/A,TRUE,"general";"via3",#N/A,TRUE,"general"}</definedName>
    <definedName name="_gtr4" localSheetId="19" hidden="1">{"via1",#N/A,TRUE,"general";"via2",#N/A,TRUE,"general";"via3",#N/A,TRUE,"general"}</definedName>
    <definedName name="_gtr4" localSheetId="12"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4" hidden="1">{"via1",#N/A,TRUE,"general";"via2",#N/A,TRUE,"general";"via3",#N/A,TRUE,"general"}</definedName>
    <definedName name="_gtr4" localSheetId="1" hidden="1">{"via1",#N/A,TRUE,"general";"via2",#N/A,TRUE,"general";"via3",#N/A,TRUE,"general"}</definedName>
    <definedName name="_gtr4" localSheetId="14" hidden="1">{"via1",#N/A,TRUE,"general";"via2",#N/A,TRUE,"general";"via3",#N/A,TRUE,"general"}</definedName>
    <definedName name="_gtr4" localSheetId="16" hidden="1">{"via1",#N/A,TRUE,"general";"via2",#N/A,TRUE,"general";"via3",#N/A,TRUE,"general"}</definedName>
    <definedName name="_gtr4" localSheetId="18" hidden="1">{"via1",#N/A,TRUE,"general";"via2",#N/A,TRUE,"general";"via3",#N/A,TRUE,"general"}</definedName>
    <definedName name="_gtr4" hidden="1">{"via1",#N/A,TRUE,"general";"via2",#N/A,TRUE,"general";"via3",#N/A,TRUE,"general"}</definedName>
    <definedName name="_h2" localSheetId="15" hidden="1">{"via1",#N/A,TRUE,"general";"via2",#N/A,TRUE,"general";"via3",#N/A,TRUE,"general"}</definedName>
    <definedName name="_h2" localSheetId="17" hidden="1">{"via1",#N/A,TRUE,"general";"via2",#N/A,TRUE,"general";"via3",#N/A,TRUE,"general"}</definedName>
    <definedName name="_h2" localSheetId="19" hidden="1">{"via1",#N/A,TRUE,"general";"via2",#N/A,TRUE,"general";"via3",#N/A,TRUE,"general"}</definedName>
    <definedName name="_h2" localSheetId="12"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4" hidden="1">{"via1",#N/A,TRUE,"general";"via2",#N/A,TRUE,"general";"via3",#N/A,TRUE,"general"}</definedName>
    <definedName name="_h2" localSheetId="1" hidden="1">{"via1",#N/A,TRUE,"general";"via2",#N/A,TRUE,"general";"via3",#N/A,TRUE,"general"}</definedName>
    <definedName name="_h2" localSheetId="14" hidden="1">{"via1",#N/A,TRUE,"general";"via2",#N/A,TRUE,"general";"via3",#N/A,TRUE,"general"}</definedName>
    <definedName name="_h2" localSheetId="16" hidden="1">{"via1",#N/A,TRUE,"general";"via2",#N/A,TRUE,"general";"via3",#N/A,TRUE,"general"}</definedName>
    <definedName name="_h2" localSheetId="18" hidden="1">{"via1",#N/A,TRUE,"general";"via2",#N/A,TRUE,"general";"via3",#N/A,TRUE,"general"}</definedName>
    <definedName name="_h2" hidden="1">{"via1",#N/A,TRUE,"general";"via2",#N/A,TRUE,"general";"via3",#N/A,TRUE,"general"}</definedName>
    <definedName name="_h3" localSheetId="15" hidden="1">{"via1",#N/A,TRUE,"general";"via2",#N/A,TRUE,"general";"via3",#N/A,TRUE,"general"}</definedName>
    <definedName name="_h3" localSheetId="17" hidden="1">{"via1",#N/A,TRUE,"general";"via2",#N/A,TRUE,"general";"via3",#N/A,TRUE,"general"}</definedName>
    <definedName name="_h3" localSheetId="19" hidden="1">{"via1",#N/A,TRUE,"general";"via2",#N/A,TRUE,"general";"via3",#N/A,TRUE,"general"}</definedName>
    <definedName name="_h3" localSheetId="12"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4" hidden="1">{"via1",#N/A,TRUE,"general";"via2",#N/A,TRUE,"general";"via3",#N/A,TRUE,"general"}</definedName>
    <definedName name="_h3" localSheetId="1" hidden="1">{"via1",#N/A,TRUE,"general";"via2",#N/A,TRUE,"general";"via3",#N/A,TRUE,"general"}</definedName>
    <definedName name="_h3" localSheetId="14" hidden="1">{"via1",#N/A,TRUE,"general";"via2",#N/A,TRUE,"general";"via3",#N/A,TRUE,"general"}</definedName>
    <definedName name="_h3" localSheetId="16" hidden="1">{"via1",#N/A,TRUE,"general";"via2",#N/A,TRUE,"general";"via3",#N/A,TRUE,"general"}</definedName>
    <definedName name="_h3" localSheetId="18" hidden="1">{"via1",#N/A,TRUE,"general";"via2",#N/A,TRUE,"general";"via3",#N/A,TRUE,"general"}</definedName>
    <definedName name="_h3" hidden="1">{"via1",#N/A,TRUE,"general";"via2",#N/A,TRUE,"general";"via3",#N/A,TRUE,"general"}</definedName>
    <definedName name="_h4" localSheetId="15" hidden="1">{"TAB1",#N/A,TRUE,"GENERAL";"TAB2",#N/A,TRUE,"GENERAL";"TAB3",#N/A,TRUE,"GENERAL";"TAB4",#N/A,TRUE,"GENERAL";"TAB5",#N/A,TRUE,"GENERAL"}</definedName>
    <definedName name="_h4" localSheetId="17" hidden="1">{"TAB1",#N/A,TRUE,"GENERAL";"TAB2",#N/A,TRUE,"GENERAL";"TAB3",#N/A,TRUE,"GENERAL";"TAB4",#N/A,TRUE,"GENERAL";"TAB5",#N/A,TRUE,"GENERAL"}</definedName>
    <definedName name="_h4" localSheetId="19" hidden="1">{"TAB1",#N/A,TRUE,"GENERAL";"TAB2",#N/A,TRUE,"GENERAL";"TAB3",#N/A,TRUE,"GENERAL";"TAB4",#N/A,TRUE,"GENERAL";"TAB5",#N/A,TRUE,"GENERAL"}</definedName>
    <definedName name="_h4" localSheetId="12"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4" hidden="1">{"TAB1",#N/A,TRUE,"GENERAL";"TAB2",#N/A,TRUE,"GENERAL";"TAB3",#N/A,TRUE,"GENERAL";"TAB4",#N/A,TRUE,"GENERAL";"TAB5",#N/A,TRUE,"GENERAL"}</definedName>
    <definedName name="_h4" localSheetId="1" hidden="1">{"TAB1",#N/A,TRUE,"GENERAL";"TAB2",#N/A,TRUE,"GENERAL";"TAB3",#N/A,TRUE,"GENERAL";"TAB4",#N/A,TRUE,"GENERAL";"TAB5",#N/A,TRUE,"GENERAL"}</definedName>
    <definedName name="_h4" localSheetId="14" hidden="1">{"TAB1",#N/A,TRUE,"GENERAL";"TAB2",#N/A,TRUE,"GENERAL";"TAB3",#N/A,TRUE,"GENERAL";"TAB4",#N/A,TRUE,"GENERAL";"TAB5",#N/A,TRUE,"GENERAL"}</definedName>
    <definedName name="_h4" localSheetId="16" hidden="1">{"TAB1",#N/A,TRUE,"GENERAL";"TAB2",#N/A,TRUE,"GENERAL";"TAB3",#N/A,TRUE,"GENERAL";"TAB4",#N/A,TRUE,"GENERAL";"TAB5",#N/A,TRUE,"GENERAL"}</definedName>
    <definedName name="_h4" localSheetId="18" hidden="1">{"TAB1",#N/A,TRUE,"GENERAL";"TAB2",#N/A,TRUE,"GENERAL";"TAB3",#N/A,TRUE,"GENERAL";"TAB4",#N/A,TRUE,"GENERAL";"TAB5",#N/A,TRUE,"GENERAL"}</definedName>
    <definedName name="_h4" hidden="1">{"TAB1",#N/A,TRUE,"GENERAL";"TAB2",#N/A,TRUE,"GENERAL";"TAB3",#N/A,TRUE,"GENERAL";"TAB4",#N/A,TRUE,"GENERAL";"TAB5",#N/A,TRUE,"GENERAL"}</definedName>
    <definedName name="_h5" localSheetId="15" hidden="1">{"TAB1",#N/A,TRUE,"GENERAL";"TAB2",#N/A,TRUE,"GENERAL";"TAB3",#N/A,TRUE,"GENERAL";"TAB4",#N/A,TRUE,"GENERAL";"TAB5",#N/A,TRUE,"GENERAL"}</definedName>
    <definedName name="_h5" localSheetId="17" hidden="1">{"TAB1",#N/A,TRUE,"GENERAL";"TAB2",#N/A,TRUE,"GENERAL";"TAB3",#N/A,TRUE,"GENERAL";"TAB4",#N/A,TRUE,"GENERAL";"TAB5",#N/A,TRUE,"GENERAL"}</definedName>
    <definedName name="_h5" localSheetId="19" hidden="1">{"TAB1",#N/A,TRUE,"GENERAL";"TAB2",#N/A,TRUE,"GENERAL";"TAB3",#N/A,TRUE,"GENERAL";"TAB4",#N/A,TRUE,"GENERAL";"TAB5",#N/A,TRUE,"GENERAL"}</definedName>
    <definedName name="_h5" localSheetId="12"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4" hidden="1">{"TAB1",#N/A,TRUE,"GENERAL";"TAB2",#N/A,TRUE,"GENERAL";"TAB3",#N/A,TRUE,"GENERAL";"TAB4",#N/A,TRUE,"GENERAL";"TAB5",#N/A,TRUE,"GENERAL"}</definedName>
    <definedName name="_h5" localSheetId="1" hidden="1">{"TAB1",#N/A,TRUE,"GENERAL";"TAB2",#N/A,TRUE,"GENERAL";"TAB3",#N/A,TRUE,"GENERAL";"TAB4",#N/A,TRUE,"GENERAL";"TAB5",#N/A,TRUE,"GENERAL"}</definedName>
    <definedName name="_h5" localSheetId="14" hidden="1">{"TAB1",#N/A,TRUE,"GENERAL";"TAB2",#N/A,TRUE,"GENERAL";"TAB3",#N/A,TRUE,"GENERAL";"TAB4",#N/A,TRUE,"GENERAL";"TAB5",#N/A,TRUE,"GENERAL"}</definedName>
    <definedName name="_h5" localSheetId="16" hidden="1">{"TAB1",#N/A,TRUE,"GENERAL";"TAB2",#N/A,TRUE,"GENERAL";"TAB3",#N/A,TRUE,"GENERAL";"TAB4",#N/A,TRUE,"GENERAL";"TAB5",#N/A,TRUE,"GENERAL"}</definedName>
    <definedName name="_h5" localSheetId="18" hidden="1">{"TAB1",#N/A,TRUE,"GENERAL";"TAB2",#N/A,TRUE,"GENERAL";"TAB3",#N/A,TRUE,"GENERAL";"TAB4",#N/A,TRUE,"GENERAL";"TAB5",#N/A,TRUE,"GENERAL"}</definedName>
    <definedName name="_h5" hidden="1">{"TAB1",#N/A,TRUE,"GENERAL";"TAB2",#N/A,TRUE,"GENERAL";"TAB3",#N/A,TRUE,"GENERAL";"TAB4",#N/A,TRUE,"GENERAL";"TAB5",#N/A,TRUE,"GENERAL"}</definedName>
    <definedName name="_h6" localSheetId="15" hidden="1">{"via1",#N/A,TRUE,"general";"via2",#N/A,TRUE,"general";"via3",#N/A,TRUE,"general"}</definedName>
    <definedName name="_h6" localSheetId="17" hidden="1">{"via1",#N/A,TRUE,"general";"via2",#N/A,TRUE,"general";"via3",#N/A,TRUE,"general"}</definedName>
    <definedName name="_h6" localSheetId="19" hidden="1">{"via1",#N/A,TRUE,"general";"via2",#N/A,TRUE,"general";"via3",#N/A,TRUE,"general"}</definedName>
    <definedName name="_h6" localSheetId="12"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4" hidden="1">{"via1",#N/A,TRUE,"general";"via2",#N/A,TRUE,"general";"via3",#N/A,TRUE,"general"}</definedName>
    <definedName name="_h6" localSheetId="1" hidden="1">{"via1",#N/A,TRUE,"general";"via2",#N/A,TRUE,"general";"via3",#N/A,TRUE,"general"}</definedName>
    <definedName name="_h6" localSheetId="14" hidden="1">{"via1",#N/A,TRUE,"general";"via2",#N/A,TRUE,"general";"via3",#N/A,TRUE,"general"}</definedName>
    <definedName name="_h6" localSheetId="16" hidden="1">{"via1",#N/A,TRUE,"general";"via2",#N/A,TRUE,"general";"via3",#N/A,TRUE,"general"}</definedName>
    <definedName name="_h6" localSheetId="18" hidden="1">{"via1",#N/A,TRUE,"general";"via2",#N/A,TRUE,"general";"via3",#N/A,TRUE,"general"}</definedName>
    <definedName name="_h6" hidden="1">{"via1",#N/A,TRUE,"general";"via2",#N/A,TRUE,"general";"via3",#N/A,TRUE,"general"}</definedName>
    <definedName name="_h7" localSheetId="15" hidden="1">{"TAB1",#N/A,TRUE,"GENERAL";"TAB2",#N/A,TRUE,"GENERAL";"TAB3",#N/A,TRUE,"GENERAL";"TAB4",#N/A,TRUE,"GENERAL";"TAB5",#N/A,TRUE,"GENERAL"}</definedName>
    <definedName name="_h7" localSheetId="17" hidden="1">{"TAB1",#N/A,TRUE,"GENERAL";"TAB2",#N/A,TRUE,"GENERAL";"TAB3",#N/A,TRUE,"GENERAL";"TAB4",#N/A,TRUE,"GENERAL";"TAB5",#N/A,TRUE,"GENERAL"}</definedName>
    <definedName name="_h7" localSheetId="19" hidden="1">{"TAB1",#N/A,TRUE,"GENERAL";"TAB2",#N/A,TRUE,"GENERAL";"TAB3",#N/A,TRUE,"GENERAL";"TAB4",#N/A,TRUE,"GENERAL";"TAB5",#N/A,TRUE,"GENERAL"}</definedName>
    <definedName name="_h7" localSheetId="12"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4" hidden="1">{"TAB1",#N/A,TRUE,"GENERAL";"TAB2",#N/A,TRUE,"GENERAL";"TAB3",#N/A,TRUE,"GENERAL";"TAB4",#N/A,TRUE,"GENERAL";"TAB5",#N/A,TRUE,"GENERAL"}</definedName>
    <definedName name="_h7" localSheetId="1" hidden="1">{"TAB1",#N/A,TRUE,"GENERAL";"TAB2",#N/A,TRUE,"GENERAL";"TAB3",#N/A,TRUE,"GENERAL";"TAB4",#N/A,TRUE,"GENERAL";"TAB5",#N/A,TRUE,"GENERAL"}</definedName>
    <definedName name="_h7" localSheetId="14" hidden="1">{"TAB1",#N/A,TRUE,"GENERAL";"TAB2",#N/A,TRUE,"GENERAL";"TAB3",#N/A,TRUE,"GENERAL";"TAB4",#N/A,TRUE,"GENERAL";"TAB5",#N/A,TRUE,"GENERAL"}</definedName>
    <definedName name="_h7" localSheetId="16" hidden="1">{"TAB1",#N/A,TRUE,"GENERAL";"TAB2",#N/A,TRUE,"GENERAL";"TAB3",#N/A,TRUE,"GENERAL";"TAB4",#N/A,TRUE,"GENERAL";"TAB5",#N/A,TRUE,"GENERAL"}</definedName>
    <definedName name="_h7" localSheetId="18" hidden="1">{"TAB1",#N/A,TRUE,"GENERAL";"TAB2",#N/A,TRUE,"GENERAL";"TAB3",#N/A,TRUE,"GENERAL";"TAB4",#N/A,TRUE,"GENERAL";"TAB5",#N/A,TRUE,"GENERAL"}</definedName>
    <definedName name="_h7" hidden="1">{"TAB1",#N/A,TRUE,"GENERAL";"TAB2",#N/A,TRUE,"GENERAL";"TAB3",#N/A,TRUE,"GENERAL";"TAB4",#N/A,TRUE,"GENERAL";"TAB5",#N/A,TRUE,"GENERAL"}</definedName>
    <definedName name="_h8" localSheetId="15" hidden="1">{"via1",#N/A,TRUE,"general";"via2",#N/A,TRUE,"general";"via3",#N/A,TRUE,"general"}</definedName>
    <definedName name="_h8" localSheetId="17" hidden="1">{"via1",#N/A,TRUE,"general";"via2",#N/A,TRUE,"general";"via3",#N/A,TRUE,"general"}</definedName>
    <definedName name="_h8" localSheetId="19" hidden="1">{"via1",#N/A,TRUE,"general";"via2",#N/A,TRUE,"general";"via3",#N/A,TRUE,"general"}</definedName>
    <definedName name="_h8" localSheetId="12"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4" hidden="1">{"via1",#N/A,TRUE,"general";"via2",#N/A,TRUE,"general";"via3",#N/A,TRUE,"general"}</definedName>
    <definedName name="_h8" localSheetId="1" hidden="1">{"via1",#N/A,TRUE,"general";"via2",#N/A,TRUE,"general";"via3",#N/A,TRUE,"general"}</definedName>
    <definedName name="_h8" localSheetId="14" hidden="1">{"via1",#N/A,TRUE,"general";"via2",#N/A,TRUE,"general";"via3",#N/A,TRUE,"general"}</definedName>
    <definedName name="_h8" localSheetId="16" hidden="1">{"via1",#N/A,TRUE,"general";"via2",#N/A,TRUE,"general";"via3",#N/A,TRUE,"general"}</definedName>
    <definedName name="_h8" localSheetId="18" hidden="1">{"via1",#N/A,TRUE,"general";"via2",#N/A,TRUE,"general";"via3",#N/A,TRUE,"general"}</definedName>
    <definedName name="_h8" hidden="1">{"via1",#N/A,TRUE,"general";"via2",#N/A,TRUE,"general";"via3",#N/A,TRUE,"general"}</definedName>
    <definedName name="_hfh7" localSheetId="15" hidden="1">{"via1",#N/A,TRUE,"general";"via2",#N/A,TRUE,"general";"via3",#N/A,TRUE,"general"}</definedName>
    <definedName name="_hfh7" localSheetId="17" hidden="1">{"via1",#N/A,TRUE,"general";"via2",#N/A,TRUE,"general";"via3",#N/A,TRUE,"general"}</definedName>
    <definedName name="_hfh7" localSheetId="19" hidden="1">{"via1",#N/A,TRUE,"general";"via2",#N/A,TRUE,"general";"via3",#N/A,TRUE,"general"}</definedName>
    <definedName name="_hfh7" localSheetId="12"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4" hidden="1">{"via1",#N/A,TRUE,"general";"via2",#N/A,TRUE,"general";"via3",#N/A,TRUE,"general"}</definedName>
    <definedName name="_hfh7" localSheetId="1" hidden="1">{"via1",#N/A,TRUE,"general";"via2",#N/A,TRUE,"general";"via3",#N/A,TRUE,"general"}</definedName>
    <definedName name="_hfh7" localSheetId="14" hidden="1">{"via1",#N/A,TRUE,"general";"via2",#N/A,TRUE,"general";"via3",#N/A,TRUE,"general"}</definedName>
    <definedName name="_hfh7" localSheetId="16" hidden="1">{"via1",#N/A,TRUE,"general";"via2",#N/A,TRUE,"general";"via3",#N/A,TRUE,"general"}</definedName>
    <definedName name="_hfh7" localSheetId="18" hidden="1">{"via1",#N/A,TRUE,"general";"via2",#N/A,TRUE,"general";"via3",#N/A,TRUE,"general"}</definedName>
    <definedName name="_hfh7" hidden="1">{"via1",#N/A,TRUE,"general";"via2",#N/A,TRUE,"general";"via3",#N/A,TRUE,"general"}</definedName>
    <definedName name="_hhg1" localSheetId="12" hidden="1">{#N/A,#N/A,TRUE,"1842CWN0"}</definedName>
    <definedName name="_hhg1" localSheetId="8" hidden="1">{#N/A,#N/A,TRUE,"1842CWN0"}</definedName>
    <definedName name="_hhg1" localSheetId="9" hidden="1">{#N/A,#N/A,TRUE,"1842CWN0"}</definedName>
    <definedName name="_hhg1" localSheetId="7" hidden="1">{#N/A,#N/A,TRUE,"1842CWN0"}</definedName>
    <definedName name="_hhg1" localSheetId="10" hidden="1">{#N/A,#N/A,TRUE,"1842CWN0"}</definedName>
    <definedName name="_hhg1" localSheetId="1" hidden="1">{#N/A,#N/A,TRUE,"1842CWN0"}</definedName>
    <definedName name="_hhg1" hidden="1">{#N/A,#N/A,TRUE,"1842CWN0"}</definedName>
    <definedName name="_i4" localSheetId="15" hidden="1">{"via1",#N/A,TRUE,"general";"via2",#N/A,TRUE,"general";"via3",#N/A,TRUE,"general"}</definedName>
    <definedName name="_i4" localSheetId="17" hidden="1">{"via1",#N/A,TRUE,"general";"via2",#N/A,TRUE,"general";"via3",#N/A,TRUE,"general"}</definedName>
    <definedName name="_i4" localSheetId="19" hidden="1">{"via1",#N/A,TRUE,"general";"via2",#N/A,TRUE,"general";"via3",#N/A,TRUE,"general"}</definedName>
    <definedName name="_i4" localSheetId="12"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4" hidden="1">{"via1",#N/A,TRUE,"general";"via2",#N/A,TRUE,"general";"via3",#N/A,TRUE,"general"}</definedName>
    <definedName name="_i4" localSheetId="1" hidden="1">{"via1",#N/A,TRUE,"general";"via2",#N/A,TRUE,"general";"via3",#N/A,TRUE,"general"}</definedName>
    <definedName name="_i4" localSheetId="14" hidden="1">{"via1",#N/A,TRUE,"general";"via2",#N/A,TRUE,"general";"via3",#N/A,TRUE,"general"}</definedName>
    <definedName name="_i4" localSheetId="16" hidden="1">{"via1",#N/A,TRUE,"general";"via2",#N/A,TRUE,"general";"via3",#N/A,TRUE,"general"}</definedName>
    <definedName name="_i4" localSheetId="18" hidden="1">{"via1",#N/A,TRUE,"general";"via2",#N/A,TRUE,"general";"via3",#N/A,TRUE,"general"}</definedName>
    <definedName name="_i4" hidden="1">{"via1",#N/A,TRUE,"general";"via2",#N/A,TRUE,"general";"via3",#N/A,TRUE,"general"}</definedName>
    <definedName name="_i5" localSheetId="15" hidden="1">{"TAB1",#N/A,TRUE,"GENERAL";"TAB2",#N/A,TRUE,"GENERAL";"TAB3",#N/A,TRUE,"GENERAL";"TAB4",#N/A,TRUE,"GENERAL";"TAB5",#N/A,TRUE,"GENERAL"}</definedName>
    <definedName name="_i5" localSheetId="17" hidden="1">{"TAB1",#N/A,TRUE,"GENERAL";"TAB2",#N/A,TRUE,"GENERAL";"TAB3",#N/A,TRUE,"GENERAL";"TAB4",#N/A,TRUE,"GENERAL";"TAB5",#N/A,TRUE,"GENERAL"}</definedName>
    <definedName name="_i5" localSheetId="19" hidden="1">{"TAB1",#N/A,TRUE,"GENERAL";"TAB2",#N/A,TRUE,"GENERAL";"TAB3",#N/A,TRUE,"GENERAL";"TAB4",#N/A,TRUE,"GENERAL";"TAB5",#N/A,TRUE,"GENERAL"}</definedName>
    <definedName name="_i5" localSheetId="12"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4" hidden="1">{"TAB1",#N/A,TRUE,"GENERAL";"TAB2",#N/A,TRUE,"GENERAL";"TAB3",#N/A,TRUE,"GENERAL";"TAB4",#N/A,TRUE,"GENERAL";"TAB5",#N/A,TRUE,"GENERAL"}</definedName>
    <definedName name="_i5" localSheetId="1" hidden="1">{"TAB1",#N/A,TRUE,"GENERAL";"TAB2",#N/A,TRUE,"GENERAL";"TAB3",#N/A,TRUE,"GENERAL";"TAB4",#N/A,TRUE,"GENERAL";"TAB5",#N/A,TRUE,"GENERAL"}</definedName>
    <definedName name="_i5" localSheetId="14" hidden="1">{"TAB1",#N/A,TRUE,"GENERAL";"TAB2",#N/A,TRUE,"GENERAL";"TAB3",#N/A,TRUE,"GENERAL";"TAB4",#N/A,TRUE,"GENERAL";"TAB5",#N/A,TRUE,"GENERAL"}</definedName>
    <definedName name="_i5" localSheetId="16" hidden="1">{"TAB1",#N/A,TRUE,"GENERAL";"TAB2",#N/A,TRUE,"GENERAL";"TAB3",#N/A,TRUE,"GENERAL";"TAB4",#N/A,TRUE,"GENERAL";"TAB5",#N/A,TRUE,"GENERAL"}</definedName>
    <definedName name="_i5" localSheetId="18" hidden="1">{"TAB1",#N/A,TRUE,"GENERAL";"TAB2",#N/A,TRUE,"GENERAL";"TAB3",#N/A,TRUE,"GENERAL";"TAB4",#N/A,TRUE,"GENERAL";"TAB5",#N/A,TRUE,"GENERAL"}</definedName>
    <definedName name="_i5" hidden="1">{"TAB1",#N/A,TRUE,"GENERAL";"TAB2",#N/A,TRUE,"GENERAL";"TAB3",#N/A,TRUE,"GENERAL";"TAB4",#N/A,TRUE,"GENERAL";"TAB5",#N/A,TRUE,"GENERAL"}</definedName>
    <definedName name="_i6" localSheetId="15" hidden="1">{"TAB1",#N/A,TRUE,"GENERAL";"TAB2",#N/A,TRUE,"GENERAL";"TAB3",#N/A,TRUE,"GENERAL";"TAB4",#N/A,TRUE,"GENERAL";"TAB5",#N/A,TRUE,"GENERAL"}</definedName>
    <definedName name="_i6" localSheetId="17" hidden="1">{"TAB1",#N/A,TRUE,"GENERAL";"TAB2",#N/A,TRUE,"GENERAL";"TAB3",#N/A,TRUE,"GENERAL";"TAB4",#N/A,TRUE,"GENERAL";"TAB5",#N/A,TRUE,"GENERAL"}</definedName>
    <definedName name="_i6" localSheetId="19" hidden="1">{"TAB1",#N/A,TRUE,"GENERAL";"TAB2",#N/A,TRUE,"GENERAL";"TAB3",#N/A,TRUE,"GENERAL";"TAB4",#N/A,TRUE,"GENERAL";"TAB5",#N/A,TRUE,"GENERAL"}</definedName>
    <definedName name="_i6" localSheetId="12"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4" hidden="1">{"TAB1",#N/A,TRUE,"GENERAL";"TAB2",#N/A,TRUE,"GENERAL";"TAB3",#N/A,TRUE,"GENERAL";"TAB4",#N/A,TRUE,"GENERAL";"TAB5",#N/A,TRUE,"GENERAL"}</definedName>
    <definedName name="_i6" localSheetId="1" hidden="1">{"TAB1",#N/A,TRUE,"GENERAL";"TAB2",#N/A,TRUE,"GENERAL";"TAB3",#N/A,TRUE,"GENERAL";"TAB4",#N/A,TRUE,"GENERAL";"TAB5",#N/A,TRUE,"GENERAL"}</definedName>
    <definedName name="_i6" localSheetId="14" hidden="1">{"TAB1",#N/A,TRUE,"GENERAL";"TAB2",#N/A,TRUE,"GENERAL";"TAB3",#N/A,TRUE,"GENERAL";"TAB4",#N/A,TRUE,"GENERAL";"TAB5",#N/A,TRUE,"GENERAL"}</definedName>
    <definedName name="_i6" localSheetId="16" hidden="1">{"TAB1",#N/A,TRUE,"GENERAL";"TAB2",#N/A,TRUE,"GENERAL";"TAB3",#N/A,TRUE,"GENERAL";"TAB4",#N/A,TRUE,"GENERAL";"TAB5",#N/A,TRUE,"GENERAL"}</definedName>
    <definedName name="_i6" localSheetId="18" hidden="1">{"TAB1",#N/A,TRUE,"GENERAL";"TAB2",#N/A,TRUE,"GENERAL";"TAB3",#N/A,TRUE,"GENERAL";"TAB4",#N/A,TRUE,"GENERAL";"TAB5",#N/A,TRUE,"GENERAL"}</definedName>
    <definedName name="_i6" hidden="1">{"TAB1",#N/A,TRUE,"GENERAL";"TAB2",#N/A,TRUE,"GENERAL";"TAB3",#N/A,TRUE,"GENERAL";"TAB4",#N/A,TRUE,"GENERAL";"TAB5",#N/A,TRUE,"GENERAL"}</definedName>
    <definedName name="_i7" localSheetId="15" hidden="1">{"via1",#N/A,TRUE,"general";"via2",#N/A,TRUE,"general";"via3",#N/A,TRUE,"general"}</definedName>
    <definedName name="_i7" localSheetId="17" hidden="1">{"via1",#N/A,TRUE,"general";"via2",#N/A,TRUE,"general";"via3",#N/A,TRUE,"general"}</definedName>
    <definedName name="_i7" localSheetId="19" hidden="1">{"via1",#N/A,TRUE,"general";"via2",#N/A,TRUE,"general";"via3",#N/A,TRUE,"general"}</definedName>
    <definedName name="_i7" localSheetId="12"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4" hidden="1">{"via1",#N/A,TRUE,"general";"via2",#N/A,TRUE,"general";"via3",#N/A,TRUE,"general"}</definedName>
    <definedName name="_i7" localSheetId="1" hidden="1">{"via1",#N/A,TRUE,"general";"via2",#N/A,TRUE,"general";"via3",#N/A,TRUE,"general"}</definedName>
    <definedName name="_i7" localSheetId="14" hidden="1">{"via1",#N/A,TRUE,"general";"via2",#N/A,TRUE,"general";"via3",#N/A,TRUE,"general"}</definedName>
    <definedName name="_i7" localSheetId="16" hidden="1">{"via1",#N/A,TRUE,"general";"via2",#N/A,TRUE,"general";"via3",#N/A,TRUE,"general"}</definedName>
    <definedName name="_i7" localSheetId="18" hidden="1">{"via1",#N/A,TRUE,"general";"via2",#N/A,TRUE,"general";"via3",#N/A,TRUE,"general"}</definedName>
    <definedName name="_i7" hidden="1">{"via1",#N/A,TRUE,"general";"via2",#N/A,TRUE,"general";"via3",#N/A,TRUE,"general"}</definedName>
    <definedName name="_i77" localSheetId="15" hidden="1">{"TAB1",#N/A,TRUE,"GENERAL";"TAB2",#N/A,TRUE,"GENERAL";"TAB3",#N/A,TRUE,"GENERAL";"TAB4",#N/A,TRUE,"GENERAL";"TAB5",#N/A,TRUE,"GENERAL"}</definedName>
    <definedName name="_i77" localSheetId="17" hidden="1">{"TAB1",#N/A,TRUE,"GENERAL";"TAB2",#N/A,TRUE,"GENERAL";"TAB3",#N/A,TRUE,"GENERAL";"TAB4",#N/A,TRUE,"GENERAL";"TAB5",#N/A,TRUE,"GENERAL"}</definedName>
    <definedName name="_i77" localSheetId="19" hidden="1">{"TAB1",#N/A,TRUE,"GENERAL";"TAB2",#N/A,TRUE,"GENERAL";"TAB3",#N/A,TRUE,"GENERAL";"TAB4",#N/A,TRUE,"GENERAL";"TAB5",#N/A,TRUE,"GENERAL"}</definedName>
    <definedName name="_i77" localSheetId="12"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4" hidden="1">{"TAB1",#N/A,TRUE,"GENERAL";"TAB2",#N/A,TRUE,"GENERAL";"TAB3",#N/A,TRUE,"GENERAL";"TAB4",#N/A,TRUE,"GENERAL";"TAB5",#N/A,TRUE,"GENERAL"}</definedName>
    <definedName name="_i77" localSheetId="1" hidden="1">{"TAB1",#N/A,TRUE,"GENERAL";"TAB2",#N/A,TRUE,"GENERAL";"TAB3",#N/A,TRUE,"GENERAL";"TAB4",#N/A,TRUE,"GENERAL";"TAB5",#N/A,TRUE,"GENERAL"}</definedName>
    <definedName name="_i77" localSheetId="14" hidden="1">{"TAB1",#N/A,TRUE,"GENERAL";"TAB2",#N/A,TRUE,"GENERAL";"TAB3",#N/A,TRUE,"GENERAL";"TAB4",#N/A,TRUE,"GENERAL";"TAB5",#N/A,TRUE,"GENERAL"}</definedName>
    <definedName name="_i77" localSheetId="16" hidden="1">{"TAB1",#N/A,TRUE,"GENERAL";"TAB2",#N/A,TRUE,"GENERAL";"TAB3",#N/A,TRUE,"GENERAL";"TAB4",#N/A,TRUE,"GENERAL";"TAB5",#N/A,TRUE,"GENERAL"}</definedName>
    <definedName name="_i77" localSheetId="18" hidden="1">{"TAB1",#N/A,TRUE,"GENERAL";"TAB2",#N/A,TRUE,"GENERAL";"TAB3",#N/A,TRUE,"GENERAL";"TAB4",#N/A,TRUE,"GENERAL";"TAB5",#N/A,TRUE,"GENERAL"}</definedName>
    <definedName name="_i77" hidden="1">{"TAB1",#N/A,TRUE,"GENERAL";"TAB2",#N/A,TRUE,"GENERAL";"TAB3",#N/A,TRUE,"GENERAL";"TAB4",#N/A,TRUE,"GENERAL";"TAB5",#N/A,TRUE,"GENERAL"}</definedName>
    <definedName name="_i8" localSheetId="15" hidden="1">{"via1",#N/A,TRUE,"general";"via2",#N/A,TRUE,"general";"via3",#N/A,TRUE,"general"}</definedName>
    <definedName name="_i8" localSheetId="17" hidden="1">{"via1",#N/A,TRUE,"general";"via2",#N/A,TRUE,"general";"via3",#N/A,TRUE,"general"}</definedName>
    <definedName name="_i8" localSheetId="19" hidden="1">{"via1",#N/A,TRUE,"general";"via2",#N/A,TRUE,"general";"via3",#N/A,TRUE,"general"}</definedName>
    <definedName name="_i8" localSheetId="12"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4" hidden="1">{"via1",#N/A,TRUE,"general";"via2",#N/A,TRUE,"general";"via3",#N/A,TRUE,"general"}</definedName>
    <definedName name="_i8" localSheetId="1" hidden="1">{"via1",#N/A,TRUE,"general";"via2",#N/A,TRUE,"general";"via3",#N/A,TRUE,"general"}</definedName>
    <definedName name="_i8" localSheetId="14" hidden="1">{"via1",#N/A,TRUE,"general";"via2",#N/A,TRUE,"general";"via3",#N/A,TRUE,"general"}</definedName>
    <definedName name="_i8" localSheetId="16" hidden="1">{"via1",#N/A,TRUE,"general";"via2",#N/A,TRUE,"general";"via3",#N/A,TRUE,"general"}</definedName>
    <definedName name="_i8" localSheetId="18" hidden="1">{"via1",#N/A,TRUE,"general";"via2",#N/A,TRUE,"general";"via3",#N/A,TRUE,"general"}</definedName>
    <definedName name="_i8" hidden="1">{"via1",#N/A,TRUE,"general";"via2",#N/A,TRUE,"general";"via3",#N/A,TRUE,"general"}</definedName>
    <definedName name="_i9" localSheetId="15" hidden="1">{"TAB1",#N/A,TRUE,"GENERAL";"TAB2",#N/A,TRUE,"GENERAL";"TAB3",#N/A,TRUE,"GENERAL";"TAB4",#N/A,TRUE,"GENERAL";"TAB5",#N/A,TRUE,"GENERAL"}</definedName>
    <definedName name="_i9" localSheetId="17" hidden="1">{"TAB1",#N/A,TRUE,"GENERAL";"TAB2",#N/A,TRUE,"GENERAL";"TAB3",#N/A,TRUE,"GENERAL";"TAB4",#N/A,TRUE,"GENERAL";"TAB5",#N/A,TRUE,"GENERAL"}</definedName>
    <definedName name="_i9" localSheetId="19" hidden="1">{"TAB1",#N/A,TRUE,"GENERAL";"TAB2",#N/A,TRUE,"GENERAL";"TAB3",#N/A,TRUE,"GENERAL";"TAB4",#N/A,TRUE,"GENERAL";"TAB5",#N/A,TRUE,"GENERAL"}</definedName>
    <definedName name="_i9" localSheetId="12"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4" hidden="1">{"TAB1",#N/A,TRUE,"GENERAL";"TAB2",#N/A,TRUE,"GENERAL";"TAB3",#N/A,TRUE,"GENERAL";"TAB4",#N/A,TRUE,"GENERAL";"TAB5",#N/A,TRUE,"GENERAL"}</definedName>
    <definedName name="_i9" localSheetId="1" hidden="1">{"TAB1",#N/A,TRUE,"GENERAL";"TAB2",#N/A,TRUE,"GENERAL";"TAB3",#N/A,TRUE,"GENERAL";"TAB4",#N/A,TRUE,"GENERAL";"TAB5",#N/A,TRUE,"GENERAL"}</definedName>
    <definedName name="_i9" localSheetId="14" hidden="1">{"TAB1",#N/A,TRUE,"GENERAL";"TAB2",#N/A,TRUE,"GENERAL";"TAB3",#N/A,TRUE,"GENERAL";"TAB4",#N/A,TRUE,"GENERAL";"TAB5",#N/A,TRUE,"GENERAL"}</definedName>
    <definedName name="_i9" localSheetId="16" hidden="1">{"TAB1",#N/A,TRUE,"GENERAL";"TAB2",#N/A,TRUE,"GENERAL";"TAB3",#N/A,TRUE,"GENERAL";"TAB4",#N/A,TRUE,"GENERAL";"TAB5",#N/A,TRUE,"GENERAL"}</definedName>
    <definedName name="_i9" localSheetId="18" hidden="1">{"TAB1",#N/A,TRUE,"GENERAL";"TAB2",#N/A,TRUE,"GENERAL";"TAB3",#N/A,TRUE,"GENERAL";"TAB4",#N/A,TRUE,"GENERAL";"TAB5",#N/A,TRUE,"GENERAL"}</definedName>
    <definedName name="_i9" hidden="1">{"TAB1",#N/A,TRUE,"GENERAL";"TAB2",#N/A,TRUE,"GENERAL";"TAB3",#N/A,TRUE,"GENERAL";"TAB4",#N/A,TRUE,"GENERAL";"TAB5",#N/A,TRUE,"GENERAL"}</definedName>
    <definedName name="_k3" localSheetId="15" hidden="1">{"TAB1",#N/A,TRUE,"GENERAL";"TAB2",#N/A,TRUE,"GENERAL";"TAB3",#N/A,TRUE,"GENERAL";"TAB4",#N/A,TRUE,"GENERAL";"TAB5",#N/A,TRUE,"GENERAL"}</definedName>
    <definedName name="_k3" localSheetId="17" hidden="1">{"TAB1",#N/A,TRUE,"GENERAL";"TAB2",#N/A,TRUE,"GENERAL";"TAB3",#N/A,TRUE,"GENERAL";"TAB4",#N/A,TRUE,"GENERAL";"TAB5",#N/A,TRUE,"GENERAL"}</definedName>
    <definedName name="_k3" localSheetId="19" hidden="1">{"TAB1",#N/A,TRUE,"GENERAL";"TAB2",#N/A,TRUE,"GENERAL";"TAB3",#N/A,TRUE,"GENERAL";"TAB4",#N/A,TRUE,"GENERAL";"TAB5",#N/A,TRUE,"GENERAL"}</definedName>
    <definedName name="_k3" localSheetId="12"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4" hidden="1">{"TAB1",#N/A,TRUE,"GENERAL";"TAB2",#N/A,TRUE,"GENERAL";"TAB3",#N/A,TRUE,"GENERAL";"TAB4",#N/A,TRUE,"GENERAL";"TAB5",#N/A,TRUE,"GENERAL"}</definedName>
    <definedName name="_k3" localSheetId="1" hidden="1">{"TAB1",#N/A,TRUE,"GENERAL";"TAB2",#N/A,TRUE,"GENERAL";"TAB3",#N/A,TRUE,"GENERAL";"TAB4",#N/A,TRUE,"GENERAL";"TAB5",#N/A,TRUE,"GENERAL"}</definedName>
    <definedName name="_k3" localSheetId="14" hidden="1">{"TAB1",#N/A,TRUE,"GENERAL";"TAB2",#N/A,TRUE,"GENERAL";"TAB3",#N/A,TRUE,"GENERAL";"TAB4",#N/A,TRUE,"GENERAL";"TAB5",#N/A,TRUE,"GENERAL"}</definedName>
    <definedName name="_k3" localSheetId="16" hidden="1">{"TAB1",#N/A,TRUE,"GENERAL";"TAB2",#N/A,TRUE,"GENERAL";"TAB3",#N/A,TRUE,"GENERAL";"TAB4",#N/A,TRUE,"GENERAL";"TAB5",#N/A,TRUE,"GENERAL"}</definedName>
    <definedName name="_k3" localSheetId="18" hidden="1">{"TAB1",#N/A,TRUE,"GENERAL";"TAB2",#N/A,TRUE,"GENERAL";"TAB3",#N/A,TRUE,"GENERAL";"TAB4",#N/A,TRUE,"GENERAL";"TAB5",#N/A,TRUE,"GENERAL"}</definedName>
    <definedName name="_k3" hidden="1">{"TAB1",#N/A,TRUE,"GENERAL";"TAB2",#N/A,TRUE,"GENERAL";"TAB3",#N/A,TRUE,"GENERAL";"TAB4",#N/A,TRUE,"GENERAL";"TAB5",#N/A,TRUE,"GENERAL"}</definedName>
    <definedName name="_k4" localSheetId="15" hidden="1">{"via1",#N/A,TRUE,"general";"via2",#N/A,TRUE,"general";"via3",#N/A,TRUE,"general"}</definedName>
    <definedName name="_k4" localSheetId="17" hidden="1">{"via1",#N/A,TRUE,"general";"via2",#N/A,TRUE,"general";"via3",#N/A,TRUE,"general"}</definedName>
    <definedName name="_k4" localSheetId="19" hidden="1">{"via1",#N/A,TRUE,"general";"via2",#N/A,TRUE,"general";"via3",#N/A,TRUE,"general"}</definedName>
    <definedName name="_k4" localSheetId="12"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4" hidden="1">{"via1",#N/A,TRUE,"general";"via2",#N/A,TRUE,"general";"via3",#N/A,TRUE,"general"}</definedName>
    <definedName name="_k4" localSheetId="1" hidden="1">{"via1",#N/A,TRUE,"general";"via2",#N/A,TRUE,"general";"via3",#N/A,TRUE,"general"}</definedName>
    <definedName name="_k4" localSheetId="14" hidden="1">{"via1",#N/A,TRUE,"general";"via2",#N/A,TRUE,"general";"via3",#N/A,TRUE,"general"}</definedName>
    <definedName name="_k4" localSheetId="16" hidden="1">{"via1",#N/A,TRUE,"general";"via2",#N/A,TRUE,"general";"via3",#N/A,TRUE,"general"}</definedName>
    <definedName name="_k4" localSheetId="18" hidden="1">{"via1",#N/A,TRUE,"general";"via2",#N/A,TRUE,"general";"via3",#N/A,TRUE,"general"}</definedName>
    <definedName name="_k4" hidden="1">{"via1",#N/A,TRUE,"general";"via2",#N/A,TRUE,"general";"via3",#N/A,TRUE,"general"}</definedName>
    <definedName name="_k5" localSheetId="15" hidden="1">{"via1",#N/A,TRUE,"general";"via2",#N/A,TRUE,"general";"via3",#N/A,TRUE,"general"}</definedName>
    <definedName name="_k5" localSheetId="17" hidden="1">{"via1",#N/A,TRUE,"general";"via2",#N/A,TRUE,"general";"via3",#N/A,TRUE,"general"}</definedName>
    <definedName name="_k5" localSheetId="19" hidden="1">{"via1",#N/A,TRUE,"general";"via2",#N/A,TRUE,"general";"via3",#N/A,TRUE,"general"}</definedName>
    <definedName name="_k5" localSheetId="12"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4" hidden="1">{"via1",#N/A,TRUE,"general";"via2",#N/A,TRUE,"general";"via3",#N/A,TRUE,"general"}</definedName>
    <definedName name="_k5" localSheetId="1" hidden="1">{"via1",#N/A,TRUE,"general";"via2",#N/A,TRUE,"general";"via3",#N/A,TRUE,"general"}</definedName>
    <definedName name="_k5" localSheetId="14" hidden="1">{"via1",#N/A,TRUE,"general";"via2",#N/A,TRUE,"general";"via3",#N/A,TRUE,"general"}</definedName>
    <definedName name="_k5" localSheetId="16" hidden="1">{"via1",#N/A,TRUE,"general";"via2",#N/A,TRUE,"general";"via3",#N/A,TRUE,"general"}</definedName>
    <definedName name="_k5" localSheetId="18" hidden="1">{"via1",#N/A,TRUE,"general";"via2",#N/A,TRUE,"general";"via3",#N/A,TRUE,"general"}</definedName>
    <definedName name="_k5" hidden="1">{"via1",#N/A,TRUE,"general";"via2",#N/A,TRUE,"general";"via3",#N/A,TRUE,"general"}</definedName>
    <definedName name="_k6" localSheetId="15" hidden="1">{"TAB1",#N/A,TRUE,"GENERAL";"TAB2",#N/A,TRUE,"GENERAL";"TAB3",#N/A,TRUE,"GENERAL";"TAB4",#N/A,TRUE,"GENERAL";"TAB5",#N/A,TRUE,"GENERAL"}</definedName>
    <definedName name="_k6" localSheetId="17" hidden="1">{"TAB1",#N/A,TRUE,"GENERAL";"TAB2",#N/A,TRUE,"GENERAL";"TAB3",#N/A,TRUE,"GENERAL";"TAB4",#N/A,TRUE,"GENERAL";"TAB5",#N/A,TRUE,"GENERAL"}</definedName>
    <definedName name="_k6" localSheetId="19" hidden="1">{"TAB1",#N/A,TRUE,"GENERAL";"TAB2",#N/A,TRUE,"GENERAL";"TAB3",#N/A,TRUE,"GENERAL";"TAB4",#N/A,TRUE,"GENERAL";"TAB5",#N/A,TRUE,"GENERAL"}</definedName>
    <definedName name="_k6" localSheetId="12"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4" hidden="1">{"TAB1",#N/A,TRUE,"GENERAL";"TAB2",#N/A,TRUE,"GENERAL";"TAB3",#N/A,TRUE,"GENERAL";"TAB4",#N/A,TRUE,"GENERAL";"TAB5",#N/A,TRUE,"GENERAL"}</definedName>
    <definedName name="_k6" localSheetId="1" hidden="1">{"TAB1",#N/A,TRUE,"GENERAL";"TAB2",#N/A,TRUE,"GENERAL";"TAB3",#N/A,TRUE,"GENERAL";"TAB4",#N/A,TRUE,"GENERAL";"TAB5",#N/A,TRUE,"GENERAL"}</definedName>
    <definedName name="_k6" localSheetId="14" hidden="1">{"TAB1",#N/A,TRUE,"GENERAL";"TAB2",#N/A,TRUE,"GENERAL";"TAB3",#N/A,TRUE,"GENERAL";"TAB4",#N/A,TRUE,"GENERAL";"TAB5",#N/A,TRUE,"GENERAL"}</definedName>
    <definedName name="_k6" localSheetId="16" hidden="1">{"TAB1",#N/A,TRUE,"GENERAL";"TAB2",#N/A,TRUE,"GENERAL";"TAB3",#N/A,TRUE,"GENERAL";"TAB4",#N/A,TRUE,"GENERAL";"TAB5",#N/A,TRUE,"GENERAL"}</definedName>
    <definedName name="_k6" localSheetId="18" hidden="1">{"TAB1",#N/A,TRUE,"GENERAL";"TAB2",#N/A,TRUE,"GENERAL";"TAB3",#N/A,TRUE,"GENERAL";"TAB4",#N/A,TRUE,"GENERAL";"TAB5",#N/A,TRUE,"GENERAL"}</definedName>
    <definedName name="_k6" hidden="1">{"TAB1",#N/A,TRUE,"GENERAL";"TAB2",#N/A,TRUE,"GENERAL";"TAB3",#N/A,TRUE,"GENERAL";"TAB4",#N/A,TRUE,"GENERAL";"TAB5",#N/A,TRUE,"GENERAL"}</definedName>
    <definedName name="_k7" localSheetId="15" hidden="1">{"via1",#N/A,TRUE,"general";"via2",#N/A,TRUE,"general";"via3",#N/A,TRUE,"general"}</definedName>
    <definedName name="_k7" localSheetId="17" hidden="1">{"via1",#N/A,TRUE,"general";"via2",#N/A,TRUE,"general";"via3",#N/A,TRUE,"general"}</definedName>
    <definedName name="_k7" localSheetId="19" hidden="1">{"via1",#N/A,TRUE,"general";"via2",#N/A,TRUE,"general";"via3",#N/A,TRUE,"general"}</definedName>
    <definedName name="_k7" localSheetId="12"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4" hidden="1">{"via1",#N/A,TRUE,"general";"via2",#N/A,TRUE,"general";"via3",#N/A,TRUE,"general"}</definedName>
    <definedName name="_k7" localSheetId="1" hidden="1">{"via1",#N/A,TRUE,"general";"via2",#N/A,TRUE,"general";"via3",#N/A,TRUE,"general"}</definedName>
    <definedName name="_k7" localSheetId="14" hidden="1">{"via1",#N/A,TRUE,"general";"via2",#N/A,TRUE,"general";"via3",#N/A,TRUE,"general"}</definedName>
    <definedName name="_k7" localSheetId="16" hidden="1">{"via1",#N/A,TRUE,"general";"via2",#N/A,TRUE,"general";"via3",#N/A,TRUE,"general"}</definedName>
    <definedName name="_k7" localSheetId="18" hidden="1">{"via1",#N/A,TRUE,"general";"via2",#N/A,TRUE,"general";"via3",#N/A,TRUE,"general"}</definedName>
    <definedName name="_k7" hidden="1">{"via1",#N/A,TRUE,"general";"via2",#N/A,TRUE,"general";"via3",#N/A,TRUE,"general"}</definedName>
    <definedName name="_k8" localSheetId="15" hidden="1">{"via1",#N/A,TRUE,"general";"via2",#N/A,TRUE,"general";"via3",#N/A,TRUE,"general"}</definedName>
    <definedName name="_k8" localSheetId="17" hidden="1">{"via1",#N/A,TRUE,"general";"via2",#N/A,TRUE,"general";"via3",#N/A,TRUE,"general"}</definedName>
    <definedName name="_k8" localSheetId="19" hidden="1">{"via1",#N/A,TRUE,"general";"via2",#N/A,TRUE,"general";"via3",#N/A,TRUE,"general"}</definedName>
    <definedName name="_k8" localSheetId="12"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4" hidden="1">{"via1",#N/A,TRUE,"general";"via2",#N/A,TRUE,"general";"via3",#N/A,TRUE,"general"}</definedName>
    <definedName name="_k8" localSheetId="1" hidden="1">{"via1",#N/A,TRUE,"general";"via2",#N/A,TRUE,"general";"via3",#N/A,TRUE,"general"}</definedName>
    <definedName name="_k8" localSheetId="14" hidden="1">{"via1",#N/A,TRUE,"general";"via2",#N/A,TRUE,"general";"via3",#N/A,TRUE,"general"}</definedName>
    <definedName name="_k8" localSheetId="16" hidden="1">{"via1",#N/A,TRUE,"general";"via2",#N/A,TRUE,"general";"via3",#N/A,TRUE,"general"}</definedName>
    <definedName name="_k8" localSheetId="18" hidden="1">{"via1",#N/A,TRUE,"general";"via2",#N/A,TRUE,"general";"via3",#N/A,TRUE,"general"}</definedName>
    <definedName name="_k8" hidden="1">{"via1",#N/A,TRUE,"general";"via2",#N/A,TRUE,"general";"via3",#N/A,TRUE,"general"}</definedName>
    <definedName name="_k9" localSheetId="15" hidden="1">{"TAB1",#N/A,TRUE,"GENERAL";"TAB2",#N/A,TRUE,"GENERAL";"TAB3",#N/A,TRUE,"GENERAL";"TAB4",#N/A,TRUE,"GENERAL";"TAB5",#N/A,TRUE,"GENERAL"}</definedName>
    <definedName name="_k9" localSheetId="17" hidden="1">{"TAB1",#N/A,TRUE,"GENERAL";"TAB2",#N/A,TRUE,"GENERAL";"TAB3",#N/A,TRUE,"GENERAL";"TAB4",#N/A,TRUE,"GENERAL";"TAB5",#N/A,TRUE,"GENERAL"}</definedName>
    <definedName name="_k9" localSheetId="19" hidden="1">{"TAB1",#N/A,TRUE,"GENERAL";"TAB2",#N/A,TRUE,"GENERAL";"TAB3",#N/A,TRUE,"GENERAL";"TAB4",#N/A,TRUE,"GENERAL";"TAB5",#N/A,TRUE,"GENERAL"}</definedName>
    <definedName name="_k9" localSheetId="12"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4" hidden="1">{"TAB1",#N/A,TRUE,"GENERAL";"TAB2",#N/A,TRUE,"GENERAL";"TAB3",#N/A,TRUE,"GENERAL";"TAB4",#N/A,TRUE,"GENERAL";"TAB5",#N/A,TRUE,"GENERAL"}</definedName>
    <definedName name="_k9" localSheetId="1" hidden="1">{"TAB1",#N/A,TRUE,"GENERAL";"TAB2",#N/A,TRUE,"GENERAL";"TAB3",#N/A,TRUE,"GENERAL";"TAB4",#N/A,TRUE,"GENERAL";"TAB5",#N/A,TRUE,"GENERAL"}</definedName>
    <definedName name="_k9" localSheetId="14" hidden="1">{"TAB1",#N/A,TRUE,"GENERAL";"TAB2",#N/A,TRUE,"GENERAL";"TAB3",#N/A,TRUE,"GENERAL";"TAB4",#N/A,TRUE,"GENERAL";"TAB5",#N/A,TRUE,"GENERAL"}</definedName>
    <definedName name="_k9" localSheetId="16" hidden="1">{"TAB1",#N/A,TRUE,"GENERAL";"TAB2",#N/A,TRUE,"GENERAL";"TAB3",#N/A,TRUE,"GENERAL";"TAB4",#N/A,TRUE,"GENERAL";"TAB5",#N/A,TRUE,"GENERAL"}</definedName>
    <definedName name="_k9" localSheetId="18" hidden="1">{"TAB1",#N/A,TRUE,"GENERAL";"TAB2",#N/A,TRUE,"GENERAL";"TAB3",#N/A,TRUE,"GENERAL";"TAB4",#N/A,TRUE,"GENERAL";"TAB5",#N/A,TRUE,"GENERAL"}</definedName>
    <definedName name="_k9" hidden="1">{"TAB1",#N/A,TRUE,"GENERAL";"TAB2",#N/A,TRUE,"GENERAL";"TAB3",#N/A,TRUE,"GENERAL";"TAB4",#N/A,TRUE,"GENERAL";"TAB5",#N/A,TRUE,"GENERAL"}</definedName>
    <definedName name="_Key1" localSheetId="13" hidden="1">#REF!</definedName>
    <definedName name="_Key1" localSheetId="15" hidden="1">#REF!</definedName>
    <definedName name="_Key1" localSheetId="17" hidden="1">#REF!</definedName>
    <definedName name="_Key1" localSheetId="19" hidden="1">#REF!</definedName>
    <definedName name="_Key1" localSheetId="12" hidden="1">#REF!</definedName>
    <definedName name="_Key1" localSheetId="8" hidden="1">#REF!</definedName>
    <definedName name="_Key1" localSheetId="9" hidden="1">#REF!</definedName>
    <definedName name="_Key1" localSheetId="7" hidden="1">#REF!</definedName>
    <definedName name="_Key1" localSheetId="10" hidden="1">#REF!</definedName>
    <definedName name="_Key1" localSheetId="0" hidden="1">#REF!</definedName>
    <definedName name="_Key1" localSheetId="6" hidden="1">#REF!</definedName>
    <definedName name="_Key1" localSheetId="4" hidden="1">#REF!</definedName>
    <definedName name="_Key1" localSheetId="1" hidden="1">#REF!</definedName>
    <definedName name="_Key1" localSheetId="14" hidden="1">#REF!</definedName>
    <definedName name="_Key1" localSheetId="16" hidden="1">#REF!</definedName>
    <definedName name="_Key1" localSheetId="18" hidden="1">#REF!</definedName>
    <definedName name="_Key1" localSheetId="5" hidden="1">#REF!</definedName>
    <definedName name="_Key1" hidden="1">#REF!</definedName>
    <definedName name="_Key11" localSheetId="8" hidden="1">#REF!</definedName>
    <definedName name="_Key11" localSheetId="9" hidden="1">#REF!</definedName>
    <definedName name="_Key11" localSheetId="7" hidden="1">#REF!</definedName>
    <definedName name="_Key11" localSheetId="10" hidden="1">#REF!</definedName>
    <definedName name="_Key11" localSheetId="1" hidden="1">#REF!</definedName>
    <definedName name="_Key11" hidden="1">#REF!</definedName>
    <definedName name="_Key2" localSheetId="13" hidden="1">#REF!</definedName>
    <definedName name="_Key2" localSheetId="15" hidden="1">#REF!</definedName>
    <definedName name="_Key2" localSheetId="17" hidden="1">#REF!</definedName>
    <definedName name="_Key2" localSheetId="19" hidden="1">#REF!</definedName>
    <definedName name="_Key2" localSheetId="0" hidden="1">#REF!</definedName>
    <definedName name="_Key2" localSheetId="6" hidden="1">#REF!</definedName>
    <definedName name="_Key2" localSheetId="1" hidden="1">#REF!</definedName>
    <definedName name="_Key2" localSheetId="14" hidden="1">#REF!</definedName>
    <definedName name="_Key2" localSheetId="16" hidden="1">#REF!</definedName>
    <definedName name="_Key2" localSheetId="18" hidden="1">#REF!</definedName>
    <definedName name="_Key2" localSheetId="5"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hidden="1">#REF!</definedName>
    <definedName name="_kjk6" localSheetId="15"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4" hidden="1">{"TAB1",#N/A,TRUE,"GENERAL";"TAB2",#N/A,TRUE,"GENERAL";"TAB3",#N/A,TRUE,"GENERAL";"TAB4",#N/A,TRUE,"GENERAL";"TAB5",#N/A,TRUE,"GENERAL"}</definedName>
    <definedName name="_kjk6" localSheetId="1"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8" hidden="1">{"TAB1",#N/A,TRUE,"GENERAL";"TAB2",#N/A,TRUE,"GENERAL";"TAB3",#N/A,TRUE,"GENERAL";"TAB4",#N/A,TRUE,"GENERAL";"TAB5",#N/A,TRUE,"GENERAL"}</definedName>
    <definedName name="_kjk6" hidden="1">{"TAB1",#N/A,TRUE,"GENERAL";"TAB2",#N/A,TRUE,"GENERAL";"TAB3",#N/A,TRUE,"GENERAL";"TAB4",#N/A,TRUE,"GENERAL";"TAB5",#N/A,TRUE,"GENERAL"}</definedName>
    <definedName name="_m3" localSheetId="15" hidden="1">{"via1",#N/A,TRUE,"general";"via2",#N/A,TRUE,"general";"via3",#N/A,TRUE,"general"}</definedName>
    <definedName name="_m3" localSheetId="17" hidden="1">{"via1",#N/A,TRUE,"general";"via2",#N/A,TRUE,"general";"via3",#N/A,TRUE,"general"}</definedName>
    <definedName name="_m3" localSheetId="19" hidden="1">{"via1",#N/A,TRUE,"general";"via2",#N/A,TRUE,"general";"via3",#N/A,TRUE,"general"}</definedName>
    <definedName name="_m3" localSheetId="12"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4" hidden="1">{"via1",#N/A,TRUE,"general";"via2",#N/A,TRUE,"general";"via3",#N/A,TRUE,"general"}</definedName>
    <definedName name="_m3" localSheetId="1" hidden="1">{"via1",#N/A,TRUE,"general";"via2",#N/A,TRUE,"general";"via3",#N/A,TRUE,"general"}</definedName>
    <definedName name="_m3" localSheetId="14" hidden="1">{"via1",#N/A,TRUE,"general";"via2",#N/A,TRUE,"general";"via3",#N/A,TRUE,"general"}</definedName>
    <definedName name="_m3" localSheetId="16" hidden="1">{"via1",#N/A,TRUE,"general";"via2",#N/A,TRUE,"general";"via3",#N/A,TRUE,"general"}</definedName>
    <definedName name="_m3" localSheetId="18" hidden="1">{"via1",#N/A,TRUE,"general";"via2",#N/A,TRUE,"general";"via3",#N/A,TRUE,"general"}</definedName>
    <definedName name="_m3" hidden="1">{"via1",#N/A,TRUE,"general";"via2",#N/A,TRUE,"general";"via3",#N/A,TRUE,"general"}</definedName>
    <definedName name="_m4" localSheetId="15" hidden="1">{"TAB1",#N/A,TRUE,"GENERAL";"TAB2",#N/A,TRUE,"GENERAL";"TAB3",#N/A,TRUE,"GENERAL";"TAB4",#N/A,TRUE,"GENERAL";"TAB5",#N/A,TRUE,"GENERAL"}</definedName>
    <definedName name="_m4" localSheetId="17" hidden="1">{"TAB1",#N/A,TRUE,"GENERAL";"TAB2",#N/A,TRUE,"GENERAL";"TAB3",#N/A,TRUE,"GENERAL";"TAB4",#N/A,TRUE,"GENERAL";"TAB5",#N/A,TRUE,"GENERAL"}</definedName>
    <definedName name="_m4" localSheetId="19" hidden="1">{"TAB1",#N/A,TRUE,"GENERAL";"TAB2",#N/A,TRUE,"GENERAL";"TAB3",#N/A,TRUE,"GENERAL";"TAB4",#N/A,TRUE,"GENERAL";"TAB5",#N/A,TRUE,"GENERAL"}</definedName>
    <definedName name="_m4" localSheetId="12"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4" hidden="1">{"TAB1",#N/A,TRUE,"GENERAL";"TAB2",#N/A,TRUE,"GENERAL";"TAB3",#N/A,TRUE,"GENERAL";"TAB4",#N/A,TRUE,"GENERAL";"TAB5",#N/A,TRUE,"GENERAL"}</definedName>
    <definedName name="_m4" localSheetId="1" hidden="1">{"TAB1",#N/A,TRUE,"GENERAL";"TAB2",#N/A,TRUE,"GENERAL";"TAB3",#N/A,TRUE,"GENERAL";"TAB4",#N/A,TRUE,"GENERAL";"TAB5",#N/A,TRUE,"GENERAL"}</definedName>
    <definedName name="_m4" localSheetId="14" hidden="1">{"TAB1",#N/A,TRUE,"GENERAL";"TAB2",#N/A,TRUE,"GENERAL";"TAB3",#N/A,TRUE,"GENERAL";"TAB4",#N/A,TRUE,"GENERAL";"TAB5",#N/A,TRUE,"GENERAL"}</definedName>
    <definedName name="_m4" localSheetId="16" hidden="1">{"TAB1",#N/A,TRUE,"GENERAL";"TAB2",#N/A,TRUE,"GENERAL";"TAB3",#N/A,TRUE,"GENERAL";"TAB4",#N/A,TRUE,"GENERAL";"TAB5",#N/A,TRUE,"GENERAL"}</definedName>
    <definedName name="_m4" localSheetId="18" hidden="1">{"TAB1",#N/A,TRUE,"GENERAL";"TAB2",#N/A,TRUE,"GENERAL";"TAB3",#N/A,TRUE,"GENERAL";"TAB4",#N/A,TRUE,"GENERAL";"TAB5",#N/A,TRUE,"GENERAL"}</definedName>
    <definedName name="_m4" hidden="1">{"TAB1",#N/A,TRUE,"GENERAL";"TAB2",#N/A,TRUE,"GENERAL";"TAB3",#N/A,TRUE,"GENERAL";"TAB4",#N/A,TRUE,"GENERAL";"TAB5",#N/A,TRUE,"GENERAL"}</definedName>
    <definedName name="_m5" localSheetId="15" hidden="1">{"via1",#N/A,TRUE,"general";"via2",#N/A,TRUE,"general";"via3",#N/A,TRUE,"general"}</definedName>
    <definedName name="_m5" localSheetId="17" hidden="1">{"via1",#N/A,TRUE,"general";"via2",#N/A,TRUE,"general";"via3",#N/A,TRUE,"general"}</definedName>
    <definedName name="_m5" localSheetId="19" hidden="1">{"via1",#N/A,TRUE,"general";"via2",#N/A,TRUE,"general";"via3",#N/A,TRUE,"general"}</definedName>
    <definedName name="_m5" localSheetId="12"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4" hidden="1">{"via1",#N/A,TRUE,"general";"via2",#N/A,TRUE,"general";"via3",#N/A,TRUE,"general"}</definedName>
    <definedName name="_m5" localSheetId="1" hidden="1">{"via1",#N/A,TRUE,"general";"via2",#N/A,TRUE,"general";"via3",#N/A,TRUE,"general"}</definedName>
    <definedName name="_m5" localSheetId="14" hidden="1">{"via1",#N/A,TRUE,"general";"via2",#N/A,TRUE,"general";"via3",#N/A,TRUE,"general"}</definedName>
    <definedName name="_m5" localSheetId="16" hidden="1">{"via1",#N/A,TRUE,"general";"via2",#N/A,TRUE,"general";"via3",#N/A,TRUE,"general"}</definedName>
    <definedName name="_m5" localSheetId="18" hidden="1">{"via1",#N/A,TRUE,"general";"via2",#N/A,TRUE,"general";"via3",#N/A,TRUE,"general"}</definedName>
    <definedName name="_m5" hidden="1">{"via1",#N/A,TRUE,"general";"via2",#N/A,TRUE,"general";"via3",#N/A,TRUE,"general"}</definedName>
    <definedName name="_m6" localSheetId="15" hidden="1">{"TAB1",#N/A,TRUE,"GENERAL";"TAB2",#N/A,TRUE,"GENERAL";"TAB3",#N/A,TRUE,"GENERAL";"TAB4",#N/A,TRUE,"GENERAL";"TAB5",#N/A,TRUE,"GENERAL"}</definedName>
    <definedName name="_m6" localSheetId="17" hidden="1">{"TAB1",#N/A,TRUE,"GENERAL";"TAB2",#N/A,TRUE,"GENERAL";"TAB3",#N/A,TRUE,"GENERAL";"TAB4",#N/A,TRUE,"GENERAL";"TAB5",#N/A,TRUE,"GENERAL"}</definedName>
    <definedName name="_m6" localSheetId="19" hidden="1">{"TAB1",#N/A,TRUE,"GENERAL";"TAB2",#N/A,TRUE,"GENERAL";"TAB3",#N/A,TRUE,"GENERAL";"TAB4",#N/A,TRUE,"GENERAL";"TAB5",#N/A,TRUE,"GENERAL"}</definedName>
    <definedName name="_m6" localSheetId="12"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4" hidden="1">{"TAB1",#N/A,TRUE,"GENERAL";"TAB2",#N/A,TRUE,"GENERAL";"TAB3",#N/A,TRUE,"GENERAL";"TAB4",#N/A,TRUE,"GENERAL";"TAB5",#N/A,TRUE,"GENERAL"}</definedName>
    <definedName name="_m6" localSheetId="1" hidden="1">{"TAB1",#N/A,TRUE,"GENERAL";"TAB2",#N/A,TRUE,"GENERAL";"TAB3",#N/A,TRUE,"GENERAL";"TAB4",#N/A,TRUE,"GENERAL";"TAB5",#N/A,TRUE,"GENERAL"}</definedName>
    <definedName name="_m6" localSheetId="14" hidden="1">{"TAB1",#N/A,TRUE,"GENERAL";"TAB2",#N/A,TRUE,"GENERAL";"TAB3",#N/A,TRUE,"GENERAL";"TAB4",#N/A,TRUE,"GENERAL";"TAB5",#N/A,TRUE,"GENERAL"}</definedName>
    <definedName name="_m6" localSheetId="16" hidden="1">{"TAB1",#N/A,TRUE,"GENERAL";"TAB2",#N/A,TRUE,"GENERAL";"TAB3",#N/A,TRUE,"GENERAL";"TAB4",#N/A,TRUE,"GENERAL";"TAB5",#N/A,TRUE,"GENERAL"}</definedName>
    <definedName name="_m6" localSheetId="18" hidden="1">{"TAB1",#N/A,TRUE,"GENERAL";"TAB2",#N/A,TRUE,"GENERAL";"TAB3",#N/A,TRUE,"GENERAL";"TAB4",#N/A,TRUE,"GENERAL";"TAB5",#N/A,TRUE,"GENERAL"}</definedName>
    <definedName name="_m6" hidden="1">{"TAB1",#N/A,TRUE,"GENERAL";"TAB2",#N/A,TRUE,"GENERAL";"TAB3",#N/A,TRUE,"GENERAL";"TAB4",#N/A,TRUE,"GENERAL";"TAB5",#N/A,TRUE,"GENERAL"}</definedName>
    <definedName name="_m7" localSheetId="15" hidden="1">{"TAB1",#N/A,TRUE,"GENERAL";"TAB2",#N/A,TRUE,"GENERAL";"TAB3",#N/A,TRUE,"GENERAL";"TAB4",#N/A,TRUE,"GENERAL";"TAB5",#N/A,TRUE,"GENERAL"}</definedName>
    <definedName name="_m7" localSheetId="17" hidden="1">{"TAB1",#N/A,TRUE,"GENERAL";"TAB2",#N/A,TRUE,"GENERAL";"TAB3",#N/A,TRUE,"GENERAL";"TAB4",#N/A,TRUE,"GENERAL";"TAB5",#N/A,TRUE,"GENERAL"}</definedName>
    <definedName name="_m7" localSheetId="19" hidden="1">{"TAB1",#N/A,TRUE,"GENERAL";"TAB2",#N/A,TRUE,"GENERAL";"TAB3",#N/A,TRUE,"GENERAL";"TAB4",#N/A,TRUE,"GENERAL";"TAB5",#N/A,TRUE,"GENERAL"}</definedName>
    <definedName name="_m7" localSheetId="12"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4" hidden="1">{"TAB1",#N/A,TRUE,"GENERAL";"TAB2",#N/A,TRUE,"GENERAL";"TAB3",#N/A,TRUE,"GENERAL";"TAB4",#N/A,TRUE,"GENERAL";"TAB5",#N/A,TRUE,"GENERAL"}</definedName>
    <definedName name="_m7" localSheetId="1" hidden="1">{"TAB1",#N/A,TRUE,"GENERAL";"TAB2",#N/A,TRUE,"GENERAL";"TAB3",#N/A,TRUE,"GENERAL";"TAB4",#N/A,TRUE,"GENERAL";"TAB5",#N/A,TRUE,"GENERAL"}</definedName>
    <definedName name="_m7" localSheetId="14" hidden="1">{"TAB1",#N/A,TRUE,"GENERAL";"TAB2",#N/A,TRUE,"GENERAL";"TAB3",#N/A,TRUE,"GENERAL";"TAB4",#N/A,TRUE,"GENERAL";"TAB5",#N/A,TRUE,"GENERAL"}</definedName>
    <definedName name="_m7" localSheetId="16" hidden="1">{"TAB1",#N/A,TRUE,"GENERAL";"TAB2",#N/A,TRUE,"GENERAL";"TAB3",#N/A,TRUE,"GENERAL";"TAB4",#N/A,TRUE,"GENERAL";"TAB5",#N/A,TRUE,"GENERAL"}</definedName>
    <definedName name="_m7" localSheetId="18" hidden="1">{"TAB1",#N/A,TRUE,"GENERAL";"TAB2",#N/A,TRUE,"GENERAL";"TAB3",#N/A,TRUE,"GENERAL";"TAB4",#N/A,TRUE,"GENERAL";"TAB5",#N/A,TRUE,"GENERAL"}</definedName>
    <definedName name="_m7" hidden="1">{"TAB1",#N/A,TRUE,"GENERAL";"TAB2",#N/A,TRUE,"GENERAL";"TAB3",#N/A,TRUE,"GENERAL";"TAB4",#N/A,TRUE,"GENERAL";"TAB5",#N/A,TRUE,"GENERAL"}</definedName>
    <definedName name="_m8" localSheetId="15" hidden="1">{"via1",#N/A,TRUE,"general";"via2",#N/A,TRUE,"general";"via3",#N/A,TRUE,"general"}</definedName>
    <definedName name="_m8" localSheetId="17" hidden="1">{"via1",#N/A,TRUE,"general";"via2",#N/A,TRUE,"general";"via3",#N/A,TRUE,"general"}</definedName>
    <definedName name="_m8" localSheetId="19" hidden="1">{"via1",#N/A,TRUE,"general";"via2",#N/A,TRUE,"general";"via3",#N/A,TRUE,"general"}</definedName>
    <definedName name="_m8" localSheetId="12"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4" hidden="1">{"via1",#N/A,TRUE,"general";"via2",#N/A,TRUE,"general";"via3",#N/A,TRUE,"general"}</definedName>
    <definedName name="_m8" localSheetId="1" hidden="1">{"via1",#N/A,TRUE,"general";"via2",#N/A,TRUE,"general";"via3",#N/A,TRUE,"general"}</definedName>
    <definedName name="_m8" localSheetId="14" hidden="1">{"via1",#N/A,TRUE,"general";"via2",#N/A,TRUE,"general";"via3",#N/A,TRUE,"general"}</definedName>
    <definedName name="_m8" localSheetId="16" hidden="1">{"via1",#N/A,TRUE,"general";"via2",#N/A,TRUE,"general";"via3",#N/A,TRUE,"general"}</definedName>
    <definedName name="_m8" localSheetId="18" hidden="1">{"via1",#N/A,TRUE,"general";"via2",#N/A,TRUE,"general";"via3",#N/A,TRUE,"general"}</definedName>
    <definedName name="_m8" hidden="1">{"via1",#N/A,TRUE,"general";"via2",#N/A,TRUE,"general";"via3",#N/A,TRUE,"general"}</definedName>
    <definedName name="_m9" localSheetId="15" hidden="1">{"via1",#N/A,TRUE,"general";"via2",#N/A,TRUE,"general";"via3",#N/A,TRUE,"general"}</definedName>
    <definedName name="_m9" localSheetId="17" hidden="1">{"via1",#N/A,TRUE,"general";"via2",#N/A,TRUE,"general";"via3",#N/A,TRUE,"general"}</definedName>
    <definedName name="_m9" localSheetId="19" hidden="1">{"via1",#N/A,TRUE,"general";"via2",#N/A,TRUE,"general";"via3",#N/A,TRUE,"general"}</definedName>
    <definedName name="_m9" localSheetId="12"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4" hidden="1">{"via1",#N/A,TRUE,"general";"via2",#N/A,TRUE,"general";"via3",#N/A,TRUE,"general"}</definedName>
    <definedName name="_m9" localSheetId="1" hidden="1">{"via1",#N/A,TRUE,"general";"via2",#N/A,TRUE,"general";"via3",#N/A,TRUE,"general"}</definedName>
    <definedName name="_m9" localSheetId="14" hidden="1">{"via1",#N/A,TRUE,"general";"via2",#N/A,TRUE,"general";"via3",#N/A,TRUE,"general"}</definedName>
    <definedName name="_m9" localSheetId="16" hidden="1">{"via1",#N/A,TRUE,"general";"via2",#N/A,TRUE,"general";"via3",#N/A,TRUE,"general"}</definedName>
    <definedName name="_m9" localSheetId="18" hidden="1">{"via1",#N/A,TRUE,"general";"via2",#N/A,TRUE,"general";"via3",#N/A,TRUE,"general"}</definedName>
    <definedName name="_m9" hidden="1">{"via1",#N/A,TRUE,"general";"via2",#N/A,TRUE,"general";"via3",#N/A,TRUE,"general"}</definedName>
    <definedName name="_n3" localSheetId="15" hidden="1">{"TAB1",#N/A,TRUE,"GENERAL";"TAB2",#N/A,TRUE,"GENERAL";"TAB3",#N/A,TRUE,"GENERAL";"TAB4",#N/A,TRUE,"GENERAL";"TAB5",#N/A,TRUE,"GENERAL"}</definedName>
    <definedName name="_n3" localSheetId="17" hidden="1">{"TAB1",#N/A,TRUE,"GENERAL";"TAB2",#N/A,TRUE,"GENERAL";"TAB3",#N/A,TRUE,"GENERAL";"TAB4",#N/A,TRUE,"GENERAL";"TAB5",#N/A,TRUE,"GENERAL"}</definedName>
    <definedName name="_n3" localSheetId="19" hidden="1">{"TAB1",#N/A,TRUE,"GENERAL";"TAB2",#N/A,TRUE,"GENERAL";"TAB3",#N/A,TRUE,"GENERAL";"TAB4",#N/A,TRUE,"GENERAL";"TAB5",#N/A,TRUE,"GENERAL"}</definedName>
    <definedName name="_n3" localSheetId="12"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4" hidden="1">{"TAB1",#N/A,TRUE,"GENERAL";"TAB2",#N/A,TRUE,"GENERAL";"TAB3",#N/A,TRUE,"GENERAL";"TAB4",#N/A,TRUE,"GENERAL";"TAB5",#N/A,TRUE,"GENERAL"}</definedName>
    <definedName name="_n3" localSheetId="1" hidden="1">{"TAB1",#N/A,TRUE,"GENERAL";"TAB2",#N/A,TRUE,"GENERAL";"TAB3",#N/A,TRUE,"GENERAL";"TAB4",#N/A,TRUE,"GENERAL";"TAB5",#N/A,TRUE,"GENERAL"}</definedName>
    <definedName name="_n3" localSheetId="14" hidden="1">{"TAB1",#N/A,TRUE,"GENERAL";"TAB2",#N/A,TRUE,"GENERAL";"TAB3",#N/A,TRUE,"GENERAL";"TAB4",#N/A,TRUE,"GENERAL";"TAB5",#N/A,TRUE,"GENERAL"}</definedName>
    <definedName name="_n3" localSheetId="16" hidden="1">{"TAB1",#N/A,TRUE,"GENERAL";"TAB2",#N/A,TRUE,"GENERAL";"TAB3",#N/A,TRUE,"GENERAL";"TAB4",#N/A,TRUE,"GENERAL";"TAB5",#N/A,TRUE,"GENERAL"}</definedName>
    <definedName name="_n3" localSheetId="18" hidden="1">{"TAB1",#N/A,TRUE,"GENERAL";"TAB2",#N/A,TRUE,"GENERAL";"TAB3",#N/A,TRUE,"GENERAL";"TAB4",#N/A,TRUE,"GENERAL";"TAB5",#N/A,TRUE,"GENERAL"}</definedName>
    <definedName name="_n3" hidden="1">{"TAB1",#N/A,TRUE,"GENERAL";"TAB2",#N/A,TRUE,"GENERAL";"TAB3",#N/A,TRUE,"GENERAL";"TAB4",#N/A,TRUE,"GENERAL";"TAB5",#N/A,TRUE,"GENERAL"}</definedName>
    <definedName name="_n4" localSheetId="15" hidden="1">{"via1",#N/A,TRUE,"general";"via2",#N/A,TRUE,"general";"via3",#N/A,TRUE,"general"}</definedName>
    <definedName name="_n4" localSheetId="17" hidden="1">{"via1",#N/A,TRUE,"general";"via2",#N/A,TRUE,"general";"via3",#N/A,TRUE,"general"}</definedName>
    <definedName name="_n4" localSheetId="19" hidden="1">{"via1",#N/A,TRUE,"general";"via2",#N/A,TRUE,"general";"via3",#N/A,TRUE,"general"}</definedName>
    <definedName name="_n4" localSheetId="12"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4" hidden="1">{"via1",#N/A,TRUE,"general";"via2",#N/A,TRUE,"general";"via3",#N/A,TRUE,"general"}</definedName>
    <definedName name="_n4" localSheetId="1" hidden="1">{"via1",#N/A,TRUE,"general";"via2",#N/A,TRUE,"general";"via3",#N/A,TRUE,"general"}</definedName>
    <definedName name="_n4" localSheetId="14" hidden="1">{"via1",#N/A,TRUE,"general";"via2",#N/A,TRUE,"general";"via3",#N/A,TRUE,"general"}</definedName>
    <definedName name="_n4" localSheetId="16" hidden="1">{"via1",#N/A,TRUE,"general";"via2",#N/A,TRUE,"general";"via3",#N/A,TRUE,"general"}</definedName>
    <definedName name="_n4" localSheetId="18" hidden="1">{"via1",#N/A,TRUE,"general";"via2",#N/A,TRUE,"general";"via3",#N/A,TRUE,"general"}</definedName>
    <definedName name="_n4" hidden="1">{"via1",#N/A,TRUE,"general";"via2",#N/A,TRUE,"general";"via3",#N/A,TRUE,"general"}</definedName>
    <definedName name="_n5" localSheetId="15" hidden="1">{"TAB1",#N/A,TRUE,"GENERAL";"TAB2",#N/A,TRUE,"GENERAL";"TAB3",#N/A,TRUE,"GENERAL";"TAB4",#N/A,TRUE,"GENERAL";"TAB5",#N/A,TRUE,"GENERAL"}</definedName>
    <definedName name="_n5" localSheetId="17" hidden="1">{"TAB1",#N/A,TRUE,"GENERAL";"TAB2",#N/A,TRUE,"GENERAL";"TAB3",#N/A,TRUE,"GENERAL";"TAB4",#N/A,TRUE,"GENERAL";"TAB5",#N/A,TRUE,"GENERAL"}</definedName>
    <definedName name="_n5" localSheetId="19" hidden="1">{"TAB1",#N/A,TRUE,"GENERAL";"TAB2",#N/A,TRUE,"GENERAL";"TAB3",#N/A,TRUE,"GENERAL";"TAB4",#N/A,TRUE,"GENERAL";"TAB5",#N/A,TRUE,"GENERAL"}</definedName>
    <definedName name="_n5" localSheetId="12"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4" hidden="1">{"TAB1",#N/A,TRUE,"GENERAL";"TAB2",#N/A,TRUE,"GENERAL";"TAB3",#N/A,TRUE,"GENERAL";"TAB4",#N/A,TRUE,"GENERAL";"TAB5",#N/A,TRUE,"GENERAL"}</definedName>
    <definedName name="_n5" localSheetId="1" hidden="1">{"TAB1",#N/A,TRUE,"GENERAL";"TAB2",#N/A,TRUE,"GENERAL";"TAB3",#N/A,TRUE,"GENERAL";"TAB4",#N/A,TRUE,"GENERAL";"TAB5",#N/A,TRUE,"GENERAL"}</definedName>
    <definedName name="_n5" localSheetId="14" hidden="1">{"TAB1",#N/A,TRUE,"GENERAL";"TAB2",#N/A,TRUE,"GENERAL";"TAB3",#N/A,TRUE,"GENERAL";"TAB4",#N/A,TRUE,"GENERAL";"TAB5",#N/A,TRUE,"GENERAL"}</definedName>
    <definedName name="_n5" localSheetId="16" hidden="1">{"TAB1",#N/A,TRUE,"GENERAL";"TAB2",#N/A,TRUE,"GENERAL";"TAB3",#N/A,TRUE,"GENERAL";"TAB4",#N/A,TRUE,"GENERAL";"TAB5",#N/A,TRUE,"GENERAL"}</definedName>
    <definedName name="_n5" localSheetId="18" hidden="1">{"TAB1",#N/A,TRUE,"GENERAL";"TAB2",#N/A,TRUE,"GENERAL";"TAB3",#N/A,TRUE,"GENERAL";"TAB4",#N/A,TRUE,"GENERAL";"TAB5",#N/A,TRUE,"GENERAL"}</definedName>
    <definedName name="_n5" hidden="1">{"TAB1",#N/A,TRUE,"GENERAL";"TAB2",#N/A,TRUE,"GENERAL";"TAB3",#N/A,TRUE,"GENERAL";"TAB4",#N/A,TRUE,"GENERAL";"TAB5",#N/A,TRUE,"GENERAL"}</definedName>
    <definedName name="_nyn7" localSheetId="15" hidden="1">{"via1",#N/A,TRUE,"general";"via2",#N/A,TRUE,"general";"via3",#N/A,TRUE,"general"}</definedName>
    <definedName name="_nyn7" localSheetId="17" hidden="1">{"via1",#N/A,TRUE,"general";"via2",#N/A,TRUE,"general";"via3",#N/A,TRUE,"general"}</definedName>
    <definedName name="_nyn7" localSheetId="19" hidden="1">{"via1",#N/A,TRUE,"general";"via2",#N/A,TRUE,"general";"via3",#N/A,TRUE,"general"}</definedName>
    <definedName name="_nyn7" localSheetId="12"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4" hidden="1">{"via1",#N/A,TRUE,"general";"via2",#N/A,TRUE,"general";"via3",#N/A,TRUE,"general"}</definedName>
    <definedName name="_nyn7" localSheetId="1" hidden="1">{"via1",#N/A,TRUE,"general";"via2",#N/A,TRUE,"general";"via3",#N/A,TRUE,"general"}</definedName>
    <definedName name="_nyn7" localSheetId="14" hidden="1">{"via1",#N/A,TRUE,"general";"via2",#N/A,TRUE,"general";"via3",#N/A,TRUE,"general"}</definedName>
    <definedName name="_nyn7" localSheetId="16" hidden="1">{"via1",#N/A,TRUE,"general";"via2",#N/A,TRUE,"general";"via3",#N/A,TRUE,"general"}</definedName>
    <definedName name="_nyn7" localSheetId="18" hidden="1">{"via1",#N/A,TRUE,"general";"via2",#N/A,TRUE,"general";"via3",#N/A,TRUE,"general"}</definedName>
    <definedName name="_nyn7" hidden="1">{"via1",#N/A,TRUE,"general";"via2",#N/A,TRUE,"general";"via3",#N/A,TRUE,"general"}</definedName>
    <definedName name="_o4" localSheetId="15" hidden="1">{"via1",#N/A,TRUE,"general";"via2",#N/A,TRUE,"general";"via3",#N/A,TRUE,"general"}</definedName>
    <definedName name="_o4" localSheetId="17" hidden="1">{"via1",#N/A,TRUE,"general";"via2",#N/A,TRUE,"general";"via3",#N/A,TRUE,"general"}</definedName>
    <definedName name="_o4" localSheetId="19" hidden="1">{"via1",#N/A,TRUE,"general";"via2",#N/A,TRUE,"general";"via3",#N/A,TRUE,"general"}</definedName>
    <definedName name="_o4" localSheetId="12"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4" hidden="1">{"via1",#N/A,TRUE,"general";"via2",#N/A,TRUE,"general";"via3",#N/A,TRUE,"general"}</definedName>
    <definedName name="_o4" localSheetId="1" hidden="1">{"via1",#N/A,TRUE,"general";"via2",#N/A,TRUE,"general";"via3",#N/A,TRUE,"general"}</definedName>
    <definedName name="_o4" localSheetId="14" hidden="1">{"via1",#N/A,TRUE,"general";"via2",#N/A,TRUE,"general";"via3",#N/A,TRUE,"general"}</definedName>
    <definedName name="_o4" localSheetId="16" hidden="1">{"via1",#N/A,TRUE,"general";"via2",#N/A,TRUE,"general";"via3",#N/A,TRUE,"general"}</definedName>
    <definedName name="_o4" localSheetId="18" hidden="1">{"via1",#N/A,TRUE,"general";"via2",#N/A,TRUE,"general";"via3",#N/A,TRUE,"general"}</definedName>
    <definedName name="_o4" hidden="1">{"via1",#N/A,TRUE,"general";"via2",#N/A,TRUE,"general";"via3",#N/A,TRUE,"general"}</definedName>
    <definedName name="_o5" localSheetId="15" hidden="1">{"TAB1",#N/A,TRUE,"GENERAL";"TAB2",#N/A,TRUE,"GENERAL";"TAB3",#N/A,TRUE,"GENERAL";"TAB4",#N/A,TRUE,"GENERAL";"TAB5",#N/A,TRUE,"GENERAL"}</definedName>
    <definedName name="_o5" localSheetId="17" hidden="1">{"TAB1",#N/A,TRUE,"GENERAL";"TAB2",#N/A,TRUE,"GENERAL";"TAB3",#N/A,TRUE,"GENERAL";"TAB4",#N/A,TRUE,"GENERAL";"TAB5",#N/A,TRUE,"GENERAL"}</definedName>
    <definedName name="_o5" localSheetId="19" hidden="1">{"TAB1",#N/A,TRUE,"GENERAL";"TAB2",#N/A,TRUE,"GENERAL";"TAB3",#N/A,TRUE,"GENERAL";"TAB4",#N/A,TRUE,"GENERAL";"TAB5",#N/A,TRUE,"GENERAL"}</definedName>
    <definedName name="_o5" localSheetId="12"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4" hidden="1">{"TAB1",#N/A,TRUE,"GENERAL";"TAB2",#N/A,TRUE,"GENERAL";"TAB3",#N/A,TRUE,"GENERAL";"TAB4",#N/A,TRUE,"GENERAL";"TAB5",#N/A,TRUE,"GENERAL"}</definedName>
    <definedName name="_o5" localSheetId="1" hidden="1">{"TAB1",#N/A,TRUE,"GENERAL";"TAB2",#N/A,TRUE,"GENERAL";"TAB3",#N/A,TRUE,"GENERAL";"TAB4",#N/A,TRUE,"GENERAL";"TAB5",#N/A,TRUE,"GENERAL"}</definedName>
    <definedName name="_o5" localSheetId="14" hidden="1">{"TAB1",#N/A,TRUE,"GENERAL";"TAB2",#N/A,TRUE,"GENERAL";"TAB3",#N/A,TRUE,"GENERAL";"TAB4",#N/A,TRUE,"GENERAL";"TAB5",#N/A,TRUE,"GENERAL"}</definedName>
    <definedName name="_o5" localSheetId="16" hidden="1">{"TAB1",#N/A,TRUE,"GENERAL";"TAB2",#N/A,TRUE,"GENERAL";"TAB3",#N/A,TRUE,"GENERAL";"TAB4",#N/A,TRUE,"GENERAL";"TAB5",#N/A,TRUE,"GENERAL"}</definedName>
    <definedName name="_o5" localSheetId="18" hidden="1">{"TAB1",#N/A,TRUE,"GENERAL";"TAB2",#N/A,TRUE,"GENERAL";"TAB3",#N/A,TRUE,"GENERAL";"TAB4",#N/A,TRUE,"GENERAL";"TAB5",#N/A,TRUE,"GENERAL"}</definedName>
    <definedName name="_o5" hidden="1">{"TAB1",#N/A,TRUE,"GENERAL";"TAB2",#N/A,TRUE,"GENERAL";"TAB3",#N/A,TRUE,"GENERAL";"TAB4",#N/A,TRUE,"GENERAL";"TAB5",#N/A,TRUE,"GENERAL"}</definedName>
    <definedName name="_o6" localSheetId="15" hidden="1">{"TAB1",#N/A,TRUE,"GENERAL";"TAB2",#N/A,TRUE,"GENERAL";"TAB3",#N/A,TRUE,"GENERAL";"TAB4",#N/A,TRUE,"GENERAL";"TAB5",#N/A,TRUE,"GENERAL"}</definedName>
    <definedName name="_o6" localSheetId="17" hidden="1">{"TAB1",#N/A,TRUE,"GENERAL";"TAB2",#N/A,TRUE,"GENERAL";"TAB3",#N/A,TRUE,"GENERAL";"TAB4",#N/A,TRUE,"GENERAL";"TAB5",#N/A,TRUE,"GENERAL"}</definedName>
    <definedName name="_o6" localSheetId="19" hidden="1">{"TAB1",#N/A,TRUE,"GENERAL";"TAB2",#N/A,TRUE,"GENERAL";"TAB3",#N/A,TRUE,"GENERAL";"TAB4",#N/A,TRUE,"GENERAL";"TAB5",#N/A,TRUE,"GENERAL"}</definedName>
    <definedName name="_o6" localSheetId="12"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4" hidden="1">{"TAB1",#N/A,TRUE,"GENERAL";"TAB2",#N/A,TRUE,"GENERAL";"TAB3",#N/A,TRUE,"GENERAL";"TAB4",#N/A,TRUE,"GENERAL";"TAB5",#N/A,TRUE,"GENERAL"}</definedName>
    <definedName name="_o6" localSheetId="1" hidden="1">{"TAB1",#N/A,TRUE,"GENERAL";"TAB2",#N/A,TRUE,"GENERAL";"TAB3",#N/A,TRUE,"GENERAL";"TAB4",#N/A,TRUE,"GENERAL";"TAB5",#N/A,TRUE,"GENERAL"}</definedName>
    <definedName name="_o6" localSheetId="14" hidden="1">{"TAB1",#N/A,TRUE,"GENERAL";"TAB2",#N/A,TRUE,"GENERAL";"TAB3",#N/A,TRUE,"GENERAL";"TAB4",#N/A,TRUE,"GENERAL";"TAB5",#N/A,TRUE,"GENERAL"}</definedName>
    <definedName name="_o6" localSheetId="16" hidden="1">{"TAB1",#N/A,TRUE,"GENERAL";"TAB2",#N/A,TRUE,"GENERAL";"TAB3",#N/A,TRUE,"GENERAL";"TAB4",#N/A,TRUE,"GENERAL";"TAB5",#N/A,TRUE,"GENERAL"}</definedName>
    <definedName name="_o6" localSheetId="18" hidden="1">{"TAB1",#N/A,TRUE,"GENERAL";"TAB2",#N/A,TRUE,"GENERAL";"TAB3",#N/A,TRUE,"GENERAL";"TAB4",#N/A,TRUE,"GENERAL";"TAB5",#N/A,TRUE,"GENERAL"}</definedName>
    <definedName name="_o6" hidden="1">{"TAB1",#N/A,TRUE,"GENERAL";"TAB2",#N/A,TRUE,"GENERAL";"TAB3",#N/A,TRUE,"GENERAL";"TAB4",#N/A,TRUE,"GENERAL";"TAB5",#N/A,TRUE,"GENERAL"}</definedName>
    <definedName name="_o7" localSheetId="15" hidden="1">{"TAB1",#N/A,TRUE,"GENERAL";"TAB2",#N/A,TRUE,"GENERAL";"TAB3",#N/A,TRUE,"GENERAL";"TAB4",#N/A,TRUE,"GENERAL";"TAB5",#N/A,TRUE,"GENERAL"}</definedName>
    <definedName name="_o7" localSheetId="17" hidden="1">{"TAB1",#N/A,TRUE,"GENERAL";"TAB2",#N/A,TRUE,"GENERAL";"TAB3",#N/A,TRUE,"GENERAL";"TAB4",#N/A,TRUE,"GENERAL";"TAB5",#N/A,TRUE,"GENERAL"}</definedName>
    <definedName name="_o7" localSheetId="19" hidden="1">{"TAB1",#N/A,TRUE,"GENERAL";"TAB2",#N/A,TRUE,"GENERAL";"TAB3",#N/A,TRUE,"GENERAL";"TAB4",#N/A,TRUE,"GENERAL";"TAB5",#N/A,TRUE,"GENERAL"}</definedName>
    <definedName name="_o7" localSheetId="12"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4" hidden="1">{"TAB1",#N/A,TRUE,"GENERAL";"TAB2",#N/A,TRUE,"GENERAL";"TAB3",#N/A,TRUE,"GENERAL";"TAB4",#N/A,TRUE,"GENERAL";"TAB5",#N/A,TRUE,"GENERAL"}</definedName>
    <definedName name="_o7" localSheetId="1" hidden="1">{"TAB1",#N/A,TRUE,"GENERAL";"TAB2",#N/A,TRUE,"GENERAL";"TAB3",#N/A,TRUE,"GENERAL";"TAB4",#N/A,TRUE,"GENERAL";"TAB5",#N/A,TRUE,"GENERAL"}</definedName>
    <definedName name="_o7" localSheetId="14" hidden="1">{"TAB1",#N/A,TRUE,"GENERAL";"TAB2",#N/A,TRUE,"GENERAL";"TAB3",#N/A,TRUE,"GENERAL";"TAB4",#N/A,TRUE,"GENERAL";"TAB5",#N/A,TRUE,"GENERAL"}</definedName>
    <definedName name="_o7" localSheetId="16" hidden="1">{"TAB1",#N/A,TRUE,"GENERAL";"TAB2",#N/A,TRUE,"GENERAL";"TAB3",#N/A,TRUE,"GENERAL";"TAB4",#N/A,TRUE,"GENERAL";"TAB5",#N/A,TRUE,"GENERAL"}</definedName>
    <definedName name="_o7" localSheetId="18" hidden="1">{"TAB1",#N/A,TRUE,"GENERAL";"TAB2",#N/A,TRUE,"GENERAL";"TAB3",#N/A,TRUE,"GENERAL";"TAB4",#N/A,TRUE,"GENERAL";"TAB5",#N/A,TRUE,"GENERAL"}</definedName>
    <definedName name="_o7" hidden="1">{"TAB1",#N/A,TRUE,"GENERAL";"TAB2",#N/A,TRUE,"GENERAL";"TAB3",#N/A,TRUE,"GENERAL";"TAB4",#N/A,TRUE,"GENERAL";"TAB5",#N/A,TRUE,"GENERAL"}</definedName>
    <definedName name="_o8" localSheetId="15" hidden="1">{"via1",#N/A,TRUE,"general";"via2",#N/A,TRUE,"general";"via3",#N/A,TRUE,"general"}</definedName>
    <definedName name="_o8" localSheetId="17" hidden="1">{"via1",#N/A,TRUE,"general";"via2",#N/A,TRUE,"general";"via3",#N/A,TRUE,"general"}</definedName>
    <definedName name="_o8" localSheetId="19" hidden="1">{"via1",#N/A,TRUE,"general";"via2",#N/A,TRUE,"general";"via3",#N/A,TRUE,"general"}</definedName>
    <definedName name="_o8" localSheetId="12"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4" hidden="1">{"via1",#N/A,TRUE,"general";"via2",#N/A,TRUE,"general";"via3",#N/A,TRUE,"general"}</definedName>
    <definedName name="_o8" localSheetId="1" hidden="1">{"via1",#N/A,TRUE,"general";"via2",#N/A,TRUE,"general";"via3",#N/A,TRUE,"general"}</definedName>
    <definedName name="_o8" localSheetId="14" hidden="1">{"via1",#N/A,TRUE,"general";"via2",#N/A,TRUE,"general";"via3",#N/A,TRUE,"general"}</definedName>
    <definedName name="_o8" localSheetId="16" hidden="1">{"via1",#N/A,TRUE,"general";"via2",#N/A,TRUE,"general";"via3",#N/A,TRUE,"general"}</definedName>
    <definedName name="_o8" localSheetId="18" hidden="1">{"via1",#N/A,TRUE,"general";"via2",#N/A,TRUE,"general";"via3",#N/A,TRUE,"general"}</definedName>
    <definedName name="_o8" hidden="1">{"via1",#N/A,TRUE,"general";"via2",#N/A,TRUE,"general";"via3",#N/A,TRUE,"general"}</definedName>
    <definedName name="_o9" localSheetId="15" hidden="1">{"TAB1",#N/A,TRUE,"GENERAL";"TAB2",#N/A,TRUE,"GENERAL";"TAB3",#N/A,TRUE,"GENERAL";"TAB4",#N/A,TRUE,"GENERAL";"TAB5",#N/A,TRUE,"GENERAL"}</definedName>
    <definedName name="_o9" localSheetId="17" hidden="1">{"TAB1",#N/A,TRUE,"GENERAL";"TAB2",#N/A,TRUE,"GENERAL";"TAB3",#N/A,TRUE,"GENERAL";"TAB4",#N/A,TRUE,"GENERAL";"TAB5",#N/A,TRUE,"GENERAL"}</definedName>
    <definedName name="_o9" localSheetId="19" hidden="1">{"TAB1",#N/A,TRUE,"GENERAL";"TAB2",#N/A,TRUE,"GENERAL";"TAB3",#N/A,TRUE,"GENERAL";"TAB4",#N/A,TRUE,"GENERAL";"TAB5",#N/A,TRUE,"GENERAL"}</definedName>
    <definedName name="_o9" localSheetId="12"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4" hidden="1">{"TAB1",#N/A,TRUE,"GENERAL";"TAB2",#N/A,TRUE,"GENERAL";"TAB3",#N/A,TRUE,"GENERAL";"TAB4",#N/A,TRUE,"GENERAL";"TAB5",#N/A,TRUE,"GENERAL"}</definedName>
    <definedName name="_o9" localSheetId="1" hidden="1">{"TAB1",#N/A,TRUE,"GENERAL";"TAB2",#N/A,TRUE,"GENERAL";"TAB3",#N/A,TRUE,"GENERAL";"TAB4",#N/A,TRUE,"GENERAL";"TAB5",#N/A,TRUE,"GENERAL"}</definedName>
    <definedName name="_o9" localSheetId="14" hidden="1">{"TAB1",#N/A,TRUE,"GENERAL";"TAB2",#N/A,TRUE,"GENERAL";"TAB3",#N/A,TRUE,"GENERAL";"TAB4",#N/A,TRUE,"GENERAL";"TAB5",#N/A,TRUE,"GENERAL"}</definedName>
    <definedName name="_o9" localSheetId="16" hidden="1">{"TAB1",#N/A,TRUE,"GENERAL";"TAB2",#N/A,TRUE,"GENERAL";"TAB3",#N/A,TRUE,"GENERAL";"TAB4",#N/A,TRUE,"GENERAL";"TAB5",#N/A,TRUE,"GENERAL"}</definedName>
    <definedName name="_o9" localSheetId="18"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15" hidden="1">{"via1",#N/A,TRUE,"general";"via2",#N/A,TRUE,"general";"via3",#N/A,TRUE,"general"}</definedName>
    <definedName name="_p6" localSheetId="17" hidden="1">{"via1",#N/A,TRUE,"general";"via2",#N/A,TRUE,"general";"via3",#N/A,TRUE,"general"}</definedName>
    <definedName name="_p6" localSheetId="19" hidden="1">{"via1",#N/A,TRUE,"general";"via2",#N/A,TRUE,"general";"via3",#N/A,TRUE,"general"}</definedName>
    <definedName name="_p6" localSheetId="12"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4" hidden="1">{"via1",#N/A,TRUE,"general";"via2",#N/A,TRUE,"general";"via3",#N/A,TRUE,"general"}</definedName>
    <definedName name="_p6" localSheetId="1" hidden="1">{"via1",#N/A,TRUE,"general";"via2",#N/A,TRUE,"general";"via3",#N/A,TRUE,"general"}</definedName>
    <definedName name="_p6" localSheetId="14" hidden="1">{"via1",#N/A,TRUE,"general";"via2",#N/A,TRUE,"general";"via3",#N/A,TRUE,"general"}</definedName>
    <definedName name="_p6" localSheetId="16" hidden="1">{"via1",#N/A,TRUE,"general";"via2",#N/A,TRUE,"general";"via3",#N/A,TRUE,"general"}</definedName>
    <definedName name="_p6" localSheetId="18" hidden="1">{"via1",#N/A,TRUE,"general";"via2",#N/A,TRUE,"general";"via3",#N/A,TRUE,"general"}</definedName>
    <definedName name="_p6" hidden="1">{"via1",#N/A,TRUE,"general";"via2",#N/A,TRUE,"general";"via3",#N/A,TRUE,"general"}</definedName>
    <definedName name="_p7" localSheetId="15" hidden="1">{"via1",#N/A,TRUE,"general";"via2",#N/A,TRUE,"general";"via3",#N/A,TRUE,"general"}</definedName>
    <definedName name="_p7" localSheetId="17" hidden="1">{"via1",#N/A,TRUE,"general";"via2",#N/A,TRUE,"general";"via3",#N/A,TRUE,"general"}</definedName>
    <definedName name="_p7" localSheetId="19" hidden="1">{"via1",#N/A,TRUE,"general";"via2",#N/A,TRUE,"general";"via3",#N/A,TRUE,"general"}</definedName>
    <definedName name="_p7" localSheetId="12"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4" hidden="1">{"via1",#N/A,TRUE,"general";"via2",#N/A,TRUE,"general";"via3",#N/A,TRUE,"general"}</definedName>
    <definedName name="_p7" localSheetId="1" hidden="1">{"via1",#N/A,TRUE,"general";"via2",#N/A,TRUE,"general";"via3",#N/A,TRUE,"general"}</definedName>
    <definedName name="_p7" localSheetId="14" hidden="1">{"via1",#N/A,TRUE,"general";"via2",#N/A,TRUE,"general";"via3",#N/A,TRUE,"general"}</definedName>
    <definedName name="_p7" localSheetId="16" hidden="1">{"via1",#N/A,TRUE,"general";"via2",#N/A,TRUE,"general";"via3",#N/A,TRUE,"general"}</definedName>
    <definedName name="_p7" localSheetId="18" hidden="1">{"via1",#N/A,TRUE,"general";"via2",#N/A,TRUE,"general";"via3",#N/A,TRUE,"general"}</definedName>
    <definedName name="_p7" hidden="1">{"via1",#N/A,TRUE,"general";"via2",#N/A,TRUE,"general";"via3",#N/A,TRUE,"general"}</definedName>
    <definedName name="_p8" localSheetId="15" hidden="1">{"TAB1",#N/A,TRUE,"GENERAL";"TAB2",#N/A,TRUE,"GENERAL";"TAB3",#N/A,TRUE,"GENERAL";"TAB4",#N/A,TRUE,"GENERAL";"TAB5",#N/A,TRUE,"GENERAL"}</definedName>
    <definedName name="_p8" localSheetId="17" hidden="1">{"TAB1",#N/A,TRUE,"GENERAL";"TAB2",#N/A,TRUE,"GENERAL";"TAB3",#N/A,TRUE,"GENERAL";"TAB4",#N/A,TRUE,"GENERAL";"TAB5",#N/A,TRUE,"GENERAL"}</definedName>
    <definedName name="_p8" localSheetId="19" hidden="1">{"TAB1",#N/A,TRUE,"GENERAL";"TAB2",#N/A,TRUE,"GENERAL";"TAB3",#N/A,TRUE,"GENERAL";"TAB4",#N/A,TRUE,"GENERAL";"TAB5",#N/A,TRUE,"GENERAL"}</definedName>
    <definedName name="_p8" localSheetId="12"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4" hidden="1">{"TAB1",#N/A,TRUE,"GENERAL";"TAB2",#N/A,TRUE,"GENERAL";"TAB3",#N/A,TRUE,"GENERAL";"TAB4",#N/A,TRUE,"GENERAL";"TAB5",#N/A,TRUE,"GENERAL"}</definedName>
    <definedName name="_p8" localSheetId="1" hidden="1">{"TAB1",#N/A,TRUE,"GENERAL";"TAB2",#N/A,TRUE,"GENERAL";"TAB3",#N/A,TRUE,"GENERAL";"TAB4",#N/A,TRUE,"GENERAL";"TAB5",#N/A,TRUE,"GENERAL"}</definedName>
    <definedName name="_p8" localSheetId="14" hidden="1">{"TAB1",#N/A,TRUE,"GENERAL";"TAB2",#N/A,TRUE,"GENERAL";"TAB3",#N/A,TRUE,"GENERAL";"TAB4",#N/A,TRUE,"GENERAL";"TAB5",#N/A,TRUE,"GENERAL"}</definedName>
    <definedName name="_p8" localSheetId="16" hidden="1">{"TAB1",#N/A,TRUE,"GENERAL";"TAB2",#N/A,TRUE,"GENERAL";"TAB3",#N/A,TRUE,"GENERAL";"TAB4",#N/A,TRUE,"GENERAL";"TAB5",#N/A,TRUE,"GENERAL"}</definedName>
    <definedName name="_p8" localSheetId="18" hidden="1">{"TAB1",#N/A,TRUE,"GENERAL";"TAB2",#N/A,TRUE,"GENERAL";"TAB3",#N/A,TRUE,"GENERAL";"TAB4",#N/A,TRUE,"GENERAL";"TAB5",#N/A,TRUE,"GENERAL"}</definedName>
    <definedName name="_p8" hidden="1">{"TAB1",#N/A,TRUE,"GENERAL";"TAB2",#N/A,TRUE,"GENERAL";"TAB3",#N/A,TRUE,"GENERAL";"TAB4",#N/A,TRUE,"GENERAL";"TAB5",#N/A,TRUE,"GENERAL"}</definedName>
    <definedName name="_Parse_Out" localSheetId="13" hidden="1">#REF!</definedName>
    <definedName name="_Parse_Out" localSheetId="15" hidden="1">#REF!</definedName>
    <definedName name="_Parse_Out" localSheetId="17" hidden="1">#REF!</definedName>
    <definedName name="_Parse_Out" localSheetId="19" hidden="1">#REF!</definedName>
    <definedName name="_Parse_Out" localSheetId="12" hidden="1">#REF!</definedName>
    <definedName name="_Parse_Out" localSheetId="8" hidden="1">#REF!</definedName>
    <definedName name="_Parse_Out" localSheetId="9" hidden="1">#REF!</definedName>
    <definedName name="_Parse_Out" localSheetId="7" hidden="1">#REF!</definedName>
    <definedName name="_Parse_Out" localSheetId="10" hidden="1">#REF!</definedName>
    <definedName name="_Parse_Out" localSheetId="11" hidden="1">#REF!</definedName>
    <definedName name="_Parse_Out" localSheetId="6" hidden="1">#REF!</definedName>
    <definedName name="_Parse_Out" localSheetId="4" hidden="1">#REF!</definedName>
    <definedName name="_Parse_Out" localSheetId="1" hidden="1">#REF!</definedName>
    <definedName name="_Parse_Out" localSheetId="14" hidden="1">#REF!</definedName>
    <definedName name="_Parse_Out" localSheetId="16" hidden="1">#REF!</definedName>
    <definedName name="_Parse_Out" localSheetId="18" hidden="1">#REF!</definedName>
    <definedName name="_Parse_Out" localSheetId="5" hidden="1">#REF!</definedName>
    <definedName name="_Parse_Out" hidden="1">#REF!</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4" hidden="1">{"TAB1",#N/A,TRUE,"GENERAL";"TAB2",#N/A,TRUE,"GENERAL";"TAB3",#N/A,TRUE,"GENERAL";"TAB4",#N/A,TRUE,"GENERAL";"TAB5",#N/A,TRUE,"GENERAL"}</definedName>
    <definedName name="_r" localSheetId="1" hidden="1">{"TAB1",#N/A,TRUE,"GENERAL";"TAB2",#N/A,TRUE,"GENERAL";"TAB3",#N/A,TRUE,"GENERAL";"TAB4",#N/A,TRUE,"GENERAL";"TAB5",#N/A,TRUE,"GENERAL"}</definedName>
    <definedName name="_r4r" localSheetId="15" hidden="1">{"via1",#N/A,TRUE,"general";"via2",#N/A,TRUE,"general";"via3",#N/A,TRUE,"general"}</definedName>
    <definedName name="_r4r" localSheetId="17" hidden="1">{"via1",#N/A,TRUE,"general";"via2",#N/A,TRUE,"general";"via3",#N/A,TRUE,"general"}</definedName>
    <definedName name="_r4r" localSheetId="19" hidden="1">{"via1",#N/A,TRUE,"general";"via2",#N/A,TRUE,"general";"via3",#N/A,TRUE,"general"}</definedName>
    <definedName name="_r4r" localSheetId="12"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4" hidden="1">{"via1",#N/A,TRUE,"general";"via2",#N/A,TRUE,"general";"via3",#N/A,TRUE,"general"}</definedName>
    <definedName name="_r4r" localSheetId="1" hidden="1">{"via1",#N/A,TRUE,"general";"via2",#N/A,TRUE,"general";"via3",#N/A,TRUE,"general"}</definedName>
    <definedName name="_r4r" localSheetId="14" hidden="1">{"via1",#N/A,TRUE,"general";"via2",#N/A,TRUE,"general";"via3",#N/A,TRUE,"general"}</definedName>
    <definedName name="_r4r" localSheetId="16" hidden="1">{"via1",#N/A,TRUE,"general";"via2",#N/A,TRUE,"general";"via3",#N/A,TRUE,"general"}</definedName>
    <definedName name="_r4r" localSheetId="18" hidden="1">{"via1",#N/A,TRUE,"general";"via2",#N/A,TRUE,"general";"via3",#N/A,TRUE,"general"}</definedName>
    <definedName name="_r4r" hidden="1">{"via1",#N/A,TRUE,"general";"via2",#N/A,TRUE,"general";"via3",#N/A,TRUE,"general"}</definedName>
    <definedName name="_Regression_Int" hidden="1">1</definedName>
    <definedName name="_rtu6" localSheetId="15" hidden="1">{"via1",#N/A,TRUE,"general";"via2",#N/A,TRUE,"general";"via3",#N/A,TRUE,"general"}</definedName>
    <definedName name="_rtu6" localSheetId="17" hidden="1">{"via1",#N/A,TRUE,"general";"via2",#N/A,TRUE,"general";"via3",#N/A,TRUE,"general"}</definedName>
    <definedName name="_rtu6" localSheetId="19" hidden="1">{"via1",#N/A,TRUE,"general";"via2",#N/A,TRUE,"general";"via3",#N/A,TRUE,"general"}</definedName>
    <definedName name="_rtu6" localSheetId="12"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4" hidden="1">{"via1",#N/A,TRUE,"general";"via2",#N/A,TRUE,"general";"via3",#N/A,TRUE,"general"}</definedName>
    <definedName name="_rtu6" localSheetId="1" hidden="1">{"via1",#N/A,TRUE,"general";"via2",#N/A,TRUE,"general";"via3",#N/A,TRUE,"general"}</definedName>
    <definedName name="_rtu6" localSheetId="14" hidden="1">{"via1",#N/A,TRUE,"general";"via2",#N/A,TRUE,"general";"via3",#N/A,TRUE,"general"}</definedName>
    <definedName name="_rtu6" localSheetId="16" hidden="1">{"via1",#N/A,TRUE,"general";"via2",#N/A,TRUE,"general";"via3",#N/A,TRUE,"general"}</definedName>
    <definedName name="_rtu6" localSheetId="18" hidden="1">{"via1",#N/A,TRUE,"general";"via2",#N/A,TRUE,"general";"via3",#N/A,TRUE,"general"}</definedName>
    <definedName name="_rtu6" hidden="1">{"via1",#N/A,TRUE,"general";"via2",#N/A,TRUE,"general";"via3",#N/A,TRUE,"general"}</definedName>
    <definedName name="_s1" localSheetId="15" hidden="1">{"via1",#N/A,TRUE,"general";"via2",#N/A,TRUE,"general";"via3",#N/A,TRUE,"general"}</definedName>
    <definedName name="_s1" localSheetId="17" hidden="1">{"via1",#N/A,TRUE,"general";"via2",#N/A,TRUE,"general";"via3",#N/A,TRUE,"general"}</definedName>
    <definedName name="_s1" localSheetId="19" hidden="1">{"via1",#N/A,TRUE,"general";"via2",#N/A,TRUE,"general";"via3",#N/A,TRUE,"general"}</definedName>
    <definedName name="_s1" localSheetId="12"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4" hidden="1">{"via1",#N/A,TRUE,"general";"via2",#N/A,TRUE,"general";"via3",#N/A,TRUE,"general"}</definedName>
    <definedName name="_s1" localSheetId="1" hidden="1">{"via1",#N/A,TRUE,"general";"via2",#N/A,TRUE,"general";"via3",#N/A,TRUE,"general"}</definedName>
    <definedName name="_s1" localSheetId="14" hidden="1">{"via1",#N/A,TRUE,"general";"via2",#N/A,TRUE,"general";"via3",#N/A,TRUE,"general"}</definedName>
    <definedName name="_s1" localSheetId="16" hidden="1">{"via1",#N/A,TRUE,"general";"via2",#N/A,TRUE,"general";"via3",#N/A,TRUE,"general"}</definedName>
    <definedName name="_s1" localSheetId="18" hidden="1">{"via1",#N/A,TRUE,"general";"via2",#N/A,TRUE,"general";"via3",#N/A,TRUE,"general"}</definedName>
    <definedName name="_s1" hidden="1">{"via1",#N/A,TRUE,"general";"via2",#N/A,TRUE,"general";"via3",#N/A,TRUE,"general"}</definedName>
    <definedName name="_s2" localSheetId="15" hidden="1">{"TAB1",#N/A,TRUE,"GENERAL";"TAB2",#N/A,TRUE,"GENERAL";"TAB3",#N/A,TRUE,"GENERAL";"TAB4",#N/A,TRUE,"GENERAL";"TAB5",#N/A,TRUE,"GENERAL"}</definedName>
    <definedName name="_s2" localSheetId="17" hidden="1">{"TAB1",#N/A,TRUE,"GENERAL";"TAB2",#N/A,TRUE,"GENERAL";"TAB3",#N/A,TRUE,"GENERAL";"TAB4",#N/A,TRUE,"GENERAL";"TAB5",#N/A,TRUE,"GENERAL"}</definedName>
    <definedName name="_s2" localSheetId="19" hidden="1">{"TAB1",#N/A,TRUE,"GENERAL";"TAB2",#N/A,TRUE,"GENERAL";"TAB3",#N/A,TRUE,"GENERAL";"TAB4",#N/A,TRUE,"GENERAL";"TAB5",#N/A,TRUE,"GENERAL"}</definedName>
    <definedName name="_s2" localSheetId="12"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4" hidden="1">{"TAB1",#N/A,TRUE,"GENERAL";"TAB2",#N/A,TRUE,"GENERAL";"TAB3",#N/A,TRUE,"GENERAL";"TAB4",#N/A,TRUE,"GENERAL";"TAB5",#N/A,TRUE,"GENERAL"}</definedName>
    <definedName name="_s2" localSheetId="1" hidden="1">{"TAB1",#N/A,TRUE,"GENERAL";"TAB2",#N/A,TRUE,"GENERAL";"TAB3",#N/A,TRUE,"GENERAL";"TAB4",#N/A,TRUE,"GENERAL";"TAB5",#N/A,TRUE,"GENERAL"}</definedName>
    <definedName name="_s2" localSheetId="14" hidden="1">{"TAB1",#N/A,TRUE,"GENERAL";"TAB2",#N/A,TRUE,"GENERAL";"TAB3",#N/A,TRUE,"GENERAL";"TAB4",#N/A,TRUE,"GENERAL";"TAB5",#N/A,TRUE,"GENERAL"}</definedName>
    <definedName name="_s2" localSheetId="16" hidden="1">{"TAB1",#N/A,TRUE,"GENERAL";"TAB2",#N/A,TRUE,"GENERAL";"TAB3",#N/A,TRUE,"GENERAL";"TAB4",#N/A,TRUE,"GENERAL";"TAB5",#N/A,TRUE,"GENERAL"}</definedName>
    <definedName name="_s2" localSheetId="18" hidden="1">{"TAB1",#N/A,TRUE,"GENERAL";"TAB2",#N/A,TRUE,"GENERAL";"TAB3",#N/A,TRUE,"GENERAL";"TAB4",#N/A,TRUE,"GENERAL";"TAB5",#N/A,TRUE,"GENERAL"}</definedName>
    <definedName name="_s2" hidden="1">{"TAB1",#N/A,TRUE,"GENERAL";"TAB2",#N/A,TRUE,"GENERAL";"TAB3",#N/A,TRUE,"GENERAL";"TAB4",#N/A,TRUE,"GENERAL";"TAB5",#N/A,TRUE,"GENERAL"}</definedName>
    <definedName name="_s3" localSheetId="15" hidden="1">{"TAB1",#N/A,TRUE,"GENERAL";"TAB2",#N/A,TRUE,"GENERAL";"TAB3",#N/A,TRUE,"GENERAL";"TAB4",#N/A,TRUE,"GENERAL";"TAB5",#N/A,TRUE,"GENERAL"}</definedName>
    <definedName name="_s3" localSheetId="17" hidden="1">{"TAB1",#N/A,TRUE,"GENERAL";"TAB2",#N/A,TRUE,"GENERAL";"TAB3",#N/A,TRUE,"GENERAL";"TAB4",#N/A,TRUE,"GENERAL";"TAB5",#N/A,TRUE,"GENERAL"}</definedName>
    <definedName name="_s3" localSheetId="19" hidden="1">{"TAB1",#N/A,TRUE,"GENERAL";"TAB2",#N/A,TRUE,"GENERAL";"TAB3",#N/A,TRUE,"GENERAL";"TAB4",#N/A,TRUE,"GENERAL";"TAB5",#N/A,TRUE,"GENERAL"}</definedName>
    <definedName name="_s3" localSheetId="12"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4" hidden="1">{"TAB1",#N/A,TRUE,"GENERAL";"TAB2",#N/A,TRUE,"GENERAL";"TAB3",#N/A,TRUE,"GENERAL";"TAB4",#N/A,TRUE,"GENERAL";"TAB5",#N/A,TRUE,"GENERAL"}</definedName>
    <definedName name="_s3" localSheetId="1" hidden="1">{"TAB1",#N/A,TRUE,"GENERAL";"TAB2",#N/A,TRUE,"GENERAL";"TAB3",#N/A,TRUE,"GENERAL";"TAB4",#N/A,TRUE,"GENERAL";"TAB5",#N/A,TRUE,"GENERAL"}</definedName>
    <definedName name="_s3" localSheetId="14" hidden="1">{"TAB1",#N/A,TRUE,"GENERAL";"TAB2",#N/A,TRUE,"GENERAL";"TAB3",#N/A,TRUE,"GENERAL";"TAB4",#N/A,TRUE,"GENERAL";"TAB5",#N/A,TRUE,"GENERAL"}</definedName>
    <definedName name="_s3" localSheetId="16" hidden="1">{"TAB1",#N/A,TRUE,"GENERAL";"TAB2",#N/A,TRUE,"GENERAL";"TAB3",#N/A,TRUE,"GENERAL";"TAB4",#N/A,TRUE,"GENERAL";"TAB5",#N/A,TRUE,"GENERAL"}</definedName>
    <definedName name="_s3" localSheetId="18" hidden="1">{"TAB1",#N/A,TRUE,"GENERAL";"TAB2",#N/A,TRUE,"GENERAL";"TAB3",#N/A,TRUE,"GENERAL";"TAB4",#N/A,TRUE,"GENERAL";"TAB5",#N/A,TRUE,"GENERAL"}</definedName>
    <definedName name="_s3" hidden="1">{"TAB1",#N/A,TRUE,"GENERAL";"TAB2",#N/A,TRUE,"GENERAL";"TAB3",#N/A,TRUE,"GENERAL";"TAB4",#N/A,TRUE,"GENERAL";"TAB5",#N/A,TRUE,"GENERAL"}</definedName>
    <definedName name="_s4" localSheetId="15" hidden="1">{"via1",#N/A,TRUE,"general";"via2",#N/A,TRUE,"general";"via3",#N/A,TRUE,"general"}</definedName>
    <definedName name="_s4" localSheetId="17" hidden="1">{"via1",#N/A,TRUE,"general";"via2",#N/A,TRUE,"general";"via3",#N/A,TRUE,"general"}</definedName>
    <definedName name="_s4" localSheetId="19" hidden="1">{"via1",#N/A,TRUE,"general";"via2",#N/A,TRUE,"general";"via3",#N/A,TRUE,"general"}</definedName>
    <definedName name="_s4" localSheetId="12"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4" hidden="1">{"via1",#N/A,TRUE,"general";"via2",#N/A,TRUE,"general";"via3",#N/A,TRUE,"general"}</definedName>
    <definedName name="_s4" localSheetId="1" hidden="1">{"via1",#N/A,TRUE,"general";"via2",#N/A,TRUE,"general";"via3",#N/A,TRUE,"general"}</definedName>
    <definedName name="_s4" localSheetId="14" hidden="1">{"via1",#N/A,TRUE,"general";"via2",#N/A,TRUE,"general";"via3",#N/A,TRUE,"general"}</definedName>
    <definedName name="_s4" localSheetId="16" hidden="1">{"via1",#N/A,TRUE,"general";"via2",#N/A,TRUE,"general";"via3",#N/A,TRUE,"general"}</definedName>
    <definedName name="_s4" localSheetId="18" hidden="1">{"via1",#N/A,TRUE,"general";"via2",#N/A,TRUE,"general";"via3",#N/A,TRUE,"general"}</definedName>
    <definedName name="_s4" hidden="1">{"via1",#N/A,TRUE,"general";"via2",#N/A,TRUE,"general";"via3",#N/A,TRUE,"general"}</definedName>
    <definedName name="_s5" localSheetId="15" hidden="1">{"via1",#N/A,TRUE,"general";"via2",#N/A,TRUE,"general";"via3",#N/A,TRUE,"general"}</definedName>
    <definedName name="_s5" localSheetId="17" hidden="1">{"via1",#N/A,TRUE,"general";"via2",#N/A,TRUE,"general";"via3",#N/A,TRUE,"general"}</definedName>
    <definedName name="_s5" localSheetId="19" hidden="1">{"via1",#N/A,TRUE,"general";"via2",#N/A,TRUE,"general";"via3",#N/A,TRUE,"general"}</definedName>
    <definedName name="_s5" localSheetId="12"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4" hidden="1">{"via1",#N/A,TRUE,"general";"via2",#N/A,TRUE,"general";"via3",#N/A,TRUE,"general"}</definedName>
    <definedName name="_s5" localSheetId="1" hidden="1">{"via1",#N/A,TRUE,"general";"via2",#N/A,TRUE,"general";"via3",#N/A,TRUE,"general"}</definedName>
    <definedName name="_s5" localSheetId="14" hidden="1">{"via1",#N/A,TRUE,"general";"via2",#N/A,TRUE,"general";"via3",#N/A,TRUE,"general"}</definedName>
    <definedName name="_s5" localSheetId="16" hidden="1">{"via1",#N/A,TRUE,"general";"via2",#N/A,TRUE,"general";"via3",#N/A,TRUE,"general"}</definedName>
    <definedName name="_s5" localSheetId="18" hidden="1">{"via1",#N/A,TRUE,"general";"via2",#N/A,TRUE,"general";"via3",#N/A,TRUE,"general"}</definedName>
    <definedName name="_s5" hidden="1">{"via1",#N/A,TRUE,"general";"via2",#N/A,TRUE,"general";"via3",#N/A,TRUE,"general"}</definedName>
    <definedName name="_s6" localSheetId="15" hidden="1">{"TAB1",#N/A,TRUE,"GENERAL";"TAB2",#N/A,TRUE,"GENERAL";"TAB3",#N/A,TRUE,"GENERAL";"TAB4",#N/A,TRUE,"GENERAL";"TAB5",#N/A,TRUE,"GENERAL"}</definedName>
    <definedName name="_s6" localSheetId="17" hidden="1">{"TAB1",#N/A,TRUE,"GENERAL";"TAB2",#N/A,TRUE,"GENERAL";"TAB3",#N/A,TRUE,"GENERAL";"TAB4",#N/A,TRUE,"GENERAL";"TAB5",#N/A,TRUE,"GENERAL"}</definedName>
    <definedName name="_s6" localSheetId="19" hidden="1">{"TAB1",#N/A,TRUE,"GENERAL";"TAB2",#N/A,TRUE,"GENERAL";"TAB3",#N/A,TRUE,"GENERAL";"TAB4",#N/A,TRUE,"GENERAL";"TAB5",#N/A,TRUE,"GENERAL"}</definedName>
    <definedName name="_s6" localSheetId="12"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4" hidden="1">{"TAB1",#N/A,TRUE,"GENERAL";"TAB2",#N/A,TRUE,"GENERAL";"TAB3",#N/A,TRUE,"GENERAL";"TAB4",#N/A,TRUE,"GENERAL";"TAB5",#N/A,TRUE,"GENERAL"}</definedName>
    <definedName name="_s6" localSheetId="1" hidden="1">{"TAB1",#N/A,TRUE,"GENERAL";"TAB2",#N/A,TRUE,"GENERAL";"TAB3",#N/A,TRUE,"GENERAL";"TAB4",#N/A,TRUE,"GENERAL";"TAB5",#N/A,TRUE,"GENERAL"}</definedName>
    <definedName name="_s6" localSheetId="14" hidden="1">{"TAB1",#N/A,TRUE,"GENERAL";"TAB2",#N/A,TRUE,"GENERAL";"TAB3",#N/A,TRUE,"GENERAL";"TAB4",#N/A,TRUE,"GENERAL";"TAB5",#N/A,TRUE,"GENERAL"}</definedName>
    <definedName name="_s6" localSheetId="16" hidden="1">{"TAB1",#N/A,TRUE,"GENERAL";"TAB2",#N/A,TRUE,"GENERAL";"TAB3",#N/A,TRUE,"GENERAL";"TAB4",#N/A,TRUE,"GENERAL";"TAB5",#N/A,TRUE,"GENERAL"}</definedName>
    <definedName name="_s6" localSheetId="18" hidden="1">{"TAB1",#N/A,TRUE,"GENERAL";"TAB2",#N/A,TRUE,"GENERAL";"TAB3",#N/A,TRUE,"GENERAL";"TAB4",#N/A,TRUE,"GENERAL";"TAB5",#N/A,TRUE,"GENERAL"}</definedName>
    <definedName name="_s6" hidden="1">{"TAB1",#N/A,TRUE,"GENERAL";"TAB2",#N/A,TRUE,"GENERAL";"TAB3",#N/A,TRUE,"GENERAL";"TAB4",#N/A,TRUE,"GENERAL";"TAB5",#N/A,TRUE,"GENERAL"}</definedName>
    <definedName name="_s7" localSheetId="15" hidden="1">{"via1",#N/A,TRUE,"general";"via2",#N/A,TRUE,"general";"via3",#N/A,TRUE,"general"}</definedName>
    <definedName name="_s7" localSheetId="17" hidden="1">{"via1",#N/A,TRUE,"general";"via2",#N/A,TRUE,"general";"via3",#N/A,TRUE,"general"}</definedName>
    <definedName name="_s7" localSheetId="19" hidden="1">{"via1",#N/A,TRUE,"general";"via2",#N/A,TRUE,"general";"via3",#N/A,TRUE,"general"}</definedName>
    <definedName name="_s7" localSheetId="12"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4" hidden="1">{"via1",#N/A,TRUE,"general";"via2",#N/A,TRUE,"general";"via3",#N/A,TRUE,"general"}</definedName>
    <definedName name="_s7" localSheetId="1" hidden="1">{"via1",#N/A,TRUE,"general";"via2",#N/A,TRUE,"general";"via3",#N/A,TRUE,"general"}</definedName>
    <definedName name="_s7" localSheetId="14" hidden="1">{"via1",#N/A,TRUE,"general";"via2",#N/A,TRUE,"general";"via3",#N/A,TRUE,"general"}</definedName>
    <definedName name="_s7" localSheetId="16" hidden="1">{"via1",#N/A,TRUE,"general";"via2",#N/A,TRUE,"general";"via3",#N/A,TRUE,"general"}</definedName>
    <definedName name="_s7" localSheetId="18" hidden="1">{"via1",#N/A,TRUE,"general";"via2",#N/A,TRUE,"general";"via3",#N/A,TRUE,"general"}</definedName>
    <definedName name="_s7" hidden="1">{"via1",#N/A,TRUE,"general";"via2",#N/A,TRUE,"general";"via3",#N/A,TRUE,"general"}</definedName>
    <definedName name="_Sort" localSheetId="13" hidden="1">#REF!</definedName>
    <definedName name="_Sort" localSheetId="15" hidden="1">#REF!</definedName>
    <definedName name="_Sort" localSheetId="17" hidden="1">#REF!</definedName>
    <definedName name="_Sort" localSheetId="19" hidden="1">#REF!</definedName>
    <definedName name="_Sort" localSheetId="12" hidden="1">#REF!</definedName>
    <definedName name="_Sort" localSheetId="8" hidden="1">#REF!</definedName>
    <definedName name="_Sort" localSheetId="9" hidden="1">#REF!</definedName>
    <definedName name="_Sort" localSheetId="7" hidden="1">#REF!</definedName>
    <definedName name="_Sort" localSheetId="10" hidden="1">#REF!</definedName>
    <definedName name="_Sort" localSheetId="0" hidden="1">#REF!</definedName>
    <definedName name="_Sort" localSheetId="6" hidden="1">#REF!</definedName>
    <definedName name="_Sort" localSheetId="4" hidden="1">#REF!</definedName>
    <definedName name="_Sort" localSheetId="1" hidden="1">#REF!</definedName>
    <definedName name="_Sort" localSheetId="14" hidden="1">#REF!</definedName>
    <definedName name="_Sort" localSheetId="16" hidden="1">#REF!</definedName>
    <definedName name="_Sort" localSheetId="18" hidden="1">#REF!</definedName>
    <definedName name="_Sort" localSheetId="5" hidden="1">#REF!</definedName>
    <definedName name="_Sort" hidden="1">#REF!</definedName>
    <definedName name="_t3" localSheetId="15" hidden="1">{"TAB1",#N/A,TRUE,"GENERAL";"TAB2",#N/A,TRUE,"GENERAL";"TAB3",#N/A,TRUE,"GENERAL";"TAB4",#N/A,TRUE,"GENERAL";"TAB5",#N/A,TRUE,"GENERAL"}</definedName>
    <definedName name="_t3" localSheetId="17" hidden="1">{"TAB1",#N/A,TRUE,"GENERAL";"TAB2",#N/A,TRUE,"GENERAL";"TAB3",#N/A,TRUE,"GENERAL";"TAB4",#N/A,TRUE,"GENERAL";"TAB5",#N/A,TRUE,"GENERAL"}</definedName>
    <definedName name="_t3" localSheetId="19" hidden="1">{"TAB1",#N/A,TRUE,"GENERAL";"TAB2",#N/A,TRUE,"GENERAL";"TAB3",#N/A,TRUE,"GENERAL";"TAB4",#N/A,TRUE,"GENERAL";"TAB5",#N/A,TRUE,"GENERAL"}</definedName>
    <definedName name="_t3" localSheetId="12"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4" hidden="1">{"TAB1",#N/A,TRUE,"GENERAL";"TAB2",#N/A,TRUE,"GENERAL";"TAB3",#N/A,TRUE,"GENERAL";"TAB4",#N/A,TRUE,"GENERAL";"TAB5",#N/A,TRUE,"GENERAL"}</definedName>
    <definedName name="_t3" localSheetId="1" hidden="1">{"TAB1",#N/A,TRUE,"GENERAL";"TAB2",#N/A,TRUE,"GENERAL";"TAB3",#N/A,TRUE,"GENERAL";"TAB4",#N/A,TRUE,"GENERAL";"TAB5",#N/A,TRUE,"GENERAL"}</definedName>
    <definedName name="_t3" localSheetId="14" hidden="1">{"TAB1",#N/A,TRUE,"GENERAL";"TAB2",#N/A,TRUE,"GENERAL";"TAB3",#N/A,TRUE,"GENERAL";"TAB4",#N/A,TRUE,"GENERAL";"TAB5",#N/A,TRUE,"GENERAL"}</definedName>
    <definedName name="_t3" localSheetId="16" hidden="1">{"TAB1",#N/A,TRUE,"GENERAL";"TAB2",#N/A,TRUE,"GENERAL";"TAB3",#N/A,TRUE,"GENERAL";"TAB4",#N/A,TRUE,"GENERAL";"TAB5",#N/A,TRUE,"GENERAL"}</definedName>
    <definedName name="_t3" localSheetId="18" hidden="1">{"TAB1",#N/A,TRUE,"GENERAL";"TAB2",#N/A,TRUE,"GENERAL";"TAB3",#N/A,TRUE,"GENERAL";"TAB4",#N/A,TRUE,"GENERAL";"TAB5",#N/A,TRUE,"GENERAL"}</definedName>
    <definedName name="_t3" hidden="1">{"TAB1",#N/A,TRUE,"GENERAL";"TAB2",#N/A,TRUE,"GENERAL";"TAB3",#N/A,TRUE,"GENERAL";"TAB4",#N/A,TRUE,"GENERAL";"TAB5",#N/A,TRUE,"GENERAL"}</definedName>
    <definedName name="_t4" localSheetId="15" hidden="1">{"via1",#N/A,TRUE,"general";"via2",#N/A,TRUE,"general";"via3",#N/A,TRUE,"general"}</definedName>
    <definedName name="_t4" localSheetId="17" hidden="1">{"via1",#N/A,TRUE,"general";"via2",#N/A,TRUE,"general";"via3",#N/A,TRUE,"general"}</definedName>
    <definedName name="_t4" localSheetId="19" hidden="1">{"via1",#N/A,TRUE,"general";"via2",#N/A,TRUE,"general";"via3",#N/A,TRUE,"general"}</definedName>
    <definedName name="_t4" localSheetId="12"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4" hidden="1">{"via1",#N/A,TRUE,"general";"via2",#N/A,TRUE,"general";"via3",#N/A,TRUE,"general"}</definedName>
    <definedName name="_t4" localSheetId="1" hidden="1">{"via1",#N/A,TRUE,"general";"via2",#N/A,TRUE,"general";"via3",#N/A,TRUE,"general"}</definedName>
    <definedName name="_t4" localSheetId="14" hidden="1">{"via1",#N/A,TRUE,"general";"via2",#N/A,TRUE,"general";"via3",#N/A,TRUE,"general"}</definedName>
    <definedName name="_t4" localSheetId="16" hidden="1">{"via1",#N/A,TRUE,"general";"via2",#N/A,TRUE,"general";"via3",#N/A,TRUE,"general"}</definedName>
    <definedName name="_t4" localSheetId="18" hidden="1">{"via1",#N/A,TRUE,"general";"via2",#N/A,TRUE,"general";"via3",#N/A,TRUE,"general"}</definedName>
    <definedName name="_t4" hidden="1">{"via1",#N/A,TRUE,"general";"via2",#N/A,TRUE,"general";"via3",#N/A,TRUE,"general"}</definedName>
    <definedName name="_t5" localSheetId="15" hidden="1">{"TAB1",#N/A,TRUE,"GENERAL";"TAB2",#N/A,TRUE,"GENERAL";"TAB3",#N/A,TRUE,"GENERAL";"TAB4",#N/A,TRUE,"GENERAL";"TAB5",#N/A,TRUE,"GENERAL"}</definedName>
    <definedName name="_t5" localSheetId="17" hidden="1">{"TAB1",#N/A,TRUE,"GENERAL";"TAB2",#N/A,TRUE,"GENERAL";"TAB3",#N/A,TRUE,"GENERAL";"TAB4",#N/A,TRUE,"GENERAL";"TAB5",#N/A,TRUE,"GENERAL"}</definedName>
    <definedName name="_t5" localSheetId="19" hidden="1">{"TAB1",#N/A,TRUE,"GENERAL";"TAB2",#N/A,TRUE,"GENERAL";"TAB3",#N/A,TRUE,"GENERAL";"TAB4",#N/A,TRUE,"GENERAL";"TAB5",#N/A,TRUE,"GENERAL"}</definedName>
    <definedName name="_t5" localSheetId="12"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4" hidden="1">{"TAB1",#N/A,TRUE,"GENERAL";"TAB2",#N/A,TRUE,"GENERAL";"TAB3",#N/A,TRUE,"GENERAL";"TAB4",#N/A,TRUE,"GENERAL";"TAB5",#N/A,TRUE,"GENERAL"}</definedName>
    <definedName name="_t5" localSheetId="1" hidden="1">{"TAB1",#N/A,TRUE,"GENERAL";"TAB2",#N/A,TRUE,"GENERAL";"TAB3",#N/A,TRUE,"GENERAL";"TAB4",#N/A,TRUE,"GENERAL";"TAB5",#N/A,TRUE,"GENERAL"}</definedName>
    <definedName name="_t5" localSheetId="14" hidden="1">{"TAB1",#N/A,TRUE,"GENERAL";"TAB2",#N/A,TRUE,"GENERAL";"TAB3",#N/A,TRUE,"GENERAL";"TAB4",#N/A,TRUE,"GENERAL";"TAB5",#N/A,TRUE,"GENERAL"}</definedName>
    <definedName name="_t5" localSheetId="16" hidden="1">{"TAB1",#N/A,TRUE,"GENERAL";"TAB2",#N/A,TRUE,"GENERAL";"TAB3",#N/A,TRUE,"GENERAL";"TAB4",#N/A,TRUE,"GENERAL";"TAB5",#N/A,TRUE,"GENERAL"}</definedName>
    <definedName name="_t5" localSheetId="18" hidden="1">{"TAB1",#N/A,TRUE,"GENERAL";"TAB2",#N/A,TRUE,"GENERAL";"TAB3",#N/A,TRUE,"GENERAL";"TAB4",#N/A,TRUE,"GENERAL";"TAB5",#N/A,TRUE,"GENERAL"}</definedName>
    <definedName name="_t5" hidden="1">{"TAB1",#N/A,TRUE,"GENERAL";"TAB2",#N/A,TRUE,"GENERAL";"TAB3",#N/A,TRUE,"GENERAL";"TAB4",#N/A,TRUE,"GENERAL";"TAB5",#N/A,TRUE,"GENERAL"}</definedName>
    <definedName name="_t6" localSheetId="15" hidden="1">{"via1",#N/A,TRUE,"general";"via2",#N/A,TRUE,"general";"via3",#N/A,TRUE,"general"}</definedName>
    <definedName name="_t6" localSheetId="17" hidden="1">{"via1",#N/A,TRUE,"general";"via2",#N/A,TRUE,"general";"via3",#N/A,TRUE,"general"}</definedName>
    <definedName name="_t6" localSheetId="19" hidden="1">{"via1",#N/A,TRUE,"general";"via2",#N/A,TRUE,"general";"via3",#N/A,TRUE,"general"}</definedName>
    <definedName name="_t6" localSheetId="12"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4" hidden="1">{"via1",#N/A,TRUE,"general";"via2",#N/A,TRUE,"general";"via3",#N/A,TRUE,"general"}</definedName>
    <definedName name="_t6" localSheetId="1" hidden="1">{"via1",#N/A,TRUE,"general";"via2",#N/A,TRUE,"general";"via3",#N/A,TRUE,"general"}</definedName>
    <definedName name="_t6" localSheetId="14" hidden="1">{"via1",#N/A,TRUE,"general";"via2",#N/A,TRUE,"general";"via3",#N/A,TRUE,"general"}</definedName>
    <definedName name="_t6" localSheetId="16" hidden="1">{"via1",#N/A,TRUE,"general";"via2",#N/A,TRUE,"general";"via3",#N/A,TRUE,"general"}</definedName>
    <definedName name="_t6" localSheetId="18" hidden="1">{"via1",#N/A,TRUE,"general";"via2",#N/A,TRUE,"general";"via3",#N/A,TRUE,"general"}</definedName>
    <definedName name="_t6" hidden="1">{"via1",#N/A,TRUE,"general";"via2",#N/A,TRUE,"general";"via3",#N/A,TRUE,"general"}</definedName>
    <definedName name="_t66" localSheetId="15" hidden="1">{"TAB1",#N/A,TRUE,"GENERAL";"TAB2",#N/A,TRUE,"GENERAL";"TAB3",#N/A,TRUE,"GENERAL";"TAB4",#N/A,TRUE,"GENERAL";"TAB5",#N/A,TRUE,"GENERAL"}</definedName>
    <definedName name="_t66" localSheetId="17" hidden="1">{"TAB1",#N/A,TRUE,"GENERAL";"TAB2",#N/A,TRUE,"GENERAL";"TAB3",#N/A,TRUE,"GENERAL";"TAB4",#N/A,TRUE,"GENERAL";"TAB5",#N/A,TRUE,"GENERAL"}</definedName>
    <definedName name="_t66" localSheetId="19" hidden="1">{"TAB1",#N/A,TRUE,"GENERAL";"TAB2",#N/A,TRUE,"GENERAL";"TAB3",#N/A,TRUE,"GENERAL";"TAB4",#N/A,TRUE,"GENERAL";"TAB5",#N/A,TRUE,"GENERAL"}</definedName>
    <definedName name="_t66" localSheetId="12"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4" hidden="1">{"TAB1",#N/A,TRUE,"GENERAL";"TAB2",#N/A,TRUE,"GENERAL";"TAB3",#N/A,TRUE,"GENERAL";"TAB4",#N/A,TRUE,"GENERAL";"TAB5",#N/A,TRUE,"GENERAL"}</definedName>
    <definedName name="_t66" localSheetId="1" hidden="1">{"TAB1",#N/A,TRUE,"GENERAL";"TAB2",#N/A,TRUE,"GENERAL";"TAB3",#N/A,TRUE,"GENERAL";"TAB4",#N/A,TRUE,"GENERAL";"TAB5",#N/A,TRUE,"GENERAL"}</definedName>
    <definedName name="_t66" localSheetId="14" hidden="1">{"TAB1",#N/A,TRUE,"GENERAL";"TAB2",#N/A,TRUE,"GENERAL";"TAB3",#N/A,TRUE,"GENERAL";"TAB4",#N/A,TRUE,"GENERAL";"TAB5",#N/A,TRUE,"GENERAL"}</definedName>
    <definedName name="_t66" localSheetId="16" hidden="1">{"TAB1",#N/A,TRUE,"GENERAL";"TAB2",#N/A,TRUE,"GENERAL";"TAB3",#N/A,TRUE,"GENERAL";"TAB4",#N/A,TRUE,"GENERAL";"TAB5",#N/A,TRUE,"GENERAL"}</definedName>
    <definedName name="_t66" localSheetId="18" hidden="1">{"TAB1",#N/A,TRUE,"GENERAL";"TAB2",#N/A,TRUE,"GENERAL";"TAB3",#N/A,TRUE,"GENERAL";"TAB4",#N/A,TRUE,"GENERAL";"TAB5",#N/A,TRUE,"GENERAL"}</definedName>
    <definedName name="_t66" hidden="1">{"TAB1",#N/A,TRUE,"GENERAL";"TAB2",#N/A,TRUE,"GENERAL";"TAB3",#N/A,TRUE,"GENERAL";"TAB4",#N/A,TRUE,"GENERAL";"TAB5",#N/A,TRUE,"GENERAL"}</definedName>
    <definedName name="_t7" localSheetId="15" hidden="1">{"via1",#N/A,TRUE,"general";"via2",#N/A,TRUE,"general";"via3",#N/A,TRUE,"general"}</definedName>
    <definedName name="_t7" localSheetId="17" hidden="1">{"via1",#N/A,TRUE,"general";"via2",#N/A,TRUE,"general";"via3",#N/A,TRUE,"general"}</definedName>
    <definedName name="_t7" localSheetId="19" hidden="1">{"via1",#N/A,TRUE,"general";"via2",#N/A,TRUE,"general";"via3",#N/A,TRUE,"general"}</definedName>
    <definedName name="_t7" localSheetId="12"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4" hidden="1">{"via1",#N/A,TRUE,"general";"via2",#N/A,TRUE,"general";"via3",#N/A,TRUE,"general"}</definedName>
    <definedName name="_t7" localSheetId="1" hidden="1">{"via1",#N/A,TRUE,"general";"via2",#N/A,TRUE,"general";"via3",#N/A,TRUE,"general"}</definedName>
    <definedName name="_t7" localSheetId="14" hidden="1">{"via1",#N/A,TRUE,"general";"via2",#N/A,TRUE,"general";"via3",#N/A,TRUE,"general"}</definedName>
    <definedName name="_t7" localSheetId="16" hidden="1">{"via1",#N/A,TRUE,"general";"via2",#N/A,TRUE,"general";"via3",#N/A,TRUE,"general"}</definedName>
    <definedName name="_t7" localSheetId="18" hidden="1">{"via1",#N/A,TRUE,"general";"via2",#N/A,TRUE,"general";"via3",#N/A,TRUE,"general"}</definedName>
    <definedName name="_t7" hidden="1">{"via1",#N/A,TRUE,"general";"via2",#N/A,TRUE,"general";"via3",#N/A,TRUE,"general"}</definedName>
    <definedName name="_t77" localSheetId="15" hidden="1">{"TAB1",#N/A,TRUE,"GENERAL";"TAB2",#N/A,TRUE,"GENERAL";"TAB3",#N/A,TRUE,"GENERAL";"TAB4",#N/A,TRUE,"GENERAL";"TAB5",#N/A,TRUE,"GENERAL"}</definedName>
    <definedName name="_t77" localSheetId="17" hidden="1">{"TAB1",#N/A,TRUE,"GENERAL";"TAB2",#N/A,TRUE,"GENERAL";"TAB3",#N/A,TRUE,"GENERAL";"TAB4",#N/A,TRUE,"GENERAL";"TAB5",#N/A,TRUE,"GENERAL"}</definedName>
    <definedName name="_t77" localSheetId="19" hidden="1">{"TAB1",#N/A,TRUE,"GENERAL";"TAB2",#N/A,TRUE,"GENERAL";"TAB3",#N/A,TRUE,"GENERAL";"TAB4",#N/A,TRUE,"GENERAL";"TAB5",#N/A,TRUE,"GENERAL"}</definedName>
    <definedName name="_t77" localSheetId="12"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4" hidden="1">{"TAB1",#N/A,TRUE,"GENERAL";"TAB2",#N/A,TRUE,"GENERAL";"TAB3",#N/A,TRUE,"GENERAL";"TAB4",#N/A,TRUE,"GENERAL";"TAB5",#N/A,TRUE,"GENERAL"}</definedName>
    <definedName name="_t77" localSheetId="1" hidden="1">{"TAB1",#N/A,TRUE,"GENERAL";"TAB2",#N/A,TRUE,"GENERAL";"TAB3",#N/A,TRUE,"GENERAL";"TAB4",#N/A,TRUE,"GENERAL";"TAB5",#N/A,TRUE,"GENERAL"}</definedName>
    <definedName name="_t77" localSheetId="14" hidden="1">{"TAB1",#N/A,TRUE,"GENERAL";"TAB2",#N/A,TRUE,"GENERAL";"TAB3",#N/A,TRUE,"GENERAL";"TAB4",#N/A,TRUE,"GENERAL";"TAB5",#N/A,TRUE,"GENERAL"}</definedName>
    <definedName name="_t77" localSheetId="16" hidden="1">{"TAB1",#N/A,TRUE,"GENERAL";"TAB2",#N/A,TRUE,"GENERAL";"TAB3",#N/A,TRUE,"GENERAL";"TAB4",#N/A,TRUE,"GENERAL";"TAB5",#N/A,TRUE,"GENERAL"}</definedName>
    <definedName name="_t77" localSheetId="18" hidden="1">{"TAB1",#N/A,TRUE,"GENERAL";"TAB2",#N/A,TRUE,"GENERAL";"TAB3",#N/A,TRUE,"GENERAL";"TAB4",#N/A,TRUE,"GENERAL";"TAB5",#N/A,TRUE,"GENERAL"}</definedName>
    <definedName name="_t77" hidden="1">{"TAB1",#N/A,TRUE,"GENERAL";"TAB2",#N/A,TRUE,"GENERAL";"TAB3",#N/A,TRUE,"GENERAL";"TAB4",#N/A,TRUE,"GENERAL";"TAB5",#N/A,TRUE,"GENERAL"}</definedName>
    <definedName name="_t8" localSheetId="15" hidden="1">{"TAB1",#N/A,TRUE,"GENERAL";"TAB2",#N/A,TRUE,"GENERAL";"TAB3",#N/A,TRUE,"GENERAL";"TAB4",#N/A,TRUE,"GENERAL";"TAB5",#N/A,TRUE,"GENERAL"}</definedName>
    <definedName name="_t8" localSheetId="17" hidden="1">{"TAB1",#N/A,TRUE,"GENERAL";"TAB2",#N/A,TRUE,"GENERAL";"TAB3",#N/A,TRUE,"GENERAL";"TAB4",#N/A,TRUE,"GENERAL";"TAB5",#N/A,TRUE,"GENERAL"}</definedName>
    <definedName name="_t8" localSheetId="19" hidden="1">{"TAB1",#N/A,TRUE,"GENERAL";"TAB2",#N/A,TRUE,"GENERAL";"TAB3",#N/A,TRUE,"GENERAL";"TAB4",#N/A,TRUE,"GENERAL";"TAB5",#N/A,TRUE,"GENERAL"}</definedName>
    <definedName name="_t8" localSheetId="12"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4" hidden="1">{"TAB1",#N/A,TRUE,"GENERAL";"TAB2",#N/A,TRUE,"GENERAL";"TAB3",#N/A,TRUE,"GENERAL";"TAB4",#N/A,TRUE,"GENERAL";"TAB5",#N/A,TRUE,"GENERAL"}</definedName>
    <definedName name="_t8" localSheetId="1" hidden="1">{"TAB1",#N/A,TRUE,"GENERAL";"TAB2",#N/A,TRUE,"GENERAL";"TAB3",#N/A,TRUE,"GENERAL";"TAB4",#N/A,TRUE,"GENERAL";"TAB5",#N/A,TRUE,"GENERAL"}</definedName>
    <definedName name="_t8" localSheetId="14" hidden="1">{"TAB1",#N/A,TRUE,"GENERAL";"TAB2",#N/A,TRUE,"GENERAL";"TAB3",#N/A,TRUE,"GENERAL";"TAB4",#N/A,TRUE,"GENERAL";"TAB5",#N/A,TRUE,"GENERAL"}</definedName>
    <definedName name="_t8" localSheetId="16" hidden="1">{"TAB1",#N/A,TRUE,"GENERAL";"TAB2",#N/A,TRUE,"GENERAL";"TAB3",#N/A,TRUE,"GENERAL";"TAB4",#N/A,TRUE,"GENERAL";"TAB5",#N/A,TRUE,"GENERAL"}</definedName>
    <definedName name="_t8" localSheetId="18" hidden="1">{"TAB1",#N/A,TRUE,"GENERAL";"TAB2",#N/A,TRUE,"GENERAL";"TAB3",#N/A,TRUE,"GENERAL";"TAB4",#N/A,TRUE,"GENERAL";"TAB5",#N/A,TRUE,"GENERAL"}</definedName>
    <definedName name="_t8" hidden="1">{"TAB1",#N/A,TRUE,"GENERAL";"TAB2",#N/A,TRUE,"GENERAL";"TAB3",#N/A,TRUE,"GENERAL";"TAB4",#N/A,TRUE,"GENERAL";"TAB5",#N/A,TRUE,"GENERAL"}</definedName>
    <definedName name="_t88" localSheetId="15" hidden="1">{"via1",#N/A,TRUE,"general";"via2",#N/A,TRUE,"general";"via3",#N/A,TRUE,"general"}</definedName>
    <definedName name="_t88" localSheetId="17" hidden="1">{"via1",#N/A,TRUE,"general";"via2",#N/A,TRUE,"general";"via3",#N/A,TRUE,"general"}</definedName>
    <definedName name="_t88" localSheetId="19" hidden="1">{"via1",#N/A,TRUE,"general";"via2",#N/A,TRUE,"general";"via3",#N/A,TRUE,"general"}</definedName>
    <definedName name="_t88" localSheetId="12"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4" hidden="1">{"via1",#N/A,TRUE,"general";"via2",#N/A,TRUE,"general";"via3",#N/A,TRUE,"general"}</definedName>
    <definedName name="_t88" localSheetId="1" hidden="1">{"via1",#N/A,TRUE,"general";"via2",#N/A,TRUE,"general";"via3",#N/A,TRUE,"general"}</definedName>
    <definedName name="_t88" localSheetId="14" hidden="1">{"via1",#N/A,TRUE,"general";"via2",#N/A,TRUE,"general";"via3",#N/A,TRUE,"general"}</definedName>
    <definedName name="_t88" localSheetId="16" hidden="1">{"via1",#N/A,TRUE,"general";"via2",#N/A,TRUE,"general";"via3",#N/A,TRUE,"general"}</definedName>
    <definedName name="_t88" localSheetId="18" hidden="1">{"via1",#N/A,TRUE,"general";"via2",#N/A,TRUE,"general";"via3",#N/A,TRUE,"general"}</definedName>
    <definedName name="_t88" hidden="1">{"via1",#N/A,TRUE,"general";"via2",#N/A,TRUE,"general";"via3",#N/A,TRUE,"general"}</definedName>
    <definedName name="_t9" localSheetId="15" hidden="1">{"TAB1",#N/A,TRUE,"GENERAL";"TAB2",#N/A,TRUE,"GENERAL";"TAB3",#N/A,TRUE,"GENERAL";"TAB4",#N/A,TRUE,"GENERAL";"TAB5",#N/A,TRUE,"GENERAL"}</definedName>
    <definedName name="_t9" localSheetId="17" hidden="1">{"TAB1",#N/A,TRUE,"GENERAL";"TAB2",#N/A,TRUE,"GENERAL";"TAB3",#N/A,TRUE,"GENERAL";"TAB4",#N/A,TRUE,"GENERAL";"TAB5",#N/A,TRUE,"GENERAL"}</definedName>
    <definedName name="_t9" localSheetId="19" hidden="1">{"TAB1",#N/A,TRUE,"GENERAL";"TAB2",#N/A,TRUE,"GENERAL";"TAB3",#N/A,TRUE,"GENERAL";"TAB4",#N/A,TRUE,"GENERAL";"TAB5",#N/A,TRUE,"GENERAL"}</definedName>
    <definedName name="_t9" localSheetId="12"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4" hidden="1">{"TAB1",#N/A,TRUE,"GENERAL";"TAB2",#N/A,TRUE,"GENERAL";"TAB3",#N/A,TRUE,"GENERAL";"TAB4",#N/A,TRUE,"GENERAL";"TAB5",#N/A,TRUE,"GENERAL"}</definedName>
    <definedName name="_t9" localSheetId="1" hidden="1">{"TAB1",#N/A,TRUE,"GENERAL";"TAB2",#N/A,TRUE,"GENERAL";"TAB3",#N/A,TRUE,"GENERAL";"TAB4",#N/A,TRUE,"GENERAL";"TAB5",#N/A,TRUE,"GENERAL"}</definedName>
    <definedName name="_t9" localSheetId="14" hidden="1">{"TAB1",#N/A,TRUE,"GENERAL";"TAB2",#N/A,TRUE,"GENERAL";"TAB3",#N/A,TRUE,"GENERAL";"TAB4",#N/A,TRUE,"GENERAL";"TAB5",#N/A,TRUE,"GENERAL"}</definedName>
    <definedName name="_t9" localSheetId="16" hidden="1">{"TAB1",#N/A,TRUE,"GENERAL";"TAB2",#N/A,TRUE,"GENERAL";"TAB3",#N/A,TRUE,"GENERAL";"TAB4",#N/A,TRUE,"GENERAL";"TAB5",#N/A,TRUE,"GENERAL"}</definedName>
    <definedName name="_t9" localSheetId="18" hidden="1">{"TAB1",#N/A,TRUE,"GENERAL";"TAB2",#N/A,TRUE,"GENERAL";"TAB3",#N/A,TRUE,"GENERAL";"TAB4",#N/A,TRUE,"GENERAL";"TAB5",#N/A,TRUE,"GENERAL"}</definedName>
    <definedName name="_t9" hidden="1">{"TAB1",#N/A,TRUE,"GENERAL";"TAB2",#N/A,TRUE,"GENERAL";"TAB3",#N/A,TRUE,"GENERAL";"TAB4",#N/A,TRUE,"GENERAL";"TAB5",#N/A,TRUE,"GENERAL"}</definedName>
    <definedName name="_t99" localSheetId="15" hidden="1">{"via1",#N/A,TRUE,"general";"via2",#N/A,TRUE,"general";"via3",#N/A,TRUE,"general"}</definedName>
    <definedName name="_t99" localSheetId="17" hidden="1">{"via1",#N/A,TRUE,"general";"via2",#N/A,TRUE,"general";"via3",#N/A,TRUE,"general"}</definedName>
    <definedName name="_t99" localSheetId="19" hidden="1">{"via1",#N/A,TRUE,"general";"via2",#N/A,TRUE,"general";"via3",#N/A,TRUE,"general"}</definedName>
    <definedName name="_t99" localSheetId="12"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4" hidden="1">{"via1",#N/A,TRUE,"general";"via2",#N/A,TRUE,"general";"via3",#N/A,TRUE,"general"}</definedName>
    <definedName name="_t99" localSheetId="1" hidden="1">{"via1",#N/A,TRUE,"general";"via2",#N/A,TRUE,"general";"via3",#N/A,TRUE,"general"}</definedName>
    <definedName name="_t99" localSheetId="14" hidden="1">{"via1",#N/A,TRUE,"general";"via2",#N/A,TRUE,"general";"via3",#N/A,TRUE,"general"}</definedName>
    <definedName name="_t99" localSheetId="16" hidden="1">{"via1",#N/A,TRUE,"general";"via2",#N/A,TRUE,"general";"via3",#N/A,TRUE,"general"}</definedName>
    <definedName name="_t99" localSheetId="18" hidden="1">{"via1",#N/A,TRUE,"general";"via2",#N/A,TRUE,"general";"via3",#N/A,TRUE,"general"}</definedName>
    <definedName name="_t99" hidden="1">{"via1",#N/A,TRUE,"general";"via2",#N/A,TRUE,"general";"via3",#N/A,TRUE,"general"}</definedName>
    <definedName name="_u4" localSheetId="15" hidden="1">{"TAB1",#N/A,TRUE,"GENERAL";"TAB2",#N/A,TRUE,"GENERAL";"TAB3",#N/A,TRUE,"GENERAL";"TAB4",#N/A,TRUE,"GENERAL";"TAB5",#N/A,TRUE,"GENERAL"}</definedName>
    <definedName name="_u4" localSheetId="17" hidden="1">{"TAB1",#N/A,TRUE,"GENERAL";"TAB2",#N/A,TRUE,"GENERAL";"TAB3",#N/A,TRUE,"GENERAL";"TAB4",#N/A,TRUE,"GENERAL";"TAB5",#N/A,TRUE,"GENERAL"}</definedName>
    <definedName name="_u4" localSheetId="19" hidden="1">{"TAB1",#N/A,TRUE,"GENERAL";"TAB2",#N/A,TRUE,"GENERAL";"TAB3",#N/A,TRUE,"GENERAL";"TAB4",#N/A,TRUE,"GENERAL";"TAB5",#N/A,TRUE,"GENERAL"}</definedName>
    <definedName name="_u4" localSheetId="12"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4" hidden="1">{"TAB1",#N/A,TRUE,"GENERAL";"TAB2",#N/A,TRUE,"GENERAL";"TAB3",#N/A,TRUE,"GENERAL";"TAB4",#N/A,TRUE,"GENERAL";"TAB5",#N/A,TRUE,"GENERAL"}</definedName>
    <definedName name="_u4" localSheetId="1" hidden="1">{"TAB1",#N/A,TRUE,"GENERAL";"TAB2",#N/A,TRUE,"GENERAL";"TAB3",#N/A,TRUE,"GENERAL";"TAB4",#N/A,TRUE,"GENERAL";"TAB5",#N/A,TRUE,"GENERAL"}</definedName>
    <definedName name="_u4" localSheetId="14" hidden="1">{"TAB1",#N/A,TRUE,"GENERAL";"TAB2",#N/A,TRUE,"GENERAL";"TAB3",#N/A,TRUE,"GENERAL";"TAB4",#N/A,TRUE,"GENERAL";"TAB5",#N/A,TRUE,"GENERAL"}</definedName>
    <definedName name="_u4" localSheetId="16" hidden="1">{"TAB1",#N/A,TRUE,"GENERAL";"TAB2",#N/A,TRUE,"GENERAL";"TAB3",#N/A,TRUE,"GENERAL";"TAB4",#N/A,TRUE,"GENERAL";"TAB5",#N/A,TRUE,"GENERAL"}</definedName>
    <definedName name="_u4" localSheetId="18" hidden="1">{"TAB1",#N/A,TRUE,"GENERAL";"TAB2",#N/A,TRUE,"GENERAL";"TAB3",#N/A,TRUE,"GENERAL";"TAB4",#N/A,TRUE,"GENERAL";"TAB5",#N/A,TRUE,"GENERAL"}</definedName>
    <definedName name="_u4" hidden="1">{"TAB1",#N/A,TRUE,"GENERAL";"TAB2",#N/A,TRUE,"GENERAL";"TAB3",#N/A,TRUE,"GENERAL";"TAB4",#N/A,TRUE,"GENERAL";"TAB5",#N/A,TRUE,"GENERAL"}</definedName>
    <definedName name="_u5" localSheetId="15" hidden="1">{"TAB1",#N/A,TRUE,"GENERAL";"TAB2",#N/A,TRUE,"GENERAL";"TAB3",#N/A,TRUE,"GENERAL";"TAB4",#N/A,TRUE,"GENERAL";"TAB5",#N/A,TRUE,"GENERAL"}</definedName>
    <definedName name="_u5" localSheetId="17" hidden="1">{"TAB1",#N/A,TRUE,"GENERAL";"TAB2",#N/A,TRUE,"GENERAL";"TAB3",#N/A,TRUE,"GENERAL";"TAB4",#N/A,TRUE,"GENERAL";"TAB5",#N/A,TRUE,"GENERAL"}</definedName>
    <definedName name="_u5" localSheetId="19" hidden="1">{"TAB1",#N/A,TRUE,"GENERAL";"TAB2",#N/A,TRUE,"GENERAL";"TAB3",#N/A,TRUE,"GENERAL";"TAB4",#N/A,TRUE,"GENERAL";"TAB5",#N/A,TRUE,"GENERAL"}</definedName>
    <definedName name="_u5" localSheetId="12"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4" hidden="1">{"TAB1",#N/A,TRUE,"GENERAL";"TAB2",#N/A,TRUE,"GENERAL";"TAB3",#N/A,TRUE,"GENERAL";"TAB4",#N/A,TRUE,"GENERAL";"TAB5",#N/A,TRUE,"GENERAL"}</definedName>
    <definedName name="_u5" localSheetId="1" hidden="1">{"TAB1",#N/A,TRUE,"GENERAL";"TAB2",#N/A,TRUE,"GENERAL";"TAB3",#N/A,TRUE,"GENERAL";"TAB4",#N/A,TRUE,"GENERAL";"TAB5",#N/A,TRUE,"GENERAL"}</definedName>
    <definedName name="_u5" localSheetId="14" hidden="1">{"TAB1",#N/A,TRUE,"GENERAL";"TAB2",#N/A,TRUE,"GENERAL";"TAB3",#N/A,TRUE,"GENERAL";"TAB4",#N/A,TRUE,"GENERAL";"TAB5",#N/A,TRUE,"GENERAL"}</definedName>
    <definedName name="_u5" localSheetId="16" hidden="1">{"TAB1",#N/A,TRUE,"GENERAL";"TAB2",#N/A,TRUE,"GENERAL";"TAB3",#N/A,TRUE,"GENERAL";"TAB4",#N/A,TRUE,"GENERAL";"TAB5",#N/A,TRUE,"GENERAL"}</definedName>
    <definedName name="_u5" localSheetId="18" hidden="1">{"TAB1",#N/A,TRUE,"GENERAL";"TAB2",#N/A,TRUE,"GENERAL";"TAB3",#N/A,TRUE,"GENERAL";"TAB4",#N/A,TRUE,"GENERAL";"TAB5",#N/A,TRUE,"GENERAL"}</definedName>
    <definedName name="_u5" hidden="1">{"TAB1",#N/A,TRUE,"GENERAL";"TAB2",#N/A,TRUE,"GENERAL";"TAB3",#N/A,TRUE,"GENERAL";"TAB4",#N/A,TRUE,"GENERAL";"TAB5",#N/A,TRUE,"GENERAL"}</definedName>
    <definedName name="_u6" localSheetId="15" hidden="1">{"TAB1",#N/A,TRUE,"GENERAL";"TAB2",#N/A,TRUE,"GENERAL";"TAB3",#N/A,TRUE,"GENERAL";"TAB4",#N/A,TRUE,"GENERAL";"TAB5",#N/A,TRUE,"GENERAL"}</definedName>
    <definedName name="_u6" localSheetId="17" hidden="1">{"TAB1",#N/A,TRUE,"GENERAL";"TAB2",#N/A,TRUE,"GENERAL";"TAB3",#N/A,TRUE,"GENERAL";"TAB4",#N/A,TRUE,"GENERAL";"TAB5",#N/A,TRUE,"GENERAL"}</definedName>
    <definedName name="_u6" localSheetId="19" hidden="1">{"TAB1",#N/A,TRUE,"GENERAL";"TAB2",#N/A,TRUE,"GENERAL";"TAB3",#N/A,TRUE,"GENERAL";"TAB4",#N/A,TRUE,"GENERAL";"TAB5",#N/A,TRUE,"GENERAL"}</definedName>
    <definedName name="_u6" localSheetId="12"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4" hidden="1">{"TAB1",#N/A,TRUE,"GENERAL";"TAB2",#N/A,TRUE,"GENERAL";"TAB3",#N/A,TRUE,"GENERAL";"TAB4",#N/A,TRUE,"GENERAL";"TAB5",#N/A,TRUE,"GENERAL"}</definedName>
    <definedName name="_u6" localSheetId="1" hidden="1">{"TAB1",#N/A,TRUE,"GENERAL";"TAB2",#N/A,TRUE,"GENERAL";"TAB3",#N/A,TRUE,"GENERAL";"TAB4",#N/A,TRUE,"GENERAL";"TAB5",#N/A,TRUE,"GENERAL"}</definedName>
    <definedName name="_u6" localSheetId="14" hidden="1">{"TAB1",#N/A,TRUE,"GENERAL";"TAB2",#N/A,TRUE,"GENERAL";"TAB3",#N/A,TRUE,"GENERAL";"TAB4",#N/A,TRUE,"GENERAL";"TAB5",#N/A,TRUE,"GENERAL"}</definedName>
    <definedName name="_u6" localSheetId="16" hidden="1">{"TAB1",#N/A,TRUE,"GENERAL";"TAB2",#N/A,TRUE,"GENERAL";"TAB3",#N/A,TRUE,"GENERAL";"TAB4",#N/A,TRUE,"GENERAL";"TAB5",#N/A,TRUE,"GENERAL"}</definedName>
    <definedName name="_u6" localSheetId="18" hidden="1">{"TAB1",#N/A,TRUE,"GENERAL";"TAB2",#N/A,TRUE,"GENERAL";"TAB3",#N/A,TRUE,"GENERAL";"TAB4",#N/A,TRUE,"GENERAL";"TAB5",#N/A,TRUE,"GENERAL"}</definedName>
    <definedName name="_u6" hidden="1">{"TAB1",#N/A,TRUE,"GENERAL";"TAB2",#N/A,TRUE,"GENERAL";"TAB3",#N/A,TRUE,"GENERAL";"TAB4",#N/A,TRUE,"GENERAL";"TAB5",#N/A,TRUE,"GENERAL"}</definedName>
    <definedName name="_u7" localSheetId="15" hidden="1">{"via1",#N/A,TRUE,"general";"via2",#N/A,TRUE,"general";"via3",#N/A,TRUE,"general"}</definedName>
    <definedName name="_u7" localSheetId="17" hidden="1">{"via1",#N/A,TRUE,"general";"via2",#N/A,TRUE,"general";"via3",#N/A,TRUE,"general"}</definedName>
    <definedName name="_u7" localSheetId="19" hidden="1">{"via1",#N/A,TRUE,"general";"via2",#N/A,TRUE,"general";"via3",#N/A,TRUE,"general"}</definedName>
    <definedName name="_u7" localSheetId="12"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4" hidden="1">{"via1",#N/A,TRUE,"general";"via2",#N/A,TRUE,"general";"via3",#N/A,TRUE,"general"}</definedName>
    <definedName name="_u7" localSheetId="1" hidden="1">{"via1",#N/A,TRUE,"general";"via2",#N/A,TRUE,"general";"via3",#N/A,TRUE,"general"}</definedName>
    <definedName name="_u7" localSheetId="14" hidden="1">{"via1",#N/A,TRUE,"general";"via2",#N/A,TRUE,"general";"via3",#N/A,TRUE,"general"}</definedName>
    <definedName name="_u7" localSheetId="16" hidden="1">{"via1",#N/A,TRUE,"general";"via2",#N/A,TRUE,"general";"via3",#N/A,TRUE,"general"}</definedName>
    <definedName name="_u7" localSheetId="18" hidden="1">{"via1",#N/A,TRUE,"general";"via2",#N/A,TRUE,"general";"via3",#N/A,TRUE,"general"}</definedName>
    <definedName name="_u7" hidden="1">{"via1",#N/A,TRUE,"general";"via2",#N/A,TRUE,"general";"via3",#N/A,TRUE,"general"}</definedName>
    <definedName name="_u8" localSheetId="15" hidden="1">{"TAB1",#N/A,TRUE,"GENERAL";"TAB2",#N/A,TRUE,"GENERAL";"TAB3",#N/A,TRUE,"GENERAL";"TAB4",#N/A,TRUE,"GENERAL";"TAB5",#N/A,TRUE,"GENERAL"}</definedName>
    <definedName name="_u8" localSheetId="17" hidden="1">{"TAB1",#N/A,TRUE,"GENERAL";"TAB2",#N/A,TRUE,"GENERAL";"TAB3",#N/A,TRUE,"GENERAL";"TAB4",#N/A,TRUE,"GENERAL";"TAB5",#N/A,TRUE,"GENERAL"}</definedName>
    <definedName name="_u8" localSheetId="19" hidden="1">{"TAB1",#N/A,TRUE,"GENERAL";"TAB2",#N/A,TRUE,"GENERAL";"TAB3",#N/A,TRUE,"GENERAL";"TAB4",#N/A,TRUE,"GENERAL";"TAB5",#N/A,TRUE,"GENERAL"}</definedName>
    <definedName name="_u8" localSheetId="12"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4" hidden="1">{"TAB1",#N/A,TRUE,"GENERAL";"TAB2",#N/A,TRUE,"GENERAL";"TAB3",#N/A,TRUE,"GENERAL";"TAB4",#N/A,TRUE,"GENERAL";"TAB5",#N/A,TRUE,"GENERAL"}</definedName>
    <definedName name="_u8" localSheetId="1" hidden="1">{"TAB1",#N/A,TRUE,"GENERAL";"TAB2",#N/A,TRUE,"GENERAL";"TAB3",#N/A,TRUE,"GENERAL";"TAB4",#N/A,TRUE,"GENERAL";"TAB5",#N/A,TRUE,"GENERAL"}</definedName>
    <definedName name="_u8" localSheetId="14" hidden="1">{"TAB1",#N/A,TRUE,"GENERAL";"TAB2",#N/A,TRUE,"GENERAL";"TAB3",#N/A,TRUE,"GENERAL";"TAB4",#N/A,TRUE,"GENERAL";"TAB5",#N/A,TRUE,"GENERAL"}</definedName>
    <definedName name="_u8" localSheetId="16" hidden="1">{"TAB1",#N/A,TRUE,"GENERAL";"TAB2",#N/A,TRUE,"GENERAL";"TAB3",#N/A,TRUE,"GENERAL";"TAB4",#N/A,TRUE,"GENERAL";"TAB5",#N/A,TRUE,"GENERAL"}</definedName>
    <definedName name="_u8" localSheetId="18" hidden="1">{"TAB1",#N/A,TRUE,"GENERAL";"TAB2",#N/A,TRUE,"GENERAL";"TAB3",#N/A,TRUE,"GENERAL";"TAB4",#N/A,TRUE,"GENERAL";"TAB5",#N/A,TRUE,"GENERAL"}</definedName>
    <definedName name="_u8" hidden="1">{"TAB1",#N/A,TRUE,"GENERAL";"TAB2",#N/A,TRUE,"GENERAL";"TAB3",#N/A,TRUE,"GENERAL";"TAB4",#N/A,TRUE,"GENERAL";"TAB5",#N/A,TRUE,"GENERAL"}</definedName>
    <definedName name="_u9" localSheetId="15" hidden="1">{"TAB1",#N/A,TRUE,"GENERAL";"TAB2",#N/A,TRUE,"GENERAL";"TAB3",#N/A,TRUE,"GENERAL";"TAB4",#N/A,TRUE,"GENERAL";"TAB5",#N/A,TRUE,"GENERAL"}</definedName>
    <definedName name="_u9" localSheetId="17" hidden="1">{"TAB1",#N/A,TRUE,"GENERAL";"TAB2",#N/A,TRUE,"GENERAL";"TAB3",#N/A,TRUE,"GENERAL";"TAB4",#N/A,TRUE,"GENERAL";"TAB5",#N/A,TRUE,"GENERAL"}</definedName>
    <definedName name="_u9" localSheetId="19" hidden="1">{"TAB1",#N/A,TRUE,"GENERAL";"TAB2",#N/A,TRUE,"GENERAL";"TAB3",#N/A,TRUE,"GENERAL";"TAB4",#N/A,TRUE,"GENERAL";"TAB5",#N/A,TRUE,"GENERAL"}</definedName>
    <definedName name="_u9" localSheetId="12"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4" hidden="1">{"TAB1",#N/A,TRUE,"GENERAL";"TAB2",#N/A,TRUE,"GENERAL";"TAB3",#N/A,TRUE,"GENERAL";"TAB4",#N/A,TRUE,"GENERAL";"TAB5",#N/A,TRUE,"GENERAL"}</definedName>
    <definedName name="_u9" localSheetId="1" hidden="1">{"TAB1",#N/A,TRUE,"GENERAL";"TAB2",#N/A,TRUE,"GENERAL";"TAB3",#N/A,TRUE,"GENERAL";"TAB4",#N/A,TRUE,"GENERAL";"TAB5",#N/A,TRUE,"GENERAL"}</definedName>
    <definedName name="_u9" localSheetId="14" hidden="1">{"TAB1",#N/A,TRUE,"GENERAL";"TAB2",#N/A,TRUE,"GENERAL";"TAB3",#N/A,TRUE,"GENERAL";"TAB4",#N/A,TRUE,"GENERAL";"TAB5",#N/A,TRUE,"GENERAL"}</definedName>
    <definedName name="_u9" localSheetId="16" hidden="1">{"TAB1",#N/A,TRUE,"GENERAL";"TAB2",#N/A,TRUE,"GENERAL";"TAB3",#N/A,TRUE,"GENERAL";"TAB4",#N/A,TRUE,"GENERAL";"TAB5",#N/A,TRUE,"GENERAL"}</definedName>
    <definedName name="_u9" localSheetId="1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5" hidden="1">{"TAB1",#N/A,TRUE,"GENERAL";"TAB2",#N/A,TRUE,"GENERAL";"TAB3",#N/A,TRUE,"GENERAL";"TAB4",#N/A,TRUE,"GENERAL";"TAB5",#N/A,TRUE,"GENERAL"}</definedName>
    <definedName name="_ur7" localSheetId="17" hidden="1">{"TAB1",#N/A,TRUE,"GENERAL";"TAB2",#N/A,TRUE,"GENERAL";"TAB3",#N/A,TRUE,"GENERAL";"TAB4",#N/A,TRUE,"GENERAL";"TAB5",#N/A,TRUE,"GENERAL"}</definedName>
    <definedName name="_ur7" localSheetId="19" hidden="1">{"TAB1",#N/A,TRUE,"GENERAL";"TAB2",#N/A,TRUE,"GENERAL";"TAB3",#N/A,TRUE,"GENERAL";"TAB4",#N/A,TRUE,"GENERAL";"TAB5",#N/A,TRUE,"GENERAL"}</definedName>
    <definedName name="_ur7" localSheetId="12"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4" hidden="1">{"TAB1",#N/A,TRUE,"GENERAL";"TAB2",#N/A,TRUE,"GENERAL";"TAB3",#N/A,TRUE,"GENERAL";"TAB4",#N/A,TRUE,"GENERAL";"TAB5",#N/A,TRUE,"GENERAL"}</definedName>
    <definedName name="_ur7" localSheetId="1" hidden="1">{"TAB1",#N/A,TRUE,"GENERAL";"TAB2",#N/A,TRUE,"GENERAL";"TAB3",#N/A,TRUE,"GENERAL";"TAB4",#N/A,TRUE,"GENERAL";"TAB5",#N/A,TRUE,"GENERAL"}</definedName>
    <definedName name="_ur7" localSheetId="14" hidden="1">{"TAB1",#N/A,TRUE,"GENERAL";"TAB2",#N/A,TRUE,"GENERAL";"TAB3",#N/A,TRUE,"GENERAL";"TAB4",#N/A,TRUE,"GENERAL";"TAB5",#N/A,TRUE,"GENERAL"}</definedName>
    <definedName name="_ur7" localSheetId="16" hidden="1">{"TAB1",#N/A,TRUE,"GENERAL";"TAB2",#N/A,TRUE,"GENERAL";"TAB3",#N/A,TRUE,"GENERAL";"TAB4",#N/A,TRUE,"GENERAL";"TAB5",#N/A,TRUE,"GENERAL"}</definedName>
    <definedName name="_ur7" localSheetId="18" hidden="1">{"TAB1",#N/A,TRUE,"GENERAL";"TAB2",#N/A,TRUE,"GENERAL";"TAB3",#N/A,TRUE,"GENERAL";"TAB4",#N/A,TRUE,"GENERAL";"TAB5",#N/A,TRUE,"GENERAL"}</definedName>
    <definedName name="_ur7" hidden="1">{"TAB1",#N/A,TRUE,"GENERAL";"TAB2",#N/A,TRUE,"GENERAL";"TAB3",#N/A,TRUE,"GENERAL";"TAB4",#N/A,TRUE,"GENERAL";"TAB5",#N/A,TRUE,"GENERAL"}</definedName>
    <definedName name="_v2" localSheetId="15" hidden="1">{"via1",#N/A,TRUE,"general";"via2",#N/A,TRUE,"general";"via3",#N/A,TRUE,"general"}</definedName>
    <definedName name="_v2" localSheetId="17" hidden="1">{"via1",#N/A,TRUE,"general";"via2",#N/A,TRUE,"general";"via3",#N/A,TRUE,"general"}</definedName>
    <definedName name="_v2" localSheetId="19" hidden="1">{"via1",#N/A,TRUE,"general";"via2",#N/A,TRUE,"general";"via3",#N/A,TRUE,"general"}</definedName>
    <definedName name="_v2" localSheetId="12"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4" hidden="1">{"via1",#N/A,TRUE,"general";"via2",#N/A,TRUE,"general";"via3",#N/A,TRUE,"general"}</definedName>
    <definedName name="_v2" localSheetId="1" hidden="1">{"via1",#N/A,TRUE,"general";"via2",#N/A,TRUE,"general";"via3",#N/A,TRUE,"general"}</definedName>
    <definedName name="_v2" localSheetId="14" hidden="1">{"via1",#N/A,TRUE,"general";"via2",#N/A,TRUE,"general";"via3",#N/A,TRUE,"general"}</definedName>
    <definedName name="_v2" localSheetId="16" hidden="1">{"via1",#N/A,TRUE,"general";"via2",#N/A,TRUE,"general";"via3",#N/A,TRUE,"general"}</definedName>
    <definedName name="_v2" localSheetId="18" hidden="1">{"via1",#N/A,TRUE,"general";"via2",#N/A,TRUE,"general";"via3",#N/A,TRUE,"general"}</definedName>
    <definedName name="_v2" hidden="1">{"via1",#N/A,TRUE,"general";"via2",#N/A,TRUE,"general";"via3",#N/A,TRUE,"general"}</definedName>
    <definedName name="_v3" localSheetId="15" hidden="1">{"TAB1",#N/A,TRUE,"GENERAL";"TAB2",#N/A,TRUE,"GENERAL";"TAB3",#N/A,TRUE,"GENERAL";"TAB4",#N/A,TRUE,"GENERAL";"TAB5",#N/A,TRUE,"GENERAL"}</definedName>
    <definedName name="_v3" localSheetId="17" hidden="1">{"TAB1",#N/A,TRUE,"GENERAL";"TAB2",#N/A,TRUE,"GENERAL";"TAB3",#N/A,TRUE,"GENERAL";"TAB4",#N/A,TRUE,"GENERAL";"TAB5",#N/A,TRUE,"GENERAL"}</definedName>
    <definedName name="_v3" localSheetId="19" hidden="1">{"TAB1",#N/A,TRUE,"GENERAL";"TAB2",#N/A,TRUE,"GENERAL";"TAB3",#N/A,TRUE,"GENERAL";"TAB4",#N/A,TRUE,"GENERAL";"TAB5",#N/A,TRUE,"GENERAL"}</definedName>
    <definedName name="_v3" localSheetId="12"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4" hidden="1">{"TAB1",#N/A,TRUE,"GENERAL";"TAB2",#N/A,TRUE,"GENERAL";"TAB3",#N/A,TRUE,"GENERAL";"TAB4",#N/A,TRUE,"GENERAL";"TAB5",#N/A,TRUE,"GENERAL"}</definedName>
    <definedName name="_v3" localSheetId="1" hidden="1">{"TAB1",#N/A,TRUE,"GENERAL";"TAB2",#N/A,TRUE,"GENERAL";"TAB3",#N/A,TRUE,"GENERAL";"TAB4",#N/A,TRUE,"GENERAL";"TAB5",#N/A,TRUE,"GENERAL"}</definedName>
    <definedName name="_v3" localSheetId="14" hidden="1">{"TAB1",#N/A,TRUE,"GENERAL";"TAB2",#N/A,TRUE,"GENERAL";"TAB3",#N/A,TRUE,"GENERAL";"TAB4",#N/A,TRUE,"GENERAL";"TAB5",#N/A,TRUE,"GENERAL"}</definedName>
    <definedName name="_v3" localSheetId="16" hidden="1">{"TAB1",#N/A,TRUE,"GENERAL";"TAB2",#N/A,TRUE,"GENERAL";"TAB3",#N/A,TRUE,"GENERAL";"TAB4",#N/A,TRUE,"GENERAL";"TAB5",#N/A,TRUE,"GENERAL"}</definedName>
    <definedName name="_v3" localSheetId="18" hidden="1">{"TAB1",#N/A,TRUE,"GENERAL";"TAB2",#N/A,TRUE,"GENERAL";"TAB3",#N/A,TRUE,"GENERAL";"TAB4",#N/A,TRUE,"GENERAL";"TAB5",#N/A,TRUE,"GENERAL"}</definedName>
    <definedName name="_v3" hidden="1">{"TAB1",#N/A,TRUE,"GENERAL";"TAB2",#N/A,TRUE,"GENERAL";"TAB3",#N/A,TRUE,"GENERAL";"TAB4",#N/A,TRUE,"GENERAL";"TAB5",#N/A,TRUE,"GENERAL"}</definedName>
    <definedName name="_v4" localSheetId="15" hidden="1">{"TAB1",#N/A,TRUE,"GENERAL";"TAB2",#N/A,TRUE,"GENERAL";"TAB3",#N/A,TRUE,"GENERAL";"TAB4",#N/A,TRUE,"GENERAL";"TAB5",#N/A,TRUE,"GENERAL"}</definedName>
    <definedName name="_v4" localSheetId="17" hidden="1">{"TAB1",#N/A,TRUE,"GENERAL";"TAB2",#N/A,TRUE,"GENERAL";"TAB3",#N/A,TRUE,"GENERAL";"TAB4",#N/A,TRUE,"GENERAL";"TAB5",#N/A,TRUE,"GENERAL"}</definedName>
    <definedName name="_v4" localSheetId="19" hidden="1">{"TAB1",#N/A,TRUE,"GENERAL";"TAB2",#N/A,TRUE,"GENERAL";"TAB3",#N/A,TRUE,"GENERAL";"TAB4",#N/A,TRUE,"GENERAL";"TAB5",#N/A,TRUE,"GENERAL"}</definedName>
    <definedName name="_v4" localSheetId="12"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4" hidden="1">{"TAB1",#N/A,TRUE,"GENERAL";"TAB2",#N/A,TRUE,"GENERAL";"TAB3",#N/A,TRUE,"GENERAL";"TAB4",#N/A,TRUE,"GENERAL";"TAB5",#N/A,TRUE,"GENERAL"}</definedName>
    <definedName name="_v4" localSheetId="1" hidden="1">{"TAB1",#N/A,TRUE,"GENERAL";"TAB2",#N/A,TRUE,"GENERAL";"TAB3",#N/A,TRUE,"GENERAL";"TAB4",#N/A,TRUE,"GENERAL";"TAB5",#N/A,TRUE,"GENERAL"}</definedName>
    <definedName name="_v4" localSheetId="14" hidden="1">{"TAB1",#N/A,TRUE,"GENERAL";"TAB2",#N/A,TRUE,"GENERAL";"TAB3",#N/A,TRUE,"GENERAL";"TAB4",#N/A,TRUE,"GENERAL";"TAB5",#N/A,TRUE,"GENERAL"}</definedName>
    <definedName name="_v4" localSheetId="16" hidden="1">{"TAB1",#N/A,TRUE,"GENERAL";"TAB2",#N/A,TRUE,"GENERAL";"TAB3",#N/A,TRUE,"GENERAL";"TAB4",#N/A,TRUE,"GENERAL";"TAB5",#N/A,TRUE,"GENERAL"}</definedName>
    <definedName name="_v4" localSheetId="18" hidden="1">{"TAB1",#N/A,TRUE,"GENERAL";"TAB2",#N/A,TRUE,"GENERAL";"TAB3",#N/A,TRUE,"GENERAL";"TAB4",#N/A,TRUE,"GENERAL";"TAB5",#N/A,TRUE,"GENERAL"}</definedName>
    <definedName name="_v4" hidden="1">{"TAB1",#N/A,TRUE,"GENERAL";"TAB2",#N/A,TRUE,"GENERAL";"TAB3",#N/A,TRUE,"GENERAL";"TAB4",#N/A,TRUE,"GENERAL";"TAB5",#N/A,TRUE,"GENERAL"}</definedName>
    <definedName name="_v5" localSheetId="15" hidden="1">{"TAB1",#N/A,TRUE,"GENERAL";"TAB2",#N/A,TRUE,"GENERAL";"TAB3",#N/A,TRUE,"GENERAL";"TAB4",#N/A,TRUE,"GENERAL";"TAB5",#N/A,TRUE,"GENERAL"}</definedName>
    <definedName name="_v5" localSheetId="17" hidden="1">{"TAB1",#N/A,TRUE,"GENERAL";"TAB2",#N/A,TRUE,"GENERAL";"TAB3",#N/A,TRUE,"GENERAL";"TAB4",#N/A,TRUE,"GENERAL";"TAB5",#N/A,TRUE,"GENERAL"}</definedName>
    <definedName name="_v5" localSheetId="19" hidden="1">{"TAB1",#N/A,TRUE,"GENERAL";"TAB2",#N/A,TRUE,"GENERAL";"TAB3",#N/A,TRUE,"GENERAL";"TAB4",#N/A,TRUE,"GENERAL";"TAB5",#N/A,TRUE,"GENERAL"}</definedName>
    <definedName name="_v5" localSheetId="12"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4" hidden="1">{"TAB1",#N/A,TRUE,"GENERAL";"TAB2",#N/A,TRUE,"GENERAL";"TAB3",#N/A,TRUE,"GENERAL";"TAB4",#N/A,TRUE,"GENERAL";"TAB5",#N/A,TRUE,"GENERAL"}</definedName>
    <definedName name="_v5" localSheetId="1" hidden="1">{"TAB1",#N/A,TRUE,"GENERAL";"TAB2",#N/A,TRUE,"GENERAL";"TAB3",#N/A,TRUE,"GENERAL";"TAB4",#N/A,TRUE,"GENERAL";"TAB5",#N/A,TRUE,"GENERAL"}</definedName>
    <definedName name="_v5" localSheetId="14" hidden="1">{"TAB1",#N/A,TRUE,"GENERAL";"TAB2",#N/A,TRUE,"GENERAL";"TAB3",#N/A,TRUE,"GENERAL";"TAB4",#N/A,TRUE,"GENERAL";"TAB5",#N/A,TRUE,"GENERAL"}</definedName>
    <definedName name="_v5" localSheetId="16" hidden="1">{"TAB1",#N/A,TRUE,"GENERAL";"TAB2",#N/A,TRUE,"GENERAL";"TAB3",#N/A,TRUE,"GENERAL";"TAB4",#N/A,TRUE,"GENERAL";"TAB5",#N/A,TRUE,"GENERAL"}</definedName>
    <definedName name="_v5" localSheetId="18" hidden="1">{"TAB1",#N/A,TRUE,"GENERAL";"TAB2",#N/A,TRUE,"GENERAL";"TAB3",#N/A,TRUE,"GENERAL";"TAB4",#N/A,TRUE,"GENERAL";"TAB5",#N/A,TRUE,"GENERAL"}</definedName>
    <definedName name="_v5" hidden="1">{"TAB1",#N/A,TRUE,"GENERAL";"TAB2",#N/A,TRUE,"GENERAL";"TAB3",#N/A,TRUE,"GENERAL";"TAB4",#N/A,TRUE,"GENERAL";"TAB5",#N/A,TRUE,"GENERAL"}</definedName>
    <definedName name="_v6" localSheetId="15" hidden="1">{"TAB1",#N/A,TRUE,"GENERAL";"TAB2",#N/A,TRUE,"GENERAL";"TAB3",#N/A,TRUE,"GENERAL";"TAB4",#N/A,TRUE,"GENERAL";"TAB5",#N/A,TRUE,"GENERAL"}</definedName>
    <definedName name="_v6" localSheetId="17" hidden="1">{"TAB1",#N/A,TRUE,"GENERAL";"TAB2",#N/A,TRUE,"GENERAL";"TAB3",#N/A,TRUE,"GENERAL";"TAB4",#N/A,TRUE,"GENERAL";"TAB5",#N/A,TRUE,"GENERAL"}</definedName>
    <definedName name="_v6" localSheetId="19" hidden="1">{"TAB1",#N/A,TRUE,"GENERAL";"TAB2",#N/A,TRUE,"GENERAL";"TAB3",#N/A,TRUE,"GENERAL";"TAB4",#N/A,TRUE,"GENERAL";"TAB5",#N/A,TRUE,"GENERAL"}</definedName>
    <definedName name="_v6" localSheetId="12"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4" hidden="1">{"TAB1",#N/A,TRUE,"GENERAL";"TAB2",#N/A,TRUE,"GENERAL";"TAB3",#N/A,TRUE,"GENERAL";"TAB4",#N/A,TRUE,"GENERAL";"TAB5",#N/A,TRUE,"GENERAL"}</definedName>
    <definedName name="_v6" localSheetId="1" hidden="1">{"TAB1",#N/A,TRUE,"GENERAL";"TAB2",#N/A,TRUE,"GENERAL";"TAB3",#N/A,TRUE,"GENERAL";"TAB4",#N/A,TRUE,"GENERAL";"TAB5",#N/A,TRUE,"GENERAL"}</definedName>
    <definedName name="_v6" localSheetId="14" hidden="1">{"TAB1",#N/A,TRUE,"GENERAL";"TAB2",#N/A,TRUE,"GENERAL";"TAB3",#N/A,TRUE,"GENERAL";"TAB4",#N/A,TRUE,"GENERAL";"TAB5",#N/A,TRUE,"GENERAL"}</definedName>
    <definedName name="_v6" localSheetId="16" hidden="1">{"TAB1",#N/A,TRUE,"GENERAL";"TAB2",#N/A,TRUE,"GENERAL";"TAB3",#N/A,TRUE,"GENERAL";"TAB4",#N/A,TRUE,"GENERAL";"TAB5",#N/A,TRUE,"GENERAL"}</definedName>
    <definedName name="_v6" localSheetId="18" hidden="1">{"TAB1",#N/A,TRUE,"GENERAL";"TAB2",#N/A,TRUE,"GENERAL";"TAB3",#N/A,TRUE,"GENERAL";"TAB4",#N/A,TRUE,"GENERAL";"TAB5",#N/A,TRUE,"GENERAL"}</definedName>
    <definedName name="_v6" hidden="1">{"TAB1",#N/A,TRUE,"GENERAL";"TAB2",#N/A,TRUE,"GENERAL";"TAB3",#N/A,TRUE,"GENERAL";"TAB4",#N/A,TRUE,"GENERAL";"TAB5",#N/A,TRUE,"GENERAL"}</definedName>
    <definedName name="_v7" localSheetId="15" hidden="1">{"via1",#N/A,TRUE,"general";"via2",#N/A,TRUE,"general";"via3",#N/A,TRUE,"general"}</definedName>
    <definedName name="_v7" localSheetId="17" hidden="1">{"via1",#N/A,TRUE,"general";"via2",#N/A,TRUE,"general";"via3",#N/A,TRUE,"general"}</definedName>
    <definedName name="_v7" localSheetId="19" hidden="1">{"via1",#N/A,TRUE,"general";"via2",#N/A,TRUE,"general";"via3",#N/A,TRUE,"general"}</definedName>
    <definedName name="_v7" localSheetId="12"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4" hidden="1">{"via1",#N/A,TRUE,"general";"via2",#N/A,TRUE,"general";"via3",#N/A,TRUE,"general"}</definedName>
    <definedName name="_v7" localSheetId="1" hidden="1">{"via1",#N/A,TRUE,"general";"via2",#N/A,TRUE,"general";"via3",#N/A,TRUE,"general"}</definedName>
    <definedName name="_v7" localSheetId="14" hidden="1">{"via1",#N/A,TRUE,"general";"via2",#N/A,TRUE,"general";"via3",#N/A,TRUE,"general"}</definedName>
    <definedName name="_v7" localSheetId="16" hidden="1">{"via1",#N/A,TRUE,"general";"via2",#N/A,TRUE,"general";"via3",#N/A,TRUE,"general"}</definedName>
    <definedName name="_v7" localSheetId="18" hidden="1">{"via1",#N/A,TRUE,"general";"via2",#N/A,TRUE,"general";"via3",#N/A,TRUE,"general"}</definedName>
    <definedName name="_v7" hidden="1">{"via1",#N/A,TRUE,"general";"via2",#N/A,TRUE,"general";"via3",#N/A,TRUE,"general"}</definedName>
    <definedName name="_v8" localSheetId="15" hidden="1">{"TAB1",#N/A,TRUE,"GENERAL";"TAB2",#N/A,TRUE,"GENERAL";"TAB3",#N/A,TRUE,"GENERAL";"TAB4",#N/A,TRUE,"GENERAL";"TAB5",#N/A,TRUE,"GENERAL"}</definedName>
    <definedName name="_v8" localSheetId="17" hidden="1">{"TAB1",#N/A,TRUE,"GENERAL";"TAB2",#N/A,TRUE,"GENERAL";"TAB3",#N/A,TRUE,"GENERAL";"TAB4",#N/A,TRUE,"GENERAL";"TAB5",#N/A,TRUE,"GENERAL"}</definedName>
    <definedName name="_v8" localSheetId="19" hidden="1">{"TAB1",#N/A,TRUE,"GENERAL";"TAB2",#N/A,TRUE,"GENERAL";"TAB3",#N/A,TRUE,"GENERAL";"TAB4",#N/A,TRUE,"GENERAL";"TAB5",#N/A,TRUE,"GENERAL"}</definedName>
    <definedName name="_v8" localSheetId="12"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4" hidden="1">{"TAB1",#N/A,TRUE,"GENERAL";"TAB2",#N/A,TRUE,"GENERAL";"TAB3",#N/A,TRUE,"GENERAL";"TAB4",#N/A,TRUE,"GENERAL";"TAB5",#N/A,TRUE,"GENERAL"}</definedName>
    <definedName name="_v8" localSheetId="1" hidden="1">{"TAB1",#N/A,TRUE,"GENERAL";"TAB2",#N/A,TRUE,"GENERAL";"TAB3",#N/A,TRUE,"GENERAL";"TAB4",#N/A,TRUE,"GENERAL";"TAB5",#N/A,TRUE,"GENERAL"}</definedName>
    <definedName name="_v8" localSheetId="14" hidden="1">{"TAB1",#N/A,TRUE,"GENERAL";"TAB2",#N/A,TRUE,"GENERAL";"TAB3",#N/A,TRUE,"GENERAL";"TAB4",#N/A,TRUE,"GENERAL";"TAB5",#N/A,TRUE,"GENERAL"}</definedName>
    <definedName name="_v8" localSheetId="16" hidden="1">{"TAB1",#N/A,TRUE,"GENERAL";"TAB2",#N/A,TRUE,"GENERAL";"TAB3",#N/A,TRUE,"GENERAL";"TAB4",#N/A,TRUE,"GENERAL";"TAB5",#N/A,TRUE,"GENERAL"}</definedName>
    <definedName name="_v8" localSheetId="18" hidden="1">{"TAB1",#N/A,TRUE,"GENERAL";"TAB2",#N/A,TRUE,"GENERAL";"TAB3",#N/A,TRUE,"GENERAL";"TAB4",#N/A,TRUE,"GENERAL";"TAB5",#N/A,TRUE,"GENERAL"}</definedName>
    <definedName name="_v8" hidden="1">{"TAB1",#N/A,TRUE,"GENERAL";"TAB2",#N/A,TRUE,"GENERAL";"TAB3",#N/A,TRUE,"GENERAL";"TAB4",#N/A,TRUE,"GENERAL";"TAB5",#N/A,TRUE,"GENERAL"}</definedName>
    <definedName name="_v9" localSheetId="15" hidden="1">{"TAB1",#N/A,TRUE,"GENERAL";"TAB2",#N/A,TRUE,"GENERAL";"TAB3",#N/A,TRUE,"GENERAL";"TAB4",#N/A,TRUE,"GENERAL";"TAB5",#N/A,TRUE,"GENERAL"}</definedName>
    <definedName name="_v9" localSheetId="17" hidden="1">{"TAB1",#N/A,TRUE,"GENERAL";"TAB2",#N/A,TRUE,"GENERAL";"TAB3",#N/A,TRUE,"GENERAL";"TAB4",#N/A,TRUE,"GENERAL";"TAB5",#N/A,TRUE,"GENERAL"}</definedName>
    <definedName name="_v9" localSheetId="19" hidden="1">{"TAB1",#N/A,TRUE,"GENERAL";"TAB2",#N/A,TRUE,"GENERAL";"TAB3",#N/A,TRUE,"GENERAL";"TAB4",#N/A,TRUE,"GENERAL";"TAB5",#N/A,TRUE,"GENERAL"}</definedName>
    <definedName name="_v9" localSheetId="12"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4" hidden="1">{"TAB1",#N/A,TRUE,"GENERAL";"TAB2",#N/A,TRUE,"GENERAL";"TAB3",#N/A,TRUE,"GENERAL";"TAB4",#N/A,TRUE,"GENERAL";"TAB5",#N/A,TRUE,"GENERAL"}</definedName>
    <definedName name="_v9" localSheetId="1" hidden="1">{"TAB1",#N/A,TRUE,"GENERAL";"TAB2",#N/A,TRUE,"GENERAL";"TAB3",#N/A,TRUE,"GENERAL";"TAB4",#N/A,TRUE,"GENERAL";"TAB5",#N/A,TRUE,"GENERAL"}</definedName>
    <definedName name="_v9" localSheetId="14" hidden="1">{"TAB1",#N/A,TRUE,"GENERAL";"TAB2",#N/A,TRUE,"GENERAL";"TAB3",#N/A,TRUE,"GENERAL";"TAB4",#N/A,TRUE,"GENERAL";"TAB5",#N/A,TRUE,"GENERAL"}</definedName>
    <definedName name="_v9" localSheetId="16" hidden="1">{"TAB1",#N/A,TRUE,"GENERAL";"TAB2",#N/A,TRUE,"GENERAL";"TAB3",#N/A,TRUE,"GENERAL";"TAB4",#N/A,TRUE,"GENERAL";"TAB5",#N/A,TRUE,"GENERAL"}</definedName>
    <definedName name="_v9" localSheetId="18" hidden="1">{"TAB1",#N/A,TRUE,"GENERAL";"TAB2",#N/A,TRUE,"GENERAL";"TAB3",#N/A,TRUE,"GENERAL";"TAB4",#N/A,TRUE,"GENERAL";"TAB5",#N/A,TRUE,"GENERAL"}</definedName>
    <definedName name="_v9" hidden="1">{"TAB1",#N/A,TRUE,"GENERAL";"TAB2",#N/A,TRUE,"GENERAL";"TAB3",#N/A,TRUE,"GENERAL";"TAB4",#N/A,TRUE,"GENERAL";"TAB5",#N/A,TRUE,"GENERAL"}</definedName>
    <definedName name="_vfv4" localSheetId="15" hidden="1">{"via1",#N/A,TRUE,"general";"via2",#N/A,TRUE,"general";"via3",#N/A,TRUE,"general"}</definedName>
    <definedName name="_vfv4" localSheetId="17" hidden="1">{"via1",#N/A,TRUE,"general";"via2",#N/A,TRUE,"general";"via3",#N/A,TRUE,"general"}</definedName>
    <definedName name="_vfv4" localSheetId="19" hidden="1">{"via1",#N/A,TRUE,"general";"via2",#N/A,TRUE,"general";"via3",#N/A,TRUE,"general"}</definedName>
    <definedName name="_vfv4" localSheetId="12"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4" hidden="1">{"via1",#N/A,TRUE,"general";"via2",#N/A,TRUE,"general";"via3",#N/A,TRUE,"general"}</definedName>
    <definedName name="_vfv4" localSheetId="1" hidden="1">{"via1",#N/A,TRUE,"general";"via2",#N/A,TRUE,"general";"via3",#N/A,TRUE,"general"}</definedName>
    <definedName name="_vfv4" localSheetId="14" hidden="1">{"via1",#N/A,TRUE,"general";"via2",#N/A,TRUE,"general";"via3",#N/A,TRUE,"general"}</definedName>
    <definedName name="_vfv4" localSheetId="16" hidden="1">{"via1",#N/A,TRUE,"general";"via2",#N/A,TRUE,"general";"via3",#N/A,TRUE,"general"}</definedName>
    <definedName name="_vfv4" localSheetId="18" hidden="1">{"via1",#N/A,TRUE,"general";"via2",#N/A,TRUE,"general";"via3",#N/A,TRUE,"general"}</definedName>
    <definedName name="_vfv4" hidden="1">{"via1",#N/A,TRUE,"general";"via2",#N/A,TRUE,"general";"via3",#N/A,TRUE,"general"}</definedName>
    <definedName name="_x1" localSheetId="15" hidden="1">{"TAB1",#N/A,TRUE,"GENERAL";"TAB2",#N/A,TRUE,"GENERAL";"TAB3",#N/A,TRUE,"GENERAL";"TAB4",#N/A,TRUE,"GENERAL";"TAB5",#N/A,TRUE,"GENERAL"}</definedName>
    <definedName name="_x1" localSheetId="17" hidden="1">{"TAB1",#N/A,TRUE,"GENERAL";"TAB2",#N/A,TRUE,"GENERAL";"TAB3",#N/A,TRUE,"GENERAL";"TAB4",#N/A,TRUE,"GENERAL";"TAB5",#N/A,TRUE,"GENERAL"}</definedName>
    <definedName name="_x1" localSheetId="19" hidden="1">{"TAB1",#N/A,TRUE,"GENERAL";"TAB2",#N/A,TRUE,"GENERAL";"TAB3",#N/A,TRUE,"GENERAL";"TAB4",#N/A,TRUE,"GENERAL";"TAB5",#N/A,TRUE,"GENERAL"}</definedName>
    <definedName name="_x1" localSheetId="12"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4" hidden="1">{"TAB1",#N/A,TRUE,"GENERAL";"TAB2",#N/A,TRUE,"GENERAL";"TAB3",#N/A,TRUE,"GENERAL";"TAB4",#N/A,TRUE,"GENERAL";"TAB5",#N/A,TRUE,"GENERAL"}</definedName>
    <definedName name="_x1" localSheetId="1" hidden="1">{"TAB1",#N/A,TRUE,"GENERAL";"TAB2",#N/A,TRUE,"GENERAL";"TAB3",#N/A,TRUE,"GENERAL";"TAB4",#N/A,TRUE,"GENERAL";"TAB5",#N/A,TRUE,"GENERAL"}</definedName>
    <definedName name="_x1" localSheetId="14" hidden="1">{"TAB1",#N/A,TRUE,"GENERAL";"TAB2",#N/A,TRUE,"GENERAL";"TAB3",#N/A,TRUE,"GENERAL";"TAB4",#N/A,TRUE,"GENERAL";"TAB5",#N/A,TRUE,"GENERAL"}</definedName>
    <definedName name="_x1" localSheetId="16" hidden="1">{"TAB1",#N/A,TRUE,"GENERAL";"TAB2",#N/A,TRUE,"GENERAL";"TAB3",#N/A,TRUE,"GENERAL";"TAB4",#N/A,TRUE,"GENERAL";"TAB5",#N/A,TRUE,"GENERAL"}</definedName>
    <definedName name="_x1" localSheetId="18" hidden="1">{"TAB1",#N/A,TRUE,"GENERAL";"TAB2",#N/A,TRUE,"GENERAL";"TAB3",#N/A,TRUE,"GENERAL";"TAB4",#N/A,TRUE,"GENERAL";"TAB5",#N/A,TRUE,"GENERAL"}</definedName>
    <definedName name="_x1" hidden="1">{"TAB1",#N/A,TRUE,"GENERAL";"TAB2",#N/A,TRUE,"GENERAL";"TAB3",#N/A,TRUE,"GENERAL";"TAB4",#N/A,TRUE,"GENERAL";"TAB5",#N/A,TRUE,"GENERAL"}</definedName>
    <definedName name="_x2" localSheetId="15" hidden="1">{"via1",#N/A,TRUE,"general";"via2",#N/A,TRUE,"general";"via3",#N/A,TRUE,"general"}</definedName>
    <definedName name="_x2" localSheetId="17" hidden="1">{"via1",#N/A,TRUE,"general";"via2",#N/A,TRUE,"general";"via3",#N/A,TRUE,"general"}</definedName>
    <definedName name="_x2" localSheetId="19" hidden="1">{"via1",#N/A,TRUE,"general";"via2",#N/A,TRUE,"general";"via3",#N/A,TRUE,"general"}</definedName>
    <definedName name="_x2" localSheetId="12"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4" hidden="1">{"via1",#N/A,TRUE,"general";"via2",#N/A,TRUE,"general";"via3",#N/A,TRUE,"general"}</definedName>
    <definedName name="_x2" localSheetId="1" hidden="1">{"via1",#N/A,TRUE,"general";"via2",#N/A,TRUE,"general";"via3",#N/A,TRUE,"general"}</definedName>
    <definedName name="_x2" localSheetId="14" hidden="1">{"via1",#N/A,TRUE,"general";"via2",#N/A,TRUE,"general";"via3",#N/A,TRUE,"general"}</definedName>
    <definedName name="_x2" localSheetId="16" hidden="1">{"via1",#N/A,TRUE,"general";"via2",#N/A,TRUE,"general";"via3",#N/A,TRUE,"general"}</definedName>
    <definedName name="_x2" localSheetId="18" hidden="1">{"via1",#N/A,TRUE,"general";"via2",#N/A,TRUE,"general";"via3",#N/A,TRUE,"general"}</definedName>
    <definedName name="_x2" hidden="1">{"via1",#N/A,TRUE,"general";"via2",#N/A,TRUE,"general";"via3",#N/A,TRUE,"general"}</definedName>
    <definedName name="_x3" localSheetId="15" hidden="1">{"via1",#N/A,TRUE,"general";"via2",#N/A,TRUE,"general";"via3",#N/A,TRUE,"general"}</definedName>
    <definedName name="_x3" localSheetId="17" hidden="1">{"via1",#N/A,TRUE,"general";"via2",#N/A,TRUE,"general";"via3",#N/A,TRUE,"general"}</definedName>
    <definedName name="_x3" localSheetId="19" hidden="1">{"via1",#N/A,TRUE,"general";"via2",#N/A,TRUE,"general";"via3",#N/A,TRUE,"general"}</definedName>
    <definedName name="_x3" localSheetId="12"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4" hidden="1">{"via1",#N/A,TRUE,"general";"via2",#N/A,TRUE,"general";"via3",#N/A,TRUE,"general"}</definedName>
    <definedName name="_x3" localSheetId="1" hidden="1">{"via1",#N/A,TRUE,"general";"via2",#N/A,TRUE,"general";"via3",#N/A,TRUE,"general"}</definedName>
    <definedName name="_x3" localSheetId="14" hidden="1">{"via1",#N/A,TRUE,"general";"via2",#N/A,TRUE,"general";"via3",#N/A,TRUE,"general"}</definedName>
    <definedName name="_x3" localSheetId="16" hidden="1">{"via1",#N/A,TRUE,"general";"via2",#N/A,TRUE,"general";"via3",#N/A,TRUE,"general"}</definedName>
    <definedName name="_x3" localSheetId="18" hidden="1">{"via1",#N/A,TRUE,"general";"via2",#N/A,TRUE,"general";"via3",#N/A,TRUE,"general"}</definedName>
    <definedName name="_x3" hidden="1">{"via1",#N/A,TRUE,"general";"via2",#N/A,TRUE,"general";"via3",#N/A,TRUE,"general"}</definedName>
    <definedName name="_x4" localSheetId="15" hidden="1">{"via1",#N/A,TRUE,"general";"via2",#N/A,TRUE,"general";"via3",#N/A,TRUE,"general"}</definedName>
    <definedName name="_x4" localSheetId="17" hidden="1">{"via1",#N/A,TRUE,"general";"via2",#N/A,TRUE,"general";"via3",#N/A,TRUE,"general"}</definedName>
    <definedName name="_x4" localSheetId="19" hidden="1">{"via1",#N/A,TRUE,"general";"via2",#N/A,TRUE,"general";"via3",#N/A,TRUE,"general"}</definedName>
    <definedName name="_x4" localSheetId="12"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4" hidden="1">{"via1",#N/A,TRUE,"general";"via2",#N/A,TRUE,"general";"via3",#N/A,TRUE,"general"}</definedName>
    <definedName name="_x4" localSheetId="1" hidden="1">{"via1",#N/A,TRUE,"general";"via2",#N/A,TRUE,"general";"via3",#N/A,TRUE,"general"}</definedName>
    <definedName name="_x4" localSheetId="14" hidden="1">{"via1",#N/A,TRUE,"general";"via2",#N/A,TRUE,"general";"via3",#N/A,TRUE,"general"}</definedName>
    <definedName name="_x4" localSheetId="16" hidden="1">{"via1",#N/A,TRUE,"general";"via2",#N/A,TRUE,"general";"via3",#N/A,TRUE,"general"}</definedName>
    <definedName name="_x4" localSheetId="18" hidden="1">{"via1",#N/A,TRUE,"general";"via2",#N/A,TRUE,"general";"via3",#N/A,TRUE,"general"}</definedName>
    <definedName name="_x4" hidden="1">{"via1",#N/A,TRUE,"general";"via2",#N/A,TRUE,"general";"via3",#N/A,TRUE,"general"}</definedName>
    <definedName name="_x5" localSheetId="15" hidden="1">{"TAB1",#N/A,TRUE,"GENERAL";"TAB2",#N/A,TRUE,"GENERAL";"TAB3",#N/A,TRUE,"GENERAL";"TAB4",#N/A,TRUE,"GENERAL";"TAB5",#N/A,TRUE,"GENERAL"}</definedName>
    <definedName name="_x5" localSheetId="17" hidden="1">{"TAB1",#N/A,TRUE,"GENERAL";"TAB2",#N/A,TRUE,"GENERAL";"TAB3",#N/A,TRUE,"GENERAL";"TAB4",#N/A,TRUE,"GENERAL";"TAB5",#N/A,TRUE,"GENERAL"}</definedName>
    <definedName name="_x5" localSheetId="19" hidden="1">{"TAB1",#N/A,TRUE,"GENERAL";"TAB2",#N/A,TRUE,"GENERAL";"TAB3",#N/A,TRUE,"GENERAL";"TAB4",#N/A,TRUE,"GENERAL";"TAB5",#N/A,TRUE,"GENERAL"}</definedName>
    <definedName name="_x5" localSheetId="12"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4" hidden="1">{"TAB1",#N/A,TRUE,"GENERAL";"TAB2",#N/A,TRUE,"GENERAL";"TAB3",#N/A,TRUE,"GENERAL";"TAB4",#N/A,TRUE,"GENERAL";"TAB5",#N/A,TRUE,"GENERAL"}</definedName>
    <definedName name="_x5" localSheetId="1" hidden="1">{"TAB1",#N/A,TRUE,"GENERAL";"TAB2",#N/A,TRUE,"GENERAL";"TAB3",#N/A,TRUE,"GENERAL";"TAB4",#N/A,TRUE,"GENERAL";"TAB5",#N/A,TRUE,"GENERAL"}</definedName>
    <definedName name="_x5" localSheetId="14" hidden="1">{"TAB1",#N/A,TRUE,"GENERAL";"TAB2",#N/A,TRUE,"GENERAL";"TAB3",#N/A,TRUE,"GENERAL";"TAB4",#N/A,TRUE,"GENERAL";"TAB5",#N/A,TRUE,"GENERAL"}</definedName>
    <definedName name="_x5" localSheetId="16" hidden="1">{"TAB1",#N/A,TRUE,"GENERAL";"TAB2",#N/A,TRUE,"GENERAL";"TAB3",#N/A,TRUE,"GENERAL";"TAB4",#N/A,TRUE,"GENERAL";"TAB5",#N/A,TRUE,"GENERAL"}</definedName>
    <definedName name="_x5" localSheetId="18" hidden="1">{"TAB1",#N/A,TRUE,"GENERAL";"TAB2",#N/A,TRUE,"GENERAL";"TAB3",#N/A,TRUE,"GENERAL";"TAB4",#N/A,TRUE,"GENERAL";"TAB5",#N/A,TRUE,"GENERAL"}</definedName>
    <definedName name="_x5" hidden="1">{"TAB1",#N/A,TRUE,"GENERAL";"TAB2",#N/A,TRUE,"GENERAL";"TAB3",#N/A,TRUE,"GENERAL";"TAB4",#N/A,TRUE,"GENERAL";"TAB5",#N/A,TRUE,"GENERAL"}</definedName>
    <definedName name="_x6" localSheetId="15" hidden="1">{"TAB1",#N/A,TRUE,"GENERAL";"TAB2",#N/A,TRUE,"GENERAL";"TAB3",#N/A,TRUE,"GENERAL";"TAB4",#N/A,TRUE,"GENERAL";"TAB5",#N/A,TRUE,"GENERAL"}</definedName>
    <definedName name="_x6" localSheetId="17" hidden="1">{"TAB1",#N/A,TRUE,"GENERAL";"TAB2",#N/A,TRUE,"GENERAL";"TAB3",#N/A,TRUE,"GENERAL";"TAB4",#N/A,TRUE,"GENERAL";"TAB5",#N/A,TRUE,"GENERAL"}</definedName>
    <definedName name="_x6" localSheetId="19" hidden="1">{"TAB1",#N/A,TRUE,"GENERAL";"TAB2",#N/A,TRUE,"GENERAL";"TAB3",#N/A,TRUE,"GENERAL";"TAB4",#N/A,TRUE,"GENERAL";"TAB5",#N/A,TRUE,"GENERAL"}</definedName>
    <definedName name="_x6" localSheetId="12"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4" hidden="1">{"TAB1",#N/A,TRUE,"GENERAL";"TAB2",#N/A,TRUE,"GENERAL";"TAB3",#N/A,TRUE,"GENERAL";"TAB4",#N/A,TRUE,"GENERAL";"TAB5",#N/A,TRUE,"GENERAL"}</definedName>
    <definedName name="_x6" localSheetId="1" hidden="1">{"TAB1",#N/A,TRUE,"GENERAL";"TAB2",#N/A,TRUE,"GENERAL";"TAB3",#N/A,TRUE,"GENERAL";"TAB4",#N/A,TRUE,"GENERAL";"TAB5",#N/A,TRUE,"GENERAL"}</definedName>
    <definedName name="_x6" localSheetId="14" hidden="1">{"TAB1",#N/A,TRUE,"GENERAL";"TAB2",#N/A,TRUE,"GENERAL";"TAB3",#N/A,TRUE,"GENERAL";"TAB4",#N/A,TRUE,"GENERAL";"TAB5",#N/A,TRUE,"GENERAL"}</definedName>
    <definedName name="_x6" localSheetId="16" hidden="1">{"TAB1",#N/A,TRUE,"GENERAL";"TAB2",#N/A,TRUE,"GENERAL";"TAB3",#N/A,TRUE,"GENERAL";"TAB4",#N/A,TRUE,"GENERAL";"TAB5",#N/A,TRUE,"GENERAL"}</definedName>
    <definedName name="_x6" localSheetId="18" hidden="1">{"TAB1",#N/A,TRUE,"GENERAL";"TAB2",#N/A,TRUE,"GENERAL";"TAB3",#N/A,TRUE,"GENERAL";"TAB4",#N/A,TRUE,"GENERAL";"TAB5",#N/A,TRUE,"GENERAL"}</definedName>
    <definedName name="_x6" hidden="1">{"TAB1",#N/A,TRUE,"GENERAL";"TAB2",#N/A,TRUE,"GENERAL";"TAB3",#N/A,TRUE,"GENERAL";"TAB4",#N/A,TRUE,"GENERAL";"TAB5",#N/A,TRUE,"GENERAL"}</definedName>
    <definedName name="_x7" localSheetId="15" hidden="1">{"TAB1",#N/A,TRUE,"GENERAL";"TAB2",#N/A,TRUE,"GENERAL";"TAB3",#N/A,TRUE,"GENERAL";"TAB4",#N/A,TRUE,"GENERAL";"TAB5",#N/A,TRUE,"GENERAL"}</definedName>
    <definedName name="_x7" localSheetId="17" hidden="1">{"TAB1",#N/A,TRUE,"GENERAL";"TAB2",#N/A,TRUE,"GENERAL";"TAB3",#N/A,TRUE,"GENERAL";"TAB4",#N/A,TRUE,"GENERAL";"TAB5",#N/A,TRUE,"GENERAL"}</definedName>
    <definedName name="_x7" localSheetId="19" hidden="1">{"TAB1",#N/A,TRUE,"GENERAL";"TAB2",#N/A,TRUE,"GENERAL";"TAB3",#N/A,TRUE,"GENERAL";"TAB4",#N/A,TRUE,"GENERAL";"TAB5",#N/A,TRUE,"GENERAL"}</definedName>
    <definedName name="_x7" localSheetId="12"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4" hidden="1">{"TAB1",#N/A,TRUE,"GENERAL";"TAB2",#N/A,TRUE,"GENERAL";"TAB3",#N/A,TRUE,"GENERAL";"TAB4",#N/A,TRUE,"GENERAL";"TAB5",#N/A,TRUE,"GENERAL"}</definedName>
    <definedName name="_x7" localSheetId="1" hidden="1">{"TAB1",#N/A,TRUE,"GENERAL";"TAB2",#N/A,TRUE,"GENERAL";"TAB3",#N/A,TRUE,"GENERAL";"TAB4",#N/A,TRUE,"GENERAL";"TAB5",#N/A,TRUE,"GENERAL"}</definedName>
    <definedName name="_x7" localSheetId="14" hidden="1">{"TAB1",#N/A,TRUE,"GENERAL";"TAB2",#N/A,TRUE,"GENERAL";"TAB3",#N/A,TRUE,"GENERAL";"TAB4",#N/A,TRUE,"GENERAL";"TAB5",#N/A,TRUE,"GENERAL"}</definedName>
    <definedName name="_x7" localSheetId="16" hidden="1">{"TAB1",#N/A,TRUE,"GENERAL";"TAB2",#N/A,TRUE,"GENERAL";"TAB3",#N/A,TRUE,"GENERAL";"TAB4",#N/A,TRUE,"GENERAL";"TAB5",#N/A,TRUE,"GENERAL"}</definedName>
    <definedName name="_x7" localSheetId="18" hidden="1">{"TAB1",#N/A,TRUE,"GENERAL";"TAB2",#N/A,TRUE,"GENERAL";"TAB3",#N/A,TRUE,"GENERAL";"TAB4",#N/A,TRUE,"GENERAL";"TAB5",#N/A,TRUE,"GENERAL"}</definedName>
    <definedName name="_x7" hidden="1">{"TAB1",#N/A,TRUE,"GENERAL";"TAB2",#N/A,TRUE,"GENERAL";"TAB3",#N/A,TRUE,"GENERAL";"TAB4",#N/A,TRUE,"GENERAL";"TAB5",#N/A,TRUE,"GENERAL"}</definedName>
    <definedName name="_x8" localSheetId="15" hidden="1">{"via1",#N/A,TRUE,"general";"via2",#N/A,TRUE,"general";"via3",#N/A,TRUE,"general"}</definedName>
    <definedName name="_x8" localSheetId="17" hidden="1">{"via1",#N/A,TRUE,"general";"via2",#N/A,TRUE,"general";"via3",#N/A,TRUE,"general"}</definedName>
    <definedName name="_x8" localSheetId="19" hidden="1">{"via1",#N/A,TRUE,"general";"via2",#N/A,TRUE,"general";"via3",#N/A,TRUE,"general"}</definedName>
    <definedName name="_x8" localSheetId="12"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4" hidden="1">{"via1",#N/A,TRUE,"general";"via2",#N/A,TRUE,"general";"via3",#N/A,TRUE,"general"}</definedName>
    <definedName name="_x8" localSheetId="1" hidden="1">{"via1",#N/A,TRUE,"general";"via2",#N/A,TRUE,"general";"via3",#N/A,TRUE,"general"}</definedName>
    <definedName name="_x8" localSheetId="14" hidden="1">{"via1",#N/A,TRUE,"general";"via2",#N/A,TRUE,"general";"via3",#N/A,TRUE,"general"}</definedName>
    <definedName name="_x8" localSheetId="16" hidden="1">{"via1",#N/A,TRUE,"general";"via2",#N/A,TRUE,"general";"via3",#N/A,TRUE,"general"}</definedName>
    <definedName name="_x8" localSheetId="18" hidden="1">{"via1",#N/A,TRUE,"general";"via2",#N/A,TRUE,"general";"via3",#N/A,TRUE,"general"}</definedName>
    <definedName name="_x8" hidden="1">{"via1",#N/A,TRUE,"general";"via2",#N/A,TRUE,"general";"via3",#N/A,TRUE,"general"}</definedName>
    <definedName name="_x9" localSheetId="15" hidden="1">{"TAB1",#N/A,TRUE,"GENERAL";"TAB2",#N/A,TRUE,"GENERAL";"TAB3",#N/A,TRUE,"GENERAL";"TAB4",#N/A,TRUE,"GENERAL";"TAB5",#N/A,TRUE,"GENERAL"}</definedName>
    <definedName name="_x9" localSheetId="17" hidden="1">{"TAB1",#N/A,TRUE,"GENERAL";"TAB2",#N/A,TRUE,"GENERAL";"TAB3",#N/A,TRUE,"GENERAL";"TAB4",#N/A,TRUE,"GENERAL";"TAB5",#N/A,TRUE,"GENERAL"}</definedName>
    <definedName name="_x9" localSheetId="19" hidden="1">{"TAB1",#N/A,TRUE,"GENERAL";"TAB2",#N/A,TRUE,"GENERAL";"TAB3",#N/A,TRUE,"GENERAL";"TAB4",#N/A,TRUE,"GENERAL";"TAB5",#N/A,TRUE,"GENERAL"}</definedName>
    <definedName name="_x9" localSheetId="12"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4" hidden="1">{"TAB1",#N/A,TRUE,"GENERAL";"TAB2",#N/A,TRUE,"GENERAL";"TAB3",#N/A,TRUE,"GENERAL";"TAB4",#N/A,TRUE,"GENERAL";"TAB5",#N/A,TRUE,"GENERAL"}</definedName>
    <definedName name="_x9" localSheetId="1" hidden="1">{"TAB1",#N/A,TRUE,"GENERAL";"TAB2",#N/A,TRUE,"GENERAL";"TAB3",#N/A,TRUE,"GENERAL";"TAB4",#N/A,TRUE,"GENERAL";"TAB5",#N/A,TRUE,"GENERAL"}</definedName>
    <definedName name="_x9" localSheetId="14" hidden="1">{"TAB1",#N/A,TRUE,"GENERAL";"TAB2",#N/A,TRUE,"GENERAL";"TAB3",#N/A,TRUE,"GENERAL";"TAB4",#N/A,TRUE,"GENERAL";"TAB5",#N/A,TRUE,"GENERAL"}</definedName>
    <definedName name="_x9" localSheetId="16" hidden="1">{"TAB1",#N/A,TRUE,"GENERAL";"TAB2",#N/A,TRUE,"GENERAL";"TAB3",#N/A,TRUE,"GENERAL";"TAB4",#N/A,TRUE,"GENERAL";"TAB5",#N/A,TRUE,"GENERAL"}</definedName>
    <definedName name="_x9" localSheetId="18" hidden="1">{"TAB1",#N/A,TRUE,"GENERAL";"TAB2",#N/A,TRUE,"GENERAL";"TAB3",#N/A,TRUE,"GENERAL";"TAB4",#N/A,TRUE,"GENERAL";"TAB5",#N/A,TRUE,"GENERAL"}</definedName>
    <definedName name="_x9" hidden="1">{"TAB1",#N/A,TRUE,"GENERAL";"TAB2",#N/A,TRUE,"GENERAL";"TAB3",#N/A,TRUE,"GENERAL";"TAB4",#N/A,TRUE,"GENERAL";"TAB5",#N/A,TRUE,"GENERAL"}</definedName>
    <definedName name="_y2" localSheetId="15" hidden="1">{"TAB1",#N/A,TRUE,"GENERAL";"TAB2",#N/A,TRUE,"GENERAL";"TAB3",#N/A,TRUE,"GENERAL";"TAB4",#N/A,TRUE,"GENERAL";"TAB5",#N/A,TRUE,"GENERAL"}</definedName>
    <definedName name="_y2" localSheetId="17" hidden="1">{"TAB1",#N/A,TRUE,"GENERAL";"TAB2",#N/A,TRUE,"GENERAL";"TAB3",#N/A,TRUE,"GENERAL";"TAB4",#N/A,TRUE,"GENERAL";"TAB5",#N/A,TRUE,"GENERAL"}</definedName>
    <definedName name="_y2" localSheetId="19" hidden="1">{"TAB1",#N/A,TRUE,"GENERAL";"TAB2",#N/A,TRUE,"GENERAL";"TAB3",#N/A,TRUE,"GENERAL";"TAB4",#N/A,TRUE,"GENERAL";"TAB5",#N/A,TRUE,"GENERAL"}</definedName>
    <definedName name="_y2" localSheetId="12"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4" hidden="1">{"TAB1",#N/A,TRUE,"GENERAL";"TAB2",#N/A,TRUE,"GENERAL";"TAB3",#N/A,TRUE,"GENERAL";"TAB4",#N/A,TRUE,"GENERAL";"TAB5",#N/A,TRUE,"GENERAL"}</definedName>
    <definedName name="_y2" localSheetId="1" hidden="1">{"TAB1",#N/A,TRUE,"GENERAL";"TAB2",#N/A,TRUE,"GENERAL";"TAB3",#N/A,TRUE,"GENERAL";"TAB4",#N/A,TRUE,"GENERAL";"TAB5",#N/A,TRUE,"GENERAL"}</definedName>
    <definedName name="_y2" localSheetId="14" hidden="1">{"TAB1",#N/A,TRUE,"GENERAL";"TAB2",#N/A,TRUE,"GENERAL";"TAB3",#N/A,TRUE,"GENERAL";"TAB4",#N/A,TRUE,"GENERAL";"TAB5",#N/A,TRUE,"GENERAL"}</definedName>
    <definedName name="_y2" localSheetId="16" hidden="1">{"TAB1",#N/A,TRUE,"GENERAL";"TAB2",#N/A,TRUE,"GENERAL";"TAB3",#N/A,TRUE,"GENERAL";"TAB4",#N/A,TRUE,"GENERAL";"TAB5",#N/A,TRUE,"GENERAL"}</definedName>
    <definedName name="_y2" localSheetId="18" hidden="1">{"TAB1",#N/A,TRUE,"GENERAL";"TAB2",#N/A,TRUE,"GENERAL";"TAB3",#N/A,TRUE,"GENERAL";"TAB4",#N/A,TRUE,"GENERAL";"TAB5",#N/A,TRUE,"GENERAL"}</definedName>
    <definedName name="_y2" hidden="1">{"TAB1",#N/A,TRUE,"GENERAL";"TAB2",#N/A,TRUE,"GENERAL";"TAB3",#N/A,TRUE,"GENERAL";"TAB4",#N/A,TRUE,"GENERAL";"TAB5",#N/A,TRUE,"GENERAL"}</definedName>
    <definedName name="_y3" localSheetId="15" hidden="1">{"via1",#N/A,TRUE,"general";"via2",#N/A,TRUE,"general";"via3",#N/A,TRUE,"general"}</definedName>
    <definedName name="_y3" localSheetId="17" hidden="1">{"via1",#N/A,TRUE,"general";"via2",#N/A,TRUE,"general";"via3",#N/A,TRUE,"general"}</definedName>
    <definedName name="_y3" localSheetId="19" hidden="1">{"via1",#N/A,TRUE,"general";"via2",#N/A,TRUE,"general";"via3",#N/A,TRUE,"general"}</definedName>
    <definedName name="_y3" localSheetId="12"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4" hidden="1">{"via1",#N/A,TRUE,"general";"via2",#N/A,TRUE,"general";"via3",#N/A,TRUE,"general"}</definedName>
    <definedName name="_y3" localSheetId="1" hidden="1">{"via1",#N/A,TRUE,"general";"via2",#N/A,TRUE,"general";"via3",#N/A,TRUE,"general"}</definedName>
    <definedName name="_y3" localSheetId="14" hidden="1">{"via1",#N/A,TRUE,"general";"via2",#N/A,TRUE,"general";"via3",#N/A,TRUE,"general"}</definedName>
    <definedName name="_y3" localSheetId="16" hidden="1">{"via1",#N/A,TRUE,"general";"via2",#N/A,TRUE,"general";"via3",#N/A,TRUE,"general"}</definedName>
    <definedName name="_y3" localSheetId="18" hidden="1">{"via1",#N/A,TRUE,"general";"via2",#N/A,TRUE,"general";"via3",#N/A,TRUE,"general"}</definedName>
    <definedName name="_y3" hidden="1">{"via1",#N/A,TRUE,"general";"via2",#N/A,TRUE,"general";"via3",#N/A,TRUE,"general"}</definedName>
    <definedName name="_y4" localSheetId="15" hidden="1">{"via1",#N/A,TRUE,"general";"via2",#N/A,TRUE,"general";"via3",#N/A,TRUE,"general"}</definedName>
    <definedName name="_y4" localSheetId="17" hidden="1">{"via1",#N/A,TRUE,"general";"via2",#N/A,TRUE,"general";"via3",#N/A,TRUE,"general"}</definedName>
    <definedName name="_y4" localSheetId="19" hidden="1">{"via1",#N/A,TRUE,"general";"via2",#N/A,TRUE,"general";"via3",#N/A,TRUE,"general"}</definedName>
    <definedName name="_y4" localSheetId="12"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4" hidden="1">{"via1",#N/A,TRUE,"general";"via2",#N/A,TRUE,"general";"via3",#N/A,TRUE,"general"}</definedName>
    <definedName name="_y4" localSheetId="1" hidden="1">{"via1",#N/A,TRUE,"general";"via2",#N/A,TRUE,"general";"via3",#N/A,TRUE,"general"}</definedName>
    <definedName name="_y4" localSheetId="14" hidden="1">{"via1",#N/A,TRUE,"general";"via2",#N/A,TRUE,"general";"via3",#N/A,TRUE,"general"}</definedName>
    <definedName name="_y4" localSheetId="16" hidden="1">{"via1",#N/A,TRUE,"general";"via2",#N/A,TRUE,"general";"via3",#N/A,TRUE,"general"}</definedName>
    <definedName name="_y4" localSheetId="18" hidden="1">{"via1",#N/A,TRUE,"general";"via2",#N/A,TRUE,"general";"via3",#N/A,TRUE,"general"}</definedName>
    <definedName name="_y4" hidden="1">{"via1",#N/A,TRUE,"general";"via2",#N/A,TRUE,"general";"via3",#N/A,TRUE,"general"}</definedName>
    <definedName name="_y5" localSheetId="15" hidden="1">{"TAB1",#N/A,TRUE,"GENERAL";"TAB2",#N/A,TRUE,"GENERAL";"TAB3",#N/A,TRUE,"GENERAL";"TAB4",#N/A,TRUE,"GENERAL";"TAB5",#N/A,TRUE,"GENERAL"}</definedName>
    <definedName name="_y5" localSheetId="17" hidden="1">{"TAB1",#N/A,TRUE,"GENERAL";"TAB2",#N/A,TRUE,"GENERAL";"TAB3",#N/A,TRUE,"GENERAL";"TAB4",#N/A,TRUE,"GENERAL";"TAB5",#N/A,TRUE,"GENERAL"}</definedName>
    <definedName name="_y5" localSheetId="19" hidden="1">{"TAB1",#N/A,TRUE,"GENERAL";"TAB2",#N/A,TRUE,"GENERAL";"TAB3",#N/A,TRUE,"GENERAL";"TAB4",#N/A,TRUE,"GENERAL";"TAB5",#N/A,TRUE,"GENERAL"}</definedName>
    <definedName name="_y5" localSheetId="12"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4" hidden="1">{"TAB1",#N/A,TRUE,"GENERAL";"TAB2",#N/A,TRUE,"GENERAL";"TAB3",#N/A,TRUE,"GENERAL";"TAB4",#N/A,TRUE,"GENERAL";"TAB5",#N/A,TRUE,"GENERAL"}</definedName>
    <definedName name="_y5" localSheetId="1" hidden="1">{"TAB1",#N/A,TRUE,"GENERAL";"TAB2",#N/A,TRUE,"GENERAL";"TAB3",#N/A,TRUE,"GENERAL";"TAB4",#N/A,TRUE,"GENERAL";"TAB5",#N/A,TRUE,"GENERAL"}</definedName>
    <definedName name="_y5" localSheetId="14" hidden="1">{"TAB1",#N/A,TRUE,"GENERAL";"TAB2",#N/A,TRUE,"GENERAL";"TAB3",#N/A,TRUE,"GENERAL";"TAB4",#N/A,TRUE,"GENERAL";"TAB5",#N/A,TRUE,"GENERAL"}</definedName>
    <definedName name="_y5" localSheetId="16" hidden="1">{"TAB1",#N/A,TRUE,"GENERAL";"TAB2",#N/A,TRUE,"GENERAL";"TAB3",#N/A,TRUE,"GENERAL";"TAB4",#N/A,TRUE,"GENERAL";"TAB5",#N/A,TRUE,"GENERAL"}</definedName>
    <definedName name="_y5" localSheetId="18" hidden="1">{"TAB1",#N/A,TRUE,"GENERAL";"TAB2",#N/A,TRUE,"GENERAL";"TAB3",#N/A,TRUE,"GENERAL";"TAB4",#N/A,TRUE,"GENERAL";"TAB5",#N/A,TRUE,"GENERAL"}</definedName>
    <definedName name="_y5" hidden="1">{"TAB1",#N/A,TRUE,"GENERAL";"TAB2",#N/A,TRUE,"GENERAL";"TAB3",#N/A,TRUE,"GENERAL";"TAB4",#N/A,TRUE,"GENERAL";"TAB5",#N/A,TRUE,"GENERAL"}</definedName>
    <definedName name="_y6" localSheetId="15" hidden="1">{"via1",#N/A,TRUE,"general";"via2",#N/A,TRUE,"general";"via3",#N/A,TRUE,"general"}</definedName>
    <definedName name="_y6" localSheetId="17" hidden="1">{"via1",#N/A,TRUE,"general";"via2",#N/A,TRUE,"general";"via3",#N/A,TRUE,"general"}</definedName>
    <definedName name="_y6" localSheetId="19" hidden="1">{"via1",#N/A,TRUE,"general";"via2",#N/A,TRUE,"general";"via3",#N/A,TRUE,"general"}</definedName>
    <definedName name="_y6" localSheetId="12"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4" hidden="1">{"via1",#N/A,TRUE,"general";"via2",#N/A,TRUE,"general";"via3",#N/A,TRUE,"general"}</definedName>
    <definedName name="_y6" localSheetId="1" hidden="1">{"via1",#N/A,TRUE,"general";"via2",#N/A,TRUE,"general";"via3",#N/A,TRUE,"general"}</definedName>
    <definedName name="_y6" localSheetId="14" hidden="1">{"via1",#N/A,TRUE,"general";"via2",#N/A,TRUE,"general";"via3",#N/A,TRUE,"general"}</definedName>
    <definedName name="_y6" localSheetId="16" hidden="1">{"via1",#N/A,TRUE,"general";"via2",#N/A,TRUE,"general";"via3",#N/A,TRUE,"general"}</definedName>
    <definedName name="_y6" localSheetId="18" hidden="1">{"via1",#N/A,TRUE,"general";"via2",#N/A,TRUE,"general";"via3",#N/A,TRUE,"general"}</definedName>
    <definedName name="_y6" hidden="1">{"via1",#N/A,TRUE,"general";"via2",#N/A,TRUE,"general";"via3",#N/A,TRUE,"general"}</definedName>
    <definedName name="_y7" localSheetId="15" hidden="1">{"via1",#N/A,TRUE,"general";"via2",#N/A,TRUE,"general";"via3",#N/A,TRUE,"general"}</definedName>
    <definedName name="_y7" localSheetId="17" hidden="1">{"via1",#N/A,TRUE,"general";"via2",#N/A,TRUE,"general";"via3",#N/A,TRUE,"general"}</definedName>
    <definedName name="_y7" localSheetId="19" hidden="1">{"via1",#N/A,TRUE,"general";"via2",#N/A,TRUE,"general";"via3",#N/A,TRUE,"general"}</definedName>
    <definedName name="_y7" localSheetId="12"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4" hidden="1">{"via1",#N/A,TRUE,"general";"via2",#N/A,TRUE,"general";"via3",#N/A,TRUE,"general"}</definedName>
    <definedName name="_y7" localSheetId="1" hidden="1">{"via1",#N/A,TRUE,"general";"via2",#N/A,TRUE,"general";"via3",#N/A,TRUE,"general"}</definedName>
    <definedName name="_y7" localSheetId="14" hidden="1">{"via1",#N/A,TRUE,"general";"via2",#N/A,TRUE,"general";"via3",#N/A,TRUE,"general"}</definedName>
    <definedName name="_y7" localSheetId="16" hidden="1">{"via1",#N/A,TRUE,"general";"via2",#N/A,TRUE,"general";"via3",#N/A,TRUE,"general"}</definedName>
    <definedName name="_y7" localSheetId="18" hidden="1">{"via1",#N/A,TRUE,"general";"via2",#N/A,TRUE,"general";"via3",#N/A,TRUE,"general"}</definedName>
    <definedName name="_y7" hidden="1">{"via1",#N/A,TRUE,"general";"via2",#N/A,TRUE,"general";"via3",#N/A,TRUE,"general"}</definedName>
    <definedName name="_y8" localSheetId="15" hidden="1">{"via1",#N/A,TRUE,"general";"via2",#N/A,TRUE,"general";"via3",#N/A,TRUE,"general"}</definedName>
    <definedName name="_y8" localSheetId="17" hidden="1">{"via1",#N/A,TRUE,"general";"via2",#N/A,TRUE,"general";"via3",#N/A,TRUE,"general"}</definedName>
    <definedName name="_y8" localSheetId="19" hidden="1">{"via1",#N/A,TRUE,"general";"via2",#N/A,TRUE,"general";"via3",#N/A,TRUE,"general"}</definedName>
    <definedName name="_y8" localSheetId="12"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4" hidden="1">{"via1",#N/A,TRUE,"general";"via2",#N/A,TRUE,"general";"via3",#N/A,TRUE,"general"}</definedName>
    <definedName name="_y8" localSheetId="1" hidden="1">{"via1",#N/A,TRUE,"general";"via2",#N/A,TRUE,"general";"via3",#N/A,TRUE,"general"}</definedName>
    <definedName name="_y8" localSheetId="14" hidden="1">{"via1",#N/A,TRUE,"general";"via2",#N/A,TRUE,"general";"via3",#N/A,TRUE,"general"}</definedName>
    <definedName name="_y8" localSheetId="16" hidden="1">{"via1",#N/A,TRUE,"general";"via2",#N/A,TRUE,"general";"via3",#N/A,TRUE,"general"}</definedName>
    <definedName name="_y8" localSheetId="18" hidden="1">{"via1",#N/A,TRUE,"general";"via2",#N/A,TRUE,"general";"via3",#N/A,TRUE,"general"}</definedName>
    <definedName name="_y8" hidden="1">{"via1",#N/A,TRUE,"general";"via2",#N/A,TRUE,"general";"via3",#N/A,TRUE,"general"}</definedName>
    <definedName name="_y9" localSheetId="15" hidden="1">{"TAB1",#N/A,TRUE,"GENERAL";"TAB2",#N/A,TRUE,"GENERAL";"TAB3",#N/A,TRUE,"GENERAL";"TAB4",#N/A,TRUE,"GENERAL";"TAB5",#N/A,TRUE,"GENERAL"}</definedName>
    <definedName name="_y9" localSheetId="17" hidden="1">{"TAB1",#N/A,TRUE,"GENERAL";"TAB2",#N/A,TRUE,"GENERAL";"TAB3",#N/A,TRUE,"GENERAL";"TAB4",#N/A,TRUE,"GENERAL";"TAB5",#N/A,TRUE,"GENERAL"}</definedName>
    <definedName name="_y9" localSheetId="19" hidden="1">{"TAB1",#N/A,TRUE,"GENERAL";"TAB2",#N/A,TRUE,"GENERAL";"TAB3",#N/A,TRUE,"GENERAL";"TAB4",#N/A,TRUE,"GENERAL";"TAB5",#N/A,TRUE,"GENERAL"}</definedName>
    <definedName name="_y9" localSheetId="12"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4" hidden="1">{"TAB1",#N/A,TRUE,"GENERAL";"TAB2",#N/A,TRUE,"GENERAL";"TAB3",#N/A,TRUE,"GENERAL";"TAB4",#N/A,TRUE,"GENERAL";"TAB5",#N/A,TRUE,"GENERAL"}</definedName>
    <definedName name="_y9" localSheetId="1" hidden="1">{"TAB1",#N/A,TRUE,"GENERAL";"TAB2",#N/A,TRUE,"GENERAL";"TAB3",#N/A,TRUE,"GENERAL";"TAB4",#N/A,TRUE,"GENERAL";"TAB5",#N/A,TRUE,"GENERAL"}</definedName>
    <definedName name="_y9" localSheetId="14" hidden="1">{"TAB1",#N/A,TRUE,"GENERAL";"TAB2",#N/A,TRUE,"GENERAL";"TAB3",#N/A,TRUE,"GENERAL";"TAB4",#N/A,TRUE,"GENERAL";"TAB5",#N/A,TRUE,"GENERAL"}</definedName>
    <definedName name="_y9" localSheetId="16" hidden="1">{"TAB1",#N/A,TRUE,"GENERAL";"TAB2",#N/A,TRUE,"GENERAL";"TAB3",#N/A,TRUE,"GENERAL";"TAB4",#N/A,TRUE,"GENERAL";"TAB5",#N/A,TRUE,"GENERAL"}</definedName>
    <definedName name="_y9" localSheetId="18" hidden="1">{"TAB1",#N/A,TRUE,"GENERAL";"TAB2",#N/A,TRUE,"GENERAL";"TAB3",#N/A,TRUE,"GENERAL";"TAB4",#N/A,TRUE,"GENERAL";"TAB5",#N/A,TRUE,"GENERAL"}</definedName>
    <definedName name="_y9" hidden="1">{"TAB1",#N/A,TRUE,"GENERAL";"TAB2",#N/A,TRUE,"GENERAL";"TAB3",#N/A,TRUE,"GENERAL";"TAB4",#N/A,TRUE,"GENERAL";"TAB5",#N/A,TRUE,"GENERAL"}</definedName>
    <definedName name="_z1" localSheetId="15" hidden="1">{"TAB1",#N/A,TRUE,"GENERAL";"TAB2",#N/A,TRUE,"GENERAL";"TAB3",#N/A,TRUE,"GENERAL";"TAB4",#N/A,TRUE,"GENERAL";"TAB5",#N/A,TRUE,"GENERAL"}</definedName>
    <definedName name="_z1" localSheetId="17" hidden="1">{"TAB1",#N/A,TRUE,"GENERAL";"TAB2",#N/A,TRUE,"GENERAL";"TAB3",#N/A,TRUE,"GENERAL";"TAB4",#N/A,TRUE,"GENERAL";"TAB5",#N/A,TRUE,"GENERAL"}</definedName>
    <definedName name="_z1" localSheetId="19" hidden="1">{"TAB1",#N/A,TRUE,"GENERAL";"TAB2",#N/A,TRUE,"GENERAL";"TAB3",#N/A,TRUE,"GENERAL";"TAB4",#N/A,TRUE,"GENERAL";"TAB5",#N/A,TRUE,"GENERAL"}</definedName>
    <definedName name="_z1" localSheetId="12"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4" hidden="1">{"TAB1",#N/A,TRUE,"GENERAL";"TAB2",#N/A,TRUE,"GENERAL";"TAB3",#N/A,TRUE,"GENERAL";"TAB4",#N/A,TRUE,"GENERAL";"TAB5",#N/A,TRUE,"GENERAL"}</definedName>
    <definedName name="_z1" localSheetId="1" hidden="1">{"TAB1",#N/A,TRUE,"GENERAL";"TAB2",#N/A,TRUE,"GENERAL";"TAB3",#N/A,TRUE,"GENERAL";"TAB4",#N/A,TRUE,"GENERAL";"TAB5",#N/A,TRUE,"GENERAL"}</definedName>
    <definedName name="_z1" localSheetId="14" hidden="1">{"TAB1",#N/A,TRUE,"GENERAL";"TAB2",#N/A,TRUE,"GENERAL";"TAB3",#N/A,TRUE,"GENERAL";"TAB4",#N/A,TRUE,"GENERAL";"TAB5",#N/A,TRUE,"GENERAL"}</definedName>
    <definedName name="_z1" localSheetId="16" hidden="1">{"TAB1",#N/A,TRUE,"GENERAL";"TAB2",#N/A,TRUE,"GENERAL";"TAB3",#N/A,TRUE,"GENERAL";"TAB4",#N/A,TRUE,"GENERAL";"TAB5",#N/A,TRUE,"GENERAL"}</definedName>
    <definedName name="_z1" localSheetId="18" hidden="1">{"TAB1",#N/A,TRUE,"GENERAL";"TAB2",#N/A,TRUE,"GENERAL";"TAB3",#N/A,TRUE,"GENERAL";"TAB4",#N/A,TRUE,"GENERAL";"TAB5",#N/A,TRUE,"GENERAL"}</definedName>
    <definedName name="_z1" hidden="1">{"TAB1",#N/A,TRUE,"GENERAL";"TAB2",#N/A,TRUE,"GENERAL";"TAB3",#N/A,TRUE,"GENERAL";"TAB4",#N/A,TRUE,"GENERAL";"TAB5",#N/A,TRUE,"GENERAL"}</definedName>
    <definedName name="_z2" localSheetId="15" hidden="1">{"via1",#N/A,TRUE,"general";"via2",#N/A,TRUE,"general";"via3",#N/A,TRUE,"general"}</definedName>
    <definedName name="_z2" localSheetId="17" hidden="1">{"via1",#N/A,TRUE,"general";"via2",#N/A,TRUE,"general";"via3",#N/A,TRUE,"general"}</definedName>
    <definedName name="_z2" localSheetId="19" hidden="1">{"via1",#N/A,TRUE,"general";"via2",#N/A,TRUE,"general";"via3",#N/A,TRUE,"general"}</definedName>
    <definedName name="_z2" localSheetId="12"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4" hidden="1">{"via1",#N/A,TRUE,"general";"via2",#N/A,TRUE,"general";"via3",#N/A,TRUE,"general"}</definedName>
    <definedName name="_z2" localSheetId="1" hidden="1">{"via1",#N/A,TRUE,"general";"via2",#N/A,TRUE,"general";"via3",#N/A,TRUE,"general"}</definedName>
    <definedName name="_z2" localSheetId="14" hidden="1">{"via1",#N/A,TRUE,"general";"via2",#N/A,TRUE,"general";"via3",#N/A,TRUE,"general"}</definedName>
    <definedName name="_z2" localSheetId="16" hidden="1">{"via1",#N/A,TRUE,"general";"via2",#N/A,TRUE,"general";"via3",#N/A,TRUE,"general"}</definedName>
    <definedName name="_z2" localSheetId="18" hidden="1">{"via1",#N/A,TRUE,"general";"via2",#N/A,TRUE,"general";"via3",#N/A,TRUE,"general"}</definedName>
    <definedName name="_z2" hidden="1">{"via1",#N/A,TRUE,"general";"via2",#N/A,TRUE,"general";"via3",#N/A,TRUE,"general"}</definedName>
    <definedName name="_z3" localSheetId="15" hidden="1">{"via1",#N/A,TRUE,"general";"via2",#N/A,TRUE,"general";"via3",#N/A,TRUE,"general"}</definedName>
    <definedName name="_z3" localSheetId="17" hidden="1">{"via1",#N/A,TRUE,"general";"via2",#N/A,TRUE,"general";"via3",#N/A,TRUE,"general"}</definedName>
    <definedName name="_z3" localSheetId="19" hidden="1">{"via1",#N/A,TRUE,"general";"via2",#N/A,TRUE,"general";"via3",#N/A,TRUE,"general"}</definedName>
    <definedName name="_z3" localSheetId="12"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4" hidden="1">{"via1",#N/A,TRUE,"general";"via2",#N/A,TRUE,"general";"via3",#N/A,TRUE,"general"}</definedName>
    <definedName name="_z3" localSheetId="1" hidden="1">{"via1",#N/A,TRUE,"general";"via2",#N/A,TRUE,"general";"via3",#N/A,TRUE,"general"}</definedName>
    <definedName name="_z3" localSheetId="14" hidden="1">{"via1",#N/A,TRUE,"general";"via2",#N/A,TRUE,"general";"via3",#N/A,TRUE,"general"}</definedName>
    <definedName name="_z3" localSheetId="16" hidden="1">{"via1",#N/A,TRUE,"general";"via2",#N/A,TRUE,"general";"via3",#N/A,TRUE,"general"}</definedName>
    <definedName name="_z3" localSheetId="18" hidden="1">{"via1",#N/A,TRUE,"general";"via2",#N/A,TRUE,"general";"via3",#N/A,TRUE,"general"}</definedName>
    <definedName name="_z3" hidden="1">{"via1",#N/A,TRUE,"general";"via2",#N/A,TRUE,"general";"via3",#N/A,TRUE,"general"}</definedName>
    <definedName name="_z4" localSheetId="15" hidden="1">{"TAB1",#N/A,TRUE,"GENERAL";"TAB2",#N/A,TRUE,"GENERAL";"TAB3",#N/A,TRUE,"GENERAL";"TAB4",#N/A,TRUE,"GENERAL";"TAB5",#N/A,TRUE,"GENERAL"}</definedName>
    <definedName name="_z4" localSheetId="17" hidden="1">{"TAB1",#N/A,TRUE,"GENERAL";"TAB2",#N/A,TRUE,"GENERAL";"TAB3",#N/A,TRUE,"GENERAL";"TAB4",#N/A,TRUE,"GENERAL";"TAB5",#N/A,TRUE,"GENERAL"}</definedName>
    <definedName name="_z4" localSheetId="19" hidden="1">{"TAB1",#N/A,TRUE,"GENERAL";"TAB2",#N/A,TRUE,"GENERAL";"TAB3",#N/A,TRUE,"GENERAL";"TAB4",#N/A,TRUE,"GENERAL";"TAB5",#N/A,TRUE,"GENERAL"}</definedName>
    <definedName name="_z4" localSheetId="12"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4" hidden="1">{"TAB1",#N/A,TRUE,"GENERAL";"TAB2",#N/A,TRUE,"GENERAL";"TAB3",#N/A,TRUE,"GENERAL";"TAB4",#N/A,TRUE,"GENERAL";"TAB5",#N/A,TRUE,"GENERAL"}</definedName>
    <definedName name="_z4" localSheetId="1" hidden="1">{"TAB1",#N/A,TRUE,"GENERAL";"TAB2",#N/A,TRUE,"GENERAL";"TAB3",#N/A,TRUE,"GENERAL";"TAB4",#N/A,TRUE,"GENERAL";"TAB5",#N/A,TRUE,"GENERAL"}</definedName>
    <definedName name="_z4" localSheetId="14" hidden="1">{"TAB1",#N/A,TRUE,"GENERAL";"TAB2",#N/A,TRUE,"GENERAL";"TAB3",#N/A,TRUE,"GENERAL";"TAB4",#N/A,TRUE,"GENERAL";"TAB5",#N/A,TRUE,"GENERAL"}</definedName>
    <definedName name="_z4" localSheetId="16" hidden="1">{"TAB1",#N/A,TRUE,"GENERAL";"TAB2",#N/A,TRUE,"GENERAL";"TAB3",#N/A,TRUE,"GENERAL";"TAB4",#N/A,TRUE,"GENERAL";"TAB5",#N/A,TRUE,"GENERAL"}</definedName>
    <definedName name="_z4" localSheetId="18" hidden="1">{"TAB1",#N/A,TRUE,"GENERAL";"TAB2",#N/A,TRUE,"GENERAL";"TAB3",#N/A,TRUE,"GENERAL";"TAB4",#N/A,TRUE,"GENERAL";"TAB5",#N/A,TRUE,"GENERAL"}</definedName>
    <definedName name="_z4" hidden="1">{"TAB1",#N/A,TRUE,"GENERAL";"TAB2",#N/A,TRUE,"GENERAL";"TAB3",#N/A,TRUE,"GENERAL";"TAB4",#N/A,TRUE,"GENERAL";"TAB5",#N/A,TRUE,"GENERAL"}</definedName>
    <definedName name="_z5" localSheetId="15" hidden="1">{"via1",#N/A,TRUE,"general";"via2",#N/A,TRUE,"general";"via3",#N/A,TRUE,"general"}</definedName>
    <definedName name="_z5" localSheetId="17" hidden="1">{"via1",#N/A,TRUE,"general";"via2",#N/A,TRUE,"general";"via3",#N/A,TRUE,"general"}</definedName>
    <definedName name="_z5" localSheetId="19" hidden="1">{"via1",#N/A,TRUE,"general";"via2",#N/A,TRUE,"general";"via3",#N/A,TRUE,"general"}</definedName>
    <definedName name="_z5" localSheetId="12"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4" hidden="1">{"via1",#N/A,TRUE,"general";"via2",#N/A,TRUE,"general";"via3",#N/A,TRUE,"general"}</definedName>
    <definedName name="_z5" localSheetId="1" hidden="1">{"via1",#N/A,TRUE,"general";"via2",#N/A,TRUE,"general";"via3",#N/A,TRUE,"general"}</definedName>
    <definedName name="_z5" localSheetId="14" hidden="1">{"via1",#N/A,TRUE,"general";"via2",#N/A,TRUE,"general";"via3",#N/A,TRUE,"general"}</definedName>
    <definedName name="_z5" localSheetId="16" hidden="1">{"via1",#N/A,TRUE,"general";"via2",#N/A,TRUE,"general";"via3",#N/A,TRUE,"general"}</definedName>
    <definedName name="_z5" localSheetId="18" hidden="1">{"via1",#N/A,TRUE,"general";"via2",#N/A,TRUE,"general";"via3",#N/A,TRUE,"general"}</definedName>
    <definedName name="_z5" hidden="1">{"via1",#N/A,TRUE,"general";"via2",#N/A,TRUE,"general";"via3",#N/A,TRUE,"general"}</definedName>
    <definedName name="_z6" localSheetId="15" hidden="1">{"TAB1",#N/A,TRUE,"GENERAL";"TAB2",#N/A,TRUE,"GENERAL";"TAB3",#N/A,TRUE,"GENERAL";"TAB4",#N/A,TRUE,"GENERAL";"TAB5",#N/A,TRUE,"GENERAL"}</definedName>
    <definedName name="_z6" localSheetId="17" hidden="1">{"TAB1",#N/A,TRUE,"GENERAL";"TAB2",#N/A,TRUE,"GENERAL";"TAB3",#N/A,TRUE,"GENERAL";"TAB4",#N/A,TRUE,"GENERAL";"TAB5",#N/A,TRUE,"GENERAL"}</definedName>
    <definedName name="_z6" localSheetId="19" hidden="1">{"TAB1",#N/A,TRUE,"GENERAL";"TAB2",#N/A,TRUE,"GENERAL";"TAB3",#N/A,TRUE,"GENERAL";"TAB4",#N/A,TRUE,"GENERAL";"TAB5",#N/A,TRUE,"GENERAL"}</definedName>
    <definedName name="_z6" localSheetId="12"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4" hidden="1">{"TAB1",#N/A,TRUE,"GENERAL";"TAB2",#N/A,TRUE,"GENERAL";"TAB3",#N/A,TRUE,"GENERAL";"TAB4",#N/A,TRUE,"GENERAL";"TAB5",#N/A,TRUE,"GENERAL"}</definedName>
    <definedName name="_z6" localSheetId="1" hidden="1">{"TAB1",#N/A,TRUE,"GENERAL";"TAB2",#N/A,TRUE,"GENERAL";"TAB3",#N/A,TRUE,"GENERAL";"TAB4",#N/A,TRUE,"GENERAL";"TAB5",#N/A,TRUE,"GENERAL"}</definedName>
    <definedName name="_z6" localSheetId="14" hidden="1">{"TAB1",#N/A,TRUE,"GENERAL";"TAB2",#N/A,TRUE,"GENERAL";"TAB3",#N/A,TRUE,"GENERAL";"TAB4",#N/A,TRUE,"GENERAL";"TAB5",#N/A,TRUE,"GENERAL"}</definedName>
    <definedName name="_z6" localSheetId="16" hidden="1">{"TAB1",#N/A,TRUE,"GENERAL";"TAB2",#N/A,TRUE,"GENERAL";"TAB3",#N/A,TRUE,"GENERAL";"TAB4",#N/A,TRUE,"GENERAL";"TAB5",#N/A,TRUE,"GENERAL"}</definedName>
    <definedName name="_z6" localSheetId="18" hidden="1">{"TAB1",#N/A,TRUE,"GENERAL";"TAB2",#N/A,TRUE,"GENERAL";"TAB3",#N/A,TRUE,"GENERAL";"TAB4",#N/A,TRUE,"GENERAL";"TAB5",#N/A,TRUE,"GENERAL"}</definedName>
    <definedName name="_z6" hidden="1">{"TAB1",#N/A,TRUE,"GENERAL";"TAB2",#N/A,TRUE,"GENERAL";"TAB3",#N/A,TRUE,"GENERAL";"TAB4",#N/A,TRUE,"GENERAL";"TAB5",#N/A,TRUE,"GENERAL"}</definedName>
    <definedName name="a2a" localSheetId="15" hidden="1">{"TAB1",#N/A,TRUE,"GENERAL";"TAB2",#N/A,TRUE,"GENERAL";"TAB3",#N/A,TRUE,"GENERAL";"TAB4",#N/A,TRUE,"GENERAL";"TAB5",#N/A,TRUE,"GENERAL"}</definedName>
    <definedName name="a2a" localSheetId="17" hidden="1">{"TAB1",#N/A,TRUE,"GENERAL";"TAB2",#N/A,TRUE,"GENERAL";"TAB3",#N/A,TRUE,"GENERAL";"TAB4",#N/A,TRUE,"GENERAL";"TAB5",#N/A,TRUE,"GENERAL"}</definedName>
    <definedName name="a2a" localSheetId="19" hidden="1">{"TAB1",#N/A,TRUE,"GENERAL";"TAB2",#N/A,TRUE,"GENERAL";"TAB3",#N/A,TRUE,"GENERAL";"TAB4",#N/A,TRUE,"GENERAL";"TAB5",#N/A,TRUE,"GENERAL"}</definedName>
    <definedName name="a2a" localSheetId="12"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4" hidden="1">{"TAB1",#N/A,TRUE,"GENERAL";"TAB2",#N/A,TRUE,"GENERAL";"TAB3",#N/A,TRUE,"GENERAL";"TAB4",#N/A,TRUE,"GENERAL";"TAB5",#N/A,TRUE,"GENERAL"}</definedName>
    <definedName name="a2a" localSheetId="1" hidden="1">{"TAB1",#N/A,TRUE,"GENERAL";"TAB2",#N/A,TRUE,"GENERAL";"TAB3",#N/A,TRUE,"GENERAL";"TAB4",#N/A,TRUE,"GENERAL";"TAB5",#N/A,TRUE,"GENERAL"}</definedName>
    <definedName name="a2a" localSheetId="14" hidden="1">{"TAB1",#N/A,TRUE,"GENERAL";"TAB2",#N/A,TRUE,"GENERAL";"TAB3",#N/A,TRUE,"GENERAL";"TAB4",#N/A,TRUE,"GENERAL";"TAB5",#N/A,TRUE,"GENERAL"}</definedName>
    <definedName name="a2a" localSheetId="16" hidden="1">{"TAB1",#N/A,TRUE,"GENERAL";"TAB2",#N/A,TRUE,"GENERAL";"TAB3",#N/A,TRUE,"GENERAL";"TAB4",#N/A,TRUE,"GENERAL";"TAB5",#N/A,TRUE,"GENERAL"}</definedName>
    <definedName name="a2a" localSheetId="18" hidden="1">{"TAB1",#N/A,TRUE,"GENERAL";"TAB2",#N/A,TRUE,"GENERAL";"TAB3",#N/A,TRUE,"GENERAL";"TAB4",#N/A,TRUE,"GENERAL";"TAB5",#N/A,TRUE,"GENERAL"}</definedName>
    <definedName name="a2a" hidden="1">{"TAB1",#N/A,TRUE,"GENERAL";"TAB2",#N/A,TRUE,"GENERAL";"TAB3",#N/A,TRUE,"GENERAL";"TAB4",#N/A,TRUE,"GENERAL";"TAB5",#N/A,TRUE,"GENERAL"}</definedName>
    <definedName name="AA" localSheetId="13" hidden="1">{#N/A,#N/A,TRUE,"INGENIERIA";#N/A,#N/A,TRUE,"COMPRAS";#N/A,#N/A,TRUE,"DIRECCION";#N/A,#N/A,TRUE,"RESUMEN"}</definedName>
    <definedName name="AA" localSheetId="15" hidden="1">{#N/A,#N/A,TRUE,"INGENIERIA";#N/A,#N/A,TRUE,"COMPRAS";#N/A,#N/A,TRUE,"DIRECCION";#N/A,#N/A,TRUE,"RESUMEN"}</definedName>
    <definedName name="AA" localSheetId="17" hidden="1">{#N/A,#N/A,TRUE,"INGENIERIA";#N/A,#N/A,TRUE,"COMPRAS";#N/A,#N/A,TRUE,"DIRECCION";#N/A,#N/A,TRUE,"RESUMEN"}</definedName>
    <definedName name="AA" localSheetId="19" hidden="1">{#N/A,#N/A,TRUE,"INGENIERIA";#N/A,#N/A,TRUE,"COMPRAS";#N/A,#N/A,TRUE,"DIRECCION";#N/A,#N/A,TRUE,"RESUMEN"}</definedName>
    <definedName name="AA" localSheetId="12" hidden="1">{#N/A,#N/A,TRUE,"INGENIERIA";#N/A,#N/A,TRUE,"COMPRAS";#N/A,#N/A,TRUE,"DIRECCION";#N/A,#N/A,TRUE,"RESUMEN"}</definedName>
    <definedName name="AA" localSheetId="8" hidden="1">{#N/A,#N/A,TRUE,"INGENIERIA";#N/A,#N/A,TRUE,"COMPRAS";#N/A,#N/A,TRUE,"DIRECCION";#N/A,#N/A,TRUE,"RESUMEN"}</definedName>
    <definedName name="AA" localSheetId="9" hidden="1">{#N/A,#N/A,TRUE,"INGENIERIA";#N/A,#N/A,TRUE,"COMPRAS";#N/A,#N/A,TRUE,"DIRECCION";#N/A,#N/A,TRUE,"RESUMEN"}</definedName>
    <definedName name="AA" localSheetId="7" hidden="1">{#N/A,#N/A,TRUE,"INGENIERIA";#N/A,#N/A,TRUE,"COMPRAS";#N/A,#N/A,TRUE,"DIRECCION";#N/A,#N/A,TRUE,"RESUMEN"}</definedName>
    <definedName name="AA" localSheetId="10" hidden="1">{#N/A,#N/A,TRUE,"INGENIERIA";#N/A,#N/A,TRUE,"COMPRAS";#N/A,#N/A,TRUE,"DIRECCION";#N/A,#N/A,TRUE,"RESUMEN"}</definedName>
    <definedName name="AA" localSheetId="0" hidden="1">{#N/A,#N/A,TRUE,"INGENIERIA";#N/A,#N/A,TRUE,"COMPRAS";#N/A,#N/A,TRUE,"DIRECCION";#N/A,#N/A,TRUE,"RESUMEN"}</definedName>
    <definedName name="AA" localSheetId="11" hidden="1">{#N/A,#N/A,TRUE,"INGENIERIA";#N/A,#N/A,TRUE,"COMPRAS";#N/A,#N/A,TRUE,"DIRECCION";#N/A,#N/A,TRUE,"RESUMEN"}</definedName>
    <definedName name="AA" localSheetId="6" hidden="1">{#N/A,#N/A,TRUE,"INGENIERIA";#N/A,#N/A,TRUE,"COMPRAS";#N/A,#N/A,TRUE,"DIRECCION";#N/A,#N/A,TRUE,"RESUMEN"}</definedName>
    <definedName name="AA" localSheetId="4" hidden="1">{#N/A,#N/A,TRUE,"INGENIERIA";#N/A,#N/A,TRUE,"COMPRAS";#N/A,#N/A,TRUE,"DIRECCION";#N/A,#N/A,TRUE,"RESUMEN"}</definedName>
    <definedName name="AA" localSheetId="1" hidden="1">{#N/A,#N/A,TRUE,"INGENIERIA";#N/A,#N/A,TRUE,"COMPRAS";#N/A,#N/A,TRUE,"DIRECCION";#N/A,#N/A,TRUE,"RESUMEN"}</definedName>
    <definedName name="AA" localSheetId="14" hidden="1">{#N/A,#N/A,TRUE,"INGENIERIA";#N/A,#N/A,TRUE,"COMPRAS";#N/A,#N/A,TRUE,"DIRECCION";#N/A,#N/A,TRUE,"RESUMEN"}</definedName>
    <definedName name="AA" localSheetId="16" hidden="1">{#N/A,#N/A,TRUE,"INGENIERIA";#N/A,#N/A,TRUE,"COMPRAS";#N/A,#N/A,TRUE,"DIRECCION";#N/A,#N/A,TRUE,"RESUMEN"}</definedName>
    <definedName name="AA" localSheetId="18" hidden="1">{#N/A,#N/A,TRUE,"INGENIERIA";#N/A,#N/A,TRUE,"COMPRAS";#N/A,#N/A,TRUE,"DIRECCION";#N/A,#N/A,TRUE,"RESUMEN"}</definedName>
    <definedName name="AA" localSheetId="5" hidden="1">{#N/A,#N/A,TRUE,"INGENIERIA";#N/A,#N/A,TRUE,"COMPRAS";#N/A,#N/A,TRUE,"DIRECCION";#N/A,#N/A,TRUE,"RESUMEN"}</definedName>
    <definedName name="AA" hidden="1">{#N/A,#N/A,TRUE,"INGENIERIA";#N/A,#N/A,TRUE,"COMPRAS";#N/A,#N/A,TRUE,"DIRECCION";#N/A,#N/A,TRUE,"RESUMEN"}</definedName>
    <definedName name="AA_1" localSheetId="15" hidden="1">{#N/A,#N/A,TRUE,"INGENIERIA";#N/A,#N/A,TRUE,"COMPRAS";#N/A,#N/A,TRUE,"DIRECCION";#N/A,#N/A,TRUE,"RESUMEN"}</definedName>
    <definedName name="AA_1" localSheetId="17" hidden="1">{#N/A,#N/A,TRUE,"INGENIERIA";#N/A,#N/A,TRUE,"COMPRAS";#N/A,#N/A,TRUE,"DIRECCION";#N/A,#N/A,TRUE,"RESUMEN"}</definedName>
    <definedName name="AA_1" localSheetId="19" hidden="1">{#N/A,#N/A,TRUE,"INGENIERIA";#N/A,#N/A,TRUE,"COMPRAS";#N/A,#N/A,TRUE,"DIRECCION";#N/A,#N/A,TRUE,"RESUMEN"}</definedName>
    <definedName name="AA_1" localSheetId="11" hidden="1">{#N/A,#N/A,TRUE,"INGENIERIA";#N/A,#N/A,TRUE,"COMPRAS";#N/A,#N/A,TRUE,"DIRECCION";#N/A,#N/A,TRUE,"RESUMEN"}</definedName>
    <definedName name="AA_1" localSheetId="14" hidden="1">{#N/A,#N/A,TRUE,"INGENIERIA";#N/A,#N/A,TRUE,"COMPRAS";#N/A,#N/A,TRUE,"DIRECCION";#N/A,#N/A,TRUE,"RESUMEN"}</definedName>
    <definedName name="AA_1" localSheetId="16" hidden="1">{#N/A,#N/A,TRUE,"INGENIERIA";#N/A,#N/A,TRUE,"COMPRAS";#N/A,#N/A,TRUE,"DIRECCION";#N/A,#N/A,TRUE,"RESUMEN"}</definedName>
    <definedName name="AA_1" localSheetId="18" hidden="1">{#N/A,#N/A,TRUE,"INGENIERIA";#N/A,#N/A,TRUE,"COMPRAS";#N/A,#N/A,TRUE,"DIRECCION";#N/A,#N/A,TRUE,"RESUMEN"}</definedName>
    <definedName name="AA_1" hidden="1">{#N/A,#N/A,TRUE,"INGENIERIA";#N/A,#N/A,TRUE,"COMPRAS";#N/A,#N/A,TRUE,"DIRECCION";#N/A,#N/A,TRUE,"RESUMEN"}</definedName>
    <definedName name="AA_2" localSheetId="15" hidden="1">{#N/A,#N/A,TRUE,"INGENIERIA";#N/A,#N/A,TRUE,"COMPRAS";#N/A,#N/A,TRUE,"DIRECCION";#N/A,#N/A,TRUE,"RESUMEN"}</definedName>
    <definedName name="AA_2" localSheetId="17" hidden="1">{#N/A,#N/A,TRUE,"INGENIERIA";#N/A,#N/A,TRUE,"COMPRAS";#N/A,#N/A,TRUE,"DIRECCION";#N/A,#N/A,TRUE,"RESUMEN"}</definedName>
    <definedName name="AA_2" localSheetId="19" hidden="1">{#N/A,#N/A,TRUE,"INGENIERIA";#N/A,#N/A,TRUE,"COMPRAS";#N/A,#N/A,TRUE,"DIRECCION";#N/A,#N/A,TRUE,"RESUMEN"}</definedName>
    <definedName name="AA_2" localSheetId="11" hidden="1">{#N/A,#N/A,TRUE,"INGENIERIA";#N/A,#N/A,TRUE,"COMPRAS";#N/A,#N/A,TRUE,"DIRECCION";#N/A,#N/A,TRUE,"RESUMEN"}</definedName>
    <definedName name="AA_2" localSheetId="14" hidden="1">{#N/A,#N/A,TRUE,"INGENIERIA";#N/A,#N/A,TRUE,"COMPRAS";#N/A,#N/A,TRUE,"DIRECCION";#N/A,#N/A,TRUE,"RESUMEN"}</definedName>
    <definedName name="AA_2" localSheetId="16" hidden="1">{#N/A,#N/A,TRUE,"INGENIERIA";#N/A,#N/A,TRUE,"COMPRAS";#N/A,#N/A,TRUE,"DIRECCION";#N/A,#N/A,TRUE,"RESUMEN"}</definedName>
    <definedName name="AA_2" localSheetId="18" hidden="1">{#N/A,#N/A,TRUE,"INGENIERIA";#N/A,#N/A,TRUE,"COMPRAS";#N/A,#N/A,TRUE,"DIRECCION";#N/A,#N/A,TRUE,"RESUMEN"}</definedName>
    <definedName name="AA_2" hidden="1">{#N/A,#N/A,TRUE,"INGENIERIA";#N/A,#N/A,TRUE,"COMPRAS";#N/A,#N/A,TRUE,"DIRECCION";#N/A,#N/A,TRUE,"RESUMEN"}</definedName>
    <definedName name="aaaa" localSheetId="15" hidden="1">{#N/A,#N/A,FALSE,"GRAFICO";#N/A,#N/A,FALSE,"CAJA (2)";#N/A,#N/A,FALSE,"TERCEROS-PROMEDIO";#N/A,#N/A,FALSE,"CAJA";#N/A,#N/A,FALSE,"INGRESOS1995-2003";#N/A,#N/A,FALSE,"GASTOS1995-2003"}</definedName>
    <definedName name="aaaa" localSheetId="17" hidden="1">{#N/A,#N/A,FALSE,"GRAFICO";#N/A,#N/A,FALSE,"CAJA (2)";#N/A,#N/A,FALSE,"TERCEROS-PROMEDIO";#N/A,#N/A,FALSE,"CAJA";#N/A,#N/A,FALSE,"INGRESOS1995-2003";#N/A,#N/A,FALSE,"GASTOS1995-2003"}</definedName>
    <definedName name="aaaa" localSheetId="19" hidden="1">{#N/A,#N/A,FALSE,"GRAFICO";#N/A,#N/A,FALSE,"CAJA (2)";#N/A,#N/A,FALSE,"TERCEROS-PROMEDIO";#N/A,#N/A,FALSE,"CAJA";#N/A,#N/A,FALSE,"INGRESOS1995-2003";#N/A,#N/A,FALSE,"GASTOS1995-2003"}</definedName>
    <definedName name="aaaa" localSheetId="11" hidden="1">{#N/A,#N/A,FALSE,"GRAFICO";#N/A,#N/A,FALSE,"CAJA (2)";#N/A,#N/A,FALSE,"TERCEROS-PROMEDIO";#N/A,#N/A,FALSE,"CAJA";#N/A,#N/A,FALSE,"INGRESOS1995-2003";#N/A,#N/A,FALSE,"GASTOS1995-2003"}</definedName>
    <definedName name="aaaa" localSheetId="14" hidden="1">{#N/A,#N/A,FALSE,"GRAFICO";#N/A,#N/A,FALSE,"CAJA (2)";#N/A,#N/A,FALSE,"TERCEROS-PROMEDIO";#N/A,#N/A,FALSE,"CAJA";#N/A,#N/A,FALSE,"INGRESOS1995-2003";#N/A,#N/A,FALSE,"GASTOS1995-2003"}</definedName>
    <definedName name="aaaa" localSheetId="16" hidden="1">{#N/A,#N/A,FALSE,"GRAFICO";#N/A,#N/A,FALSE,"CAJA (2)";#N/A,#N/A,FALSE,"TERCEROS-PROMEDIO";#N/A,#N/A,FALSE,"CAJA";#N/A,#N/A,FALSE,"INGRESOS1995-2003";#N/A,#N/A,FALSE,"GASTOS1995-2003"}</definedName>
    <definedName name="aaaa" localSheetId="18"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15"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8" hidden="1">{"TAB1",#N/A,TRUE,"GENERAL";"TAB2",#N/A,TRUE,"GENERAL";"TAB3",#N/A,TRUE,"GENERAL";"TAB4",#N/A,TRUE,"GENERAL";"TAB5",#N/A,TRUE,"GENERAL"}</definedName>
    <definedName name="aaaaas" hidden="1">{"TAB1",#N/A,TRUE,"GENERAL";"TAB2",#N/A,TRUE,"GENERAL";"TAB3",#N/A,TRUE,"GENERAL";"TAB4",#N/A,TRUE,"GENERAL";"TAB5",#N/A,TRUE,"GENERAL"}</definedName>
    <definedName name="AAS" localSheetId="13" hidden="1">{#N/A,#N/A,TRUE,"INGENIERIA";#N/A,#N/A,TRUE,"COMPRAS";#N/A,#N/A,TRUE,"DIRECCION";#N/A,#N/A,TRUE,"RESUMEN"}</definedName>
    <definedName name="AAS" localSheetId="15" hidden="1">{#N/A,#N/A,TRUE,"INGENIERIA";#N/A,#N/A,TRUE,"COMPRAS";#N/A,#N/A,TRUE,"DIRECCION";#N/A,#N/A,TRUE,"RESUMEN"}</definedName>
    <definedName name="AAS" localSheetId="17" hidden="1">{#N/A,#N/A,TRUE,"INGENIERIA";#N/A,#N/A,TRUE,"COMPRAS";#N/A,#N/A,TRUE,"DIRECCION";#N/A,#N/A,TRUE,"RESUMEN"}</definedName>
    <definedName name="AAS" localSheetId="19" hidden="1">{#N/A,#N/A,TRUE,"INGENIERIA";#N/A,#N/A,TRUE,"COMPRAS";#N/A,#N/A,TRUE,"DIRECCION";#N/A,#N/A,TRUE,"RESUMEN"}</definedName>
    <definedName name="AAS" localSheetId="12" hidden="1">{#N/A,#N/A,TRUE,"INGENIERIA";#N/A,#N/A,TRUE,"COMPRAS";#N/A,#N/A,TRUE,"DIRECCION";#N/A,#N/A,TRUE,"RESUMEN"}</definedName>
    <definedName name="AAS" localSheetId="8" hidden="1">{#N/A,#N/A,TRUE,"INGENIERIA";#N/A,#N/A,TRUE,"COMPRAS";#N/A,#N/A,TRUE,"DIRECCION";#N/A,#N/A,TRUE,"RESUMEN"}</definedName>
    <definedName name="AAS" localSheetId="9" hidden="1">{#N/A,#N/A,TRUE,"INGENIERIA";#N/A,#N/A,TRUE,"COMPRAS";#N/A,#N/A,TRUE,"DIRECCION";#N/A,#N/A,TRUE,"RESUMEN"}</definedName>
    <definedName name="AAS" localSheetId="7" hidden="1">{#N/A,#N/A,TRUE,"INGENIERIA";#N/A,#N/A,TRUE,"COMPRAS";#N/A,#N/A,TRUE,"DIRECCION";#N/A,#N/A,TRUE,"RESUMEN"}</definedName>
    <definedName name="AAS" localSheetId="10" hidden="1">{#N/A,#N/A,TRUE,"INGENIERIA";#N/A,#N/A,TRUE,"COMPRAS";#N/A,#N/A,TRUE,"DIRECCION";#N/A,#N/A,TRUE,"RESUMEN"}</definedName>
    <definedName name="AAS" localSheetId="0" hidden="1">{#N/A,#N/A,TRUE,"INGENIERIA";#N/A,#N/A,TRUE,"COMPRAS";#N/A,#N/A,TRUE,"DIRECCION";#N/A,#N/A,TRUE,"RESUMEN"}</definedName>
    <definedName name="AAS" localSheetId="11" hidden="1">{#N/A,#N/A,TRUE,"INGENIERIA";#N/A,#N/A,TRUE,"COMPRAS";#N/A,#N/A,TRUE,"DIRECCION";#N/A,#N/A,TRUE,"RESUMEN"}</definedName>
    <definedName name="AAS" localSheetId="6" hidden="1">{#N/A,#N/A,TRUE,"INGENIERIA";#N/A,#N/A,TRUE,"COMPRAS";#N/A,#N/A,TRUE,"DIRECCION";#N/A,#N/A,TRUE,"RESUMEN"}</definedName>
    <definedName name="AAS" localSheetId="4" hidden="1">{#N/A,#N/A,TRUE,"INGENIERIA";#N/A,#N/A,TRUE,"COMPRAS";#N/A,#N/A,TRUE,"DIRECCION";#N/A,#N/A,TRUE,"RESUMEN"}</definedName>
    <definedName name="AAS" localSheetId="1" hidden="1">{#N/A,#N/A,TRUE,"INGENIERIA";#N/A,#N/A,TRUE,"COMPRAS";#N/A,#N/A,TRUE,"DIRECCION";#N/A,#N/A,TRUE,"RESUMEN"}</definedName>
    <definedName name="AAS" localSheetId="14" hidden="1">{#N/A,#N/A,TRUE,"INGENIERIA";#N/A,#N/A,TRUE,"COMPRAS";#N/A,#N/A,TRUE,"DIRECCION";#N/A,#N/A,TRUE,"RESUMEN"}</definedName>
    <definedName name="AAS" localSheetId="16" hidden="1">{#N/A,#N/A,TRUE,"INGENIERIA";#N/A,#N/A,TRUE,"COMPRAS";#N/A,#N/A,TRUE,"DIRECCION";#N/A,#N/A,TRUE,"RESUMEN"}</definedName>
    <definedName name="AAS" localSheetId="18" hidden="1">{#N/A,#N/A,TRUE,"INGENIERIA";#N/A,#N/A,TRUE,"COMPRAS";#N/A,#N/A,TRUE,"DIRECCION";#N/A,#N/A,TRUE,"RESUMEN"}</definedName>
    <definedName name="AAS" localSheetId="5" hidden="1">{#N/A,#N/A,TRUE,"INGENIERIA";#N/A,#N/A,TRUE,"COMPRAS";#N/A,#N/A,TRUE,"DIRECCION";#N/A,#N/A,TRUE,"RESUMEN"}</definedName>
    <definedName name="AAS" hidden="1">{#N/A,#N/A,TRUE,"INGENIERIA";#N/A,#N/A,TRUE,"COMPRAS";#N/A,#N/A,TRUE,"DIRECCION";#N/A,#N/A,TRUE,"RESUMEN"}</definedName>
    <definedName name="AAS_1" localSheetId="15" hidden="1">{#N/A,#N/A,TRUE,"INGENIERIA";#N/A,#N/A,TRUE,"COMPRAS";#N/A,#N/A,TRUE,"DIRECCION";#N/A,#N/A,TRUE,"RESUMEN"}</definedName>
    <definedName name="AAS_1" localSheetId="17" hidden="1">{#N/A,#N/A,TRUE,"INGENIERIA";#N/A,#N/A,TRUE,"COMPRAS";#N/A,#N/A,TRUE,"DIRECCION";#N/A,#N/A,TRUE,"RESUMEN"}</definedName>
    <definedName name="AAS_1" localSheetId="19" hidden="1">{#N/A,#N/A,TRUE,"INGENIERIA";#N/A,#N/A,TRUE,"COMPRAS";#N/A,#N/A,TRUE,"DIRECCION";#N/A,#N/A,TRUE,"RESUMEN"}</definedName>
    <definedName name="AAS_1" localSheetId="11" hidden="1">{#N/A,#N/A,TRUE,"INGENIERIA";#N/A,#N/A,TRUE,"COMPRAS";#N/A,#N/A,TRUE,"DIRECCION";#N/A,#N/A,TRUE,"RESUMEN"}</definedName>
    <definedName name="AAS_1" localSheetId="14" hidden="1">{#N/A,#N/A,TRUE,"INGENIERIA";#N/A,#N/A,TRUE,"COMPRAS";#N/A,#N/A,TRUE,"DIRECCION";#N/A,#N/A,TRUE,"RESUMEN"}</definedName>
    <definedName name="AAS_1" localSheetId="16" hidden="1">{#N/A,#N/A,TRUE,"INGENIERIA";#N/A,#N/A,TRUE,"COMPRAS";#N/A,#N/A,TRUE,"DIRECCION";#N/A,#N/A,TRUE,"RESUMEN"}</definedName>
    <definedName name="AAS_1" localSheetId="18" hidden="1">{#N/A,#N/A,TRUE,"INGENIERIA";#N/A,#N/A,TRUE,"COMPRAS";#N/A,#N/A,TRUE,"DIRECCION";#N/A,#N/A,TRUE,"RESUMEN"}</definedName>
    <definedName name="AAS_1" hidden="1">{#N/A,#N/A,TRUE,"INGENIERIA";#N/A,#N/A,TRUE,"COMPRAS";#N/A,#N/A,TRUE,"DIRECCION";#N/A,#N/A,TRUE,"RESUMEN"}</definedName>
    <definedName name="AAS_2" localSheetId="15" hidden="1">{#N/A,#N/A,TRUE,"INGENIERIA";#N/A,#N/A,TRUE,"COMPRAS";#N/A,#N/A,TRUE,"DIRECCION";#N/A,#N/A,TRUE,"RESUMEN"}</definedName>
    <definedName name="AAS_2" localSheetId="17" hidden="1">{#N/A,#N/A,TRUE,"INGENIERIA";#N/A,#N/A,TRUE,"COMPRAS";#N/A,#N/A,TRUE,"DIRECCION";#N/A,#N/A,TRUE,"RESUMEN"}</definedName>
    <definedName name="AAS_2" localSheetId="19" hidden="1">{#N/A,#N/A,TRUE,"INGENIERIA";#N/A,#N/A,TRUE,"COMPRAS";#N/A,#N/A,TRUE,"DIRECCION";#N/A,#N/A,TRUE,"RESUMEN"}</definedName>
    <definedName name="AAS_2" localSheetId="11" hidden="1">{#N/A,#N/A,TRUE,"INGENIERIA";#N/A,#N/A,TRUE,"COMPRAS";#N/A,#N/A,TRUE,"DIRECCION";#N/A,#N/A,TRUE,"RESUMEN"}</definedName>
    <definedName name="AAS_2" localSheetId="14" hidden="1">{#N/A,#N/A,TRUE,"INGENIERIA";#N/A,#N/A,TRUE,"COMPRAS";#N/A,#N/A,TRUE,"DIRECCION";#N/A,#N/A,TRUE,"RESUMEN"}</definedName>
    <definedName name="AAS_2" localSheetId="16" hidden="1">{#N/A,#N/A,TRUE,"INGENIERIA";#N/A,#N/A,TRUE,"COMPRAS";#N/A,#N/A,TRUE,"DIRECCION";#N/A,#N/A,TRUE,"RESUMEN"}</definedName>
    <definedName name="AAS_2" localSheetId="18" hidden="1">{#N/A,#N/A,TRUE,"INGENIERIA";#N/A,#N/A,TRUE,"COMPRAS";#N/A,#N/A,TRUE,"DIRECCION";#N/A,#N/A,TRUE,"RESUMEN"}</definedName>
    <definedName name="AAS_2" hidden="1">{#N/A,#N/A,TRUE,"INGENIERIA";#N/A,#N/A,TRUE,"COMPRAS";#N/A,#N/A,TRUE,"DIRECCION";#N/A,#N/A,TRUE,"RESUMEN"}</definedName>
    <definedName name="ABCD" localSheetId="13" hidden="1">#REF!</definedName>
    <definedName name="ABCD" localSheetId="15" hidden="1">#REF!</definedName>
    <definedName name="ABCD" localSheetId="17" hidden="1">#REF!</definedName>
    <definedName name="ABCD" localSheetId="19" hidden="1">#REF!</definedName>
    <definedName name="ABCD" localSheetId="12" hidden="1">#REF!</definedName>
    <definedName name="ABCD" localSheetId="8" hidden="1">#REF!</definedName>
    <definedName name="ABCD" localSheetId="9" hidden="1">#REF!</definedName>
    <definedName name="ABCD" localSheetId="7" hidden="1">#REF!</definedName>
    <definedName name="ABCD" localSheetId="10" hidden="1">#REF!</definedName>
    <definedName name="ABCD" localSheetId="0" hidden="1">#REF!</definedName>
    <definedName name="ABCD" localSheetId="6" hidden="1">#REF!</definedName>
    <definedName name="ABCD" localSheetId="4" hidden="1">#REF!</definedName>
    <definedName name="ABCD" localSheetId="1" hidden="1">#REF!</definedName>
    <definedName name="ABCD" localSheetId="14" hidden="1">#REF!</definedName>
    <definedName name="ABCD" localSheetId="16" hidden="1">#REF!</definedName>
    <definedName name="ABCD" localSheetId="18" hidden="1">#REF!</definedName>
    <definedName name="ABCD" localSheetId="5" hidden="1">#REF!</definedName>
    <definedName name="ABCD" hidden="1">#REF!</definedName>
    <definedName name="ABCDE" localSheetId="13" hidden="1">#REF!</definedName>
    <definedName name="ABCDE" localSheetId="15" hidden="1">#REF!</definedName>
    <definedName name="ABCDE" localSheetId="17" hidden="1">#REF!</definedName>
    <definedName name="ABCDE" localSheetId="19" hidden="1">#REF!</definedName>
    <definedName name="ABCDE" localSheetId="12" hidden="1">#REF!</definedName>
    <definedName name="ABCDE" localSheetId="8" hidden="1">#REF!</definedName>
    <definedName name="ABCDE" localSheetId="9" hidden="1">#REF!</definedName>
    <definedName name="ABCDE" localSheetId="7" hidden="1">#REF!</definedName>
    <definedName name="ABCDE" localSheetId="10" hidden="1">#REF!</definedName>
    <definedName name="ABCDE" localSheetId="0" hidden="1">#REF!</definedName>
    <definedName name="ABCDE" localSheetId="6" hidden="1">#REF!</definedName>
    <definedName name="ABCDE" localSheetId="4" hidden="1">#REF!</definedName>
    <definedName name="ABCDE" localSheetId="1" hidden="1">#REF!</definedName>
    <definedName name="ABCDE" localSheetId="14" hidden="1">#REF!</definedName>
    <definedName name="ABCDE" localSheetId="16" hidden="1">#REF!</definedName>
    <definedName name="ABCDE" localSheetId="18" hidden="1">#REF!</definedName>
    <definedName name="ABCDE" localSheetId="5" hidden="1">#REF!</definedName>
    <definedName name="ABCDE" hidden="1">#REF!</definedName>
    <definedName name="AccessDatabase" hidden="1">"C:\C-314\VOLUMENES\volfin4.mdb"</definedName>
    <definedName name="ACTAAJUSTE3" localSheetId="12" hidden="1">{"via1",#N/A,TRUE,"general";"via2",#N/A,TRUE,"general";"via3",#N/A,TRUE,"general"}</definedName>
    <definedName name="ACTAAJUSTE3" localSheetId="8" hidden="1">{"via1",#N/A,TRUE,"general";"via2",#N/A,TRUE,"general";"via3",#N/A,TRUE,"general"}</definedName>
    <definedName name="ACTAAJUSTE3" localSheetId="9" hidden="1">{"via1",#N/A,TRUE,"general";"via2",#N/A,TRUE,"general";"via3",#N/A,TRUE,"general"}</definedName>
    <definedName name="ACTAAJUSTE3" localSheetId="7" hidden="1">{"via1",#N/A,TRUE,"general";"via2",#N/A,TRUE,"general";"via3",#N/A,TRUE,"general"}</definedName>
    <definedName name="ACTAAJUSTE3" localSheetId="1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DFGSDB" localSheetId="15" hidden="1">{"via1",#N/A,TRUE,"general";"via2",#N/A,TRUE,"general";"via3",#N/A,TRUE,"general"}</definedName>
    <definedName name="ADFGSDB" localSheetId="17" hidden="1">{"via1",#N/A,TRUE,"general";"via2",#N/A,TRUE,"general";"via3",#N/A,TRUE,"general"}</definedName>
    <definedName name="ADFGSDB" localSheetId="19" hidden="1">{"via1",#N/A,TRUE,"general";"via2",#N/A,TRUE,"general";"via3",#N/A,TRUE,"general"}</definedName>
    <definedName name="ADFGSDB" localSheetId="12"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4" hidden="1">{"via1",#N/A,TRUE,"general";"via2",#N/A,TRUE,"general";"via3",#N/A,TRUE,"general"}</definedName>
    <definedName name="ADFGSDB" localSheetId="1" hidden="1">{"via1",#N/A,TRUE,"general";"via2",#N/A,TRUE,"general";"via3",#N/A,TRUE,"general"}</definedName>
    <definedName name="ADFGSDB" localSheetId="14" hidden="1">{"via1",#N/A,TRUE,"general";"via2",#N/A,TRUE,"general";"via3",#N/A,TRUE,"general"}</definedName>
    <definedName name="ADFGSDB" localSheetId="16" hidden="1">{"via1",#N/A,TRUE,"general";"via2",#N/A,TRUE,"general";"via3",#N/A,TRUE,"general"}</definedName>
    <definedName name="ADFGSDB" localSheetId="18" hidden="1">{"via1",#N/A,TRUE,"general";"via2",#N/A,TRUE,"general";"via3",#N/A,TRUE,"general"}</definedName>
    <definedName name="ADFGSDB" hidden="1">{"via1",#N/A,TRUE,"general";"via2",#N/A,TRUE,"general";"via3",#N/A,TRUE,"general"}</definedName>
    <definedName name="ADSAD" localSheetId="15"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4" hidden="1">{"TAB1",#N/A,TRUE,"GENERAL";"TAB2",#N/A,TRUE,"GENERAL";"TAB3",#N/A,TRUE,"GENERAL";"TAB4",#N/A,TRUE,"GENERAL";"TAB5",#N/A,TRUE,"GENERAL"}</definedName>
    <definedName name="ADSAD" localSheetId="1"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8" hidden="1">{"TAB1",#N/A,TRUE,"GENERAL";"TAB2",#N/A,TRUE,"GENERAL";"TAB3",#N/A,TRUE,"GENERAL";"TAB4",#N/A,TRUE,"GENERAL";"TAB5",#N/A,TRUE,"GENERAL"}</definedName>
    <definedName name="ADSAD" hidden="1">{"TAB1",#N/A,TRUE,"GENERAL";"TAB2",#N/A,TRUE,"GENERAL";"TAB3",#N/A,TRUE,"GENERAL";"TAB4",#N/A,TRUE,"GENERAL";"TAB5",#N/A,TRUE,"GENERAL"}</definedName>
    <definedName name="aefa" localSheetId="15" hidden="1">{"via1",#N/A,TRUE,"general";"via2",#N/A,TRUE,"general";"via3",#N/A,TRUE,"general"}</definedName>
    <definedName name="aefa" localSheetId="17" hidden="1">{"via1",#N/A,TRUE,"general";"via2",#N/A,TRUE,"general";"via3",#N/A,TRUE,"general"}</definedName>
    <definedName name="aefa" localSheetId="19" hidden="1">{"via1",#N/A,TRUE,"general";"via2",#N/A,TRUE,"general";"via3",#N/A,TRUE,"general"}</definedName>
    <definedName name="aefa" localSheetId="12"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4" hidden="1">{"via1",#N/A,TRUE,"general";"via2",#N/A,TRUE,"general";"via3",#N/A,TRUE,"general"}</definedName>
    <definedName name="aefa" localSheetId="1" hidden="1">{"via1",#N/A,TRUE,"general";"via2",#N/A,TRUE,"general";"via3",#N/A,TRUE,"general"}</definedName>
    <definedName name="aefa" localSheetId="14" hidden="1">{"via1",#N/A,TRUE,"general";"via2",#N/A,TRUE,"general";"via3",#N/A,TRUE,"general"}</definedName>
    <definedName name="aefa" localSheetId="16" hidden="1">{"via1",#N/A,TRUE,"general";"via2",#N/A,TRUE,"general";"via3",#N/A,TRUE,"general"}</definedName>
    <definedName name="aefa" localSheetId="18" hidden="1">{"via1",#N/A,TRUE,"general";"via2",#N/A,TRUE,"general";"via3",#N/A,TRUE,"general"}</definedName>
    <definedName name="aefa" hidden="1">{"via1",#N/A,TRUE,"general";"via2",#N/A,TRUE,"general";"via3",#N/A,TRUE,"general"}</definedName>
    <definedName name="afdsw" localSheetId="15"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4" hidden="1">{"TAB1",#N/A,TRUE,"GENERAL";"TAB2",#N/A,TRUE,"GENERAL";"TAB3",#N/A,TRUE,"GENERAL";"TAB4",#N/A,TRUE,"GENERAL";"TAB5",#N/A,TRUE,"GENERAL"}</definedName>
    <definedName name="afdsw" localSheetId="1"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8" hidden="1">{"TAB1",#N/A,TRUE,"GENERAL";"TAB2",#N/A,TRUE,"GENERAL";"TAB3",#N/A,TRUE,"GENERAL";"TAB4",#N/A,TRUE,"GENERAL";"TAB5",#N/A,TRUE,"GENERAL"}</definedName>
    <definedName name="afdsw" hidden="1">{"TAB1",#N/A,TRUE,"GENERAL";"TAB2",#N/A,TRUE,"GENERAL";"TAB3",#N/A,TRUE,"GENERAL";"TAB4",#N/A,TRUE,"GENERAL";"TAB5",#N/A,TRUE,"GENERAL"}</definedName>
    <definedName name="agdsgg" localSheetId="15" hidden="1">{"via1",#N/A,TRUE,"general";"via2",#N/A,TRUE,"general";"via3",#N/A,TRUE,"general"}</definedName>
    <definedName name="agdsgg" localSheetId="17" hidden="1">{"via1",#N/A,TRUE,"general";"via2",#N/A,TRUE,"general";"via3",#N/A,TRUE,"general"}</definedName>
    <definedName name="agdsgg" localSheetId="19" hidden="1">{"via1",#N/A,TRUE,"general";"via2",#N/A,TRUE,"general";"via3",#N/A,TRUE,"general"}</definedName>
    <definedName name="agdsgg" localSheetId="12"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4" hidden="1">{"via1",#N/A,TRUE,"general";"via2",#N/A,TRUE,"general";"via3",#N/A,TRUE,"general"}</definedName>
    <definedName name="agdsgg" localSheetId="1" hidden="1">{"via1",#N/A,TRUE,"general";"via2",#N/A,TRUE,"general";"via3",#N/A,TRUE,"general"}</definedName>
    <definedName name="agdsgg" localSheetId="14" hidden="1">{"via1",#N/A,TRUE,"general";"via2",#N/A,TRUE,"general";"via3",#N/A,TRUE,"general"}</definedName>
    <definedName name="agdsgg" localSheetId="16" hidden="1">{"via1",#N/A,TRUE,"general";"via2",#N/A,TRUE,"general";"via3",#N/A,TRUE,"general"}</definedName>
    <definedName name="agdsgg" localSheetId="18" hidden="1">{"via1",#N/A,TRUE,"general";"via2",#N/A,TRUE,"general";"via3",#N/A,TRUE,"general"}</definedName>
    <definedName name="agdsgg" hidden="1">{"via1",#N/A,TRUE,"general";"via2",#N/A,TRUE,"general";"via3",#N/A,TRUE,"general"}</definedName>
    <definedName name="Ambien" localSheetId="15" hidden="1">#REF!</definedName>
    <definedName name="Ambien" localSheetId="17" hidden="1">#REF!</definedName>
    <definedName name="Ambien" localSheetId="19" hidden="1">#REF!</definedName>
    <definedName name="Ambien" localSheetId="11" hidden="1">#REF!</definedName>
    <definedName name="Ambien" localSheetId="14" hidden="1">#REF!</definedName>
    <definedName name="Ambien" localSheetId="16" hidden="1">#REF!</definedName>
    <definedName name="Ambien" localSheetId="18" hidden="1">#REF!</definedName>
    <definedName name="Ambien" hidden="1">#REF!</definedName>
    <definedName name="Andenes" localSheetId="13" hidden="1">#REF!</definedName>
    <definedName name="Andenes" localSheetId="15" hidden="1">#REF!</definedName>
    <definedName name="Andenes" localSheetId="17" hidden="1">#REF!</definedName>
    <definedName name="Andenes" localSheetId="19" hidden="1">#REF!</definedName>
    <definedName name="Andenes" localSheetId="0" hidden="1">#REF!</definedName>
    <definedName name="Andenes" localSheetId="6" hidden="1">#REF!</definedName>
    <definedName name="Andenes" localSheetId="14" hidden="1">#REF!</definedName>
    <definedName name="Andenes" localSheetId="5" hidden="1">#REF!</definedName>
    <definedName name="Andenes" hidden="1">#REF!</definedName>
    <definedName name="anscount" hidden="1">1</definedName>
    <definedName name="aqaq" localSheetId="15" hidden="1">{"TAB1",#N/A,TRUE,"GENERAL";"TAB2",#N/A,TRUE,"GENERAL";"TAB3",#N/A,TRUE,"GENERAL";"TAB4",#N/A,TRUE,"GENERAL";"TAB5",#N/A,TRUE,"GENERAL"}</definedName>
    <definedName name="aqaq" localSheetId="17" hidden="1">{"TAB1",#N/A,TRUE,"GENERAL";"TAB2",#N/A,TRUE,"GENERAL";"TAB3",#N/A,TRUE,"GENERAL";"TAB4",#N/A,TRUE,"GENERAL";"TAB5",#N/A,TRUE,"GENERAL"}</definedName>
    <definedName name="aqaq" localSheetId="19" hidden="1">{"TAB1",#N/A,TRUE,"GENERAL";"TAB2",#N/A,TRUE,"GENERAL";"TAB3",#N/A,TRUE,"GENERAL";"TAB4",#N/A,TRUE,"GENERAL";"TAB5",#N/A,TRUE,"GENERAL"}</definedName>
    <definedName name="aqaq" localSheetId="12"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4" hidden="1">{"TAB1",#N/A,TRUE,"GENERAL";"TAB2",#N/A,TRUE,"GENERAL";"TAB3",#N/A,TRUE,"GENERAL";"TAB4",#N/A,TRUE,"GENERAL";"TAB5",#N/A,TRUE,"GENERAL"}</definedName>
    <definedName name="aqaq" localSheetId="1" hidden="1">{"TAB1",#N/A,TRUE,"GENERAL";"TAB2",#N/A,TRUE,"GENERAL";"TAB3",#N/A,TRUE,"GENERAL";"TAB4",#N/A,TRUE,"GENERAL";"TAB5",#N/A,TRUE,"GENERAL"}</definedName>
    <definedName name="aqaq" localSheetId="14" hidden="1">{"TAB1",#N/A,TRUE,"GENERAL";"TAB2",#N/A,TRUE,"GENERAL";"TAB3",#N/A,TRUE,"GENERAL";"TAB4",#N/A,TRUE,"GENERAL";"TAB5",#N/A,TRUE,"GENERAL"}</definedName>
    <definedName name="aqaq" localSheetId="16" hidden="1">{"TAB1",#N/A,TRUE,"GENERAL";"TAB2",#N/A,TRUE,"GENERAL";"TAB3",#N/A,TRUE,"GENERAL";"TAB4",#N/A,TRUE,"GENERAL";"TAB5",#N/A,TRUE,"GENERAL"}</definedName>
    <definedName name="aqaq" localSheetId="18"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Formulario!$A$1:$L$151</definedName>
    <definedName name="ARRENDAM1" localSheetId="15" hidden="1">{#N/A,#N/A,FALSE,"Aging Summary";#N/A,#N/A,FALSE,"Ratio Analysis";#N/A,#N/A,FALSE,"Test 120 Day Accts";#N/A,#N/A,FALSE,"Tickmarks"}</definedName>
    <definedName name="ARRENDAM1" localSheetId="17" hidden="1">{#N/A,#N/A,FALSE,"Aging Summary";#N/A,#N/A,FALSE,"Ratio Analysis";#N/A,#N/A,FALSE,"Test 120 Day Accts";#N/A,#N/A,FALSE,"Tickmarks"}</definedName>
    <definedName name="ARRENDAM1" localSheetId="19" hidden="1">{#N/A,#N/A,FALSE,"Aging Summary";#N/A,#N/A,FALSE,"Ratio Analysis";#N/A,#N/A,FALSE,"Test 120 Day Accts";#N/A,#N/A,FALSE,"Tickmarks"}</definedName>
    <definedName name="ARRENDAM1" localSheetId="11" hidden="1">{#N/A,#N/A,FALSE,"Aging Summary";#N/A,#N/A,FALSE,"Ratio Analysis";#N/A,#N/A,FALSE,"Test 120 Day Accts";#N/A,#N/A,FALSE,"Tickmarks"}</definedName>
    <definedName name="ARRENDAM1" localSheetId="14" hidden="1">{#N/A,#N/A,FALSE,"Aging Summary";#N/A,#N/A,FALSE,"Ratio Analysis";#N/A,#N/A,FALSE,"Test 120 Day Accts";#N/A,#N/A,FALSE,"Tickmarks"}</definedName>
    <definedName name="ARRENDAM1" localSheetId="16" hidden="1">{#N/A,#N/A,FALSE,"Aging Summary";#N/A,#N/A,FALSE,"Ratio Analysis";#N/A,#N/A,FALSE,"Test 120 Day Accts";#N/A,#N/A,FALSE,"Tickmarks"}</definedName>
    <definedName name="ARRENDAM1" localSheetId="18"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5" hidden="1">{#N/A,#N/A,FALSE,"Aging Summary";#N/A,#N/A,FALSE,"Ratio Analysis";#N/A,#N/A,FALSE,"Test 120 Day Accts";#N/A,#N/A,FALSE,"Tickmarks"}</definedName>
    <definedName name="ARRENDAMIENTO" localSheetId="17" hidden="1">{#N/A,#N/A,FALSE,"Aging Summary";#N/A,#N/A,FALSE,"Ratio Analysis";#N/A,#N/A,FALSE,"Test 120 Day Accts";#N/A,#N/A,FALSE,"Tickmarks"}</definedName>
    <definedName name="ARRENDAMIENTO" localSheetId="19" hidden="1">{#N/A,#N/A,FALSE,"Aging Summary";#N/A,#N/A,FALSE,"Ratio Analysis";#N/A,#N/A,FALSE,"Test 120 Day Accts";#N/A,#N/A,FALSE,"Tickmarks"}</definedName>
    <definedName name="ARRENDAMIENTO" localSheetId="11" hidden="1">{#N/A,#N/A,FALSE,"Aging Summary";#N/A,#N/A,FALSE,"Ratio Analysis";#N/A,#N/A,FALSE,"Test 120 Day Accts";#N/A,#N/A,FALSE,"Tickmarks"}</definedName>
    <definedName name="ARRENDAMIENTO" localSheetId="14" hidden="1">{#N/A,#N/A,FALSE,"Aging Summary";#N/A,#N/A,FALSE,"Ratio Analysis";#N/A,#N/A,FALSE,"Test 120 Day Accts";#N/A,#N/A,FALSE,"Tickmarks"}</definedName>
    <definedName name="ARRENDAMIENTO" localSheetId="16" hidden="1">{#N/A,#N/A,FALSE,"Aging Summary";#N/A,#N/A,FALSE,"Ratio Analysis";#N/A,#N/A,FALSE,"Test 120 Day Accts";#N/A,#N/A,FALSE,"Tickmarks"}</definedName>
    <definedName name="ARRENDAMIENTO" localSheetId="18"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15" hidden="1">{"via1",#N/A,TRUE,"general";"via2",#N/A,TRUE,"general";"via3",#N/A,TRUE,"general"}</definedName>
    <definedName name="ASD" localSheetId="17" hidden="1">{"via1",#N/A,TRUE,"general";"via2",#N/A,TRUE,"general";"via3",#N/A,TRUE,"general"}</definedName>
    <definedName name="ASD" localSheetId="19" hidden="1">{"via1",#N/A,TRUE,"general";"via2",#N/A,TRUE,"general";"via3",#N/A,TRUE,"general"}</definedName>
    <definedName name="ASD" localSheetId="12"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4" hidden="1">{"via1",#N/A,TRUE,"general";"via2",#N/A,TRUE,"general";"via3",#N/A,TRUE,"general"}</definedName>
    <definedName name="ASD" localSheetId="1" hidden="1">{"via1",#N/A,TRUE,"general";"via2",#N/A,TRUE,"general";"via3",#N/A,TRUE,"general"}</definedName>
    <definedName name="ASD" localSheetId="14" hidden="1">{"via1",#N/A,TRUE,"general";"via2",#N/A,TRUE,"general";"via3",#N/A,TRUE,"general"}</definedName>
    <definedName name="ASD" localSheetId="16" hidden="1">{"via1",#N/A,TRUE,"general";"via2",#N/A,TRUE,"general";"via3",#N/A,TRUE,"general"}</definedName>
    <definedName name="ASD" localSheetId="18" hidden="1">{"via1",#N/A,TRUE,"general";"via2",#N/A,TRUE,"general";"via3",#N/A,TRUE,"general"}</definedName>
    <definedName name="ASD" hidden="1">{"via1",#N/A,TRUE,"general";"via2",#N/A,TRUE,"general";"via3",#N/A,TRUE,"general"}</definedName>
    <definedName name="ASDA" localSheetId="15" hidden="1">{"via1",#N/A,TRUE,"general";"via2",#N/A,TRUE,"general";"via3",#N/A,TRUE,"general"}</definedName>
    <definedName name="ASDA" localSheetId="17" hidden="1">{"via1",#N/A,TRUE,"general";"via2",#N/A,TRUE,"general";"via3",#N/A,TRUE,"general"}</definedName>
    <definedName name="ASDA" localSheetId="19" hidden="1">{"via1",#N/A,TRUE,"general";"via2",#N/A,TRUE,"general";"via3",#N/A,TRUE,"general"}</definedName>
    <definedName name="ASDA" localSheetId="12"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4" hidden="1">{"via1",#N/A,TRUE,"general";"via2",#N/A,TRUE,"general";"via3",#N/A,TRUE,"general"}</definedName>
    <definedName name="ASDA" localSheetId="1" hidden="1">{"via1",#N/A,TRUE,"general";"via2",#N/A,TRUE,"general";"via3",#N/A,TRUE,"general"}</definedName>
    <definedName name="ASDA" localSheetId="14" hidden="1">{"via1",#N/A,TRUE,"general";"via2",#N/A,TRUE,"general";"via3",#N/A,TRUE,"general"}</definedName>
    <definedName name="ASDA" localSheetId="16" hidden="1">{"via1",#N/A,TRUE,"general";"via2",#N/A,TRUE,"general";"via3",#N/A,TRUE,"general"}</definedName>
    <definedName name="ASDA" localSheetId="18" hidden="1">{"via1",#N/A,TRUE,"general";"via2",#N/A,TRUE,"general";"via3",#N/A,TRUE,"general"}</definedName>
    <definedName name="ASDA" hidden="1">{"via1",#N/A,TRUE,"general";"via2",#N/A,TRUE,"general";"via3",#N/A,TRUE,"general"}</definedName>
    <definedName name="asdasd" localSheetId="15"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8" hidden="1">{"TAB1",#N/A,TRUE,"GENERAL";"TAB2",#N/A,TRUE,"GENERAL";"TAB3",#N/A,TRUE,"GENERAL";"TAB4",#N/A,TRUE,"GENERAL";"TAB5",#N/A,TRUE,"GENERAL"}</definedName>
    <definedName name="asdasd" hidden="1">{"TAB1",#N/A,TRUE,"GENERAL";"TAB2",#N/A,TRUE,"GENERAL";"TAB3",#N/A,TRUE,"GENERAL";"TAB4",#N/A,TRUE,"GENERAL";"TAB5",#N/A,TRUE,"GENERAL"}</definedName>
    <definedName name="asdf" localSheetId="15" hidden="1">{"via1",#N/A,TRUE,"general";"via2",#N/A,TRUE,"general";"via3",#N/A,TRUE,"general"}</definedName>
    <definedName name="asdf" localSheetId="17" hidden="1">{"via1",#N/A,TRUE,"general";"via2",#N/A,TRUE,"general";"via3",#N/A,TRUE,"general"}</definedName>
    <definedName name="asdf" localSheetId="19" hidden="1">{"via1",#N/A,TRUE,"general";"via2",#N/A,TRUE,"general";"via3",#N/A,TRUE,"general"}</definedName>
    <definedName name="asdf" localSheetId="12"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7"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4" hidden="1">{"via1",#N/A,TRUE,"general";"via2",#N/A,TRUE,"general";"via3",#N/A,TRUE,"general"}</definedName>
    <definedName name="asdf" localSheetId="1" hidden="1">{"via1",#N/A,TRUE,"general";"via2",#N/A,TRUE,"general";"via3",#N/A,TRUE,"general"}</definedName>
    <definedName name="asdf" localSheetId="14" hidden="1">{"via1",#N/A,TRUE,"general";"via2",#N/A,TRUE,"general";"via3",#N/A,TRUE,"general"}</definedName>
    <definedName name="asdf" localSheetId="16" hidden="1">{"via1",#N/A,TRUE,"general";"via2",#N/A,TRUE,"general";"via3",#N/A,TRUE,"general"}</definedName>
    <definedName name="asdf" localSheetId="18" hidden="1">{"via1",#N/A,TRUE,"general";"via2",#N/A,TRUE,"general";"via3",#N/A,TRUE,"general"}</definedName>
    <definedName name="asdf" hidden="1">{"via1",#N/A,TRUE,"general";"via2",#N/A,TRUE,"general";"via3",#N/A,TRUE,"general"}</definedName>
    <definedName name="asdfa" localSheetId="15" hidden="1">{"via1",#N/A,TRUE,"general";"via2",#N/A,TRUE,"general";"via3",#N/A,TRUE,"general"}</definedName>
    <definedName name="asdfa" localSheetId="17" hidden="1">{"via1",#N/A,TRUE,"general";"via2",#N/A,TRUE,"general";"via3",#N/A,TRUE,"general"}</definedName>
    <definedName name="asdfa" localSheetId="19" hidden="1">{"via1",#N/A,TRUE,"general";"via2",#N/A,TRUE,"general";"via3",#N/A,TRUE,"general"}</definedName>
    <definedName name="asdfa" localSheetId="12"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4" hidden="1">{"via1",#N/A,TRUE,"general";"via2",#N/A,TRUE,"general";"via3",#N/A,TRUE,"general"}</definedName>
    <definedName name="asdfa" localSheetId="1" hidden="1">{"via1",#N/A,TRUE,"general";"via2",#N/A,TRUE,"general";"via3",#N/A,TRUE,"general"}</definedName>
    <definedName name="asdfa" localSheetId="14" hidden="1">{"via1",#N/A,TRUE,"general";"via2",#N/A,TRUE,"general";"via3",#N/A,TRUE,"general"}</definedName>
    <definedName name="asdfa" localSheetId="16" hidden="1">{"via1",#N/A,TRUE,"general";"via2",#N/A,TRUE,"general";"via3",#N/A,TRUE,"general"}</definedName>
    <definedName name="asdfa" localSheetId="18" hidden="1">{"via1",#N/A,TRUE,"general";"via2",#N/A,TRUE,"general";"via3",#N/A,TRUE,"general"}</definedName>
    <definedName name="asdfa" hidden="1">{"via1",#N/A,TRUE,"general";"via2",#N/A,TRUE,"general";"via3",#N/A,TRUE,"general"}</definedName>
    <definedName name="asfasd" localSheetId="15" hidden="1">{"via1",#N/A,TRUE,"general";"via2",#N/A,TRUE,"general";"via3",#N/A,TRUE,"general"}</definedName>
    <definedName name="asfasd" localSheetId="17" hidden="1">{"via1",#N/A,TRUE,"general";"via2",#N/A,TRUE,"general";"via3",#N/A,TRUE,"general"}</definedName>
    <definedName name="asfasd" localSheetId="19" hidden="1">{"via1",#N/A,TRUE,"general";"via2",#N/A,TRUE,"general";"via3",#N/A,TRUE,"general"}</definedName>
    <definedName name="asfasd" localSheetId="12"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4" hidden="1">{"via1",#N/A,TRUE,"general";"via2",#N/A,TRUE,"general";"via3",#N/A,TRUE,"general"}</definedName>
    <definedName name="asfasd" localSheetId="1" hidden="1">{"via1",#N/A,TRUE,"general";"via2",#N/A,TRUE,"general";"via3",#N/A,TRUE,"general"}</definedName>
    <definedName name="asfasd" localSheetId="14" hidden="1">{"via1",#N/A,TRUE,"general";"via2",#N/A,TRUE,"general";"via3",#N/A,TRUE,"general"}</definedName>
    <definedName name="asfasd" localSheetId="16" hidden="1">{"via1",#N/A,TRUE,"general";"via2",#N/A,TRUE,"general";"via3",#N/A,TRUE,"general"}</definedName>
    <definedName name="asfasd" localSheetId="18" hidden="1">{"via1",#N/A,TRUE,"general";"via2",#N/A,TRUE,"general";"via3",#N/A,TRUE,"general"}</definedName>
    <definedName name="asfasd" hidden="1">{"via1",#N/A,TRUE,"general";"via2",#N/A,TRUE,"general";"via3",#N/A,TRUE,"general"}</definedName>
    <definedName name="asfasdl" localSheetId="15" hidden="1">{"via1",#N/A,TRUE,"general";"via2",#N/A,TRUE,"general";"via3",#N/A,TRUE,"general"}</definedName>
    <definedName name="asfasdl" localSheetId="17" hidden="1">{"via1",#N/A,TRUE,"general";"via2",#N/A,TRUE,"general";"via3",#N/A,TRUE,"general"}</definedName>
    <definedName name="asfasdl" localSheetId="19" hidden="1">{"via1",#N/A,TRUE,"general";"via2",#N/A,TRUE,"general";"via3",#N/A,TRUE,"general"}</definedName>
    <definedName name="asfasdl" localSheetId="12"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4" hidden="1">{"via1",#N/A,TRUE,"general";"via2",#N/A,TRUE,"general";"via3",#N/A,TRUE,"general"}</definedName>
    <definedName name="asfasdl" localSheetId="1" hidden="1">{"via1",#N/A,TRUE,"general";"via2",#N/A,TRUE,"general";"via3",#N/A,TRUE,"general"}</definedName>
    <definedName name="asfasdl" localSheetId="14" hidden="1">{"via1",#N/A,TRUE,"general";"via2",#N/A,TRUE,"general";"via3",#N/A,TRUE,"general"}</definedName>
    <definedName name="asfasdl" localSheetId="16" hidden="1">{"via1",#N/A,TRUE,"general";"via2",#N/A,TRUE,"general";"via3",#N/A,TRUE,"general"}</definedName>
    <definedName name="asfasdl" localSheetId="18" hidden="1">{"via1",#N/A,TRUE,"general";"via2",#N/A,TRUE,"general";"via3",#N/A,TRUE,"general"}</definedName>
    <definedName name="asfasdl" hidden="1">{"via1",#N/A,TRUE,"general";"via2",#N/A,TRUE,"general";"via3",#N/A,TRUE,"general"}</definedName>
    <definedName name="asfdfe" localSheetId="12"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7" hidden="1">{#N/A,#N/A,TRUE,"INGENIERIA";#N/A,#N/A,TRUE,"COMPRAS";#N/A,#N/A,TRUE,"DIRECCION";#N/A,#N/A,TRUE,"RESUMEN"}</definedName>
    <definedName name="asfdfe" localSheetId="1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15" hidden="1">{"TAB1",#N/A,TRUE,"GENERAL";"TAB2",#N/A,TRUE,"GENERAL";"TAB3",#N/A,TRUE,"GENERAL";"TAB4",#N/A,TRUE,"GENERAL";"TAB5",#N/A,TRUE,"GENERAL"}</definedName>
    <definedName name="asff" localSheetId="17" hidden="1">{"TAB1",#N/A,TRUE,"GENERAL";"TAB2",#N/A,TRUE,"GENERAL";"TAB3",#N/A,TRUE,"GENERAL";"TAB4",#N/A,TRUE,"GENERAL";"TAB5",#N/A,TRUE,"GENERAL"}</definedName>
    <definedName name="asff" localSheetId="19" hidden="1">{"TAB1",#N/A,TRUE,"GENERAL";"TAB2",#N/A,TRUE,"GENERAL";"TAB3",#N/A,TRUE,"GENERAL";"TAB4",#N/A,TRUE,"GENERAL";"TAB5",#N/A,TRUE,"GENERAL"}</definedName>
    <definedName name="asff" localSheetId="12"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4" hidden="1">{"TAB1",#N/A,TRUE,"GENERAL";"TAB2",#N/A,TRUE,"GENERAL";"TAB3",#N/A,TRUE,"GENERAL";"TAB4",#N/A,TRUE,"GENERAL";"TAB5",#N/A,TRUE,"GENERAL"}</definedName>
    <definedName name="asff" localSheetId="1" hidden="1">{"TAB1",#N/A,TRUE,"GENERAL";"TAB2",#N/A,TRUE,"GENERAL";"TAB3",#N/A,TRUE,"GENERAL";"TAB4",#N/A,TRUE,"GENERAL";"TAB5",#N/A,TRUE,"GENERAL"}</definedName>
    <definedName name="asff" localSheetId="14" hidden="1">{"TAB1",#N/A,TRUE,"GENERAL";"TAB2",#N/A,TRUE,"GENERAL";"TAB3",#N/A,TRUE,"GENERAL";"TAB4",#N/A,TRUE,"GENERAL";"TAB5",#N/A,TRUE,"GENERAL"}</definedName>
    <definedName name="asff" localSheetId="16" hidden="1">{"TAB1",#N/A,TRUE,"GENERAL";"TAB2",#N/A,TRUE,"GENERAL";"TAB3",#N/A,TRUE,"GENERAL";"TAB4",#N/A,TRUE,"GENERAL";"TAB5",#N/A,TRUE,"GENERAL"}</definedName>
    <definedName name="asff" localSheetId="18" hidden="1">{"TAB1",#N/A,TRUE,"GENERAL";"TAB2",#N/A,TRUE,"GENERAL";"TAB3",#N/A,TRUE,"GENERAL";"TAB4",#N/A,TRUE,"GENERAL";"TAB5",#N/A,TRUE,"GENERAL"}</definedName>
    <definedName name="asff" hidden="1">{"TAB1",#N/A,TRUE,"GENERAL";"TAB2",#N/A,TRUE,"GENERAL";"TAB3",#N/A,TRUE,"GENERAL";"TAB4",#N/A,TRUE,"GENERAL";"TAB5",#N/A,TRUE,"GENERAL"}</definedName>
    <definedName name="asfghjoi" localSheetId="15" hidden="1">{"via1",#N/A,TRUE,"general";"via2",#N/A,TRUE,"general";"via3",#N/A,TRUE,"general"}</definedName>
    <definedName name="asfghjoi" localSheetId="17" hidden="1">{"via1",#N/A,TRUE,"general";"via2",#N/A,TRUE,"general";"via3",#N/A,TRUE,"general"}</definedName>
    <definedName name="asfghjoi" localSheetId="19" hidden="1">{"via1",#N/A,TRUE,"general";"via2",#N/A,TRUE,"general";"via3",#N/A,TRUE,"general"}</definedName>
    <definedName name="asfghjoi" localSheetId="12"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4" hidden="1">{"via1",#N/A,TRUE,"general";"via2",#N/A,TRUE,"general";"via3",#N/A,TRUE,"general"}</definedName>
    <definedName name="asfghjoi" localSheetId="1" hidden="1">{"via1",#N/A,TRUE,"general";"via2",#N/A,TRUE,"general";"via3",#N/A,TRUE,"general"}</definedName>
    <definedName name="asfghjoi" localSheetId="14" hidden="1">{"via1",#N/A,TRUE,"general";"via2",#N/A,TRUE,"general";"via3",#N/A,TRUE,"general"}</definedName>
    <definedName name="asfghjoi" localSheetId="16" hidden="1">{"via1",#N/A,TRUE,"general";"via2",#N/A,TRUE,"general";"via3",#N/A,TRUE,"general"}</definedName>
    <definedName name="asfghjoi" localSheetId="18" hidden="1">{"via1",#N/A,TRUE,"general";"via2",#N/A,TRUE,"general";"via3",#N/A,TRUE,"general"}</definedName>
    <definedName name="asfghjoi" hidden="1">{"via1",#N/A,TRUE,"general";"via2",#N/A,TRUE,"general";"via3",#N/A,TRUE,"general"}</definedName>
    <definedName name="asojkdr" localSheetId="15"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8" hidden="1">{"TAB1",#N/A,TRUE,"GENERAL";"TAB2",#N/A,TRUE,"GENERAL";"TAB3",#N/A,TRUE,"GENERAL";"TAB4",#N/A,TRUE,"GENERAL";"TAB5",#N/A,TRUE,"GENERAL"}</definedName>
    <definedName name="asojkdr" hidden="1">{"TAB1",#N/A,TRUE,"GENERAL";"TAB2",#N/A,TRUE,"GENERAL";"TAB3",#N/A,TRUE,"GENERAL";"TAB4",#N/A,TRUE,"GENERAL";"TAB5",#N/A,TRUE,"GENERAL"}</definedName>
    <definedName name="AWA" hidden="1">{#N/A,#N/A,TRUE,"INGENIERIA";#N/A,#N/A,TRUE,"COMPRAS";#N/A,#N/A,TRUE,"DIRECCION";#N/A,#N/A,TRUE,"RESUMEN"}</definedName>
    <definedName name="azaz" localSheetId="15" hidden="1">{"TAB1",#N/A,TRUE,"GENERAL";"TAB2",#N/A,TRUE,"GENERAL";"TAB3",#N/A,TRUE,"GENERAL";"TAB4",#N/A,TRUE,"GENERAL";"TAB5",#N/A,TRUE,"GENERAL"}</definedName>
    <definedName name="azaz" localSheetId="17" hidden="1">{"TAB1",#N/A,TRUE,"GENERAL";"TAB2",#N/A,TRUE,"GENERAL";"TAB3",#N/A,TRUE,"GENERAL";"TAB4",#N/A,TRUE,"GENERAL";"TAB5",#N/A,TRUE,"GENERAL"}</definedName>
    <definedName name="azaz" localSheetId="19" hidden="1">{"TAB1",#N/A,TRUE,"GENERAL";"TAB2",#N/A,TRUE,"GENERAL";"TAB3",#N/A,TRUE,"GENERAL";"TAB4",#N/A,TRUE,"GENERAL";"TAB5",#N/A,TRUE,"GENERAL"}</definedName>
    <definedName name="azaz" localSheetId="12"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4" hidden="1">{"TAB1",#N/A,TRUE,"GENERAL";"TAB2",#N/A,TRUE,"GENERAL";"TAB3",#N/A,TRUE,"GENERAL";"TAB4",#N/A,TRUE,"GENERAL";"TAB5",#N/A,TRUE,"GENERAL"}</definedName>
    <definedName name="azaz" localSheetId="1" hidden="1">{"TAB1",#N/A,TRUE,"GENERAL";"TAB2",#N/A,TRUE,"GENERAL";"TAB3",#N/A,TRUE,"GENERAL";"TAB4",#N/A,TRUE,"GENERAL";"TAB5",#N/A,TRUE,"GENERAL"}</definedName>
    <definedName name="azaz" localSheetId="14" hidden="1">{"TAB1",#N/A,TRUE,"GENERAL";"TAB2",#N/A,TRUE,"GENERAL";"TAB3",#N/A,TRUE,"GENERAL";"TAB4",#N/A,TRUE,"GENERAL";"TAB5",#N/A,TRUE,"GENERAL"}</definedName>
    <definedName name="azaz" localSheetId="16" hidden="1">{"TAB1",#N/A,TRUE,"GENERAL";"TAB2",#N/A,TRUE,"GENERAL";"TAB3",#N/A,TRUE,"GENERAL";"TAB4",#N/A,TRUE,"GENERAL";"TAB5",#N/A,TRUE,"GENERAL"}</definedName>
    <definedName name="azaz" localSheetId="18" hidden="1">{"TAB1",#N/A,TRUE,"GENERAL";"TAB2",#N/A,TRUE,"GENERAL";"TAB3",#N/A,TRUE,"GENERAL";"TAB4",#N/A,TRUE,"GENERAL";"TAB5",#N/A,TRUE,"GENERAL"}</definedName>
    <definedName name="azaz" hidden="1">{"TAB1",#N/A,TRUE,"GENERAL";"TAB2",#N/A,TRUE,"GENERAL";"TAB3",#N/A,TRUE,"GENERAL";"TAB4",#N/A,TRUE,"GENERAL";"TAB5",#N/A,TRUE,"GENERAL"}</definedName>
    <definedName name="B" localSheetId="8" hidden="1">{"via1",#N/A,TRUE,"general";"via2",#N/A,TRUE,"general";"via3",#N/A,TRUE,"general"}</definedName>
    <definedName name="B" localSheetId="9" hidden="1">{"via1",#N/A,TRUE,"general";"via2",#N/A,TRUE,"general";"via3",#N/A,TRUE,"general"}</definedName>
    <definedName name="B" localSheetId="7" hidden="1">{"via1",#N/A,TRUE,"general";"via2",#N/A,TRUE,"general";"via3",#N/A,TRUE,"general"}</definedName>
    <definedName name="B" localSheetId="10" hidden="1">{"via1",#N/A,TRUE,"general";"via2",#N/A,TRUE,"general";"via3",#N/A,TRUE,"general"}</definedName>
    <definedName name="B" localSheetId="4" hidden="1">{"via1",#N/A,TRUE,"general";"via2",#N/A,TRUE,"general";"via3",#N/A,TRUE,"general"}</definedName>
    <definedName name="B" localSheetId="1" hidden="1">{"via1",#N/A,TRUE,"general";"via2",#N/A,TRUE,"general";"via3",#N/A,TRUE,"general"}</definedName>
    <definedName name="bbbbbb" localSheetId="15" hidden="1">{"via1",#N/A,TRUE,"general";"via2",#N/A,TRUE,"general";"via3",#N/A,TRUE,"general"}</definedName>
    <definedName name="bbbbbb" localSheetId="17" hidden="1">{"via1",#N/A,TRUE,"general";"via2",#N/A,TRUE,"general";"via3",#N/A,TRUE,"general"}</definedName>
    <definedName name="bbbbbb" localSheetId="19" hidden="1">{"via1",#N/A,TRUE,"general";"via2",#N/A,TRUE,"general";"via3",#N/A,TRUE,"general"}</definedName>
    <definedName name="bbbbbb" localSheetId="12"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4" hidden="1">{"via1",#N/A,TRUE,"general";"via2",#N/A,TRUE,"general";"via3",#N/A,TRUE,"general"}</definedName>
    <definedName name="bbbbbb" localSheetId="1" hidden="1">{"via1",#N/A,TRUE,"general";"via2",#N/A,TRUE,"general";"via3",#N/A,TRUE,"general"}</definedName>
    <definedName name="bbbbbb" localSheetId="14" hidden="1">{"via1",#N/A,TRUE,"general";"via2",#N/A,TRUE,"general";"via3",#N/A,TRUE,"general"}</definedName>
    <definedName name="bbbbbb" localSheetId="16" hidden="1">{"via1",#N/A,TRUE,"general";"via2",#N/A,TRUE,"general";"via3",#N/A,TRUE,"general"}</definedName>
    <definedName name="bbbbbb" localSheetId="18" hidden="1">{"via1",#N/A,TRUE,"general";"via2",#N/A,TRUE,"general";"via3",#N/A,TRUE,"general"}</definedName>
    <definedName name="bbbbbb" hidden="1">{"via1",#N/A,TRUE,"general";"via2",#N/A,TRUE,"general";"via3",#N/A,TRUE,"general"}</definedName>
    <definedName name="bbbbbh" localSheetId="15"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8" hidden="1">{"TAB1",#N/A,TRUE,"GENERAL";"TAB2",#N/A,TRUE,"GENERAL";"TAB3",#N/A,TRUE,"GENERAL";"TAB4",#N/A,TRUE,"GENERAL";"TAB5",#N/A,TRUE,"GENERAL"}</definedName>
    <definedName name="bbbbbh" hidden="1">{"TAB1",#N/A,TRUE,"GENERAL";"TAB2",#N/A,TRUE,"GENERAL";"TAB3",#N/A,TRUE,"GENERAL";"TAB4",#N/A,TRUE,"GENERAL";"TAB5",#N/A,TRUE,"GENERAL"}</definedName>
    <definedName name="bbd" localSheetId="15" hidden="1">{"TAB1",#N/A,TRUE,"GENERAL";"TAB2",#N/A,TRUE,"GENERAL";"TAB3",#N/A,TRUE,"GENERAL";"TAB4",#N/A,TRUE,"GENERAL";"TAB5",#N/A,TRUE,"GENERAL"}</definedName>
    <definedName name="bbd" localSheetId="17" hidden="1">{"TAB1",#N/A,TRUE,"GENERAL";"TAB2",#N/A,TRUE,"GENERAL";"TAB3",#N/A,TRUE,"GENERAL";"TAB4",#N/A,TRUE,"GENERAL";"TAB5",#N/A,TRUE,"GENERAL"}</definedName>
    <definedName name="bbd" localSheetId="19" hidden="1">{"TAB1",#N/A,TRUE,"GENERAL";"TAB2",#N/A,TRUE,"GENERAL";"TAB3",#N/A,TRUE,"GENERAL";"TAB4",#N/A,TRUE,"GENERAL";"TAB5",#N/A,TRUE,"GENERAL"}</definedName>
    <definedName name="bbd" localSheetId="12"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4" hidden="1">{"TAB1",#N/A,TRUE,"GENERAL";"TAB2",#N/A,TRUE,"GENERAL";"TAB3",#N/A,TRUE,"GENERAL";"TAB4",#N/A,TRUE,"GENERAL";"TAB5",#N/A,TRUE,"GENERAL"}</definedName>
    <definedName name="bbd" localSheetId="1" hidden="1">{"TAB1",#N/A,TRUE,"GENERAL";"TAB2",#N/A,TRUE,"GENERAL";"TAB3",#N/A,TRUE,"GENERAL";"TAB4",#N/A,TRUE,"GENERAL";"TAB5",#N/A,TRUE,"GENERAL"}</definedName>
    <definedName name="bbd" localSheetId="14" hidden="1">{"TAB1",#N/A,TRUE,"GENERAL";"TAB2",#N/A,TRUE,"GENERAL";"TAB3",#N/A,TRUE,"GENERAL";"TAB4",#N/A,TRUE,"GENERAL";"TAB5",#N/A,TRUE,"GENERAL"}</definedName>
    <definedName name="bbd" localSheetId="16" hidden="1">{"TAB1",#N/A,TRUE,"GENERAL";"TAB2",#N/A,TRUE,"GENERAL";"TAB3",#N/A,TRUE,"GENERAL";"TAB4",#N/A,TRUE,"GENERAL";"TAB5",#N/A,TRUE,"GENERAL"}</definedName>
    <definedName name="bbd" localSheetId="18" hidden="1">{"TAB1",#N/A,TRUE,"GENERAL";"TAB2",#N/A,TRUE,"GENERAL";"TAB3",#N/A,TRUE,"GENERAL";"TAB4",#N/A,TRUE,"GENERAL";"TAB5",#N/A,TRUE,"GENERAL"}</definedName>
    <definedName name="bbd"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8" hidden="1">{"TAB1",#N/A,TRUE,"GENERAL";"TAB2",#N/A,TRUE,"GENERAL";"TAB3",#N/A,TRUE,"GENERAL";"TAB4",#N/A,TRUE,"GENERAL";"TAB5",#N/A,TRUE,"GENERAL"}</definedName>
    <definedName name="BCXBDFG" hidden="1">{"TAB1",#N/A,TRUE,"GENERAL";"TAB2",#N/A,TRUE,"GENERAL";"TAB3",#N/A,TRUE,"GENERAL";"TAB4",#N/A,TRUE,"GENERAL";"TAB5",#N/A,TRUE,"GENERAL"}</definedName>
    <definedName name="BDFB" localSheetId="15" hidden="1">{"via1",#N/A,TRUE,"general";"via2",#N/A,TRUE,"general";"via3",#N/A,TRUE,"general"}</definedName>
    <definedName name="BDFB" localSheetId="17" hidden="1">{"via1",#N/A,TRUE,"general";"via2",#N/A,TRUE,"general";"via3",#N/A,TRUE,"general"}</definedName>
    <definedName name="BDFB" localSheetId="19" hidden="1">{"via1",#N/A,TRUE,"general";"via2",#N/A,TRUE,"general";"via3",#N/A,TRUE,"general"}</definedName>
    <definedName name="BDFB" localSheetId="12"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4" hidden="1">{"via1",#N/A,TRUE,"general";"via2",#N/A,TRUE,"general";"via3",#N/A,TRUE,"general"}</definedName>
    <definedName name="BDFB" localSheetId="1" hidden="1">{"via1",#N/A,TRUE,"general";"via2",#N/A,TRUE,"general";"via3",#N/A,TRUE,"general"}</definedName>
    <definedName name="BDFB" localSheetId="14" hidden="1">{"via1",#N/A,TRUE,"general";"via2",#N/A,TRUE,"general";"via3",#N/A,TRUE,"general"}</definedName>
    <definedName name="BDFB" localSheetId="16" hidden="1">{"via1",#N/A,TRUE,"general";"via2",#N/A,TRUE,"general";"via3",#N/A,TRUE,"general"}</definedName>
    <definedName name="BDFB" localSheetId="18" hidden="1">{"via1",#N/A,TRUE,"general";"via2",#N/A,TRUE,"general";"via3",#N/A,TRUE,"general"}</definedName>
    <definedName name="BDFB" hidden="1">{"via1",#N/A,TRUE,"general";"via2",#N/A,TRUE,"general";"via3",#N/A,TRUE,"general"}</definedName>
    <definedName name="BDFGDG" localSheetId="15"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8" hidden="1">{"TAB1",#N/A,TRUE,"GENERAL";"TAB2",#N/A,TRUE,"GENERAL";"TAB3",#N/A,TRUE,"GENERAL";"TAB4",#N/A,TRUE,"GENERAL";"TAB5",#N/A,TRUE,"GENERAL"}</definedName>
    <definedName name="BDFGDG" hidden="1">{"TAB1",#N/A,TRUE,"GENERAL";"TAB2",#N/A,TRUE,"GENERAL";"TAB3",#N/A,TRUE,"GENERAL";"TAB4",#N/A,TRUE,"GENERAL";"TAB5",#N/A,TRUE,"GENERAL"}</definedName>
    <definedName name="be" localSheetId="15" hidden="1">{"TAB1",#N/A,TRUE,"GENERAL";"TAB2",#N/A,TRUE,"GENERAL";"TAB3",#N/A,TRUE,"GENERAL";"TAB4",#N/A,TRUE,"GENERAL";"TAB5",#N/A,TRUE,"GENERAL"}</definedName>
    <definedName name="be" localSheetId="17" hidden="1">{"TAB1",#N/A,TRUE,"GENERAL";"TAB2",#N/A,TRUE,"GENERAL";"TAB3",#N/A,TRUE,"GENERAL";"TAB4",#N/A,TRUE,"GENERAL";"TAB5",#N/A,TRUE,"GENERAL"}</definedName>
    <definedName name="be" localSheetId="19" hidden="1">{"TAB1",#N/A,TRUE,"GENERAL";"TAB2",#N/A,TRUE,"GENERAL";"TAB3",#N/A,TRUE,"GENERAL";"TAB4",#N/A,TRUE,"GENERAL";"TAB5",#N/A,TRUE,"GENERAL"}</definedName>
    <definedName name="be" localSheetId="12"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7"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4" hidden="1">{"TAB1",#N/A,TRUE,"GENERAL";"TAB2",#N/A,TRUE,"GENERAL";"TAB3",#N/A,TRUE,"GENERAL";"TAB4",#N/A,TRUE,"GENERAL";"TAB5",#N/A,TRUE,"GENERAL"}</definedName>
    <definedName name="be" localSheetId="1" hidden="1">{"TAB1",#N/A,TRUE,"GENERAL";"TAB2",#N/A,TRUE,"GENERAL";"TAB3",#N/A,TRUE,"GENERAL";"TAB4",#N/A,TRUE,"GENERAL";"TAB5",#N/A,TRUE,"GENERAL"}</definedName>
    <definedName name="be" localSheetId="14" hidden="1">{"TAB1",#N/A,TRUE,"GENERAL";"TAB2",#N/A,TRUE,"GENERAL";"TAB3",#N/A,TRUE,"GENERAL";"TAB4",#N/A,TRUE,"GENERAL";"TAB5",#N/A,TRUE,"GENERAL"}</definedName>
    <definedName name="be" localSheetId="16" hidden="1">{"TAB1",#N/A,TRUE,"GENERAL";"TAB2",#N/A,TRUE,"GENERAL";"TAB3",#N/A,TRUE,"GENERAL";"TAB4",#N/A,TRUE,"GENERAL";"TAB5",#N/A,TRUE,"GENERAL"}</definedName>
    <definedName name="be" localSheetId="18" hidden="1">{"TAB1",#N/A,TRUE,"GENERAL";"TAB2",#N/A,TRUE,"GENERAL";"TAB3",#N/A,TRUE,"GENERAL";"TAB4",#N/A,TRUE,"GENERAL";"TAB5",#N/A,TRUE,"GENERAL"}</definedName>
    <definedName name="be"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8" hidden="1">{"TAB1",#N/A,TRUE,"GENERAL";"TAB2",#N/A,TRUE,"GENERAL";"TAB3",#N/A,TRUE,"GENERAL";"TAB4",#N/A,TRUE,"GENERAL";"TAB5",#N/A,TRUE,"GENERAL"}</definedName>
    <definedName name="bfnfv" hidden="1">{"TAB1",#N/A,TRUE,"GENERAL";"TAB2",#N/A,TRUE,"GENERAL";"TAB3",#N/A,TRUE,"GENERAL";"TAB4",#N/A,TRUE,"GENERAL";"TAB5",#N/A,TRUE,"GENERAL"}</definedName>
    <definedName name="bgb" localSheetId="15" hidden="1">{"TAB1",#N/A,TRUE,"GENERAL";"TAB2",#N/A,TRUE,"GENERAL";"TAB3",#N/A,TRUE,"GENERAL";"TAB4",#N/A,TRUE,"GENERAL";"TAB5",#N/A,TRUE,"GENERAL"}</definedName>
    <definedName name="bgb" localSheetId="17" hidden="1">{"TAB1",#N/A,TRUE,"GENERAL";"TAB2",#N/A,TRUE,"GENERAL";"TAB3",#N/A,TRUE,"GENERAL";"TAB4",#N/A,TRUE,"GENERAL";"TAB5",#N/A,TRUE,"GENERAL"}</definedName>
    <definedName name="bgb" localSheetId="19" hidden="1">{"TAB1",#N/A,TRUE,"GENERAL";"TAB2",#N/A,TRUE,"GENERAL";"TAB3",#N/A,TRUE,"GENERAL";"TAB4",#N/A,TRUE,"GENERAL";"TAB5",#N/A,TRUE,"GENERAL"}</definedName>
    <definedName name="bgb" localSheetId="12"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4" hidden="1">{"TAB1",#N/A,TRUE,"GENERAL";"TAB2",#N/A,TRUE,"GENERAL";"TAB3",#N/A,TRUE,"GENERAL";"TAB4",#N/A,TRUE,"GENERAL";"TAB5",#N/A,TRUE,"GENERAL"}</definedName>
    <definedName name="bgb" localSheetId="1" hidden="1">{"TAB1",#N/A,TRUE,"GENERAL";"TAB2",#N/A,TRUE,"GENERAL";"TAB3",#N/A,TRUE,"GENERAL";"TAB4",#N/A,TRUE,"GENERAL";"TAB5",#N/A,TRUE,"GENERAL"}</definedName>
    <definedName name="bgb" localSheetId="14" hidden="1">{"TAB1",#N/A,TRUE,"GENERAL";"TAB2",#N/A,TRUE,"GENERAL";"TAB3",#N/A,TRUE,"GENERAL";"TAB4",#N/A,TRUE,"GENERAL";"TAB5",#N/A,TRUE,"GENERAL"}</definedName>
    <definedName name="bgb" localSheetId="16" hidden="1">{"TAB1",#N/A,TRUE,"GENERAL";"TAB2",#N/A,TRUE,"GENERAL";"TAB3",#N/A,TRUE,"GENERAL";"TAB4",#N/A,TRUE,"GENERAL";"TAB5",#N/A,TRUE,"GENERAL"}</definedName>
    <definedName name="bgb" localSheetId="18" hidden="1">{"TAB1",#N/A,TRUE,"GENERAL";"TAB2",#N/A,TRUE,"GENERAL";"TAB3",#N/A,TRUE,"GENERAL";"TAB4",#N/A,TRUE,"GENERAL";"TAB5",#N/A,TRUE,"GENERAL"}</definedName>
    <definedName name="bgb" hidden="1">{"TAB1",#N/A,TRUE,"GENERAL";"TAB2",#N/A,TRUE,"GENERAL";"TAB3",#N/A,TRUE,"GENERAL";"TAB4",#N/A,TRUE,"GENERAL";"TAB5",#N/A,TRUE,"GENERAL"}</definedName>
    <definedName name="BGDGFRT" localSheetId="15" hidden="1">{"via1",#N/A,TRUE,"general";"via2",#N/A,TRUE,"general";"via3",#N/A,TRUE,"general"}</definedName>
    <definedName name="BGDGFRT" localSheetId="17" hidden="1">{"via1",#N/A,TRUE,"general";"via2",#N/A,TRUE,"general";"via3",#N/A,TRUE,"general"}</definedName>
    <definedName name="BGDGFRT" localSheetId="19" hidden="1">{"via1",#N/A,TRUE,"general";"via2",#N/A,TRUE,"general";"via3",#N/A,TRUE,"general"}</definedName>
    <definedName name="BGDGFRT" localSheetId="12"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4" hidden="1">{"via1",#N/A,TRUE,"general";"via2",#N/A,TRUE,"general";"via3",#N/A,TRUE,"general"}</definedName>
    <definedName name="BGDGFRT" localSheetId="1" hidden="1">{"via1",#N/A,TRUE,"general";"via2",#N/A,TRUE,"general";"via3",#N/A,TRUE,"general"}</definedName>
    <definedName name="BGDGFRT" localSheetId="14" hidden="1">{"via1",#N/A,TRUE,"general";"via2",#N/A,TRUE,"general";"via3",#N/A,TRUE,"general"}</definedName>
    <definedName name="BGDGFRT" localSheetId="16" hidden="1">{"via1",#N/A,TRUE,"general";"via2",#N/A,TRUE,"general";"via3",#N/A,TRUE,"general"}</definedName>
    <definedName name="BGDGFRT" localSheetId="18" hidden="1">{"via1",#N/A,TRUE,"general";"via2",#N/A,TRUE,"general";"via3",#N/A,TRUE,"general"}</definedName>
    <definedName name="BGDGFRT" hidden="1">{"via1",#N/A,TRUE,"general";"via2",#N/A,TRUE,"general";"via3",#N/A,TRUE,"general"}</definedName>
    <definedName name="BGFBFH" localSheetId="15" hidden="1">{"via1",#N/A,TRUE,"general";"via2",#N/A,TRUE,"general";"via3",#N/A,TRUE,"general"}</definedName>
    <definedName name="BGFBFH" localSheetId="17" hidden="1">{"via1",#N/A,TRUE,"general";"via2",#N/A,TRUE,"general";"via3",#N/A,TRUE,"general"}</definedName>
    <definedName name="BGFBFH" localSheetId="19" hidden="1">{"via1",#N/A,TRUE,"general";"via2",#N/A,TRUE,"general";"via3",#N/A,TRUE,"general"}</definedName>
    <definedName name="BGFBFH" localSheetId="12"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4" hidden="1">{"via1",#N/A,TRUE,"general";"via2",#N/A,TRUE,"general";"via3",#N/A,TRUE,"general"}</definedName>
    <definedName name="BGFBFH" localSheetId="1" hidden="1">{"via1",#N/A,TRUE,"general";"via2",#N/A,TRUE,"general";"via3",#N/A,TRUE,"general"}</definedName>
    <definedName name="BGFBFH" localSheetId="14" hidden="1">{"via1",#N/A,TRUE,"general";"via2",#N/A,TRUE,"general";"via3",#N/A,TRUE,"general"}</definedName>
    <definedName name="BGFBFH" localSheetId="16" hidden="1">{"via1",#N/A,TRUE,"general";"via2",#N/A,TRUE,"general";"via3",#N/A,TRUE,"general"}</definedName>
    <definedName name="BGFBFH" localSheetId="18" hidden="1">{"via1",#N/A,TRUE,"general";"via2",#N/A,TRUE,"general";"via3",#N/A,TRUE,"general"}</definedName>
    <definedName name="BGFBFH" hidden="1">{"via1",#N/A,TRUE,"general";"via2",#N/A,TRUE,"general";"via3",#N/A,TRUE,"general"}</definedName>
    <definedName name="bgvfcdx" localSheetId="15" hidden="1">{"via1",#N/A,TRUE,"general";"via2",#N/A,TRUE,"general";"via3",#N/A,TRUE,"general"}</definedName>
    <definedName name="bgvfcdx" localSheetId="17" hidden="1">{"via1",#N/A,TRUE,"general";"via2",#N/A,TRUE,"general";"via3",#N/A,TRUE,"general"}</definedName>
    <definedName name="bgvfcdx" localSheetId="19" hidden="1">{"via1",#N/A,TRUE,"general";"via2",#N/A,TRUE,"general";"via3",#N/A,TRUE,"general"}</definedName>
    <definedName name="bgvfcdx" localSheetId="12"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4" hidden="1">{"via1",#N/A,TRUE,"general";"via2",#N/A,TRUE,"general";"via3",#N/A,TRUE,"general"}</definedName>
    <definedName name="bgvfcdx" localSheetId="1" hidden="1">{"via1",#N/A,TRUE,"general";"via2",#N/A,TRUE,"general";"via3",#N/A,TRUE,"general"}</definedName>
    <definedName name="bgvfcdx" localSheetId="14" hidden="1">{"via1",#N/A,TRUE,"general";"via2",#N/A,TRUE,"general";"via3",#N/A,TRUE,"general"}</definedName>
    <definedName name="bgvfcdx" localSheetId="16" hidden="1">{"via1",#N/A,TRUE,"general";"via2",#N/A,TRUE,"general";"via3",#N/A,TRUE,"general"}</definedName>
    <definedName name="bgvfcdx" localSheetId="18" hidden="1">{"via1",#N/A,TRUE,"general";"via2",#N/A,TRUE,"general";"via3",#N/A,TRUE,"general"}</definedName>
    <definedName name="bgvfcdx" hidden="1">{"via1",#N/A,TRUE,"general";"via2",#N/A,TRUE,"general";"via3",#N/A,TRUE,"general"}</definedName>
    <definedName name="BLPH1" hidden="1">#REF!</definedName>
    <definedName name="br" localSheetId="15" hidden="1">{"TAB1",#N/A,TRUE,"GENERAL";"TAB2",#N/A,TRUE,"GENERAL";"TAB3",#N/A,TRUE,"GENERAL";"TAB4",#N/A,TRUE,"GENERAL";"TAB5",#N/A,TRUE,"GENERAL"}</definedName>
    <definedName name="br" localSheetId="17" hidden="1">{"TAB1",#N/A,TRUE,"GENERAL";"TAB2",#N/A,TRUE,"GENERAL";"TAB3",#N/A,TRUE,"GENERAL";"TAB4",#N/A,TRUE,"GENERAL";"TAB5",#N/A,TRUE,"GENERAL"}</definedName>
    <definedName name="br" localSheetId="19" hidden="1">{"TAB1",#N/A,TRUE,"GENERAL";"TAB2",#N/A,TRUE,"GENERAL";"TAB3",#N/A,TRUE,"GENERAL";"TAB4",#N/A,TRUE,"GENERAL";"TAB5",#N/A,TRUE,"GENERAL"}</definedName>
    <definedName name="br" localSheetId="12"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4" hidden="1">{"TAB1",#N/A,TRUE,"GENERAL";"TAB2",#N/A,TRUE,"GENERAL";"TAB3",#N/A,TRUE,"GENERAL";"TAB4",#N/A,TRUE,"GENERAL";"TAB5",#N/A,TRUE,"GENERAL"}</definedName>
    <definedName name="br" localSheetId="1" hidden="1">{"TAB1",#N/A,TRUE,"GENERAL";"TAB2",#N/A,TRUE,"GENERAL";"TAB3",#N/A,TRUE,"GENERAL";"TAB4",#N/A,TRUE,"GENERAL";"TAB5",#N/A,TRUE,"GENERAL"}</definedName>
    <definedName name="br" localSheetId="14" hidden="1">{"TAB1",#N/A,TRUE,"GENERAL";"TAB2",#N/A,TRUE,"GENERAL";"TAB3",#N/A,TRUE,"GENERAL";"TAB4",#N/A,TRUE,"GENERAL";"TAB5",#N/A,TRUE,"GENERAL"}</definedName>
    <definedName name="br" localSheetId="16" hidden="1">{"TAB1",#N/A,TRUE,"GENERAL";"TAB2",#N/A,TRUE,"GENERAL";"TAB3",#N/A,TRUE,"GENERAL";"TAB4",#N/A,TRUE,"GENERAL";"TAB5",#N/A,TRUE,"GENERAL"}</definedName>
    <definedName name="br" localSheetId="18" hidden="1">{"TAB1",#N/A,TRUE,"GENERAL";"TAB2",#N/A,TRUE,"GENERAL";"TAB3",#N/A,TRUE,"GENERAL";"TAB4",#N/A,TRUE,"GENERAL";"TAB5",#N/A,TRUE,"GENERAL"}</definedName>
    <definedName name="br" hidden="1">{"TAB1",#N/A,TRUE,"GENERAL";"TAB2",#N/A,TRUE,"GENERAL";"TAB3",#N/A,TRUE,"GENERAL";"TAB4",#N/A,TRUE,"GENERAL";"TAB5",#N/A,TRUE,"GENERAL"}</definedName>
    <definedName name="bsb" localSheetId="15" hidden="1">{"via1",#N/A,TRUE,"general";"via2",#N/A,TRUE,"general";"via3",#N/A,TRUE,"general"}</definedName>
    <definedName name="bsb" localSheetId="17" hidden="1">{"via1",#N/A,TRUE,"general";"via2",#N/A,TRUE,"general";"via3",#N/A,TRUE,"general"}</definedName>
    <definedName name="bsb" localSheetId="19" hidden="1">{"via1",#N/A,TRUE,"general";"via2",#N/A,TRUE,"general";"via3",#N/A,TRUE,"general"}</definedName>
    <definedName name="bsb" localSheetId="12"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4" hidden="1">{"via1",#N/A,TRUE,"general";"via2",#N/A,TRUE,"general";"via3",#N/A,TRUE,"general"}</definedName>
    <definedName name="bsb" localSheetId="1" hidden="1">{"via1",#N/A,TRUE,"general";"via2",#N/A,TRUE,"general";"via3",#N/A,TRUE,"general"}</definedName>
    <definedName name="bsb" localSheetId="14" hidden="1">{"via1",#N/A,TRUE,"general";"via2",#N/A,TRUE,"general";"via3",#N/A,TRUE,"general"}</definedName>
    <definedName name="bsb" localSheetId="16" hidden="1">{"via1",#N/A,TRUE,"general";"via2",#N/A,TRUE,"general";"via3",#N/A,TRUE,"general"}</definedName>
    <definedName name="bsb" localSheetId="18" hidden="1">{"via1",#N/A,TRUE,"general";"via2",#N/A,TRUE,"general";"via3",#N/A,TRUE,"general"}</definedName>
    <definedName name="bsb" hidden="1">{"via1",#N/A,TRUE,"general";"via2",#N/A,TRUE,"general";"via3",#N/A,TRUE,"general"}</definedName>
    <definedName name="bspoi" localSheetId="15"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4" hidden="1">{"TAB1",#N/A,TRUE,"GENERAL";"TAB2",#N/A,TRUE,"GENERAL";"TAB3",#N/A,TRUE,"GENERAL";"TAB4",#N/A,TRUE,"GENERAL";"TAB5",#N/A,TRUE,"GENERAL"}</definedName>
    <definedName name="bspoi" localSheetId="1"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8" hidden="1">{"TAB1",#N/A,TRUE,"GENERAL";"TAB2",#N/A,TRUE,"GENERAL";"TAB3",#N/A,TRUE,"GENERAL";"TAB4",#N/A,TRUE,"GENERAL";"TAB5",#N/A,TRUE,"GENERAL"}</definedName>
    <definedName name="bspoi" hidden="1">{"TAB1",#N/A,TRUE,"GENERAL";"TAB2",#N/A,TRUE,"GENERAL";"TAB3",#N/A,TRUE,"GENERAL";"TAB4",#N/A,TRUE,"GENERAL";"TAB5",#N/A,TRUE,"GENERAL"}</definedName>
    <definedName name="bt" localSheetId="15" hidden="1">{"via1",#N/A,TRUE,"general";"via2",#N/A,TRUE,"general";"via3",#N/A,TRUE,"general"}</definedName>
    <definedName name="bt" localSheetId="17" hidden="1">{"via1",#N/A,TRUE,"general";"via2",#N/A,TRUE,"general";"via3",#N/A,TRUE,"general"}</definedName>
    <definedName name="bt" localSheetId="19" hidden="1">{"via1",#N/A,TRUE,"general";"via2",#N/A,TRUE,"general";"via3",#N/A,TRUE,"general"}</definedName>
    <definedName name="bt" localSheetId="12"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4" hidden="1">{"via1",#N/A,TRUE,"general";"via2",#N/A,TRUE,"general";"via3",#N/A,TRUE,"general"}</definedName>
    <definedName name="bt" localSheetId="1" hidden="1">{"via1",#N/A,TRUE,"general";"via2",#N/A,TRUE,"general";"via3",#N/A,TRUE,"general"}</definedName>
    <definedName name="bt" localSheetId="14" hidden="1">{"via1",#N/A,TRUE,"general";"via2",#N/A,TRUE,"general";"via3",#N/A,TRUE,"general"}</definedName>
    <definedName name="bt" localSheetId="16" hidden="1">{"via1",#N/A,TRUE,"general";"via2",#N/A,TRUE,"general";"via3",#N/A,TRUE,"general"}</definedName>
    <definedName name="bt" localSheetId="18" hidden="1">{"via1",#N/A,TRUE,"general";"via2",#N/A,TRUE,"general";"via3",#N/A,TRUE,"general"}</definedName>
    <definedName name="bt" hidden="1">{"via1",#N/A,TRUE,"general";"via2",#N/A,TRUE,"general";"via3",#N/A,TRUE,"general"}</definedName>
    <definedName name="BTYJHTR" localSheetId="15"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8" hidden="1">{"TAB1",#N/A,TRUE,"GENERAL";"TAB2",#N/A,TRUE,"GENERAL";"TAB3",#N/A,TRUE,"GENERAL";"TAB4",#N/A,TRUE,"GENERAL";"TAB5",#N/A,TRUE,"GENERAL"}</definedName>
    <definedName name="BTYJHTR" hidden="1">{"TAB1",#N/A,TRUE,"GENERAL";"TAB2",#N/A,TRUE,"GENERAL";"TAB3",#N/A,TRUE,"GENERAL";"TAB4",#N/A,TRUE,"GENERAL";"TAB5",#N/A,TRUE,"GENERAL"}</definedName>
    <definedName name="bvbc" localSheetId="15" hidden="1">{"TAB1",#N/A,TRUE,"GENERAL";"TAB2",#N/A,TRUE,"GENERAL";"TAB3",#N/A,TRUE,"GENERAL";"TAB4",#N/A,TRUE,"GENERAL";"TAB5",#N/A,TRUE,"GENERAL"}</definedName>
    <definedName name="bvbc" localSheetId="17" hidden="1">{"TAB1",#N/A,TRUE,"GENERAL";"TAB2",#N/A,TRUE,"GENERAL";"TAB3",#N/A,TRUE,"GENERAL";"TAB4",#N/A,TRUE,"GENERAL";"TAB5",#N/A,TRUE,"GENERAL"}</definedName>
    <definedName name="bvbc" localSheetId="19" hidden="1">{"TAB1",#N/A,TRUE,"GENERAL";"TAB2",#N/A,TRUE,"GENERAL";"TAB3",#N/A,TRUE,"GENERAL";"TAB4",#N/A,TRUE,"GENERAL";"TAB5",#N/A,TRUE,"GENERAL"}</definedName>
    <definedName name="bvbc" localSheetId="12"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4" hidden="1">{"TAB1",#N/A,TRUE,"GENERAL";"TAB2",#N/A,TRUE,"GENERAL";"TAB3",#N/A,TRUE,"GENERAL";"TAB4",#N/A,TRUE,"GENERAL";"TAB5",#N/A,TRUE,"GENERAL"}</definedName>
    <definedName name="bvbc" localSheetId="1" hidden="1">{"TAB1",#N/A,TRUE,"GENERAL";"TAB2",#N/A,TRUE,"GENERAL";"TAB3",#N/A,TRUE,"GENERAL";"TAB4",#N/A,TRUE,"GENERAL";"TAB5",#N/A,TRUE,"GENERAL"}</definedName>
    <definedName name="bvbc" localSheetId="14" hidden="1">{"TAB1",#N/A,TRUE,"GENERAL";"TAB2",#N/A,TRUE,"GENERAL";"TAB3",#N/A,TRUE,"GENERAL";"TAB4",#N/A,TRUE,"GENERAL";"TAB5",#N/A,TRUE,"GENERAL"}</definedName>
    <definedName name="bvbc" localSheetId="16" hidden="1">{"TAB1",#N/A,TRUE,"GENERAL";"TAB2",#N/A,TRUE,"GENERAL";"TAB3",#N/A,TRUE,"GENERAL";"TAB4",#N/A,TRUE,"GENERAL";"TAB5",#N/A,TRUE,"GENERAL"}</definedName>
    <definedName name="bvbc" localSheetId="18" hidden="1">{"TAB1",#N/A,TRUE,"GENERAL";"TAB2",#N/A,TRUE,"GENERAL";"TAB3",#N/A,TRUE,"GENERAL";"TAB4",#N/A,TRUE,"GENERAL";"TAB5",#N/A,TRUE,"GENERAL"}</definedName>
    <definedName name="bvbc" hidden="1">{"TAB1",#N/A,TRUE,"GENERAL";"TAB2",#N/A,TRUE,"GENERAL";"TAB3",#N/A,TRUE,"GENERAL";"TAB4",#N/A,TRUE,"GENERAL";"TAB5",#N/A,TRUE,"GENERAL"}</definedName>
    <definedName name="bvcb" localSheetId="15" hidden="1">{"via1",#N/A,TRUE,"general";"via2",#N/A,TRUE,"general";"via3",#N/A,TRUE,"general"}</definedName>
    <definedName name="bvcb" localSheetId="17" hidden="1">{"via1",#N/A,TRUE,"general";"via2",#N/A,TRUE,"general";"via3",#N/A,TRUE,"general"}</definedName>
    <definedName name="bvcb" localSheetId="19" hidden="1">{"via1",#N/A,TRUE,"general";"via2",#N/A,TRUE,"general";"via3",#N/A,TRUE,"general"}</definedName>
    <definedName name="bvcb" localSheetId="12"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4" hidden="1">{"via1",#N/A,TRUE,"general";"via2",#N/A,TRUE,"general";"via3",#N/A,TRUE,"general"}</definedName>
    <definedName name="bvcb" localSheetId="1" hidden="1">{"via1",#N/A,TRUE,"general";"via2",#N/A,TRUE,"general";"via3",#N/A,TRUE,"general"}</definedName>
    <definedName name="bvcb" localSheetId="14" hidden="1">{"via1",#N/A,TRUE,"general";"via2",#N/A,TRUE,"general";"via3",#N/A,TRUE,"general"}</definedName>
    <definedName name="bvcb" localSheetId="16" hidden="1">{"via1",#N/A,TRUE,"general";"via2",#N/A,TRUE,"general";"via3",#N/A,TRUE,"general"}</definedName>
    <definedName name="bvcb" localSheetId="18" hidden="1">{"via1",#N/A,TRUE,"general";"via2",#N/A,TRUE,"general";"via3",#N/A,TRUE,"general"}</definedName>
    <definedName name="bvcb" hidden="1">{"via1",#N/A,TRUE,"general";"via2",#N/A,TRUE,"general";"via3",#N/A,TRUE,"general"}</definedName>
    <definedName name="bvn" localSheetId="15" hidden="1">{"via1",#N/A,TRUE,"general";"via2",#N/A,TRUE,"general";"via3",#N/A,TRUE,"general"}</definedName>
    <definedName name="bvn" localSheetId="17" hidden="1">{"via1",#N/A,TRUE,"general";"via2",#N/A,TRUE,"general";"via3",#N/A,TRUE,"general"}</definedName>
    <definedName name="bvn" localSheetId="19" hidden="1">{"via1",#N/A,TRUE,"general";"via2",#N/A,TRUE,"general";"via3",#N/A,TRUE,"general"}</definedName>
    <definedName name="bvn" localSheetId="12"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4" hidden="1">{"via1",#N/A,TRUE,"general";"via2",#N/A,TRUE,"general";"via3",#N/A,TRUE,"general"}</definedName>
    <definedName name="bvn" localSheetId="1" hidden="1">{"via1",#N/A,TRUE,"general";"via2",#N/A,TRUE,"general";"via3",#N/A,TRUE,"general"}</definedName>
    <definedName name="bvn" localSheetId="14" hidden="1">{"via1",#N/A,TRUE,"general";"via2",#N/A,TRUE,"general";"via3",#N/A,TRUE,"general"}</definedName>
    <definedName name="bvn" localSheetId="16" hidden="1">{"via1",#N/A,TRUE,"general";"via2",#N/A,TRUE,"general";"via3",#N/A,TRUE,"general"}</definedName>
    <definedName name="bvn" localSheetId="18" hidden="1">{"via1",#N/A,TRUE,"general";"via2",#N/A,TRUE,"general";"via3",#N/A,TRUE,"general"}</definedName>
    <definedName name="bvn" hidden="1">{"via1",#N/A,TRUE,"general";"via2",#N/A,TRUE,"general";"via3",#N/A,TRUE,"general"}</definedName>
    <definedName name="by" localSheetId="15" hidden="1">{"via1",#N/A,TRUE,"general";"via2",#N/A,TRUE,"general";"via3",#N/A,TRUE,"general"}</definedName>
    <definedName name="by" localSheetId="17" hidden="1">{"via1",#N/A,TRUE,"general";"via2",#N/A,TRUE,"general";"via3",#N/A,TRUE,"general"}</definedName>
    <definedName name="by" localSheetId="19" hidden="1">{"via1",#N/A,TRUE,"general";"via2",#N/A,TRUE,"general";"via3",#N/A,TRUE,"general"}</definedName>
    <definedName name="by" localSheetId="12"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4" hidden="1">{"via1",#N/A,TRUE,"general";"via2",#N/A,TRUE,"general";"via3",#N/A,TRUE,"general"}</definedName>
    <definedName name="by" localSheetId="1" hidden="1">{"via1",#N/A,TRUE,"general";"via2",#N/A,TRUE,"general";"via3",#N/A,TRUE,"general"}</definedName>
    <definedName name="by" localSheetId="14" hidden="1">{"via1",#N/A,TRUE,"general";"via2",#N/A,TRUE,"general";"via3",#N/A,TRUE,"general"}</definedName>
    <definedName name="by" localSheetId="16" hidden="1">{"via1",#N/A,TRUE,"general";"via2",#N/A,TRUE,"general";"via3",#N/A,TRUE,"general"}</definedName>
    <definedName name="by" localSheetId="18" hidden="1">{"via1",#N/A,TRUE,"general";"via2",#N/A,TRUE,"general";"via3",#N/A,TRUE,"general"}</definedName>
    <definedName name="by" hidden="1">{"via1",#N/A,TRUE,"general";"via2",#N/A,TRUE,"general";"via3",#N/A,TRUE,"general"}</definedName>
    <definedName name="CBWorkbookPriority" hidden="1">-1602700874</definedName>
    <definedName name="ccccc" localSheetId="15"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4" hidden="1">{"TAB1",#N/A,TRUE,"GENERAL";"TAB2",#N/A,TRUE,"GENERAL";"TAB3",#N/A,TRUE,"GENERAL";"TAB4",#N/A,TRUE,"GENERAL";"TAB5",#N/A,TRUE,"GENERAL"}</definedName>
    <definedName name="ccccc" localSheetId="1"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8"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5" hidden="1">{"via1",#N/A,TRUE,"general";"via2",#N/A,TRUE,"general";"via3",#N/A,TRUE,"general"}</definedName>
    <definedName name="cdcdc" localSheetId="17" hidden="1">{"via1",#N/A,TRUE,"general";"via2",#N/A,TRUE,"general";"via3",#N/A,TRUE,"general"}</definedName>
    <definedName name="cdcdc" localSheetId="19" hidden="1">{"via1",#N/A,TRUE,"general";"via2",#N/A,TRUE,"general";"via3",#N/A,TRUE,"general"}</definedName>
    <definedName name="cdcdc" localSheetId="12"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4" hidden="1">{"via1",#N/A,TRUE,"general";"via2",#N/A,TRUE,"general";"via3",#N/A,TRUE,"general"}</definedName>
    <definedName name="cdcdc" localSheetId="1" hidden="1">{"via1",#N/A,TRUE,"general";"via2",#N/A,TRUE,"general";"via3",#N/A,TRUE,"general"}</definedName>
    <definedName name="cdcdc" localSheetId="14" hidden="1">{"via1",#N/A,TRUE,"general";"via2",#N/A,TRUE,"general";"via3",#N/A,TRUE,"general"}</definedName>
    <definedName name="cdcdc" localSheetId="16" hidden="1">{"via1",#N/A,TRUE,"general";"via2",#N/A,TRUE,"general";"via3",#N/A,TRUE,"general"}</definedName>
    <definedName name="cdcdc" localSheetId="18" hidden="1">{"via1",#N/A,TRUE,"general";"via2",#N/A,TRUE,"general";"via3",#N/A,TRUE,"general"}</definedName>
    <definedName name="cdcdc" hidden="1">{"via1",#N/A,TRUE,"general";"via2",#N/A,TRUE,"general";"via3",#N/A,TRUE,"general"}</definedName>
    <definedName name="cdfgrtfd" hidden="1">#REF!</definedName>
    <definedName name="ceerf" localSheetId="15"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4" hidden="1">{"TAB1",#N/A,TRUE,"GENERAL";"TAB2",#N/A,TRUE,"GENERAL";"TAB3",#N/A,TRUE,"GENERAL";"TAB4",#N/A,TRUE,"GENERAL";"TAB5",#N/A,TRUE,"GENERAL"}</definedName>
    <definedName name="ceerf" localSheetId="1"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8" hidden="1">{"TAB1",#N/A,TRUE,"GENERAL";"TAB2",#N/A,TRUE,"GENERAL";"TAB3",#N/A,TRUE,"GENERAL";"TAB4",#N/A,TRUE,"GENERAL";"TAB5",#N/A,TRUE,"GENERAL"}</definedName>
    <definedName name="ceerf" hidden="1">{"TAB1",#N/A,TRUE,"GENERAL";"TAB2",#N/A,TRUE,"GENERAL";"TAB3",#N/A,TRUE,"GENERAL";"TAB4",#N/A,TRUE,"GENERAL";"TAB5",#N/A,TRUE,"GENERAL"}</definedName>
    <definedName name="centro" localSheetId="15" hidden="1">{#N/A,#N/A,FALSE,"GRAFICO";#N/A,#N/A,FALSE,"CAJA (2)";#N/A,#N/A,FALSE,"TERCEROS-PROMEDIO";#N/A,#N/A,FALSE,"CAJA";#N/A,#N/A,FALSE,"INGRESOS1995-2003";#N/A,#N/A,FALSE,"GASTOS1995-2003"}</definedName>
    <definedName name="centro" localSheetId="17" hidden="1">{#N/A,#N/A,FALSE,"GRAFICO";#N/A,#N/A,FALSE,"CAJA (2)";#N/A,#N/A,FALSE,"TERCEROS-PROMEDIO";#N/A,#N/A,FALSE,"CAJA";#N/A,#N/A,FALSE,"INGRESOS1995-2003";#N/A,#N/A,FALSE,"GASTOS1995-2003"}</definedName>
    <definedName name="centro" localSheetId="19" hidden="1">{#N/A,#N/A,FALSE,"GRAFICO";#N/A,#N/A,FALSE,"CAJA (2)";#N/A,#N/A,FALSE,"TERCEROS-PROMEDIO";#N/A,#N/A,FALSE,"CAJA";#N/A,#N/A,FALSE,"INGRESOS1995-2003";#N/A,#N/A,FALSE,"GASTOS1995-2003"}</definedName>
    <definedName name="centro" localSheetId="11" hidden="1">{#N/A,#N/A,FALSE,"GRAFICO";#N/A,#N/A,FALSE,"CAJA (2)";#N/A,#N/A,FALSE,"TERCEROS-PROMEDIO";#N/A,#N/A,FALSE,"CAJA";#N/A,#N/A,FALSE,"INGRESOS1995-2003";#N/A,#N/A,FALSE,"GASTOS1995-2003"}</definedName>
    <definedName name="centro" localSheetId="14" hidden="1">{#N/A,#N/A,FALSE,"GRAFICO";#N/A,#N/A,FALSE,"CAJA (2)";#N/A,#N/A,FALSE,"TERCEROS-PROMEDIO";#N/A,#N/A,FALSE,"CAJA";#N/A,#N/A,FALSE,"INGRESOS1995-2003";#N/A,#N/A,FALSE,"GASTOS1995-2003"}</definedName>
    <definedName name="centro" localSheetId="16" hidden="1">{#N/A,#N/A,FALSE,"GRAFICO";#N/A,#N/A,FALSE,"CAJA (2)";#N/A,#N/A,FALSE,"TERCEROS-PROMEDIO";#N/A,#N/A,FALSE,"CAJA";#N/A,#N/A,FALSE,"INGRESOS1995-2003";#N/A,#N/A,FALSE,"GASTOS1995-2003"}</definedName>
    <definedName name="centro" localSheetId="18"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iv" localSheetId="13" hidden="1">{#N/A,#N/A,TRUE,"1842CWN0"}</definedName>
    <definedName name="civ" localSheetId="15" hidden="1">{#N/A,#N/A,TRUE,"1842CWN0"}</definedName>
    <definedName name="civ" localSheetId="17" hidden="1">{#N/A,#N/A,TRUE,"1842CWN0"}</definedName>
    <definedName name="civ" localSheetId="19" hidden="1">{#N/A,#N/A,TRUE,"1842CWN0"}</definedName>
    <definedName name="civ" localSheetId="12" hidden="1">{#N/A,#N/A,TRUE,"1842CWN0"}</definedName>
    <definedName name="civ" localSheetId="8" hidden="1">{#N/A,#N/A,TRUE,"1842CWN0"}</definedName>
    <definedName name="civ" localSheetId="9" hidden="1">{#N/A,#N/A,TRUE,"1842CWN0"}</definedName>
    <definedName name="civ" localSheetId="7" hidden="1">{#N/A,#N/A,TRUE,"1842CWN0"}</definedName>
    <definedName name="civ" localSheetId="10" hidden="1">{#N/A,#N/A,TRUE,"1842CWN0"}</definedName>
    <definedName name="civ" localSheetId="0" hidden="1">{#N/A,#N/A,TRUE,"1842CWN0"}</definedName>
    <definedName name="civ" localSheetId="11" hidden="1">{#N/A,#N/A,TRUE,"1842CWN0"}</definedName>
    <definedName name="civ" localSheetId="6" hidden="1">{#N/A,#N/A,TRUE,"1842CWN0"}</definedName>
    <definedName name="civ" localSheetId="4" hidden="1">{#N/A,#N/A,TRUE,"1842CWN0"}</definedName>
    <definedName name="civ" localSheetId="1" hidden="1">{#N/A,#N/A,TRUE,"1842CWN0"}</definedName>
    <definedName name="civ" localSheetId="14" hidden="1">{#N/A,#N/A,TRUE,"1842CWN0"}</definedName>
    <definedName name="civ" localSheetId="16" hidden="1">{#N/A,#N/A,TRUE,"1842CWN0"}</definedName>
    <definedName name="civ" localSheetId="18" hidden="1">{#N/A,#N/A,TRUE,"1842CWN0"}</definedName>
    <definedName name="civ" localSheetId="5" hidden="1">{#N/A,#N/A,TRUE,"1842CWN0"}</definedName>
    <definedName name="civ" hidden="1">{#N/A,#N/A,TRUE,"1842CWN0"}</definedName>
    <definedName name="civ_1" localSheetId="15" hidden="1">{#N/A,#N/A,TRUE,"1842CWN0"}</definedName>
    <definedName name="civ_1" localSheetId="17" hidden="1">{#N/A,#N/A,TRUE,"1842CWN0"}</definedName>
    <definedName name="civ_1" localSheetId="19" hidden="1">{#N/A,#N/A,TRUE,"1842CWN0"}</definedName>
    <definedName name="civ_1" localSheetId="11" hidden="1">{#N/A,#N/A,TRUE,"1842CWN0"}</definedName>
    <definedName name="civ_1" localSheetId="14" hidden="1">{#N/A,#N/A,TRUE,"1842CWN0"}</definedName>
    <definedName name="civ_1" localSheetId="16" hidden="1">{#N/A,#N/A,TRUE,"1842CWN0"}</definedName>
    <definedName name="civ_1" localSheetId="18" hidden="1">{#N/A,#N/A,TRUE,"1842CWN0"}</definedName>
    <definedName name="civ_1" hidden="1">{#N/A,#N/A,TRUE,"1842CWN0"}</definedName>
    <definedName name="civ_2" localSheetId="15" hidden="1">{#N/A,#N/A,TRUE,"1842CWN0"}</definedName>
    <definedName name="civ_2" localSheetId="17" hidden="1">{#N/A,#N/A,TRUE,"1842CWN0"}</definedName>
    <definedName name="civ_2" localSheetId="19" hidden="1">{#N/A,#N/A,TRUE,"1842CWN0"}</definedName>
    <definedName name="civ_2" localSheetId="11" hidden="1">{#N/A,#N/A,TRUE,"1842CWN0"}</definedName>
    <definedName name="civ_2" localSheetId="14" hidden="1">{#N/A,#N/A,TRUE,"1842CWN0"}</definedName>
    <definedName name="civ_2" localSheetId="16" hidden="1">{#N/A,#N/A,TRUE,"1842CWN0"}</definedName>
    <definedName name="civ_2" localSheetId="18" hidden="1">{#N/A,#N/A,TRUE,"1842CWN0"}</definedName>
    <definedName name="civ_2" hidden="1">{#N/A,#N/A,TRUE,"1842CWN0"}</definedName>
    <definedName name="cjsa" hidden="1">#REF!</definedName>
    <definedName name="costo2" hidden="1">#REF!</definedName>
    <definedName name="_xlnm.Criteria" localSheetId="15" hidden="1">{#N/A,#N/A,FALSE,"GRAFICO";#N/A,#N/A,FALSE,"CAJA (2)";#N/A,#N/A,FALSE,"TERCEROS-PROMEDIO";#N/A,#N/A,FALSE,"CAJA";#N/A,#N/A,FALSE,"INGRESOS1995-2003";#N/A,#N/A,FALSE,"GASTOS1995-2003"}</definedName>
    <definedName name="_xlnm.Criteria" localSheetId="17" hidden="1">{#N/A,#N/A,FALSE,"GRAFICO";#N/A,#N/A,FALSE,"CAJA (2)";#N/A,#N/A,FALSE,"TERCEROS-PROMEDIO";#N/A,#N/A,FALSE,"CAJA";#N/A,#N/A,FALSE,"INGRESOS1995-2003";#N/A,#N/A,FALSE,"GASTOS1995-2003"}</definedName>
    <definedName name="_xlnm.Criteria" localSheetId="19" hidden="1">{#N/A,#N/A,FALSE,"GRAFICO";#N/A,#N/A,FALSE,"CAJA (2)";#N/A,#N/A,FALSE,"TERCEROS-PROMEDIO";#N/A,#N/A,FALSE,"CAJA";#N/A,#N/A,FALSE,"INGRESOS1995-2003";#N/A,#N/A,FALSE,"GASTOS1995-2003"}</definedName>
    <definedName name="_xlnm.Criteria" localSheetId="11" hidden="1">{#N/A,#N/A,FALSE,"GRAFICO";#N/A,#N/A,FALSE,"CAJA (2)";#N/A,#N/A,FALSE,"TERCEROS-PROMEDIO";#N/A,#N/A,FALSE,"CAJA";#N/A,#N/A,FALSE,"INGRESOS1995-2003";#N/A,#N/A,FALSE,"GASTOS1995-2003"}</definedName>
    <definedName name="_xlnm.Criteria" localSheetId="14" hidden="1">{#N/A,#N/A,FALSE,"GRAFICO";#N/A,#N/A,FALSE,"CAJA (2)";#N/A,#N/A,FALSE,"TERCEROS-PROMEDIO";#N/A,#N/A,FALSE,"CAJA";#N/A,#N/A,FALSE,"INGRESOS1995-2003";#N/A,#N/A,FALSE,"GASTOS1995-2003"}</definedName>
    <definedName name="_xlnm.Criteria" localSheetId="16" hidden="1">{#N/A,#N/A,FALSE,"GRAFICO";#N/A,#N/A,FALSE,"CAJA (2)";#N/A,#N/A,FALSE,"TERCEROS-PROMEDIO";#N/A,#N/A,FALSE,"CAJA";#N/A,#N/A,FALSE,"INGRESOS1995-2003";#N/A,#N/A,FALSE,"GASTOS1995-2003"}</definedName>
    <definedName name="_xlnm.Criteria" localSheetId="18"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15" hidden="1">{#N/A,#N/A,FALSE,"GRAFICO";#N/A,#N/A,FALSE,"CAJA (2)";#N/A,#N/A,FALSE,"TERCEROS-PROMEDIO";#N/A,#N/A,FALSE,"CAJA";#N/A,#N/A,FALSE,"INGRESOS1995-2003";#N/A,#N/A,FALSE,"GASTOS1995-2003"}</definedName>
    <definedName name="crt" localSheetId="17" hidden="1">{#N/A,#N/A,FALSE,"GRAFICO";#N/A,#N/A,FALSE,"CAJA (2)";#N/A,#N/A,FALSE,"TERCEROS-PROMEDIO";#N/A,#N/A,FALSE,"CAJA";#N/A,#N/A,FALSE,"INGRESOS1995-2003";#N/A,#N/A,FALSE,"GASTOS1995-2003"}</definedName>
    <definedName name="crt" localSheetId="19" hidden="1">{#N/A,#N/A,FALSE,"GRAFICO";#N/A,#N/A,FALSE,"CAJA (2)";#N/A,#N/A,FALSE,"TERCEROS-PROMEDIO";#N/A,#N/A,FALSE,"CAJA";#N/A,#N/A,FALSE,"INGRESOS1995-2003";#N/A,#N/A,FALSE,"GASTOS1995-2003"}</definedName>
    <definedName name="crt" localSheetId="11" hidden="1">{#N/A,#N/A,FALSE,"GRAFICO";#N/A,#N/A,FALSE,"CAJA (2)";#N/A,#N/A,FALSE,"TERCEROS-PROMEDIO";#N/A,#N/A,FALSE,"CAJA";#N/A,#N/A,FALSE,"INGRESOS1995-2003";#N/A,#N/A,FALSE,"GASTOS1995-2003"}</definedName>
    <definedName name="crt" localSheetId="14" hidden="1">{#N/A,#N/A,FALSE,"GRAFICO";#N/A,#N/A,FALSE,"CAJA (2)";#N/A,#N/A,FALSE,"TERCEROS-PROMEDIO";#N/A,#N/A,FALSE,"CAJA";#N/A,#N/A,FALSE,"INGRESOS1995-2003";#N/A,#N/A,FALSE,"GASTOS1995-2003"}</definedName>
    <definedName name="crt" localSheetId="16" hidden="1">{#N/A,#N/A,FALSE,"GRAFICO";#N/A,#N/A,FALSE,"CAJA (2)";#N/A,#N/A,FALSE,"TERCEROS-PROMEDIO";#N/A,#N/A,FALSE,"CAJA";#N/A,#N/A,FALSE,"INGRESOS1995-2003";#N/A,#N/A,FALSE,"GASTOS1995-2003"}</definedName>
    <definedName name="crt" localSheetId="18"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15" hidden="1">{"via1",#N/A,TRUE,"general";"via2",#N/A,TRUE,"general";"via3",#N/A,TRUE,"general"}</definedName>
    <definedName name="CUNET" localSheetId="17" hidden="1">{"via1",#N/A,TRUE,"general";"via2",#N/A,TRUE,"general";"via3",#N/A,TRUE,"general"}</definedName>
    <definedName name="CUNET" localSheetId="19" hidden="1">{"via1",#N/A,TRUE,"general";"via2",#N/A,TRUE,"general";"via3",#N/A,TRUE,"general"}</definedName>
    <definedName name="CUNET" localSheetId="12"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4" hidden="1">{"via1",#N/A,TRUE,"general";"via2",#N/A,TRUE,"general";"via3",#N/A,TRUE,"general"}</definedName>
    <definedName name="CUNET" localSheetId="1" hidden="1">{"via1",#N/A,TRUE,"general";"via2",#N/A,TRUE,"general";"via3",#N/A,TRUE,"general"}</definedName>
    <definedName name="CUNET" localSheetId="14" hidden="1">{"via1",#N/A,TRUE,"general";"via2",#N/A,TRUE,"general";"via3",#N/A,TRUE,"general"}</definedName>
    <definedName name="CUNET" localSheetId="16" hidden="1">{"via1",#N/A,TRUE,"general";"via2",#N/A,TRUE,"general";"via3",#N/A,TRUE,"general"}</definedName>
    <definedName name="CUNET" localSheetId="18" hidden="1">{"via1",#N/A,TRUE,"general";"via2",#N/A,TRUE,"general";"via3",#N/A,TRUE,"general"}</definedName>
    <definedName name="CUNET" hidden="1">{"via1",#N/A,TRUE,"general";"via2",#N/A,TRUE,"general";"via3",#N/A,TRUE,"general"}</definedName>
    <definedName name="cv" localSheetId="15" hidden="1">{"TAB1",#N/A,TRUE,"GENERAL";"TAB2",#N/A,TRUE,"GENERAL";"TAB3",#N/A,TRUE,"GENERAL";"TAB4",#N/A,TRUE,"GENERAL";"TAB5",#N/A,TRUE,"GENERAL"}</definedName>
    <definedName name="cv" localSheetId="17" hidden="1">{"TAB1",#N/A,TRUE,"GENERAL";"TAB2",#N/A,TRUE,"GENERAL";"TAB3",#N/A,TRUE,"GENERAL";"TAB4",#N/A,TRUE,"GENERAL";"TAB5",#N/A,TRUE,"GENERAL"}</definedName>
    <definedName name="cv" localSheetId="19" hidden="1">{"TAB1",#N/A,TRUE,"GENERAL";"TAB2",#N/A,TRUE,"GENERAL";"TAB3",#N/A,TRUE,"GENERAL";"TAB4",#N/A,TRUE,"GENERAL";"TAB5",#N/A,TRUE,"GENERAL"}</definedName>
    <definedName name="cv" localSheetId="12"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7" hidden="1">{"TAB1",#N/A,TRUE,"GENERAL";"TAB2",#N/A,TRUE,"GENERAL";"TAB3",#N/A,TRUE,"GENERAL";"TAB4",#N/A,TRUE,"GENERAL";"TAB5",#N/A,TRUE,"GENERAL"}</definedName>
    <definedName name="cv" localSheetId="10" hidden="1">{"TAB1",#N/A,TRUE,"GENERAL";"TAB2",#N/A,TRUE,"GENERAL";"TAB3",#N/A,TRUE,"GENERAL";"TAB4",#N/A,TRUE,"GENERAL";"TAB5",#N/A,TRUE,"GENERAL"}</definedName>
    <definedName name="cv" localSheetId="11" hidden="1">{"TAB1",#N/A,TRUE,"GENERAL";"TAB2",#N/A,TRUE,"GENERAL";"TAB3",#N/A,TRUE,"GENERAL";"TAB4",#N/A,TRUE,"GENERAL";"TAB5",#N/A,TRUE,"GENERAL"}</definedName>
    <definedName name="cv" localSheetId="4" hidden="1">{"TAB1",#N/A,TRUE,"GENERAL";"TAB2",#N/A,TRUE,"GENERAL";"TAB3",#N/A,TRUE,"GENERAL";"TAB4",#N/A,TRUE,"GENERAL";"TAB5",#N/A,TRUE,"GENERAL"}</definedName>
    <definedName name="cv" localSheetId="1" hidden="1">{"TAB1",#N/A,TRUE,"GENERAL";"TAB2",#N/A,TRUE,"GENERAL";"TAB3",#N/A,TRUE,"GENERAL";"TAB4",#N/A,TRUE,"GENERAL";"TAB5",#N/A,TRUE,"GENERAL"}</definedName>
    <definedName name="cv" localSheetId="14" hidden="1">{"TAB1",#N/A,TRUE,"GENERAL";"TAB2",#N/A,TRUE,"GENERAL";"TAB3",#N/A,TRUE,"GENERAL";"TAB4",#N/A,TRUE,"GENERAL";"TAB5",#N/A,TRUE,"GENERAL"}</definedName>
    <definedName name="cv" localSheetId="16" hidden="1">{"TAB1",#N/A,TRUE,"GENERAL";"TAB2",#N/A,TRUE,"GENERAL";"TAB3",#N/A,TRUE,"GENERAL";"TAB4",#N/A,TRUE,"GENERAL";"TAB5",#N/A,TRUE,"GENERAL"}</definedName>
    <definedName name="cv" localSheetId="18" hidden="1">{"TAB1",#N/A,TRUE,"GENERAL";"TAB2",#N/A,TRUE,"GENERAL";"TAB3",#N/A,TRUE,"GENERAL";"TAB4",#N/A,TRUE,"GENERAL";"TAB5",#N/A,TRUE,"GENERAL"}</definedName>
    <definedName name="cv" hidden="1">{"TAB1",#N/A,TRUE,"GENERAL";"TAB2",#N/A,TRUE,"GENERAL";"TAB3",#N/A,TRUE,"GENERAL";"TAB4",#N/A,TRUE,"GENERAL";"TAB5",#N/A,TRUE,"GENERAL"}</definedName>
    <definedName name="cvbcvbf" localSheetId="12"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7" hidden="1">{#N/A,#N/A,TRUE,"INGENIERIA";#N/A,#N/A,TRUE,"COMPRAS";#N/A,#N/A,TRUE,"DIRECCION";#N/A,#N/A,TRUE,"RESUMEN"}</definedName>
    <definedName name="cvbcvbf" localSheetId="1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15" hidden="1">{"via1",#N/A,TRUE,"general";"via2",#N/A,TRUE,"general";"via3",#N/A,TRUE,"general"}</definedName>
    <definedName name="cvfvd" localSheetId="17" hidden="1">{"via1",#N/A,TRUE,"general";"via2",#N/A,TRUE,"general";"via3",#N/A,TRUE,"general"}</definedName>
    <definedName name="cvfvd" localSheetId="19" hidden="1">{"via1",#N/A,TRUE,"general";"via2",#N/A,TRUE,"general";"via3",#N/A,TRUE,"general"}</definedName>
    <definedName name="cvfvd" localSheetId="12"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4" hidden="1">{"via1",#N/A,TRUE,"general";"via2",#N/A,TRUE,"general";"via3",#N/A,TRUE,"general"}</definedName>
    <definedName name="cvfvd" localSheetId="1" hidden="1">{"via1",#N/A,TRUE,"general";"via2",#N/A,TRUE,"general";"via3",#N/A,TRUE,"general"}</definedName>
    <definedName name="cvfvd" localSheetId="14" hidden="1">{"via1",#N/A,TRUE,"general";"via2",#N/A,TRUE,"general";"via3",#N/A,TRUE,"general"}</definedName>
    <definedName name="cvfvd" localSheetId="16" hidden="1">{"via1",#N/A,TRUE,"general";"via2",#N/A,TRUE,"general";"via3",#N/A,TRUE,"general"}</definedName>
    <definedName name="cvfvd" localSheetId="18" hidden="1">{"via1",#N/A,TRUE,"general";"via2",#N/A,TRUE,"general";"via3",#N/A,TRUE,"general"}</definedName>
    <definedName name="cvfvd" hidden="1">{"via1",#N/A,TRUE,"general";"via2",#N/A,TRUE,"general";"via3",#N/A,TRUE,"general"}</definedName>
    <definedName name="cvn" localSheetId="15" hidden="1">{"TAB1",#N/A,TRUE,"GENERAL";"TAB2",#N/A,TRUE,"GENERAL";"TAB3",#N/A,TRUE,"GENERAL";"TAB4",#N/A,TRUE,"GENERAL";"TAB5",#N/A,TRUE,"GENERAL"}</definedName>
    <definedName name="cvn" localSheetId="17" hidden="1">{"TAB1",#N/A,TRUE,"GENERAL";"TAB2",#N/A,TRUE,"GENERAL";"TAB3",#N/A,TRUE,"GENERAL";"TAB4",#N/A,TRUE,"GENERAL";"TAB5",#N/A,TRUE,"GENERAL"}</definedName>
    <definedName name="cvn" localSheetId="19" hidden="1">{"TAB1",#N/A,TRUE,"GENERAL";"TAB2",#N/A,TRUE,"GENERAL";"TAB3",#N/A,TRUE,"GENERAL";"TAB4",#N/A,TRUE,"GENERAL";"TAB5",#N/A,TRUE,"GENERAL"}</definedName>
    <definedName name="cvn" localSheetId="12"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4" hidden="1">{"TAB1",#N/A,TRUE,"GENERAL";"TAB2",#N/A,TRUE,"GENERAL";"TAB3",#N/A,TRUE,"GENERAL";"TAB4",#N/A,TRUE,"GENERAL";"TAB5",#N/A,TRUE,"GENERAL"}</definedName>
    <definedName name="cvn" localSheetId="1" hidden="1">{"TAB1",#N/A,TRUE,"GENERAL";"TAB2",#N/A,TRUE,"GENERAL";"TAB3",#N/A,TRUE,"GENERAL";"TAB4",#N/A,TRUE,"GENERAL";"TAB5",#N/A,TRUE,"GENERAL"}</definedName>
    <definedName name="cvn" localSheetId="14" hidden="1">{"TAB1",#N/A,TRUE,"GENERAL";"TAB2",#N/A,TRUE,"GENERAL";"TAB3",#N/A,TRUE,"GENERAL";"TAB4",#N/A,TRUE,"GENERAL";"TAB5",#N/A,TRUE,"GENERAL"}</definedName>
    <definedName name="cvn" localSheetId="16" hidden="1">{"TAB1",#N/A,TRUE,"GENERAL";"TAB2",#N/A,TRUE,"GENERAL";"TAB3",#N/A,TRUE,"GENERAL";"TAB4",#N/A,TRUE,"GENERAL";"TAB5",#N/A,TRUE,"GENERAL"}</definedName>
    <definedName name="cvn" localSheetId="18" hidden="1">{"TAB1",#N/A,TRUE,"GENERAL";"TAB2",#N/A,TRUE,"GENERAL";"TAB3",#N/A,TRUE,"GENERAL";"TAB4",#N/A,TRUE,"GENERAL";"TAB5",#N/A,TRUE,"GENERAL"}</definedName>
    <definedName name="cvn" hidden="1">{"TAB1",#N/A,TRUE,"GENERAL";"TAB2",#N/A,TRUE,"GENERAL";"TAB3",#N/A,TRUE,"GENERAL";"TAB4",#N/A,TRUE,"GENERAL";"TAB5",#N/A,TRUE,"GENERAL"}</definedName>
    <definedName name="CVXC" localSheetId="15" hidden="1">{"via1",#N/A,TRUE,"general";"via2",#N/A,TRUE,"general";"via3",#N/A,TRUE,"general"}</definedName>
    <definedName name="CVXC" localSheetId="17" hidden="1">{"via1",#N/A,TRUE,"general";"via2",#N/A,TRUE,"general";"via3",#N/A,TRUE,"general"}</definedName>
    <definedName name="CVXC" localSheetId="19" hidden="1">{"via1",#N/A,TRUE,"general";"via2",#N/A,TRUE,"general";"via3",#N/A,TRUE,"general"}</definedName>
    <definedName name="CVXC" localSheetId="12"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4" hidden="1">{"via1",#N/A,TRUE,"general";"via2",#N/A,TRUE,"general";"via3",#N/A,TRUE,"general"}</definedName>
    <definedName name="CVXC" localSheetId="1" hidden="1">{"via1",#N/A,TRUE,"general";"via2",#N/A,TRUE,"general";"via3",#N/A,TRUE,"general"}</definedName>
    <definedName name="CVXC" localSheetId="14" hidden="1">{"via1",#N/A,TRUE,"general";"via2",#N/A,TRUE,"general";"via3",#N/A,TRUE,"general"}</definedName>
    <definedName name="CVXC" localSheetId="16" hidden="1">{"via1",#N/A,TRUE,"general";"via2",#N/A,TRUE,"general";"via3",#N/A,TRUE,"general"}</definedName>
    <definedName name="CVXC" localSheetId="18" hidden="1">{"via1",#N/A,TRUE,"general";"via2",#N/A,TRUE,"general";"via3",#N/A,TRUE,"general"}</definedName>
    <definedName name="CVXC" hidden="1">{"via1",#N/A,TRUE,"general";"via2",#N/A,TRUE,"general";"via3",#N/A,TRUE,"general"}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7" hidden="1">{"TAB1",#N/A,TRUE,"GENERAL";"TAB2",#N/A,TRUE,"GENERAL";"TAB3",#N/A,TRUE,"GENERAL";"TAB4",#N/A,TRUE,"GENERAL";"TAB5",#N/A,TRUE,"GENERAL"}</definedName>
    <definedName name="d" localSheetId="10" hidden="1">{"TAB1",#N/A,TRUE,"GENERAL";"TAB2",#N/A,TRUE,"GENERAL";"TAB3",#N/A,TRUE,"GENERAL";"TAB4",#N/A,TRUE,"GENERAL";"TAB5",#N/A,TRUE,"GENERAL"}</definedName>
    <definedName name="d" localSheetId="4" hidden="1">{"TAB1",#N/A,TRUE,"GENERAL";"TAB2",#N/A,TRUE,"GENERAL";"TAB3",#N/A,TRUE,"GENERAL";"TAB4",#N/A,TRUE,"GENERAL";"TAB5",#N/A,TRUE,"GENERAL"}</definedName>
    <definedName name="d" localSheetId="1" hidden="1">{"TAB1",#N/A,TRUE,"GENERAL";"TAB2",#N/A,TRUE,"GENERAL";"TAB3",#N/A,TRUE,"GENERAL";"TAB4",#N/A,TRUE,"GENERAL";"TAB5",#N/A,TRUE,"GENERAL"}</definedName>
    <definedName name="DASD" localSheetId="15" hidden="1">{"TAB1",#N/A,TRUE,"GENERAL";"TAB2",#N/A,TRUE,"GENERAL";"TAB3",#N/A,TRUE,"GENERAL";"TAB4",#N/A,TRUE,"GENERAL";"TAB5",#N/A,TRUE,"GENERAL"}</definedName>
    <definedName name="DASD" localSheetId="17" hidden="1">{"TAB1",#N/A,TRUE,"GENERAL";"TAB2",#N/A,TRUE,"GENERAL";"TAB3",#N/A,TRUE,"GENERAL";"TAB4",#N/A,TRUE,"GENERAL";"TAB5",#N/A,TRUE,"GENERAL"}</definedName>
    <definedName name="DASD" localSheetId="19" hidden="1">{"TAB1",#N/A,TRUE,"GENERAL";"TAB2",#N/A,TRUE,"GENERAL";"TAB3",#N/A,TRUE,"GENERAL";"TAB4",#N/A,TRUE,"GENERAL";"TAB5",#N/A,TRUE,"GENERAL"}</definedName>
    <definedName name="DASD" localSheetId="12"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4" hidden="1">{"TAB1",#N/A,TRUE,"GENERAL";"TAB2",#N/A,TRUE,"GENERAL";"TAB3",#N/A,TRUE,"GENERAL";"TAB4",#N/A,TRUE,"GENERAL";"TAB5",#N/A,TRUE,"GENERAL"}</definedName>
    <definedName name="DASD" localSheetId="1" hidden="1">{"TAB1",#N/A,TRUE,"GENERAL";"TAB2",#N/A,TRUE,"GENERAL";"TAB3",#N/A,TRUE,"GENERAL";"TAB4",#N/A,TRUE,"GENERAL";"TAB5",#N/A,TRUE,"GENERAL"}</definedName>
    <definedName name="DASD" localSheetId="14" hidden="1">{"TAB1",#N/A,TRUE,"GENERAL";"TAB2",#N/A,TRUE,"GENERAL";"TAB3",#N/A,TRUE,"GENERAL";"TAB4",#N/A,TRUE,"GENERAL";"TAB5",#N/A,TRUE,"GENERAL"}</definedName>
    <definedName name="DASD" localSheetId="16" hidden="1">{"TAB1",#N/A,TRUE,"GENERAL";"TAB2",#N/A,TRUE,"GENERAL";"TAB3",#N/A,TRUE,"GENERAL";"TAB4",#N/A,TRUE,"GENERAL";"TAB5",#N/A,TRUE,"GENERAL"}</definedName>
    <definedName name="DASD" localSheetId="18" hidden="1">{"TAB1",#N/A,TRUE,"GENERAL";"TAB2",#N/A,TRUE,"GENERAL";"TAB3",#N/A,TRUE,"GENERAL";"TAB4",#N/A,TRUE,"GENERAL";"TAB5",#N/A,TRUE,"GENERAL"}</definedName>
    <definedName name="DASD"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8" hidden="1">{"TAB1",#N/A,TRUE,"GENERAL";"TAB2",#N/A,TRUE,"GENERAL";"TAB3",#N/A,TRUE,"GENERAL";"TAB4",#N/A,TRUE,"GENERAL";"TAB5",#N/A,TRUE,"GENERAL"}</definedName>
    <definedName name="dbfdfbi" hidden="1">{"TAB1",#N/A,TRUE,"GENERAL";"TAB2",#N/A,TRUE,"GENERAL";"TAB3",#N/A,TRUE,"GENERAL";"TAB4",#N/A,TRUE,"GENERAL";"TAB5",#N/A,TRUE,"GENERAL"}</definedName>
    <definedName name="DCSDCTV" localSheetId="15" hidden="1">{"via1",#N/A,TRUE,"general";"via2",#N/A,TRUE,"general";"via3",#N/A,TRUE,"general"}</definedName>
    <definedName name="DCSDCTV" localSheetId="17" hidden="1">{"via1",#N/A,TRUE,"general";"via2",#N/A,TRUE,"general";"via3",#N/A,TRUE,"general"}</definedName>
    <definedName name="DCSDCTV" localSheetId="19" hidden="1">{"via1",#N/A,TRUE,"general";"via2",#N/A,TRUE,"general";"via3",#N/A,TRUE,"general"}</definedName>
    <definedName name="DCSDCTV" localSheetId="12"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4" hidden="1">{"via1",#N/A,TRUE,"general";"via2",#N/A,TRUE,"general";"via3",#N/A,TRUE,"general"}</definedName>
    <definedName name="DCSDCTV" localSheetId="1" hidden="1">{"via1",#N/A,TRUE,"general";"via2",#N/A,TRUE,"general";"via3",#N/A,TRUE,"general"}</definedName>
    <definedName name="DCSDCTV" localSheetId="14" hidden="1">{"via1",#N/A,TRUE,"general";"via2",#N/A,TRUE,"general";"via3",#N/A,TRUE,"general"}</definedName>
    <definedName name="DCSDCTV" localSheetId="16" hidden="1">{"via1",#N/A,TRUE,"general";"via2",#N/A,TRUE,"general";"via3",#N/A,TRUE,"general"}</definedName>
    <definedName name="DCSDCTV" localSheetId="18" hidden="1">{"via1",#N/A,TRUE,"general";"via2",#N/A,TRUE,"general";"via3",#N/A,TRUE,"general"}</definedName>
    <definedName name="DCSDCTV" hidden="1">{"via1",#N/A,TRUE,"general";"via2",#N/A,TRUE,"general";"via3",#N/A,TRUE,"general"}</definedName>
    <definedName name="dd" localSheetId="13" hidden="1">{#N/A,#N/A,TRUE,"INGENIERIA";#N/A,#N/A,TRUE,"COMPRAS";#N/A,#N/A,TRUE,"DIRECCION";#N/A,#N/A,TRUE,"RESUMEN"}</definedName>
    <definedName name="dd" localSheetId="15" hidden="1">{#N/A,#N/A,TRUE,"INGENIERIA";#N/A,#N/A,TRUE,"COMPRAS";#N/A,#N/A,TRUE,"DIRECCION";#N/A,#N/A,TRUE,"RESUMEN"}</definedName>
    <definedName name="dd" localSheetId="17" hidden="1">{#N/A,#N/A,TRUE,"INGENIERIA";#N/A,#N/A,TRUE,"COMPRAS";#N/A,#N/A,TRUE,"DIRECCION";#N/A,#N/A,TRUE,"RESUMEN"}</definedName>
    <definedName name="dd" localSheetId="19" hidden="1">{#N/A,#N/A,TRUE,"INGENIERIA";#N/A,#N/A,TRUE,"COMPRAS";#N/A,#N/A,TRUE,"DIRECCION";#N/A,#N/A,TRUE,"RESUMEN"}</definedName>
    <definedName name="dd" localSheetId="12" hidden="1">{#N/A,#N/A,TRUE,"INGENIERIA";#N/A,#N/A,TRUE,"COMPRAS";#N/A,#N/A,TRUE,"DIRECCION";#N/A,#N/A,TRUE,"RESUMEN"}</definedName>
    <definedName name="dd" localSheetId="8" hidden="1">{#N/A,#N/A,TRUE,"INGENIERIA";#N/A,#N/A,TRUE,"COMPRAS";#N/A,#N/A,TRUE,"DIRECCION";#N/A,#N/A,TRUE,"RESUMEN"}</definedName>
    <definedName name="dd" localSheetId="9" hidden="1">{#N/A,#N/A,TRUE,"INGENIERIA";#N/A,#N/A,TRUE,"COMPRAS";#N/A,#N/A,TRUE,"DIRECCION";#N/A,#N/A,TRUE,"RESUMEN"}</definedName>
    <definedName name="dd" localSheetId="7" hidden="1">{#N/A,#N/A,TRUE,"INGENIERIA";#N/A,#N/A,TRUE,"COMPRAS";#N/A,#N/A,TRUE,"DIRECCION";#N/A,#N/A,TRUE,"RESUMEN"}</definedName>
    <definedName name="dd" localSheetId="10" hidden="1">{#N/A,#N/A,TRUE,"INGENIERIA";#N/A,#N/A,TRUE,"COMPRAS";#N/A,#N/A,TRUE,"DIRECCION";#N/A,#N/A,TRUE,"RESUMEN"}</definedName>
    <definedName name="dd" localSheetId="0" hidden="1">{#N/A,#N/A,TRUE,"INGENIERIA";#N/A,#N/A,TRUE,"COMPRAS";#N/A,#N/A,TRUE,"DIRECCION";#N/A,#N/A,TRUE,"RESUMEN"}</definedName>
    <definedName name="dd" localSheetId="11" hidden="1">{#N/A,#N/A,TRUE,"INGENIERIA";#N/A,#N/A,TRUE,"COMPRAS";#N/A,#N/A,TRUE,"DIRECCION";#N/A,#N/A,TRUE,"RESUMEN"}</definedName>
    <definedName name="dd" localSheetId="6" hidden="1">{#N/A,#N/A,TRUE,"INGENIERIA";#N/A,#N/A,TRUE,"COMPRAS";#N/A,#N/A,TRUE,"DIRECCION";#N/A,#N/A,TRUE,"RESUMEN"}</definedName>
    <definedName name="dd" localSheetId="4" hidden="1">{#N/A,#N/A,TRUE,"INGENIERIA";#N/A,#N/A,TRUE,"COMPRAS";#N/A,#N/A,TRUE,"DIRECCION";#N/A,#N/A,TRUE,"RESUMEN"}</definedName>
    <definedName name="dd" localSheetId="1" hidden="1">{#N/A,#N/A,TRUE,"INGENIERIA";#N/A,#N/A,TRUE,"COMPRAS";#N/A,#N/A,TRUE,"DIRECCION";#N/A,#N/A,TRUE,"RESUMEN"}</definedName>
    <definedName name="dd" localSheetId="14" hidden="1">{#N/A,#N/A,TRUE,"INGENIERIA";#N/A,#N/A,TRUE,"COMPRAS";#N/A,#N/A,TRUE,"DIRECCION";#N/A,#N/A,TRUE,"RESUMEN"}</definedName>
    <definedName name="dd" localSheetId="16" hidden="1">{#N/A,#N/A,TRUE,"INGENIERIA";#N/A,#N/A,TRUE,"COMPRAS";#N/A,#N/A,TRUE,"DIRECCION";#N/A,#N/A,TRUE,"RESUMEN"}</definedName>
    <definedName name="dd" localSheetId="18" hidden="1">{#N/A,#N/A,TRUE,"INGENIERIA";#N/A,#N/A,TRUE,"COMPRAS";#N/A,#N/A,TRUE,"DIRECCION";#N/A,#N/A,TRUE,"RESUMEN"}</definedName>
    <definedName name="dd" localSheetId="5" hidden="1">{#N/A,#N/A,TRUE,"INGENIERIA";#N/A,#N/A,TRUE,"COMPRAS";#N/A,#N/A,TRUE,"DIRECCION";#N/A,#N/A,TRUE,"RESUMEN"}</definedName>
    <definedName name="dd" hidden="1">{#N/A,#N/A,TRUE,"INGENIERIA";#N/A,#N/A,TRUE,"COMPRAS";#N/A,#N/A,TRUE,"DIRECCION";#N/A,#N/A,TRUE,"RESUMEN"}</definedName>
    <definedName name="dd_1" localSheetId="15" hidden="1">{#N/A,#N/A,TRUE,"INGENIERIA";#N/A,#N/A,TRUE,"COMPRAS";#N/A,#N/A,TRUE,"DIRECCION";#N/A,#N/A,TRUE,"RESUMEN"}</definedName>
    <definedName name="dd_1" localSheetId="17" hidden="1">{#N/A,#N/A,TRUE,"INGENIERIA";#N/A,#N/A,TRUE,"COMPRAS";#N/A,#N/A,TRUE,"DIRECCION";#N/A,#N/A,TRUE,"RESUMEN"}</definedName>
    <definedName name="dd_1" localSheetId="19" hidden="1">{#N/A,#N/A,TRUE,"INGENIERIA";#N/A,#N/A,TRUE,"COMPRAS";#N/A,#N/A,TRUE,"DIRECCION";#N/A,#N/A,TRUE,"RESUMEN"}</definedName>
    <definedName name="dd_1" localSheetId="11" hidden="1">{#N/A,#N/A,TRUE,"INGENIERIA";#N/A,#N/A,TRUE,"COMPRAS";#N/A,#N/A,TRUE,"DIRECCION";#N/A,#N/A,TRUE,"RESUMEN"}</definedName>
    <definedName name="dd_1" localSheetId="14" hidden="1">{#N/A,#N/A,TRUE,"INGENIERIA";#N/A,#N/A,TRUE,"COMPRAS";#N/A,#N/A,TRUE,"DIRECCION";#N/A,#N/A,TRUE,"RESUMEN"}</definedName>
    <definedName name="dd_1" localSheetId="16" hidden="1">{#N/A,#N/A,TRUE,"INGENIERIA";#N/A,#N/A,TRUE,"COMPRAS";#N/A,#N/A,TRUE,"DIRECCION";#N/A,#N/A,TRUE,"RESUMEN"}</definedName>
    <definedName name="dd_1" localSheetId="18" hidden="1">{#N/A,#N/A,TRUE,"INGENIERIA";#N/A,#N/A,TRUE,"COMPRAS";#N/A,#N/A,TRUE,"DIRECCION";#N/A,#N/A,TRUE,"RESUMEN"}</definedName>
    <definedName name="dd_1" hidden="1">{#N/A,#N/A,TRUE,"INGENIERIA";#N/A,#N/A,TRUE,"COMPRAS";#N/A,#N/A,TRUE,"DIRECCION";#N/A,#N/A,TRUE,"RESUMEN"}</definedName>
    <definedName name="dd_2" localSheetId="15" hidden="1">{#N/A,#N/A,TRUE,"INGENIERIA";#N/A,#N/A,TRUE,"COMPRAS";#N/A,#N/A,TRUE,"DIRECCION";#N/A,#N/A,TRUE,"RESUMEN"}</definedName>
    <definedName name="dd_2" localSheetId="17" hidden="1">{#N/A,#N/A,TRUE,"INGENIERIA";#N/A,#N/A,TRUE,"COMPRAS";#N/A,#N/A,TRUE,"DIRECCION";#N/A,#N/A,TRUE,"RESUMEN"}</definedName>
    <definedName name="dd_2" localSheetId="19" hidden="1">{#N/A,#N/A,TRUE,"INGENIERIA";#N/A,#N/A,TRUE,"COMPRAS";#N/A,#N/A,TRUE,"DIRECCION";#N/A,#N/A,TRUE,"RESUMEN"}</definedName>
    <definedName name="dd_2" localSheetId="11" hidden="1">{#N/A,#N/A,TRUE,"INGENIERIA";#N/A,#N/A,TRUE,"COMPRAS";#N/A,#N/A,TRUE,"DIRECCION";#N/A,#N/A,TRUE,"RESUMEN"}</definedName>
    <definedName name="dd_2" localSheetId="14" hidden="1">{#N/A,#N/A,TRUE,"INGENIERIA";#N/A,#N/A,TRUE,"COMPRAS";#N/A,#N/A,TRUE,"DIRECCION";#N/A,#N/A,TRUE,"RESUMEN"}</definedName>
    <definedName name="dd_2" localSheetId="16" hidden="1">{#N/A,#N/A,TRUE,"INGENIERIA";#N/A,#N/A,TRUE,"COMPRAS";#N/A,#N/A,TRUE,"DIRECCION";#N/A,#N/A,TRUE,"RESUMEN"}</definedName>
    <definedName name="dd_2" localSheetId="18" hidden="1">{#N/A,#N/A,TRUE,"INGENIERIA";#N/A,#N/A,TRUE,"COMPRAS";#N/A,#N/A,TRUE,"DIRECCION";#N/A,#N/A,TRUE,"RESUMEN"}</definedName>
    <definedName name="dd_2" hidden="1">{#N/A,#N/A,TRUE,"INGENIERIA";#N/A,#N/A,TRUE,"COMPRAS";#N/A,#N/A,TRUE,"DIRECCION";#N/A,#N/A,TRUE,"RESUMEN"}</definedName>
    <definedName name="ddd" localSheetId="15" hidden="1">{"via1",#N/A,TRUE,"general";"via2",#N/A,TRUE,"general";"via3",#N/A,TRUE,"general"}</definedName>
    <definedName name="ddd" localSheetId="17" hidden="1">{"via1",#N/A,TRUE,"general";"via2",#N/A,TRUE,"general";"via3",#N/A,TRUE,"general"}</definedName>
    <definedName name="ddd" localSheetId="19" hidden="1">{"via1",#N/A,TRUE,"general";"via2",#N/A,TRUE,"general";"via3",#N/A,TRUE,"general"}</definedName>
    <definedName name="ddd" localSheetId="12"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4" hidden="1">{"via1",#N/A,TRUE,"general";"via2",#N/A,TRUE,"general";"via3",#N/A,TRUE,"general"}</definedName>
    <definedName name="ddd" localSheetId="1" hidden="1">{"via1",#N/A,TRUE,"general";"via2",#N/A,TRUE,"general";"via3",#N/A,TRUE,"general"}</definedName>
    <definedName name="ddd" localSheetId="14" hidden="1">{"via1",#N/A,TRUE,"general";"via2",#N/A,TRUE,"general";"via3",#N/A,TRUE,"general"}</definedName>
    <definedName name="ddd" localSheetId="16" hidden="1">{"via1",#N/A,TRUE,"general";"via2",#N/A,TRUE,"general";"via3",#N/A,TRUE,"general"}</definedName>
    <definedName name="ddd" localSheetId="18" hidden="1">{"via1",#N/A,TRUE,"general";"via2",#N/A,TRUE,"general";"via3",#N/A,TRUE,"general"}</definedName>
    <definedName name="ddd" hidden="1">{"via1",#N/A,TRUE,"general";"via2",#N/A,TRUE,"general";"via3",#N/A,TRUE,"general"}</definedName>
    <definedName name="DDDD" localSheetId="12"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2"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5" hidden="1">{"via1",#N/A,TRUE,"general";"via2",#N/A,TRUE,"general";"via3",#N/A,TRUE,"general"}</definedName>
    <definedName name="ddddt" localSheetId="17" hidden="1">{"via1",#N/A,TRUE,"general";"via2",#N/A,TRUE,"general";"via3",#N/A,TRUE,"general"}</definedName>
    <definedName name="ddddt" localSheetId="19" hidden="1">{"via1",#N/A,TRUE,"general";"via2",#N/A,TRUE,"general";"via3",#N/A,TRUE,"general"}</definedName>
    <definedName name="ddddt" localSheetId="12"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4" hidden="1">{"via1",#N/A,TRUE,"general";"via2",#N/A,TRUE,"general";"via3",#N/A,TRUE,"general"}</definedName>
    <definedName name="ddddt" localSheetId="1" hidden="1">{"via1",#N/A,TRUE,"general";"via2",#N/A,TRUE,"general";"via3",#N/A,TRUE,"general"}</definedName>
    <definedName name="ddddt" localSheetId="14" hidden="1">{"via1",#N/A,TRUE,"general";"via2",#N/A,TRUE,"general";"via3",#N/A,TRUE,"general"}</definedName>
    <definedName name="ddddt" localSheetId="16" hidden="1">{"via1",#N/A,TRUE,"general";"via2",#N/A,TRUE,"general";"via3",#N/A,TRUE,"general"}</definedName>
    <definedName name="ddddt" localSheetId="18" hidden="1">{"via1",#N/A,TRUE,"general";"via2",#N/A,TRUE,"general";"via3",#N/A,TRUE,"general"}</definedName>
    <definedName name="ddddt" hidden="1">{"via1",#N/A,TRUE,"general";"via2",#N/A,TRUE,"general";"via3",#N/A,TRUE,"general"}</definedName>
    <definedName name="DDE" localSheetId="13" hidden="1">{#N/A,#N/A,TRUE,"1842CWN0"}</definedName>
    <definedName name="DDE" localSheetId="15" hidden="1">{#N/A,#N/A,TRUE,"1842CWN0"}</definedName>
    <definedName name="DDE" localSheetId="17" hidden="1">{#N/A,#N/A,TRUE,"1842CWN0"}</definedName>
    <definedName name="DDE" localSheetId="19" hidden="1">{#N/A,#N/A,TRUE,"1842CWN0"}</definedName>
    <definedName name="DDE" localSheetId="12" hidden="1">{#N/A,#N/A,TRUE,"1842CWN0"}</definedName>
    <definedName name="DDE" localSheetId="8" hidden="1">{#N/A,#N/A,TRUE,"1842CWN0"}</definedName>
    <definedName name="DDE" localSheetId="9" hidden="1">{#N/A,#N/A,TRUE,"1842CWN0"}</definedName>
    <definedName name="DDE" localSheetId="7" hidden="1">{#N/A,#N/A,TRUE,"1842CWN0"}</definedName>
    <definedName name="DDE" localSheetId="10" hidden="1">{#N/A,#N/A,TRUE,"1842CWN0"}</definedName>
    <definedName name="DDE" localSheetId="0" hidden="1">{#N/A,#N/A,TRUE,"1842CWN0"}</definedName>
    <definedName name="DDE" localSheetId="11" hidden="1">{#N/A,#N/A,TRUE,"1842CWN0"}</definedName>
    <definedName name="DDE" localSheetId="6" hidden="1">{#N/A,#N/A,TRUE,"1842CWN0"}</definedName>
    <definedName name="DDE" localSheetId="4" hidden="1">{#N/A,#N/A,TRUE,"1842CWN0"}</definedName>
    <definedName name="DDE" localSheetId="1" hidden="1">{#N/A,#N/A,TRUE,"1842CWN0"}</definedName>
    <definedName name="DDE" localSheetId="14" hidden="1">{#N/A,#N/A,TRUE,"1842CWN0"}</definedName>
    <definedName name="DDE" localSheetId="16" hidden="1">{#N/A,#N/A,TRUE,"1842CWN0"}</definedName>
    <definedName name="DDE" localSheetId="18" hidden="1">{#N/A,#N/A,TRUE,"1842CWN0"}</definedName>
    <definedName name="DDE" localSheetId="5" hidden="1">{#N/A,#N/A,TRUE,"1842CWN0"}</definedName>
    <definedName name="DDE" hidden="1">{#N/A,#N/A,TRUE,"1842CWN0"}</definedName>
    <definedName name="DDE_1" localSheetId="15" hidden="1">{#N/A,#N/A,TRUE,"1842CWN0"}</definedName>
    <definedName name="DDE_1" localSheetId="17" hidden="1">{#N/A,#N/A,TRUE,"1842CWN0"}</definedName>
    <definedName name="DDE_1" localSheetId="19" hidden="1">{#N/A,#N/A,TRUE,"1842CWN0"}</definedName>
    <definedName name="DDE_1" localSheetId="11" hidden="1">{#N/A,#N/A,TRUE,"1842CWN0"}</definedName>
    <definedName name="DDE_1" localSheetId="14" hidden="1">{#N/A,#N/A,TRUE,"1842CWN0"}</definedName>
    <definedName name="DDE_1" localSheetId="16" hidden="1">{#N/A,#N/A,TRUE,"1842CWN0"}</definedName>
    <definedName name="DDE_1" localSheetId="18" hidden="1">{#N/A,#N/A,TRUE,"1842CWN0"}</definedName>
    <definedName name="DDE_1" hidden="1">{#N/A,#N/A,TRUE,"1842CWN0"}</definedName>
    <definedName name="DDE_2" localSheetId="15" hidden="1">{#N/A,#N/A,TRUE,"1842CWN0"}</definedName>
    <definedName name="DDE_2" localSheetId="17" hidden="1">{#N/A,#N/A,TRUE,"1842CWN0"}</definedName>
    <definedName name="DDE_2" localSheetId="19" hidden="1">{#N/A,#N/A,TRUE,"1842CWN0"}</definedName>
    <definedName name="DDE_2" localSheetId="11" hidden="1">{#N/A,#N/A,TRUE,"1842CWN0"}</definedName>
    <definedName name="DDE_2" localSheetId="14" hidden="1">{#N/A,#N/A,TRUE,"1842CWN0"}</definedName>
    <definedName name="DDE_2" localSheetId="16" hidden="1">{#N/A,#N/A,TRUE,"1842CWN0"}</definedName>
    <definedName name="DDE_2" localSheetId="18" hidden="1">{#N/A,#N/A,TRUE,"1842CWN0"}</definedName>
    <definedName name="DDE_2" hidden="1">{#N/A,#N/A,TRUE,"1842CWN0"}</definedName>
    <definedName name="ddewdw" localSheetId="15"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8" hidden="1">{"TAB1",#N/A,TRUE,"GENERAL";"TAB2",#N/A,TRUE,"GENERAL";"TAB3",#N/A,TRUE,"GENERAL";"TAB4",#N/A,TRUE,"GENERAL";"TAB5",#N/A,TRUE,"GENERAL"}</definedName>
    <definedName name="ddewdw"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8" hidden="1">{"TAB1",#N/A,TRUE,"GENERAL";"TAB2",#N/A,TRUE,"GENERAL";"TAB3",#N/A,TRUE,"GENERAL";"TAB4",#N/A,TRUE,"GENERAL";"TAB5",#N/A,TRUE,"GENERAL"}</definedName>
    <definedName name="ddfdh"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8"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localSheetId="15"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4" hidden="1">{"TAB1",#N/A,TRUE,"GENERAL";"TAB2",#N/A,TRUE,"GENERAL";"TAB3",#N/A,TRUE,"GENERAL";"TAB4",#N/A,TRUE,"GENERAL";"TAB5",#N/A,TRUE,"GENERAL"}</definedName>
    <definedName name="deded" localSheetId="1"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8" hidden="1">{"TAB1",#N/A,TRUE,"GENERAL";"TAB2",#N/A,TRUE,"GENERAL";"TAB3",#N/A,TRUE,"GENERAL";"TAB4",#N/A,TRUE,"GENERAL";"TAB5",#N/A,TRUE,"GENERAL"}</definedName>
    <definedName name="deded" hidden="1">{"TAB1",#N/A,TRUE,"GENERAL";"TAB2",#N/A,TRUE,"GENERAL";"TAB3",#N/A,TRUE,"GENERAL";"TAB4",#N/A,TRUE,"GENERAL";"TAB5",#N/A,TRUE,"GENERAL"}</definedName>
    <definedName name="defd" localSheetId="15" hidden="1">{"via1",#N/A,TRUE,"general";"via2",#N/A,TRUE,"general";"via3",#N/A,TRUE,"general"}</definedName>
    <definedName name="defd" localSheetId="17" hidden="1">{"via1",#N/A,TRUE,"general";"via2",#N/A,TRUE,"general";"via3",#N/A,TRUE,"general"}</definedName>
    <definedName name="defd" localSheetId="19" hidden="1">{"via1",#N/A,TRUE,"general";"via2",#N/A,TRUE,"general";"via3",#N/A,TRUE,"general"}</definedName>
    <definedName name="defd" localSheetId="12"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4" hidden="1">{"via1",#N/A,TRUE,"general";"via2",#N/A,TRUE,"general";"via3",#N/A,TRUE,"general"}</definedName>
    <definedName name="defd" localSheetId="1" hidden="1">{"via1",#N/A,TRUE,"general";"via2",#N/A,TRUE,"general";"via3",#N/A,TRUE,"general"}</definedName>
    <definedName name="defd" localSheetId="14" hidden="1">{"via1",#N/A,TRUE,"general";"via2",#N/A,TRUE,"general";"via3",#N/A,TRUE,"general"}</definedName>
    <definedName name="defd" localSheetId="16" hidden="1">{"via1",#N/A,TRUE,"general";"via2",#N/A,TRUE,"general";"via3",#N/A,TRUE,"general"}</definedName>
    <definedName name="defd" localSheetId="18" hidden="1">{"via1",#N/A,TRUE,"general";"via2",#N/A,TRUE,"general";"via3",#N/A,TRUE,"general"}</definedName>
    <definedName name="defd" hidden="1">{"via1",#N/A,TRUE,"general";"via2",#N/A,TRUE,"general";"via3",#N/A,TRUE,"general"}</definedName>
    <definedName name="DESFRE" localSheetId="15" hidden="1">{#N/A,#N/A,FALSE,"GRAFICO";#N/A,#N/A,FALSE,"CAJA (2)";#N/A,#N/A,FALSE,"TERCEROS-PROMEDIO";#N/A,#N/A,FALSE,"CAJA";#N/A,#N/A,FALSE,"INGRESOS1995-2003";#N/A,#N/A,FALSE,"GASTOS1995-2003"}</definedName>
    <definedName name="DESFRE" localSheetId="17" hidden="1">{#N/A,#N/A,FALSE,"GRAFICO";#N/A,#N/A,FALSE,"CAJA (2)";#N/A,#N/A,FALSE,"TERCEROS-PROMEDIO";#N/A,#N/A,FALSE,"CAJA";#N/A,#N/A,FALSE,"INGRESOS1995-2003";#N/A,#N/A,FALSE,"GASTOS1995-2003"}</definedName>
    <definedName name="DESFRE" localSheetId="19" hidden="1">{#N/A,#N/A,FALSE,"GRAFICO";#N/A,#N/A,FALSE,"CAJA (2)";#N/A,#N/A,FALSE,"TERCEROS-PROMEDIO";#N/A,#N/A,FALSE,"CAJA";#N/A,#N/A,FALSE,"INGRESOS1995-2003";#N/A,#N/A,FALSE,"GASTOS1995-2003"}</definedName>
    <definedName name="DESFRE" localSheetId="11" hidden="1">{#N/A,#N/A,FALSE,"GRAFICO";#N/A,#N/A,FALSE,"CAJA (2)";#N/A,#N/A,FALSE,"TERCEROS-PROMEDIO";#N/A,#N/A,FALSE,"CAJA";#N/A,#N/A,FALSE,"INGRESOS1995-2003";#N/A,#N/A,FALSE,"GASTOS1995-2003"}</definedName>
    <definedName name="DESFRE" localSheetId="14" hidden="1">{#N/A,#N/A,FALSE,"GRAFICO";#N/A,#N/A,FALSE,"CAJA (2)";#N/A,#N/A,FALSE,"TERCEROS-PROMEDIO";#N/A,#N/A,FALSE,"CAJA";#N/A,#N/A,FALSE,"INGRESOS1995-2003";#N/A,#N/A,FALSE,"GASTOS1995-2003"}</definedName>
    <definedName name="DESFRE" localSheetId="16" hidden="1">{#N/A,#N/A,FALSE,"GRAFICO";#N/A,#N/A,FALSE,"CAJA (2)";#N/A,#N/A,FALSE,"TERCEROS-PROMEDIO";#N/A,#N/A,FALSE,"CAJA";#N/A,#N/A,FALSE,"INGRESOS1995-2003";#N/A,#N/A,FALSE,"GASTOS1995-2003"}</definedName>
    <definedName name="DESFRE" localSheetId="18"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15" hidden="1">{"TAB1",#N/A,TRUE,"GENERAL";"TAB2",#N/A,TRUE,"GENERAL";"TAB3",#N/A,TRUE,"GENERAL";"TAB4",#N/A,TRUE,"GENERAL";"TAB5",#N/A,TRUE,"GENERAL"}</definedName>
    <definedName name="dfa" localSheetId="17" hidden="1">{"TAB1",#N/A,TRUE,"GENERAL";"TAB2",#N/A,TRUE,"GENERAL";"TAB3",#N/A,TRUE,"GENERAL";"TAB4",#N/A,TRUE,"GENERAL";"TAB5",#N/A,TRUE,"GENERAL"}</definedName>
    <definedName name="dfa" localSheetId="19" hidden="1">{"TAB1",#N/A,TRUE,"GENERAL";"TAB2",#N/A,TRUE,"GENERAL";"TAB3",#N/A,TRUE,"GENERAL";"TAB4",#N/A,TRUE,"GENERAL";"TAB5",#N/A,TRUE,"GENERAL"}</definedName>
    <definedName name="dfa" localSheetId="12"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4" hidden="1">{"TAB1",#N/A,TRUE,"GENERAL";"TAB2",#N/A,TRUE,"GENERAL";"TAB3",#N/A,TRUE,"GENERAL";"TAB4",#N/A,TRUE,"GENERAL";"TAB5",#N/A,TRUE,"GENERAL"}</definedName>
    <definedName name="dfa" localSheetId="1" hidden="1">{"TAB1",#N/A,TRUE,"GENERAL";"TAB2",#N/A,TRUE,"GENERAL";"TAB3",#N/A,TRUE,"GENERAL";"TAB4",#N/A,TRUE,"GENERAL";"TAB5",#N/A,TRUE,"GENERAL"}</definedName>
    <definedName name="dfa" localSheetId="14" hidden="1">{"TAB1",#N/A,TRUE,"GENERAL";"TAB2",#N/A,TRUE,"GENERAL";"TAB3",#N/A,TRUE,"GENERAL";"TAB4",#N/A,TRUE,"GENERAL";"TAB5",#N/A,TRUE,"GENERAL"}</definedName>
    <definedName name="dfa" localSheetId="16" hidden="1">{"TAB1",#N/A,TRUE,"GENERAL";"TAB2",#N/A,TRUE,"GENERAL";"TAB3",#N/A,TRUE,"GENERAL";"TAB4",#N/A,TRUE,"GENERAL";"TAB5",#N/A,TRUE,"GENERAL"}</definedName>
    <definedName name="dfa" localSheetId="18" hidden="1">{"TAB1",#N/A,TRUE,"GENERAL";"TAB2",#N/A,TRUE,"GENERAL";"TAB3",#N/A,TRUE,"GENERAL";"TAB4",#N/A,TRUE,"GENERAL";"TAB5",#N/A,TRUE,"GENERAL"}</definedName>
    <definedName name="dfa"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8" hidden="1">{"TAB1",#N/A,TRUE,"GENERAL";"TAB2",#N/A,TRUE,"GENERAL";"TAB3",#N/A,TRUE,"GENERAL";"TAB4",#N/A,TRUE,"GENERAL";"TAB5",#N/A,TRUE,"GENERAL"}</definedName>
    <definedName name="dfasd" hidden="1">{"TAB1",#N/A,TRUE,"GENERAL";"TAB2",#N/A,TRUE,"GENERAL";"TAB3",#N/A,TRUE,"GENERAL";"TAB4",#N/A,TRUE,"GENERAL";"TAB5",#N/A,TRUE,"GENERAL"}</definedName>
    <definedName name="DFBNJ" localSheetId="15" hidden="1">{"via1",#N/A,TRUE,"general";"via2",#N/A,TRUE,"general";"via3",#N/A,TRUE,"general"}</definedName>
    <definedName name="DFBNJ" localSheetId="17" hidden="1">{"via1",#N/A,TRUE,"general";"via2",#N/A,TRUE,"general";"via3",#N/A,TRUE,"general"}</definedName>
    <definedName name="DFBNJ" localSheetId="19" hidden="1">{"via1",#N/A,TRUE,"general";"via2",#N/A,TRUE,"general";"via3",#N/A,TRUE,"general"}</definedName>
    <definedName name="DFBNJ" localSheetId="12"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4" hidden="1">{"via1",#N/A,TRUE,"general";"via2",#N/A,TRUE,"general";"via3",#N/A,TRUE,"general"}</definedName>
    <definedName name="DFBNJ" localSheetId="1" hidden="1">{"via1",#N/A,TRUE,"general";"via2",#N/A,TRUE,"general";"via3",#N/A,TRUE,"general"}</definedName>
    <definedName name="DFBNJ" localSheetId="14" hidden="1">{"via1",#N/A,TRUE,"general";"via2",#N/A,TRUE,"general";"via3",#N/A,TRUE,"general"}</definedName>
    <definedName name="DFBNJ" localSheetId="16" hidden="1">{"via1",#N/A,TRUE,"general";"via2",#N/A,TRUE,"general";"via3",#N/A,TRUE,"general"}</definedName>
    <definedName name="DFBNJ" localSheetId="18" hidden="1">{"via1",#N/A,TRUE,"general";"via2",#N/A,TRUE,"general";"via3",#N/A,TRUE,"general"}</definedName>
    <definedName name="DFBNJ" hidden="1">{"via1",#N/A,TRUE,"general";"via2",#N/A,TRUE,"general";"via3",#N/A,TRUE,"general"}</definedName>
    <definedName name="DFDE" localSheetId="13" hidden="1">{#N/A,#N/A,TRUE,"1842CWN0"}</definedName>
    <definedName name="DFDE" localSheetId="15" hidden="1">{#N/A,#N/A,TRUE,"1842CWN0"}</definedName>
    <definedName name="DFDE" localSheetId="17" hidden="1">{#N/A,#N/A,TRUE,"1842CWN0"}</definedName>
    <definedName name="DFDE" localSheetId="19" hidden="1">{#N/A,#N/A,TRUE,"1842CWN0"}</definedName>
    <definedName name="DFDE" localSheetId="12" hidden="1">{#N/A,#N/A,TRUE,"1842CWN0"}</definedName>
    <definedName name="DFDE" localSheetId="8" hidden="1">{#N/A,#N/A,TRUE,"1842CWN0"}</definedName>
    <definedName name="DFDE" localSheetId="9" hidden="1">{#N/A,#N/A,TRUE,"1842CWN0"}</definedName>
    <definedName name="DFDE" localSheetId="7" hidden="1">{#N/A,#N/A,TRUE,"1842CWN0"}</definedName>
    <definedName name="DFDE" localSheetId="10" hidden="1">{#N/A,#N/A,TRUE,"1842CWN0"}</definedName>
    <definedName name="DFDE" localSheetId="0" hidden="1">{#N/A,#N/A,TRUE,"1842CWN0"}</definedName>
    <definedName name="DFDE" localSheetId="11" hidden="1">{#N/A,#N/A,TRUE,"1842CWN0"}</definedName>
    <definedName name="DFDE" localSheetId="6" hidden="1">{#N/A,#N/A,TRUE,"1842CWN0"}</definedName>
    <definedName name="DFDE" localSheetId="4" hidden="1">{#N/A,#N/A,TRUE,"1842CWN0"}</definedName>
    <definedName name="DFDE" localSheetId="1" hidden="1">{#N/A,#N/A,TRUE,"1842CWN0"}</definedName>
    <definedName name="DFDE" localSheetId="14" hidden="1">{#N/A,#N/A,TRUE,"1842CWN0"}</definedName>
    <definedName name="DFDE" localSheetId="16" hidden="1">{#N/A,#N/A,TRUE,"1842CWN0"}</definedName>
    <definedName name="DFDE" localSheetId="18" hidden="1">{#N/A,#N/A,TRUE,"1842CWN0"}</definedName>
    <definedName name="DFDE" localSheetId="5" hidden="1">{#N/A,#N/A,TRUE,"1842CWN0"}</definedName>
    <definedName name="DFDE" hidden="1">{#N/A,#N/A,TRUE,"1842CWN0"}</definedName>
    <definedName name="DFDE_1" localSheetId="15" hidden="1">{#N/A,#N/A,TRUE,"1842CWN0"}</definedName>
    <definedName name="DFDE_1" localSheetId="17" hidden="1">{#N/A,#N/A,TRUE,"1842CWN0"}</definedName>
    <definedName name="DFDE_1" localSheetId="19" hidden="1">{#N/A,#N/A,TRUE,"1842CWN0"}</definedName>
    <definedName name="DFDE_1" localSheetId="11" hidden="1">{#N/A,#N/A,TRUE,"1842CWN0"}</definedName>
    <definedName name="DFDE_1" localSheetId="14" hidden="1">{#N/A,#N/A,TRUE,"1842CWN0"}</definedName>
    <definedName name="DFDE_1" localSheetId="16" hidden="1">{#N/A,#N/A,TRUE,"1842CWN0"}</definedName>
    <definedName name="DFDE_1" localSheetId="18" hidden="1">{#N/A,#N/A,TRUE,"1842CWN0"}</definedName>
    <definedName name="DFDE_1" hidden="1">{#N/A,#N/A,TRUE,"1842CWN0"}</definedName>
    <definedName name="DFDE_2" localSheetId="15" hidden="1">{#N/A,#N/A,TRUE,"1842CWN0"}</definedName>
    <definedName name="DFDE_2" localSheetId="17" hidden="1">{#N/A,#N/A,TRUE,"1842CWN0"}</definedName>
    <definedName name="DFDE_2" localSheetId="19" hidden="1">{#N/A,#N/A,TRUE,"1842CWN0"}</definedName>
    <definedName name="DFDE_2" localSheetId="11" hidden="1">{#N/A,#N/A,TRUE,"1842CWN0"}</definedName>
    <definedName name="DFDE_2" localSheetId="14" hidden="1">{#N/A,#N/A,TRUE,"1842CWN0"}</definedName>
    <definedName name="DFDE_2" localSheetId="16" hidden="1">{#N/A,#N/A,TRUE,"1842CWN0"}</definedName>
    <definedName name="DFDE_2" localSheetId="18" hidden="1">{#N/A,#N/A,TRUE,"1842CWN0"}</definedName>
    <definedName name="DFDE_2" hidden="1">{#N/A,#N/A,TRUE,"1842CWN0"}</definedName>
    <definedName name="dfds" localSheetId="15" hidden="1">{"TAB1",#N/A,TRUE,"GENERAL";"TAB2",#N/A,TRUE,"GENERAL";"TAB3",#N/A,TRUE,"GENERAL";"TAB4",#N/A,TRUE,"GENERAL";"TAB5",#N/A,TRUE,"GENERAL"}</definedName>
    <definedName name="dfds" localSheetId="17" hidden="1">{"TAB1",#N/A,TRUE,"GENERAL";"TAB2",#N/A,TRUE,"GENERAL";"TAB3",#N/A,TRUE,"GENERAL";"TAB4",#N/A,TRUE,"GENERAL";"TAB5",#N/A,TRUE,"GENERAL"}</definedName>
    <definedName name="dfds" localSheetId="19" hidden="1">{"TAB1",#N/A,TRUE,"GENERAL";"TAB2",#N/A,TRUE,"GENERAL";"TAB3",#N/A,TRUE,"GENERAL";"TAB4",#N/A,TRUE,"GENERAL";"TAB5",#N/A,TRUE,"GENERAL"}</definedName>
    <definedName name="dfds" localSheetId="12"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4" hidden="1">{"TAB1",#N/A,TRUE,"GENERAL";"TAB2",#N/A,TRUE,"GENERAL";"TAB3",#N/A,TRUE,"GENERAL";"TAB4",#N/A,TRUE,"GENERAL";"TAB5",#N/A,TRUE,"GENERAL"}</definedName>
    <definedName name="dfds" localSheetId="1" hidden="1">{"TAB1",#N/A,TRUE,"GENERAL";"TAB2",#N/A,TRUE,"GENERAL";"TAB3",#N/A,TRUE,"GENERAL";"TAB4",#N/A,TRUE,"GENERAL";"TAB5",#N/A,TRUE,"GENERAL"}</definedName>
    <definedName name="dfds" localSheetId="14" hidden="1">{"TAB1",#N/A,TRUE,"GENERAL";"TAB2",#N/A,TRUE,"GENERAL";"TAB3",#N/A,TRUE,"GENERAL";"TAB4",#N/A,TRUE,"GENERAL";"TAB5",#N/A,TRUE,"GENERAL"}</definedName>
    <definedName name="dfds" localSheetId="16" hidden="1">{"TAB1",#N/A,TRUE,"GENERAL";"TAB2",#N/A,TRUE,"GENERAL";"TAB3",#N/A,TRUE,"GENERAL";"TAB4",#N/A,TRUE,"GENERAL";"TAB5",#N/A,TRUE,"GENERAL"}</definedName>
    <definedName name="dfds" localSheetId="18" hidden="1">{"TAB1",#N/A,TRUE,"GENERAL";"TAB2",#N/A,TRUE,"GENERAL";"TAB3",#N/A,TRUE,"GENERAL";"TAB4",#N/A,TRUE,"GENERAL";"TAB5",#N/A,TRUE,"GENERAL"}</definedName>
    <definedName name="dfds" hidden="1">{"TAB1",#N/A,TRUE,"GENERAL";"TAB2",#N/A,TRUE,"GENERAL";"TAB3",#N/A,TRUE,"GENERAL";"TAB4",#N/A,TRUE,"GENERAL";"TAB5",#N/A,TRUE,"GENERAL"}</definedName>
    <definedName name="dfdsfi" localSheetId="15" hidden="1">{"via1",#N/A,TRUE,"general";"via2",#N/A,TRUE,"general";"via3",#N/A,TRUE,"general"}</definedName>
    <definedName name="dfdsfi" localSheetId="17" hidden="1">{"via1",#N/A,TRUE,"general";"via2",#N/A,TRUE,"general";"via3",#N/A,TRUE,"general"}</definedName>
    <definedName name="dfdsfi" localSheetId="19" hidden="1">{"via1",#N/A,TRUE,"general";"via2",#N/A,TRUE,"general";"via3",#N/A,TRUE,"general"}</definedName>
    <definedName name="dfdsfi" localSheetId="12"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4" hidden="1">{"via1",#N/A,TRUE,"general";"via2",#N/A,TRUE,"general";"via3",#N/A,TRUE,"general"}</definedName>
    <definedName name="dfdsfi" localSheetId="1" hidden="1">{"via1",#N/A,TRUE,"general";"via2",#N/A,TRUE,"general";"via3",#N/A,TRUE,"general"}</definedName>
    <definedName name="dfdsfi" localSheetId="14" hidden="1">{"via1",#N/A,TRUE,"general";"via2",#N/A,TRUE,"general";"via3",#N/A,TRUE,"general"}</definedName>
    <definedName name="dfdsfi" localSheetId="16" hidden="1">{"via1",#N/A,TRUE,"general";"via2",#N/A,TRUE,"general";"via3",#N/A,TRUE,"general"}</definedName>
    <definedName name="dfdsfi" localSheetId="18" hidden="1">{"via1",#N/A,TRUE,"general";"via2",#N/A,TRUE,"general";"via3",#N/A,TRUE,"general"}</definedName>
    <definedName name="dfdsfi" hidden="1">{"via1",#N/A,TRUE,"general";"via2",#N/A,TRUE,"general";"via3",#N/A,TRUE,"general"}</definedName>
    <definedName name="DFEET" localSheetId="13" hidden="1">{#N/A,#N/A,TRUE,"INGENIERIA";#N/A,#N/A,TRUE,"COMPRAS";#N/A,#N/A,TRUE,"DIRECCION";#N/A,#N/A,TRUE,"RESUMEN"}</definedName>
    <definedName name="DFEET" localSheetId="15" hidden="1">{#N/A,#N/A,TRUE,"INGENIERIA";#N/A,#N/A,TRUE,"COMPRAS";#N/A,#N/A,TRUE,"DIRECCION";#N/A,#N/A,TRUE,"RESUMEN"}</definedName>
    <definedName name="DFEET" localSheetId="17" hidden="1">{#N/A,#N/A,TRUE,"INGENIERIA";#N/A,#N/A,TRUE,"COMPRAS";#N/A,#N/A,TRUE,"DIRECCION";#N/A,#N/A,TRUE,"RESUMEN"}</definedName>
    <definedName name="DFEET" localSheetId="19" hidden="1">{#N/A,#N/A,TRUE,"INGENIERIA";#N/A,#N/A,TRUE,"COMPRAS";#N/A,#N/A,TRUE,"DIRECCION";#N/A,#N/A,TRUE,"RESUMEN"}</definedName>
    <definedName name="DFEET" localSheetId="12" hidden="1">{#N/A,#N/A,TRUE,"INGENIERIA";#N/A,#N/A,TRUE,"COMPRAS";#N/A,#N/A,TRUE,"DIRECCION";#N/A,#N/A,TRUE,"RESUMEN"}</definedName>
    <definedName name="DFEET" localSheetId="8" hidden="1">{#N/A,#N/A,TRUE,"INGENIERIA";#N/A,#N/A,TRUE,"COMPRAS";#N/A,#N/A,TRUE,"DIRECCION";#N/A,#N/A,TRUE,"RESUMEN"}</definedName>
    <definedName name="DFEET" localSheetId="9" hidden="1">{#N/A,#N/A,TRUE,"INGENIERIA";#N/A,#N/A,TRUE,"COMPRAS";#N/A,#N/A,TRUE,"DIRECCION";#N/A,#N/A,TRUE,"RESUMEN"}</definedName>
    <definedName name="DFEET" localSheetId="7" hidden="1">{#N/A,#N/A,TRUE,"INGENIERIA";#N/A,#N/A,TRUE,"COMPRAS";#N/A,#N/A,TRUE,"DIRECCION";#N/A,#N/A,TRUE,"RESUMEN"}</definedName>
    <definedName name="DFEET" localSheetId="10" hidden="1">{#N/A,#N/A,TRUE,"INGENIERIA";#N/A,#N/A,TRUE,"COMPRAS";#N/A,#N/A,TRUE,"DIRECCION";#N/A,#N/A,TRUE,"RESUMEN"}</definedName>
    <definedName name="DFEET" localSheetId="0" hidden="1">{#N/A,#N/A,TRUE,"INGENIERIA";#N/A,#N/A,TRUE,"COMPRAS";#N/A,#N/A,TRUE,"DIRECCION";#N/A,#N/A,TRUE,"RESUMEN"}</definedName>
    <definedName name="DFEET" localSheetId="11" hidden="1">{#N/A,#N/A,TRUE,"INGENIERIA";#N/A,#N/A,TRUE,"COMPRAS";#N/A,#N/A,TRUE,"DIRECCION";#N/A,#N/A,TRUE,"RESUMEN"}</definedName>
    <definedName name="DFEET" localSheetId="6" hidden="1">{#N/A,#N/A,TRUE,"INGENIERIA";#N/A,#N/A,TRUE,"COMPRAS";#N/A,#N/A,TRUE,"DIRECCION";#N/A,#N/A,TRUE,"RESUMEN"}</definedName>
    <definedName name="DFEET" localSheetId="4" hidden="1">{#N/A,#N/A,TRUE,"INGENIERIA";#N/A,#N/A,TRUE,"COMPRAS";#N/A,#N/A,TRUE,"DIRECCION";#N/A,#N/A,TRUE,"RESUMEN"}</definedName>
    <definedName name="DFEET" localSheetId="1" hidden="1">{#N/A,#N/A,TRUE,"INGENIERIA";#N/A,#N/A,TRUE,"COMPRAS";#N/A,#N/A,TRUE,"DIRECCION";#N/A,#N/A,TRUE,"RESUMEN"}</definedName>
    <definedName name="DFEET" localSheetId="14" hidden="1">{#N/A,#N/A,TRUE,"INGENIERIA";#N/A,#N/A,TRUE,"COMPRAS";#N/A,#N/A,TRUE,"DIRECCION";#N/A,#N/A,TRUE,"RESUMEN"}</definedName>
    <definedName name="DFEET" localSheetId="16" hidden="1">{#N/A,#N/A,TRUE,"INGENIERIA";#N/A,#N/A,TRUE,"COMPRAS";#N/A,#N/A,TRUE,"DIRECCION";#N/A,#N/A,TRUE,"RESUMEN"}</definedName>
    <definedName name="DFEET" localSheetId="18" hidden="1">{#N/A,#N/A,TRUE,"INGENIERIA";#N/A,#N/A,TRUE,"COMPRAS";#N/A,#N/A,TRUE,"DIRECCION";#N/A,#N/A,TRUE,"RESUMEN"}</definedName>
    <definedName name="DFEET" localSheetId="5" hidden="1">{#N/A,#N/A,TRUE,"INGENIERIA";#N/A,#N/A,TRUE,"COMPRAS";#N/A,#N/A,TRUE,"DIRECCION";#N/A,#N/A,TRUE,"RESUMEN"}</definedName>
    <definedName name="DFEET" hidden="1">{#N/A,#N/A,TRUE,"INGENIERIA";#N/A,#N/A,TRUE,"COMPRAS";#N/A,#N/A,TRUE,"DIRECCION";#N/A,#N/A,TRUE,"RESUMEN"}</definedName>
    <definedName name="DFEET_1" localSheetId="15" hidden="1">{#N/A,#N/A,TRUE,"INGENIERIA";#N/A,#N/A,TRUE,"COMPRAS";#N/A,#N/A,TRUE,"DIRECCION";#N/A,#N/A,TRUE,"RESUMEN"}</definedName>
    <definedName name="DFEET_1" localSheetId="17" hidden="1">{#N/A,#N/A,TRUE,"INGENIERIA";#N/A,#N/A,TRUE,"COMPRAS";#N/A,#N/A,TRUE,"DIRECCION";#N/A,#N/A,TRUE,"RESUMEN"}</definedName>
    <definedName name="DFEET_1" localSheetId="19" hidden="1">{#N/A,#N/A,TRUE,"INGENIERIA";#N/A,#N/A,TRUE,"COMPRAS";#N/A,#N/A,TRUE,"DIRECCION";#N/A,#N/A,TRUE,"RESUMEN"}</definedName>
    <definedName name="DFEET_1" localSheetId="11" hidden="1">{#N/A,#N/A,TRUE,"INGENIERIA";#N/A,#N/A,TRUE,"COMPRAS";#N/A,#N/A,TRUE,"DIRECCION";#N/A,#N/A,TRUE,"RESUMEN"}</definedName>
    <definedName name="DFEET_1" localSheetId="14" hidden="1">{#N/A,#N/A,TRUE,"INGENIERIA";#N/A,#N/A,TRUE,"COMPRAS";#N/A,#N/A,TRUE,"DIRECCION";#N/A,#N/A,TRUE,"RESUMEN"}</definedName>
    <definedName name="DFEET_1" localSheetId="16" hidden="1">{#N/A,#N/A,TRUE,"INGENIERIA";#N/A,#N/A,TRUE,"COMPRAS";#N/A,#N/A,TRUE,"DIRECCION";#N/A,#N/A,TRUE,"RESUMEN"}</definedName>
    <definedName name="DFEET_1" localSheetId="18" hidden="1">{#N/A,#N/A,TRUE,"INGENIERIA";#N/A,#N/A,TRUE,"COMPRAS";#N/A,#N/A,TRUE,"DIRECCION";#N/A,#N/A,TRUE,"RESUMEN"}</definedName>
    <definedName name="DFEET_1" hidden="1">{#N/A,#N/A,TRUE,"INGENIERIA";#N/A,#N/A,TRUE,"COMPRAS";#N/A,#N/A,TRUE,"DIRECCION";#N/A,#N/A,TRUE,"RESUMEN"}</definedName>
    <definedName name="DFEET_2" localSheetId="15" hidden="1">{#N/A,#N/A,TRUE,"INGENIERIA";#N/A,#N/A,TRUE,"COMPRAS";#N/A,#N/A,TRUE,"DIRECCION";#N/A,#N/A,TRUE,"RESUMEN"}</definedName>
    <definedName name="DFEET_2" localSheetId="17" hidden="1">{#N/A,#N/A,TRUE,"INGENIERIA";#N/A,#N/A,TRUE,"COMPRAS";#N/A,#N/A,TRUE,"DIRECCION";#N/A,#N/A,TRUE,"RESUMEN"}</definedName>
    <definedName name="DFEET_2" localSheetId="19" hidden="1">{#N/A,#N/A,TRUE,"INGENIERIA";#N/A,#N/A,TRUE,"COMPRAS";#N/A,#N/A,TRUE,"DIRECCION";#N/A,#N/A,TRUE,"RESUMEN"}</definedName>
    <definedName name="DFEET_2" localSheetId="11" hidden="1">{#N/A,#N/A,TRUE,"INGENIERIA";#N/A,#N/A,TRUE,"COMPRAS";#N/A,#N/A,TRUE,"DIRECCION";#N/A,#N/A,TRUE,"RESUMEN"}</definedName>
    <definedName name="DFEET_2" localSheetId="14" hidden="1">{#N/A,#N/A,TRUE,"INGENIERIA";#N/A,#N/A,TRUE,"COMPRAS";#N/A,#N/A,TRUE,"DIRECCION";#N/A,#N/A,TRUE,"RESUMEN"}</definedName>
    <definedName name="DFEET_2" localSheetId="16" hidden="1">{#N/A,#N/A,TRUE,"INGENIERIA";#N/A,#N/A,TRUE,"COMPRAS";#N/A,#N/A,TRUE,"DIRECCION";#N/A,#N/A,TRUE,"RESUMEN"}</definedName>
    <definedName name="DFEET_2" localSheetId="18" hidden="1">{#N/A,#N/A,TRUE,"INGENIERIA";#N/A,#N/A,TRUE,"COMPRAS";#N/A,#N/A,TRUE,"DIRECCION";#N/A,#N/A,TRUE,"RESUMEN"}</definedName>
    <definedName name="DFEET_2" hidden="1">{#N/A,#N/A,TRUE,"INGENIERIA";#N/A,#N/A,TRUE,"COMPRAS";#N/A,#N/A,TRUE,"DIRECCION";#N/A,#N/A,TRUE,"RESUMEN"}</definedName>
    <definedName name="dffffe" localSheetId="15"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8" hidden="1">{"TAB1",#N/A,TRUE,"GENERAL";"TAB2",#N/A,TRUE,"GENERAL";"TAB3",#N/A,TRUE,"GENERAL";"TAB4",#N/A,TRUE,"GENERAL";"TAB5",#N/A,TRUE,"GENERAL"}</definedName>
    <definedName name="dffffe" hidden="1">{"TAB1",#N/A,TRUE,"GENERAL";"TAB2",#N/A,TRUE,"GENERAL";"TAB3",#N/A,TRUE,"GENERAL";"TAB4",#N/A,TRUE,"GENERAL";"TAB5",#N/A,TRUE,"GENERAL"}</definedName>
    <definedName name="DFG" localSheetId="15" hidden="1">{"via1",#N/A,TRUE,"general";"via2",#N/A,TRUE,"general";"via3",#N/A,TRUE,"general"}</definedName>
    <definedName name="DFG" localSheetId="17" hidden="1">{"via1",#N/A,TRUE,"general";"via2",#N/A,TRUE,"general";"via3",#N/A,TRUE,"general"}</definedName>
    <definedName name="DFG" localSheetId="19" hidden="1">{"via1",#N/A,TRUE,"general";"via2",#N/A,TRUE,"general";"via3",#N/A,TRUE,"general"}</definedName>
    <definedName name="DFG" localSheetId="12"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4" hidden="1">{"via1",#N/A,TRUE,"general";"via2",#N/A,TRUE,"general";"via3",#N/A,TRUE,"general"}</definedName>
    <definedName name="DFG" localSheetId="1" hidden="1">{"via1",#N/A,TRUE,"general";"via2",#N/A,TRUE,"general";"via3",#N/A,TRUE,"general"}</definedName>
    <definedName name="DFG" localSheetId="14" hidden="1">{"via1",#N/A,TRUE,"general";"via2",#N/A,TRUE,"general";"via3",#N/A,TRUE,"general"}</definedName>
    <definedName name="DFG" localSheetId="16" hidden="1">{"via1",#N/A,TRUE,"general";"via2",#N/A,TRUE,"general";"via3",#N/A,TRUE,"general"}</definedName>
    <definedName name="DFG" localSheetId="18" hidden="1">{"via1",#N/A,TRUE,"general";"via2",#N/A,TRUE,"general";"via3",#N/A,TRUE,"general"}</definedName>
    <definedName name="DFG" hidden="1">{"via1",#N/A,TRUE,"general";"via2",#N/A,TRUE,"general";"via3",#N/A,TRUE,"general"}</definedName>
    <definedName name="DFGBHJ" localSheetId="15" hidden="1">{"via1",#N/A,TRUE,"general";"via2",#N/A,TRUE,"general";"via3",#N/A,TRUE,"general"}</definedName>
    <definedName name="DFGBHJ" localSheetId="17" hidden="1">{"via1",#N/A,TRUE,"general";"via2",#N/A,TRUE,"general";"via3",#N/A,TRUE,"general"}</definedName>
    <definedName name="DFGBHJ" localSheetId="19" hidden="1">{"via1",#N/A,TRUE,"general";"via2",#N/A,TRUE,"general";"via3",#N/A,TRUE,"general"}</definedName>
    <definedName name="DFGBHJ" localSheetId="12"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4" hidden="1">{"via1",#N/A,TRUE,"general";"via2",#N/A,TRUE,"general";"via3",#N/A,TRUE,"general"}</definedName>
    <definedName name="DFGBHJ" localSheetId="1" hidden="1">{"via1",#N/A,TRUE,"general";"via2",#N/A,TRUE,"general";"via3",#N/A,TRUE,"general"}</definedName>
    <definedName name="DFGBHJ" localSheetId="14" hidden="1">{"via1",#N/A,TRUE,"general";"via2",#N/A,TRUE,"general";"via3",#N/A,TRUE,"general"}</definedName>
    <definedName name="DFGBHJ" localSheetId="16" hidden="1">{"via1",#N/A,TRUE,"general";"via2",#N/A,TRUE,"general";"via3",#N/A,TRUE,"general"}</definedName>
    <definedName name="DFGBHJ" localSheetId="18" hidden="1">{"via1",#N/A,TRUE,"general";"via2",#N/A,TRUE,"general";"via3",#N/A,TRUE,"general"}</definedName>
    <definedName name="DFGBHJ" hidden="1">{"via1",#N/A,TRUE,"general";"via2",#N/A,TRUE,"general";"via3",#N/A,TRUE,"general"}</definedName>
    <definedName name="DFGDFG" localSheetId="15" hidden="1">{"via1",#N/A,TRUE,"general";"via2",#N/A,TRUE,"general";"via3",#N/A,TRUE,"general"}</definedName>
    <definedName name="DFGDFG" localSheetId="17" hidden="1">{"via1",#N/A,TRUE,"general";"via2",#N/A,TRUE,"general";"via3",#N/A,TRUE,"general"}</definedName>
    <definedName name="DFGDFG" localSheetId="19" hidden="1">{"via1",#N/A,TRUE,"general";"via2",#N/A,TRUE,"general";"via3",#N/A,TRUE,"general"}</definedName>
    <definedName name="DFGDFG" localSheetId="12"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4" hidden="1">{"via1",#N/A,TRUE,"general";"via2",#N/A,TRUE,"general";"via3",#N/A,TRUE,"general"}</definedName>
    <definedName name="DFGDFG" localSheetId="1" hidden="1">{"via1",#N/A,TRUE,"general";"via2",#N/A,TRUE,"general";"via3",#N/A,TRUE,"general"}</definedName>
    <definedName name="DFGDFG" localSheetId="14" hidden="1">{"via1",#N/A,TRUE,"general";"via2",#N/A,TRUE,"general";"via3",#N/A,TRUE,"general"}</definedName>
    <definedName name="DFGDFG" localSheetId="16" hidden="1">{"via1",#N/A,TRUE,"general";"via2",#N/A,TRUE,"general";"via3",#N/A,TRUE,"general"}</definedName>
    <definedName name="DFGDFG" localSheetId="18" hidden="1">{"via1",#N/A,TRUE,"general";"via2",#N/A,TRUE,"general";"via3",#N/A,TRUE,"general"}</definedName>
    <definedName name="DFGDFG" hidden="1">{"via1",#N/A,TRUE,"general";"via2",#N/A,TRUE,"general";"via3",#N/A,TRUE,"general"}</definedName>
    <definedName name="DFGDYYB" localSheetId="15"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8" hidden="1">{"TAB1",#N/A,TRUE,"GENERAL";"TAB2",#N/A,TRUE,"GENERAL";"TAB3",#N/A,TRUE,"GENERAL";"TAB4",#N/A,TRUE,"GENERAL";"TAB5",#N/A,TRUE,"GENERAL"}</definedName>
    <definedName name="DFGDYYB" hidden="1">{"TAB1",#N/A,TRUE,"GENERAL";"TAB2",#N/A,TRUE,"GENERAL";"TAB3",#N/A,TRUE,"GENERAL";"TAB4",#N/A,TRUE,"GENERAL";"TAB5",#N/A,TRUE,"GENERAL"}</definedName>
    <definedName name="dfgf" localSheetId="15" hidden="1">{"via1",#N/A,TRUE,"general";"via2",#N/A,TRUE,"general";"via3",#N/A,TRUE,"general"}</definedName>
    <definedName name="dfgf" localSheetId="17" hidden="1">{"via1",#N/A,TRUE,"general";"via2",#N/A,TRUE,"general";"via3",#N/A,TRUE,"general"}</definedName>
    <definedName name="dfgf" localSheetId="19" hidden="1">{"via1",#N/A,TRUE,"general";"via2",#N/A,TRUE,"general";"via3",#N/A,TRUE,"general"}</definedName>
    <definedName name="dfgf" localSheetId="12"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4" hidden="1">{"via1",#N/A,TRUE,"general";"via2",#N/A,TRUE,"general";"via3",#N/A,TRUE,"general"}</definedName>
    <definedName name="dfgf" localSheetId="1" hidden="1">{"via1",#N/A,TRUE,"general";"via2",#N/A,TRUE,"general";"via3",#N/A,TRUE,"general"}</definedName>
    <definedName name="dfgf" localSheetId="14" hidden="1">{"via1",#N/A,TRUE,"general";"via2",#N/A,TRUE,"general";"via3",#N/A,TRUE,"general"}</definedName>
    <definedName name="dfgf" localSheetId="16" hidden="1">{"via1",#N/A,TRUE,"general";"via2",#N/A,TRUE,"general";"via3",#N/A,TRUE,"general"}</definedName>
    <definedName name="dfgf" localSheetId="18" hidden="1">{"via1",#N/A,TRUE,"general";"via2",#N/A,TRUE,"general";"via3",#N/A,TRUE,"general"}</definedName>
    <definedName name="dfgf" hidden="1">{"via1",#N/A,TRUE,"general";"via2",#N/A,TRUE,"general";"via3",#N/A,TRUE,"general"}</definedName>
    <definedName name="DFGFBOP" localSheetId="15"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8" hidden="1">{"TAB1",#N/A,TRUE,"GENERAL";"TAB2",#N/A,TRUE,"GENERAL";"TAB3",#N/A,TRUE,"GENERAL";"TAB4",#N/A,TRUE,"GENERAL";"TAB5",#N/A,TRUE,"GENERAL"}</definedName>
    <definedName name="DFGFBOP"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8" hidden="1">{"TAB1",#N/A,TRUE,"GENERAL";"TAB2",#N/A,TRUE,"GENERAL";"TAB3",#N/A,TRUE,"GENERAL";"TAB4",#N/A,TRUE,"GENERAL";"TAB5",#N/A,TRUE,"GENERAL"}</definedName>
    <definedName name="DFGFDG" hidden="1">{"TAB1",#N/A,TRUE,"GENERAL";"TAB2",#N/A,TRUE,"GENERAL";"TAB3",#N/A,TRUE,"GENERAL";"TAB4",#N/A,TRUE,"GENERAL";"TAB5",#N/A,TRUE,"GENERAL"}</definedName>
    <definedName name="DFGV" localSheetId="15" hidden="1">{"TAB1",#N/A,TRUE,"GENERAL";"TAB2",#N/A,TRUE,"GENERAL";"TAB3",#N/A,TRUE,"GENERAL";"TAB4",#N/A,TRUE,"GENERAL";"TAB5",#N/A,TRUE,"GENERAL"}</definedName>
    <definedName name="DFGV" localSheetId="17" hidden="1">{"TAB1",#N/A,TRUE,"GENERAL";"TAB2",#N/A,TRUE,"GENERAL";"TAB3",#N/A,TRUE,"GENERAL";"TAB4",#N/A,TRUE,"GENERAL";"TAB5",#N/A,TRUE,"GENERAL"}</definedName>
    <definedName name="DFGV" localSheetId="19" hidden="1">{"TAB1",#N/A,TRUE,"GENERAL";"TAB2",#N/A,TRUE,"GENERAL";"TAB3",#N/A,TRUE,"GENERAL";"TAB4",#N/A,TRUE,"GENERAL";"TAB5",#N/A,TRUE,"GENERAL"}</definedName>
    <definedName name="DFGV" localSheetId="12"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4" hidden="1">{"TAB1",#N/A,TRUE,"GENERAL";"TAB2",#N/A,TRUE,"GENERAL";"TAB3",#N/A,TRUE,"GENERAL";"TAB4",#N/A,TRUE,"GENERAL";"TAB5",#N/A,TRUE,"GENERAL"}</definedName>
    <definedName name="DFGV" localSheetId="1" hidden="1">{"TAB1",#N/A,TRUE,"GENERAL";"TAB2",#N/A,TRUE,"GENERAL";"TAB3",#N/A,TRUE,"GENERAL";"TAB4",#N/A,TRUE,"GENERAL";"TAB5",#N/A,TRUE,"GENERAL"}</definedName>
    <definedName name="DFGV" localSheetId="14" hidden="1">{"TAB1",#N/A,TRUE,"GENERAL";"TAB2",#N/A,TRUE,"GENERAL";"TAB3",#N/A,TRUE,"GENERAL";"TAB4",#N/A,TRUE,"GENERAL";"TAB5",#N/A,TRUE,"GENERAL"}</definedName>
    <definedName name="DFGV" localSheetId="16" hidden="1">{"TAB1",#N/A,TRUE,"GENERAL";"TAB2",#N/A,TRUE,"GENERAL";"TAB3",#N/A,TRUE,"GENERAL";"TAB4",#N/A,TRUE,"GENERAL";"TAB5",#N/A,TRUE,"GENERAL"}</definedName>
    <definedName name="DFGV" localSheetId="18" hidden="1">{"TAB1",#N/A,TRUE,"GENERAL";"TAB2",#N/A,TRUE,"GENERAL";"TAB3",#N/A,TRUE,"GENERAL";"TAB4",#N/A,TRUE,"GENERAL";"TAB5",#N/A,TRUE,"GENERAL"}</definedName>
    <definedName name="DFGV"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8" hidden="1">{"TAB1",#N/A,TRUE,"GENERAL";"TAB2",#N/A,TRUE,"GENERAL";"TAB3",#N/A,TRUE,"GENERAL";"TAB4",#N/A,TRUE,"GENERAL";"TAB5",#N/A,TRUE,"GENERAL"}</definedName>
    <definedName name="dfgypuj" hidden="1">{"TAB1",#N/A,TRUE,"GENERAL";"TAB2",#N/A,TRUE,"GENERAL";"TAB3",#N/A,TRUE,"GENERAL";"TAB4",#N/A,TRUE,"GENERAL";"TAB5",#N/A,TRUE,"GENERAL"}</definedName>
    <definedName name="dfh" localSheetId="15" hidden="1">{"TAB1",#N/A,TRUE,"GENERAL";"TAB2",#N/A,TRUE,"GENERAL";"TAB3",#N/A,TRUE,"GENERAL";"TAB4",#N/A,TRUE,"GENERAL";"TAB5",#N/A,TRUE,"GENERAL"}</definedName>
    <definedName name="dfh" localSheetId="17" hidden="1">{"TAB1",#N/A,TRUE,"GENERAL";"TAB2",#N/A,TRUE,"GENERAL";"TAB3",#N/A,TRUE,"GENERAL";"TAB4",#N/A,TRUE,"GENERAL";"TAB5",#N/A,TRUE,"GENERAL"}</definedName>
    <definedName name="dfh" localSheetId="19" hidden="1">{"TAB1",#N/A,TRUE,"GENERAL";"TAB2",#N/A,TRUE,"GENERAL";"TAB3",#N/A,TRUE,"GENERAL";"TAB4",#N/A,TRUE,"GENERAL";"TAB5",#N/A,TRUE,"GENERAL"}</definedName>
    <definedName name="dfh" localSheetId="12"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4" hidden="1">{"TAB1",#N/A,TRUE,"GENERAL";"TAB2",#N/A,TRUE,"GENERAL";"TAB3",#N/A,TRUE,"GENERAL";"TAB4",#N/A,TRUE,"GENERAL";"TAB5",#N/A,TRUE,"GENERAL"}</definedName>
    <definedName name="dfh" localSheetId="1" hidden="1">{"TAB1",#N/A,TRUE,"GENERAL";"TAB2",#N/A,TRUE,"GENERAL";"TAB3",#N/A,TRUE,"GENERAL";"TAB4",#N/A,TRUE,"GENERAL";"TAB5",#N/A,TRUE,"GENERAL"}</definedName>
    <definedName name="dfh" localSheetId="14" hidden="1">{"TAB1",#N/A,TRUE,"GENERAL";"TAB2",#N/A,TRUE,"GENERAL";"TAB3",#N/A,TRUE,"GENERAL";"TAB4",#N/A,TRUE,"GENERAL";"TAB5",#N/A,TRUE,"GENERAL"}</definedName>
    <definedName name="dfh" localSheetId="16" hidden="1">{"TAB1",#N/A,TRUE,"GENERAL";"TAB2",#N/A,TRUE,"GENERAL";"TAB3",#N/A,TRUE,"GENERAL";"TAB4",#N/A,TRUE,"GENERAL";"TAB5",#N/A,TRUE,"GENERAL"}</definedName>
    <definedName name="dfh" localSheetId="18" hidden="1">{"TAB1",#N/A,TRUE,"GENERAL";"TAB2",#N/A,TRUE,"GENERAL";"TAB3",#N/A,TRUE,"GENERAL";"TAB4",#N/A,TRUE,"GENERAL";"TAB5",#N/A,TRUE,"GENERAL"}</definedName>
    <definedName name="dfh" hidden="1">{"TAB1",#N/A,TRUE,"GENERAL";"TAB2",#N/A,TRUE,"GENERAL";"TAB3",#N/A,TRUE,"GENERAL";"TAB4",#N/A,TRUE,"GENERAL";"TAB5",#N/A,TRUE,"GENERAL"}</definedName>
    <definedName name="dfhdr" localSheetId="15" hidden="1">{"via1",#N/A,TRUE,"general";"via2",#N/A,TRUE,"general";"via3",#N/A,TRUE,"general"}</definedName>
    <definedName name="dfhdr" localSheetId="17" hidden="1">{"via1",#N/A,TRUE,"general";"via2",#N/A,TRUE,"general";"via3",#N/A,TRUE,"general"}</definedName>
    <definedName name="dfhdr" localSheetId="19" hidden="1">{"via1",#N/A,TRUE,"general";"via2",#N/A,TRUE,"general";"via3",#N/A,TRUE,"general"}</definedName>
    <definedName name="dfhdr" localSheetId="12"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4" hidden="1">{"via1",#N/A,TRUE,"general";"via2",#N/A,TRUE,"general";"via3",#N/A,TRUE,"general"}</definedName>
    <definedName name="dfhdr" localSheetId="1" hidden="1">{"via1",#N/A,TRUE,"general";"via2",#N/A,TRUE,"general";"via3",#N/A,TRUE,"general"}</definedName>
    <definedName name="dfhdr" localSheetId="14" hidden="1">{"via1",#N/A,TRUE,"general";"via2",#N/A,TRUE,"general";"via3",#N/A,TRUE,"general"}</definedName>
    <definedName name="dfhdr" localSheetId="16" hidden="1">{"via1",#N/A,TRUE,"general";"via2",#N/A,TRUE,"general";"via3",#N/A,TRUE,"general"}</definedName>
    <definedName name="dfhdr" localSheetId="18" hidden="1">{"via1",#N/A,TRUE,"general";"via2",#N/A,TRUE,"general";"via3",#N/A,TRUE,"general"}</definedName>
    <definedName name="dfhdr" hidden="1">{"via1",#N/A,TRUE,"general";"via2",#N/A,TRUE,"general";"via3",#N/A,TRUE,"general"}</definedName>
    <definedName name="dfhgh" localSheetId="15" hidden="1">{"via1",#N/A,TRUE,"general";"via2",#N/A,TRUE,"general";"via3",#N/A,TRUE,"general"}</definedName>
    <definedName name="dfhgh" localSheetId="17" hidden="1">{"via1",#N/A,TRUE,"general";"via2",#N/A,TRUE,"general";"via3",#N/A,TRUE,"general"}</definedName>
    <definedName name="dfhgh" localSheetId="19" hidden="1">{"via1",#N/A,TRUE,"general";"via2",#N/A,TRUE,"general";"via3",#N/A,TRUE,"general"}</definedName>
    <definedName name="dfhgh" localSheetId="12"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4" hidden="1">{"via1",#N/A,TRUE,"general";"via2",#N/A,TRUE,"general";"via3",#N/A,TRUE,"general"}</definedName>
    <definedName name="dfhgh" localSheetId="1" hidden="1">{"via1",#N/A,TRUE,"general";"via2",#N/A,TRUE,"general";"via3",#N/A,TRUE,"general"}</definedName>
    <definedName name="dfhgh" localSheetId="14" hidden="1">{"via1",#N/A,TRUE,"general";"via2",#N/A,TRUE,"general";"via3",#N/A,TRUE,"general"}</definedName>
    <definedName name="dfhgh" localSheetId="16" hidden="1">{"via1",#N/A,TRUE,"general";"via2",#N/A,TRUE,"general";"via3",#N/A,TRUE,"general"}</definedName>
    <definedName name="dfhgh" localSheetId="18" hidden="1">{"via1",#N/A,TRUE,"general";"via2",#N/A,TRUE,"general";"via3",#N/A,TRUE,"general"}</definedName>
    <definedName name="dfhgh" hidden="1">{"via1",#N/A,TRUE,"general";"via2",#N/A,TRUE,"general";"via3",#N/A,TRUE,"general"}</definedName>
    <definedName name="dfj" localSheetId="15" hidden="1">{"via1",#N/A,TRUE,"general";"via2",#N/A,TRUE,"general";"via3",#N/A,TRUE,"general"}</definedName>
    <definedName name="dfj" localSheetId="17" hidden="1">{"via1",#N/A,TRUE,"general";"via2",#N/A,TRUE,"general";"via3",#N/A,TRUE,"general"}</definedName>
    <definedName name="dfj" localSheetId="19" hidden="1">{"via1",#N/A,TRUE,"general";"via2",#N/A,TRUE,"general";"via3",#N/A,TRUE,"general"}</definedName>
    <definedName name="dfj" localSheetId="12"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4" hidden="1">{"via1",#N/A,TRUE,"general";"via2",#N/A,TRUE,"general";"via3",#N/A,TRUE,"general"}</definedName>
    <definedName name="dfj" localSheetId="1" hidden="1">{"via1",#N/A,TRUE,"general";"via2",#N/A,TRUE,"general";"via3",#N/A,TRUE,"general"}</definedName>
    <definedName name="dfj" localSheetId="14" hidden="1">{"via1",#N/A,TRUE,"general";"via2",#N/A,TRUE,"general";"via3",#N/A,TRUE,"general"}</definedName>
    <definedName name="dfj" localSheetId="16" hidden="1">{"via1",#N/A,TRUE,"general";"via2",#N/A,TRUE,"general";"via3",#N/A,TRUE,"general"}</definedName>
    <definedName name="dfj" localSheetId="18" hidden="1">{"via1",#N/A,TRUE,"general";"via2",#N/A,TRUE,"general";"via3",#N/A,TRUE,"general"}</definedName>
    <definedName name="dfj" hidden="1">{"via1",#N/A,TRUE,"general";"via2",#N/A,TRUE,"general";"via3",#N/A,TRUE,"general"}</definedName>
    <definedName name="DFRFRF" localSheetId="15" hidden="1">{"via1",#N/A,TRUE,"general";"via2",#N/A,TRUE,"general";"via3",#N/A,TRUE,"general"}</definedName>
    <definedName name="DFRFRF" localSheetId="17" hidden="1">{"via1",#N/A,TRUE,"general";"via2",#N/A,TRUE,"general";"via3",#N/A,TRUE,"general"}</definedName>
    <definedName name="DFRFRF" localSheetId="19" hidden="1">{"via1",#N/A,TRUE,"general";"via2",#N/A,TRUE,"general";"via3",#N/A,TRUE,"general"}</definedName>
    <definedName name="DFRFRF" localSheetId="12"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4" hidden="1">{"via1",#N/A,TRUE,"general";"via2",#N/A,TRUE,"general";"via3",#N/A,TRUE,"general"}</definedName>
    <definedName name="DFRFRF" localSheetId="1" hidden="1">{"via1",#N/A,TRUE,"general";"via2",#N/A,TRUE,"general";"via3",#N/A,TRUE,"general"}</definedName>
    <definedName name="DFRFRF" localSheetId="14" hidden="1">{"via1",#N/A,TRUE,"general";"via2",#N/A,TRUE,"general";"via3",#N/A,TRUE,"general"}</definedName>
    <definedName name="DFRFRF" localSheetId="16" hidden="1">{"via1",#N/A,TRUE,"general";"via2",#N/A,TRUE,"general";"via3",#N/A,TRUE,"general"}</definedName>
    <definedName name="DFRFRF" localSheetId="18" hidden="1">{"via1",#N/A,TRUE,"general";"via2",#N/A,TRUE,"general";"via3",#N/A,TRUE,"general"}</definedName>
    <definedName name="DFRFRF" hidden="1">{"via1",#N/A,TRUE,"general";"via2",#N/A,TRUE,"general";"via3",#N/A,TRUE,"general"}</definedName>
    <definedName name="DFVUI" localSheetId="15" hidden="1">{"via1",#N/A,TRUE,"general";"via2",#N/A,TRUE,"general";"via3",#N/A,TRUE,"general"}</definedName>
    <definedName name="DFVUI" localSheetId="17" hidden="1">{"via1",#N/A,TRUE,"general";"via2",#N/A,TRUE,"general";"via3",#N/A,TRUE,"general"}</definedName>
    <definedName name="DFVUI" localSheetId="19" hidden="1">{"via1",#N/A,TRUE,"general";"via2",#N/A,TRUE,"general";"via3",#N/A,TRUE,"general"}</definedName>
    <definedName name="DFVUI" localSheetId="12"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4" hidden="1">{"via1",#N/A,TRUE,"general";"via2",#N/A,TRUE,"general";"via3",#N/A,TRUE,"general"}</definedName>
    <definedName name="DFVUI" localSheetId="1" hidden="1">{"via1",#N/A,TRUE,"general";"via2",#N/A,TRUE,"general";"via3",#N/A,TRUE,"general"}</definedName>
    <definedName name="DFVUI" localSheetId="14" hidden="1">{"via1",#N/A,TRUE,"general";"via2",#N/A,TRUE,"general";"via3",#N/A,TRUE,"general"}</definedName>
    <definedName name="DFVUI" localSheetId="16" hidden="1">{"via1",#N/A,TRUE,"general";"via2",#N/A,TRUE,"general";"via3",#N/A,TRUE,"general"}</definedName>
    <definedName name="DFVUI" localSheetId="18" hidden="1">{"via1",#N/A,TRUE,"general";"via2",#N/A,TRUE,"general";"via3",#N/A,TRUE,"general"}</definedName>
    <definedName name="DFVUI" hidden="1">{"via1",#N/A,TRUE,"general";"via2",#N/A,TRUE,"general";"via3",#N/A,TRUE,"general"}</definedName>
    <definedName name="dg" localSheetId="15" hidden="1">{"via1",#N/A,TRUE,"general";"via2",#N/A,TRUE,"general";"via3",#N/A,TRUE,"general"}</definedName>
    <definedName name="dg" localSheetId="17" hidden="1">{"via1",#N/A,TRUE,"general";"via2",#N/A,TRUE,"general";"via3",#N/A,TRUE,"general"}</definedName>
    <definedName name="dg" localSheetId="19" hidden="1">{"via1",#N/A,TRUE,"general";"via2",#N/A,TRUE,"general";"via3",#N/A,TRUE,"general"}</definedName>
    <definedName name="dg" localSheetId="12"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4" hidden="1">{"via1",#N/A,TRUE,"general";"via2",#N/A,TRUE,"general";"via3",#N/A,TRUE,"general"}</definedName>
    <definedName name="dg" localSheetId="1" hidden="1">{"via1",#N/A,TRUE,"general";"via2",#N/A,TRUE,"general";"via3",#N/A,TRUE,"general"}</definedName>
    <definedName name="dg" localSheetId="14" hidden="1">{"via1",#N/A,TRUE,"general";"via2",#N/A,TRUE,"general";"via3",#N/A,TRUE,"general"}</definedName>
    <definedName name="dg" localSheetId="16" hidden="1">{"via1",#N/A,TRUE,"general";"via2",#N/A,TRUE,"general";"via3",#N/A,TRUE,"general"}</definedName>
    <definedName name="dg" localSheetId="18" hidden="1">{"via1",#N/A,TRUE,"general";"via2",#N/A,TRUE,"general";"via3",#N/A,TRUE,"general"}</definedName>
    <definedName name="dg" hidden="1">{"via1",#N/A,TRUE,"general";"via2",#N/A,TRUE,"general";"via3",#N/A,TRUE,"general"}</definedName>
    <definedName name="dgdgr" localSheetId="15" hidden="1">{"via1",#N/A,TRUE,"general";"via2",#N/A,TRUE,"general";"via3",#N/A,TRUE,"general"}</definedName>
    <definedName name="dgdgr" localSheetId="17" hidden="1">{"via1",#N/A,TRUE,"general";"via2",#N/A,TRUE,"general";"via3",#N/A,TRUE,"general"}</definedName>
    <definedName name="dgdgr" localSheetId="19" hidden="1">{"via1",#N/A,TRUE,"general";"via2",#N/A,TRUE,"general";"via3",#N/A,TRUE,"general"}</definedName>
    <definedName name="dgdgr" localSheetId="12"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4" hidden="1">{"via1",#N/A,TRUE,"general";"via2",#N/A,TRUE,"general";"via3",#N/A,TRUE,"general"}</definedName>
    <definedName name="dgdgr" localSheetId="1" hidden="1">{"via1",#N/A,TRUE,"general";"via2",#N/A,TRUE,"general";"via3",#N/A,TRUE,"general"}</definedName>
    <definedName name="dgdgr" localSheetId="14" hidden="1">{"via1",#N/A,TRUE,"general";"via2",#N/A,TRUE,"general";"via3",#N/A,TRUE,"general"}</definedName>
    <definedName name="dgdgr" localSheetId="16" hidden="1">{"via1",#N/A,TRUE,"general";"via2",#N/A,TRUE,"general";"via3",#N/A,TRUE,"general"}</definedName>
    <definedName name="dgdgr" localSheetId="18" hidden="1">{"via1",#N/A,TRUE,"general";"via2",#N/A,TRUE,"general";"via3",#N/A,TRUE,"general"}</definedName>
    <definedName name="dgdgr" hidden="1">{"via1",#N/A,TRUE,"general";"via2",#N/A,TRUE,"general";"via3",#N/A,TRUE,"general"}</definedName>
    <definedName name="dgfd" localSheetId="15" hidden="1">{"TAB1",#N/A,TRUE,"GENERAL";"TAB2",#N/A,TRUE,"GENERAL";"TAB3",#N/A,TRUE,"GENERAL";"TAB4",#N/A,TRUE,"GENERAL";"TAB5",#N/A,TRUE,"GENERAL"}</definedName>
    <definedName name="dgfd" localSheetId="17" hidden="1">{"TAB1",#N/A,TRUE,"GENERAL";"TAB2",#N/A,TRUE,"GENERAL";"TAB3",#N/A,TRUE,"GENERAL";"TAB4",#N/A,TRUE,"GENERAL";"TAB5",#N/A,TRUE,"GENERAL"}</definedName>
    <definedName name="dgfd" localSheetId="19" hidden="1">{"TAB1",#N/A,TRUE,"GENERAL";"TAB2",#N/A,TRUE,"GENERAL";"TAB3",#N/A,TRUE,"GENERAL";"TAB4",#N/A,TRUE,"GENERAL";"TAB5",#N/A,TRUE,"GENERAL"}</definedName>
    <definedName name="dgfd" localSheetId="12"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4" hidden="1">{"TAB1",#N/A,TRUE,"GENERAL";"TAB2",#N/A,TRUE,"GENERAL";"TAB3",#N/A,TRUE,"GENERAL";"TAB4",#N/A,TRUE,"GENERAL";"TAB5",#N/A,TRUE,"GENERAL"}</definedName>
    <definedName name="dgfd" localSheetId="1" hidden="1">{"TAB1",#N/A,TRUE,"GENERAL";"TAB2",#N/A,TRUE,"GENERAL";"TAB3",#N/A,TRUE,"GENERAL";"TAB4",#N/A,TRUE,"GENERAL";"TAB5",#N/A,TRUE,"GENERAL"}</definedName>
    <definedName name="dgfd" localSheetId="14" hidden="1">{"TAB1",#N/A,TRUE,"GENERAL";"TAB2",#N/A,TRUE,"GENERAL";"TAB3",#N/A,TRUE,"GENERAL";"TAB4",#N/A,TRUE,"GENERAL";"TAB5",#N/A,TRUE,"GENERAL"}</definedName>
    <definedName name="dgfd" localSheetId="16" hidden="1">{"TAB1",#N/A,TRUE,"GENERAL";"TAB2",#N/A,TRUE,"GENERAL";"TAB3",#N/A,TRUE,"GENERAL";"TAB4",#N/A,TRUE,"GENERAL";"TAB5",#N/A,TRUE,"GENERAL"}</definedName>
    <definedName name="dgfd" localSheetId="18" hidden="1">{"TAB1",#N/A,TRUE,"GENERAL";"TAB2",#N/A,TRUE,"GENERAL";"TAB3",#N/A,TRUE,"GENERAL";"TAB4",#N/A,TRUE,"GENERAL";"TAB5",#N/A,TRUE,"GENERAL"}</definedName>
    <definedName name="dgfd" hidden="1">{"TAB1",#N/A,TRUE,"GENERAL";"TAB2",#N/A,TRUE,"GENERAL";"TAB3",#N/A,TRUE,"GENERAL";"TAB4",#N/A,TRUE,"GENERAL";"TAB5",#N/A,TRUE,"GENERAL"}</definedName>
    <definedName name="DGFDFVSDF" localSheetId="15" hidden="1">{"via1",#N/A,TRUE,"general";"via2",#N/A,TRUE,"general";"via3",#N/A,TRUE,"general"}</definedName>
    <definedName name="DGFDFVSDF" localSheetId="17" hidden="1">{"via1",#N/A,TRUE,"general";"via2",#N/A,TRUE,"general";"via3",#N/A,TRUE,"general"}</definedName>
    <definedName name="DGFDFVSDF" localSheetId="19" hidden="1">{"via1",#N/A,TRUE,"general";"via2",#N/A,TRUE,"general";"via3",#N/A,TRUE,"general"}</definedName>
    <definedName name="DGFDFVSDF" localSheetId="12"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4" hidden="1">{"via1",#N/A,TRUE,"general";"via2",#N/A,TRUE,"general";"via3",#N/A,TRUE,"general"}</definedName>
    <definedName name="DGFDFVSDF" localSheetId="1" hidden="1">{"via1",#N/A,TRUE,"general";"via2",#N/A,TRUE,"general";"via3",#N/A,TRUE,"general"}</definedName>
    <definedName name="DGFDFVSDF" localSheetId="14" hidden="1">{"via1",#N/A,TRUE,"general";"via2",#N/A,TRUE,"general";"via3",#N/A,TRUE,"general"}</definedName>
    <definedName name="DGFDFVSDF" localSheetId="16" hidden="1">{"via1",#N/A,TRUE,"general";"via2",#N/A,TRUE,"general";"via3",#N/A,TRUE,"general"}</definedName>
    <definedName name="DGFDFVSDF" localSheetId="18" hidden="1">{"via1",#N/A,TRUE,"general";"via2",#N/A,TRUE,"general";"via3",#N/A,TRUE,"general"}</definedName>
    <definedName name="DGFDFVSDF" hidden="1">{"via1",#N/A,TRUE,"general";"via2",#N/A,TRUE,"general";"via3",#N/A,TRUE,"general"}</definedName>
    <definedName name="dgfdg" localSheetId="15" hidden="1">{"via1",#N/A,TRUE,"general";"via2",#N/A,TRUE,"general";"via3",#N/A,TRUE,"general"}</definedName>
    <definedName name="dgfdg" localSheetId="17" hidden="1">{"via1",#N/A,TRUE,"general";"via2",#N/A,TRUE,"general";"via3",#N/A,TRUE,"general"}</definedName>
    <definedName name="dgfdg" localSheetId="19" hidden="1">{"via1",#N/A,TRUE,"general";"via2",#N/A,TRUE,"general";"via3",#N/A,TRUE,"general"}</definedName>
    <definedName name="dgfdg" localSheetId="12"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4" hidden="1">{"via1",#N/A,TRUE,"general";"via2",#N/A,TRUE,"general";"via3",#N/A,TRUE,"general"}</definedName>
    <definedName name="dgfdg" localSheetId="1" hidden="1">{"via1",#N/A,TRUE,"general";"via2",#N/A,TRUE,"general";"via3",#N/A,TRUE,"general"}</definedName>
    <definedName name="dgfdg" localSheetId="14" hidden="1">{"via1",#N/A,TRUE,"general";"via2",#N/A,TRUE,"general";"via3",#N/A,TRUE,"general"}</definedName>
    <definedName name="dgfdg" localSheetId="16" hidden="1">{"via1",#N/A,TRUE,"general";"via2",#N/A,TRUE,"general";"via3",#N/A,TRUE,"general"}</definedName>
    <definedName name="dgfdg" localSheetId="18" hidden="1">{"via1",#N/A,TRUE,"general";"via2",#N/A,TRUE,"general";"via3",#N/A,TRUE,"general"}</definedName>
    <definedName name="dgfdg" hidden="1">{"via1",#N/A,TRUE,"general";"via2",#N/A,TRUE,"general";"via3",#N/A,TRUE,"general"}</definedName>
    <definedName name="DGFEE" localSheetId="13" hidden="1">{#N/A,#N/A,TRUE,"1842CWN0"}</definedName>
    <definedName name="DGFEE" localSheetId="15" hidden="1">{#N/A,#N/A,TRUE,"1842CWN0"}</definedName>
    <definedName name="DGFEE" localSheetId="17" hidden="1">{#N/A,#N/A,TRUE,"1842CWN0"}</definedName>
    <definedName name="DGFEE" localSheetId="19" hidden="1">{#N/A,#N/A,TRUE,"1842CWN0"}</definedName>
    <definedName name="DGFEE" localSheetId="12" hidden="1">{#N/A,#N/A,TRUE,"1842CWN0"}</definedName>
    <definedName name="DGFEE" localSheetId="8" hidden="1">{#N/A,#N/A,TRUE,"1842CWN0"}</definedName>
    <definedName name="DGFEE" localSheetId="9" hidden="1">{#N/A,#N/A,TRUE,"1842CWN0"}</definedName>
    <definedName name="DGFEE" localSheetId="7" hidden="1">{#N/A,#N/A,TRUE,"1842CWN0"}</definedName>
    <definedName name="DGFEE" localSheetId="10" hidden="1">{#N/A,#N/A,TRUE,"1842CWN0"}</definedName>
    <definedName name="DGFEE" localSheetId="0" hidden="1">{#N/A,#N/A,TRUE,"1842CWN0"}</definedName>
    <definedName name="DGFEE" localSheetId="11" hidden="1">{#N/A,#N/A,TRUE,"1842CWN0"}</definedName>
    <definedName name="DGFEE" localSheetId="6" hidden="1">{#N/A,#N/A,TRUE,"1842CWN0"}</definedName>
    <definedName name="DGFEE" localSheetId="4" hidden="1">{#N/A,#N/A,TRUE,"1842CWN0"}</definedName>
    <definedName name="DGFEE" localSheetId="1" hidden="1">{#N/A,#N/A,TRUE,"1842CWN0"}</definedName>
    <definedName name="DGFEE" localSheetId="14" hidden="1">{#N/A,#N/A,TRUE,"1842CWN0"}</definedName>
    <definedName name="DGFEE" localSheetId="16" hidden="1">{#N/A,#N/A,TRUE,"1842CWN0"}</definedName>
    <definedName name="DGFEE" localSheetId="18" hidden="1">{#N/A,#N/A,TRUE,"1842CWN0"}</definedName>
    <definedName name="DGFEE" localSheetId="5" hidden="1">{#N/A,#N/A,TRUE,"1842CWN0"}</definedName>
    <definedName name="DGFEE" hidden="1">{#N/A,#N/A,TRUE,"1842CWN0"}</definedName>
    <definedName name="DGFEE_1" localSheetId="15" hidden="1">{#N/A,#N/A,TRUE,"1842CWN0"}</definedName>
    <definedName name="DGFEE_1" localSheetId="17" hidden="1">{#N/A,#N/A,TRUE,"1842CWN0"}</definedName>
    <definedName name="DGFEE_1" localSheetId="19" hidden="1">{#N/A,#N/A,TRUE,"1842CWN0"}</definedName>
    <definedName name="DGFEE_1" localSheetId="11" hidden="1">{#N/A,#N/A,TRUE,"1842CWN0"}</definedName>
    <definedName name="DGFEE_1" localSheetId="14" hidden="1">{#N/A,#N/A,TRUE,"1842CWN0"}</definedName>
    <definedName name="DGFEE_1" localSheetId="16" hidden="1">{#N/A,#N/A,TRUE,"1842CWN0"}</definedName>
    <definedName name="DGFEE_1" localSheetId="18" hidden="1">{#N/A,#N/A,TRUE,"1842CWN0"}</definedName>
    <definedName name="DGFEE_1" hidden="1">{#N/A,#N/A,TRUE,"1842CWN0"}</definedName>
    <definedName name="DGFEE_2" localSheetId="15" hidden="1">{#N/A,#N/A,TRUE,"1842CWN0"}</definedName>
    <definedName name="DGFEE_2" localSheetId="17" hidden="1">{#N/A,#N/A,TRUE,"1842CWN0"}</definedName>
    <definedName name="DGFEE_2" localSheetId="19" hidden="1">{#N/A,#N/A,TRUE,"1842CWN0"}</definedName>
    <definedName name="DGFEE_2" localSheetId="11" hidden="1">{#N/A,#N/A,TRUE,"1842CWN0"}</definedName>
    <definedName name="DGFEE_2" localSheetId="14" hidden="1">{#N/A,#N/A,TRUE,"1842CWN0"}</definedName>
    <definedName name="DGFEE_2" localSheetId="16" hidden="1">{#N/A,#N/A,TRUE,"1842CWN0"}</definedName>
    <definedName name="DGFEE_2" localSheetId="18" hidden="1">{#N/A,#N/A,TRUE,"1842CWN0"}</definedName>
    <definedName name="DGFEE_2" hidden="1">{#N/A,#N/A,TRUE,"1842CWN0"}</definedName>
    <definedName name="DGFG" localSheetId="15" hidden="1">{"via1",#N/A,TRUE,"general";"via2",#N/A,TRUE,"general";"via3",#N/A,TRUE,"general"}</definedName>
    <definedName name="DGFG" localSheetId="17" hidden="1">{"via1",#N/A,TRUE,"general";"via2",#N/A,TRUE,"general";"via3",#N/A,TRUE,"general"}</definedName>
    <definedName name="DGFG" localSheetId="19" hidden="1">{"via1",#N/A,TRUE,"general";"via2",#N/A,TRUE,"general";"via3",#N/A,TRUE,"general"}</definedName>
    <definedName name="DGFG" localSheetId="12"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4" hidden="1">{"via1",#N/A,TRUE,"general";"via2",#N/A,TRUE,"general";"via3",#N/A,TRUE,"general"}</definedName>
    <definedName name="DGFG" localSheetId="1" hidden="1">{"via1",#N/A,TRUE,"general";"via2",#N/A,TRUE,"general";"via3",#N/A,TRUE,"general"}</definedName>
    <definedName name="DGFG" localSheetId="14" hidden="1">{"via1",#N/A,TRUE,"general";"via2",#N/A,TRUE,"general";"via3",#N/A,TRUE,"general"}</definedName>
    <definedName name="DGFG" localSheetId="16" hidden="1">{"via1",#N/A,TRUE,"general";"via2",#N/A,TRUE,"general";"via3",#N/A,TRUE,"general"}</definedName>
    <definedName name="DGFG" localSheetId="18" hidden="1">{"via1",#N/A,TRUE,"general";"via2",#N/A,TRUE,"general";"via3",#N/A,TRUE,"general"}</definedName>
    <definedName name="DGFG" hidden="1">{"via1",#N/A,TRUE,"general";"via2",#N/A,TRUE,"general";"via3",#N/A,TRUE,"general"}</definedName>
    <definedName name="DGFGGHF" localSheetId="13" hidden="1">{#N/A,#N/A,TRUE,"INGENIERIA";#N/A,#N/A,TRUE,"COMPRAS";#N/A,#N/A,TRUE,"DIRECCION";#N/A,#N/A,TRUE,"RESUMEN"}</definedName>
    <definedName name="DGFGGHF" localSheetId="15" hidden="1">{#N/A,#N/A,TRUE,"INGENIERIA";#N/A,#N/A,TRUE,"COMPRAS";#N/A,#N/A,TRUE,"DIRECCION";#N/A,#N/A,TRUE,"RESUMEN"}</definedName>
    <definedName name="DGFGGHF" localSheetId="17" hidden="1">{#N/A,#N/A,TRUE,"INGENIERIA";#N/A,#N/A,TRUE,"COMPRAS";#N/A,#N/A,TRUE,"DIRECCION";#N/A,#N/A,TRUE,"RESUMEN"}</definedName>
    <definedName name="DGFGGHF" localSheetId="19" hidden="1">{#N/A,#N/A,TRUE,"INGENIERIA";#N/A,#N/A,TRUE,"COMPRAS";#N/A,#N/A,TRUE,"DIRECCION";#N/A,#N/A,TRUE,"RESUMEN"}</definedName>
    <definedName name="DGFGGHF" localSheetId="12" hidden="1">{#N/A,#N/A,TRUE,"INGENIERIA";#N/A,#N/A,TRUE,"COMPRAS";#N/A,#N/A,TRUE,"DIRECCION";#N/A,#N/A,TRUE,"RESUMEN"}</definedName>
    <definedName name="DGFGGHF" localSheetId="8" hidden="1">{#N/A,#N/A,TRUE,"INGENIERIA";#N/A,#N/A,TRUE,"COMPRAS";#N/A,#N/A,TRUE,"DIRECCION";#N/A,#N/A,TRUE,"RESUMEN"}</definedName>
    <definedName name="DGFGGHF" localSheetId="9" hidden="1">{#N/A,#N/A,TRUE,"INGENIERIA";#N/A,#N/A,TRUE,"COMPRAS";#N/A,#N/A,TRUE,"DIRECCION";#N/A,#N/A,TRUE,"RESUMEN"}</definedName>
    <definedName name="DGFGGHF" localSheetId="7" hidden="1">{#N/A,#N/A,TRUE,"INGENIERIA";#N/A,#N/A,TRUE,"COMPRAS";#N/A,#N/A,TRUE,"DIRECCION";#N/A,#N/A,TRUE,"RESUMEN"}</definedName>
    <definedName name="DGFGGHF" localSheetId="10" hidden="1">{#N/A,#N/A,TRUE,"INGENIERIA";#N/A,#N/A,TRUE,"COMPRAS";#N/A,#N/A,TRUE,"DIRECCION";#N/A,#N/A,TRUE,"RESUMEN"}</definedName>
    <definedName name="DGFGGHF" localSheetId="0" hidden="1">{#N/A,#N/A,TRUE,"INGENIERIA";#N/A,#N/A,TRUE,"COMPRAS";#N/A,#N/A,TRUE,"DIRECCION";#N/A,#N/A,TRUE,"RESUMEN"}</definedName>
    <definedName name="DGFGGHF" localSheetId="11" hidden="1">{#N/A,#N/A,TRUE,"INGENIERIA";#N/A,#N/A,TRUE,"COMPRAS";#N/A,#N/A,TRUE,"DIRECCION";#N/A,#N/A,TRUE,"RESUMEN"}</definedName>
    <definedName name="DGFGGHF" localSheetId="6" hidden="1">{#N/A,#N/A,TRUE,"INGENIERIA";#N/A,#N/A,TRUE,"COMPRAS";#N/A,#N/A,TRUE,"DIRECCION";#N/A,#N/A,TRUE,"RESUMEN"}</definedName>
    <definedName name="DGFGGHF" localSheetId="4" hidden="1">{#N/A,#N/A,TRUE,"INGENIERIA";#N/A,#N/A,TRUE,"COMPRAS";#N/A,#N/A,TRUE,"DIRECCION";#N/A,#N/A,TRUE,"RESUMEN"}</definedName>
    <definedName name="DGFGGHF" localSheetId="1" hidden="1">{#N/A,#N/A,TRUE,"INGENIERIA";#N/A,#N/A,TRUE,"COMPRAS";#N/A,#N/A,TRUE,"DIRECCION";#N/A,#N/A,TRUE,"RESUMEN"}</definedName>
    <definedName name="DGFGGHF" localSheetId="14" hidden="1">{#N/A,#N/A,TRUE,"INGENIERIA";#N/A,#N/A,TRUE,"COMPRAS";#N/A,#N/A,TRUE,"DIRECCION";#N/A,#N/A,TRUE,"RESUMEN"}</definedName>
    <definedName name="DGFGGHF" localSheetId="16" hidden="1">{#N/A,#N/A,TRUE,"INGENIERIA";#N/A,#N/A,TRUE,"COMPRAS";#N/A,#N/A,TRUE,"DIRECCION";#N/A,#N/A,TRUE,"RESUMEN"}</definedName>
    <definedName name="DGFGGHF" localSheetId="18" hidden="1">{#N/A,#N/A,TRUE,"INGENIERIA";#N/A,#N/A,TRUE,"COMPRAS";#N/A,#N/A,TRUE,"DIRECCION";#N/A,#N/A,TRUE,"RESUMEN"}</definedName>
    <definedName name="DGFGGHF" localSheetId="5" hidden="1">{#N/A,#N/A,TRUE,"INGENIERIA";#N/A,#N/A,TRUE,"COMPRAS";#N/A,#N/A,TRUE,"DIRECCION";#N/A,#N/A,TRUE,"RESUMEN"}</definedName>
    <definedName name="DGFGGHF" hidden="1">{#N/A,#N/A,TRUE,"INGENIERIA";#N/A,#N/A,TRUE,"COMPRAS";#N/A,#N/A,TRUE,"DIRECCION";#N/A,#N/A,TRUE,"RESUMEN"}</definedName>
    <definedName name="DGFGGHF_1" localSheetId="15" hidden="1">{#N/A,#N/A,TRUE,"INGENIERIA";#N/A,#N/A,TRUE,"COMPRAS";#N/A,#N/A,TRUE,"DIRECCION";#N/A,#N/A,TRUE,"RESUMEN"}</definedName>
    <definedName name="DGFGGHF_1" localSheetId="17" hidden="1">{#N/A,#N/A,TRUE,"INGENIERIA";#N/A,#N/A,TRUE,"COMPRAS";#N/A,#N/A,TRUE,"DIRECCION";#N/A,#N/A,TRUE,"RESUMEN"}</definedName>
    <definedName name="DGFGGHF_1" localSheetId="19" hidden="1">{#N/A,#N/A,TRUE,"INGENIERIA";#N/A,#N/A,TRUE,"COMPRAS";#N/A,#N/A,TRUE,"DIRECCION";#N/A,#N/A,TRUE,"RESUMEN"}</definedName>
    <definedName name="DGFGGHF_1" localSheetId="11" hidden="1">{#N/A,#N/A,TRUE,"INGENIERIA";#N/A,#N/A,TRUE,"COMPRAS";#N/A,#N/A,TRUE,"DIRECCION";#N/A,#N/A,TRUE,"RESUMEN"}</definedName>
    <definedName name="DGFGGHF_1" localSheetId="14" hidden="1">{#N/A,#N/A,TRUE,"INGENIERIA";#N/A,#N/A,TRUE,"COMPRAS";#N/A,#N/A,TRUE,"DIRECCION";#N/A,#N/A,TRUE,"RESUMEN"}</definedName>
    <definedName name="DGFGGHF_1" localSheetId="16" hidden="1">{#N/A,#N/A,TRUE,"INGENIERIA";#N/A,#N/A,TRUE,"COMPRAS";#N/A,#N/A,TRUE,"DIRECCION";#N/A,#N/A,TRUE,"RESUMEN"}</definedName>
    <definedName name="DGFGGHF_1" localSheetId="18" hidden="1">{#N/A,#N/A,TRUE,"INGENIERIA";#N/A,#N/A,TRUE,"COMPRAS";#N/A,#N/A,TRUE,"DIRECCION";#N/A,#N/A,TRUE,"RESUMEN"}</definedName>
    <definedName name="DGFGGHF_1" hidden="1">{#N/A,#N/A,TRUE,"INGENIERIA";#N/A,#N/A,TRUE,"COMPRAS";#N/A,#N/A,TRUE,"DIRECCION";#N/A,#N/A,TRUE,"RESUMEN"}</definedName>
    <definedName name="DGFGGHF_2" localSheetId="15" hidden="1">{#N/A,#N/A,TRUE,"INGENIERIA";#N/A,#N/A,TRUE,"COMPRAS";#N/A,#N/A,TRUE,"DIRECCION";#N/A,#N/A,TRUE,"RESUMEN"}</definedName>
    <definedName name="DGFGGHF_2" localSheetId="17" hidden="1">{#N/A,#N/A,TRUE,"INGENIERIA";#N/A,#N/A,TRUE,"COMPRAS";#N/A,#N/A,TRUE,"DIRECCION";#N/A,#N/A,TRUE,"RESUMEN"}</definedName>
    <definedName name="DGFGGHF_2" localSheetId="19" hidden="1">{#N/A,#N/A,TRUE,"INGENIERIA";#N/A,#N/A,TRUE,"COMPRAS";#N/A,#N/A,TRUE,"DIRECCION";#N/A,#N/A,TRUE,"RESUMEN"}</definedName>
    <definedName name="DGFGGHF_2" localSheetId="11" hidden="1">{#N/A,#N/A,TRUE,"INGENIERIA";#N/A,#N/A,TRUE,"COMPRAS";#N/A,#N/A,TRUE,"DIRECCION";#N/A,#N/A,TRUE,"RESUMEN"}</definedName>
    <definedName name="DGFGGHF_2" localSheetId="14" hidden="1">{#N/A,#N/A,TRUE,"INGENIERIA";#N/A,#N/A,TRUE,"COMPRAS";#N/A,#N/A,TRUE,"DIRECCION";#N/A,#N/A,TRUE,"RESUMEN"}</definedName>
    <definedName name="DGFGGHF_2" localSheetId="16" hidden="1">{#N/A,#N/A,TRUE,"INGENIERIA";#N/A,#N/A,TRUE,"COMPRAS";#N/A,#N/A,TRUE,"DIRECCION";#N/A,#N/A,TRUE,"RESUMEN"}</definedName>
    <definedName name="DGFGGHF_2" localSheetId="18" hidden="1">{#N/A,#N/A,TRUE,"INGENIERIA";#N/A,#N/A,TRUE,"COMPRAS";#N/A,#N/A,TRUE,"DIRECCION";#N/A,#N/A,TRUE,"RESUMEN"}</definedName>
    <definedName name="DGFGGHF_2" hidden="1">{#N/A,#N/A,TRUE,"INGENIERIA";#N/A,#N/A,TRUE,"COMPRAS";#N/A,#N/A,TRUE,"DIRECCION";#N/A,#N/A,TRUE,"RESUMEN"}</definedName>
    <definedName name="DGFR" localSheetId="13" hidden="1">{#N/A,#N/A,TRUE,"1842CWN0"}</definedName>
    <definedName name="DGFR" localSheetId="15" hidden="1">{#N/A,#N/A,TRUE,"1842CWN0"}</definedName>
    <definedName name="DGFR" localSheetId="17" hidden="1">{#N/A,#N/A,TRUE,"1842CWN0"}</definedName>
    <definedName name="DGFR" localSheetId="19" hidden="1">{#N/A,#N/A,TRUE,"1842CWN0"}</definedName>
    <definedName name="DGFR" localSheetId="12" hidden="1">{#N/A,#N/A,TRUE,"1842CWN0"}</definedName>
    <definedName name="DGFR" localSheetId="8" hidden="1">{#N/A,#N/A,TRUE,"1842CWN0"}</definedName>
    <definedName name="DGFR" localSheetId="9" hidden="1">{#N/A,#N/A,TRUE,"1842CWN0"}</definedName>
    <definedName name="DGFR" localSheetId="7" hidden="1">{#N/A,#N/A,TRUE,"1842CWN0"}</definedName>
    <definedName name="DGFR" localSheetId="10" hidden="1">{#N/A,#N/A,TRUE,"1842CWN0"}</definedName>
    <definedName name="DGFR" localSheetId="0" hidden="1">{#N/A,#N/A,TRUE,"1842CWN0"}</definedName>
    <definedName name="DGFR" localSheetId="11" hidden="1">{#N/A,#N/A,TRUE,"1842CWN0"}</definedName>
    <definedName name="DGFR" localSheetId="6" hidden="1">{#N/A,#N/A,TRUE,"1842CWN0"}</definedName>
    <definedName name="DGFR" localSheetId="4" hidden="1">{#N/A,#N/A,TRUE,"1842CWN0"}</definedName>
    <definedName name="DGFR" localSheetId="1" hidden="1">{#N/A,#N/A,TRUE,"1842CWN0"}</definedName>
    <definedName name="DGFR" localSheetId="14" hidden="1">{#N/A,#N/A,TRUE,"1842CWN0"}</definedName>
    <definedName name="DGFR" localSheetId="16" hidden="1">{#N/A,#N/A,TRUE,"1842CWN0"}</definedName>
    <definedName name="DGFR" localSheetId="18" hidden="1">{#N/A,#N/A,TRUE,"1842CWN0"}</definedName>
    <definedName name="DGFR" localSheetId="5" hidden="1">{#N/A,#N/A,TRUE,"1842CWN0"}</definedName>
    <definedName name="DGFR" hidden="1">{#N/A,#N/A,TRUE,"1842CWN0"}</definedName>
    <definedName name="DGFR_1" localSheetId="15" hidden="1">{#N/A,#N/A,TRUE,"1842CWN0"}</definedName>
    <definedName name="DGFR_1" localSheetId="17" hidden="1">{#N/A,#N/A,TRUE,"1842CWN0"}</definedName>
    <definedName name="DGFR_1" localSheetId="19" hidden="1">{#N/A,#N/A,TRUE,"1842CWN0"}</definedName>
    <definedName name="DGFR_1" localSheetId="11" hidden="1">{#N/A,#N/A,TRUE,"1842CWN0"}</definedName>
    <definedName name="DGFR_1" localSheetId="14" hidden="1">{#N/A,#N/A,TRUE,"1842CWN0"}</definedName>
    <definedName name="DGFR_1" localSheetId="16" hidden="1">{#N/A,#N/A,TRUE,"1842CWN0"}</definedName>
    <definedName name="DGFR_1" localSheetId="18" hidden="1">{#N/A,#N/A,TRUE,"1842CWN0"}</definedName>
    <definedName name="DGFR_1" hidden="1">{#N/A,#N/A,TRUE,"1842CWN0"}</definedName>
    <definedName name="DGFR_2" localSheetId="15" hidden="1">{#N/A,#N/A,TRUE,"1842CWN0"}</definedName>
    <definedName name="DGFR_2" localSheetId="17" hidden="1">{#N/A,#N/A,TRUE,"1842CWN0"}</definedName>
    <definedName name="DGFR_2" localSheetId="19" hidden="1">{#N/A,#N/A,TRUE,"1842CWN0"}</definedName>
    <definedName name="DGFR_2" localSheetId="11" hidden="1">{#N/A,#N/A,TRUE,"1842CWN0"}</definedName>
    <definedName name="DGFR_2" localSheetId="14" hidden="1">{#N/A,#N/A,TRUE,"1842CWN0"}</definedName>
    <definedName name="DGFR_2" localSheetId="16" hidden="1">{#N/A,#N/A,TRUE,"1842CWN0"}</definedName>
    <definedName name="DGFR_2" localSheetId="18" hidden="1">{#N/A,#N/A,TRUE,"1842CWN0"}</definedName>
    <definedName name="DGFR_2" hidden="1">{#N/A,#N/A,TRUE,"1842CWN0"}</definedName>
    <definedName name="dgfsado" localSheetId="15"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8" hidden="1">{"TAB1",#N/A,TRUE,"GENERAL";"TAB2",#N/A,TRUE,"GENERAL";"TAB3",#N/A,TRUE,"GENERAL";"TAB4",#N/A,TRUE,"GENERAL";"TAB5",#N/A,TRUE,"GENERAL"}</definedName>
    <definedName name="dgfsado" hidden="1">{"TAB1",#N/A,TRUE,"GENERAL";"TAB2",#N/A,TRUE,"GENERAL";"TAB3",#N/A,TRUE,"GENERAL";"TAB4",#N/A,TRUE,"GENERAL";"TAB5",#N/A,TRUE,"GENERAL"}</definedName>
    <definedName name="DGGGHHJT" localSheetId="13" hidden="1">{#N/A,#N/A,TRUE,"INGENIERIA";#N/A,#N/A,TRUE,"COMPRAS";#N/A,#N/A,TRUE,"DIRECCION";#N/A,#N/A,TRUE,"RESUMEN"}</definedName>
    <definedName name="DGGGHHJT" localSheetId="15" hidden="1">{#N/A,#N/A,TRUE,"INGENIERIA";#N/A,#N/A,TRUE,"COMPRAS";#N/A,#N/A,TRUE,"DIRECCION";#N/A,#N/A,TRUE,"RESUMEN"}</definedName>
    <definedName name="DGGGHHJT" localSheetId="17" hidden="1">{#N/A,#N/A,TRUE,"INGENIERIA";#N/A,#N/A,TRUE,"COMPRAS";#N/A,#N/A,TRUE,"DIRECCION";#N/A,#N/A,TRUE,"RESUMEN"}</definedName>
    <definedName name="DGGGHHJT" localSheetId="19" hidden="1">{#N/A,#N/A,TRUE,"INGENIERIA";#N/A,#N/A,TRUE,"COMPRAS";#N/A,#N/A,TRUE,"DIRECCION";#N/A,#N/A,TRUE,"RESUMEN"}</definedName>
    <definedName name="DGGGHHJT" localSheetId="12" hidden="1">{#N/A,#N/A,TRUE,"INGENIERIA";#N/A,#N/A,TRUE,"COMPRAS";#N/A,#N/A,TRUE,"DIRECCION";#N/A,#N/A,TRUE,"RESUMEN"}</definedName>
    <definedName name="DGGGHHJT" localSheetId="8" hidden="1">{#N/A,#N/A,TRUE,"INGENIERIA";#N/A,#N/A,TRUE,"COMPRAS";#N/A,#N/A,TRUE,"DIRECCION";#N/A,#N/A,TRUE,"RESUMEN"}</definedName>
    <definedName name="DGGGHHJT" localSheetId="9" hidden="1">{#N/A,#N/A,TRUE,"INGENIERIA";#N/A,#N/A,TRUE,"COMPRAS";#N/A,#N/A,TRUE,"DIRECCION";#N/A,#N/A,TRUE,"RESUMEN"}</definedName>
    <definedName name="DGGGHHJT" localSheetId="7" hidden="1">{#N/A,#N/A,TRUE,"INGENIERIA";#N/A,#N/A,TRUE,"COMPRAS";#N/A,#N/A,TRUE,"DIRECCION";#N/A,#N/A,TRUE,"RESUMEN"}</definedName>
    <definedName name="DGGGHHJT" localSheetId="10" hidden="1">{#N/A,#N/A,TRUE,"INGENIERIA";#N/A,#N/A,TRUE,"COMPRAS";#N/A,#N/A,TRUE,"DIRECCION";#N/A,#N/A,TRUE,"RESUMEN"}</definedName>
    <definedName name="DGGGHHJT" localSheetId="0" hidden="1">{#N/A,#N/A,TRUE,"INGENIERIA";#N/A,#N/A,TRUE,"COMPRAS";#N/A,#N/A,TRUE,"DIRECCION";#N/A,#N/A,TRUE,"RESUMEN"}</definedName>
    <definedName name="DGGGHHJT" localSheetId="11" hidden="1">{#N/A,#N/A,TRUE,"INGENIERIA";#N/A,#N/A,TRUE,"COMPRAS";#N/A,#N/A,TRUE,"DIRECCION";#N/A,#N/A,TRUE,"RESUMEN"}</definedName>
    <definedName name="DGGGHHJT" localSheetId="6" hidden="1">{#N/A,#N/A,TRUE,"INGENIERIA";#N/A,#N/A,TRUE,"COMPRAS";#N/A,#N/A,TRUE,"DIRECCION";#N/A,#N/A,TRUE,"RESUMEN"}</definedName>
    <definedName name="DGGGHHJT" localSheetId="4" hidden="1">{#N/A,#N/A,TRUE,"INGENIERIA";#N/A,#N/A,TRUE,"COMPRAS";#N/A,#N/A,TRUE,"DIRECCION";#N/A,#N/A,TRUE,"RESUMEN"}</definedName>
    <definedName name="DGGGHHJT" localSheetId="1" hidden="1">{#N/A,#N/A,TRUE,"INGENIERIA";#N/A,#N/A,TRUE,"COMPRAS";#N/A,#N/A,TRUE,"DIRECCION";#N/A,#N/A,TRUE,"RESUMEN"}</definedName>
    <definedName name="DGGGHHJT" localSheetId="14" hidden="1">{#N/A,#N/A,TRUE,"INGENIERIA";#N/A,#N/A,TRUE,"COMPRAS";#N/A,#N/A,TRUE,"DIRECCION";#N/A,#N/A,TRUE,"RESUMEN"}</definedName>
    <definedName name="DGGGHHJT" localSheetId="16" hidden="1">{#N/A,#N/A,TRUE,"INGENIERIA";#N/A,#N/A,TRUE,"COMPRAS";#N/A,#N/A,TRUE,"DIRECCION";#N/A,#N/A,TRUE,"RESUMEN"}</definedName>
    <definedName name="DGGGHHJT" localSheetId="18" hidden="1">{#N/A,#N/A,TRUE,"INGENIERIA";#N/A,#N/A,TRUE,"COMPRAS";#N/A,#N/A,TRUE,"DIRECCION";#N/A,#N/A,TRUE,"RESUMEN"}</definedName>
    <definedName name="DGGGHHJT" localSheetId="5" hidden="1">{#N/A,#N/A,TRUE,"INGENIERIA";#N/A,#N/A,TRUE,"COMPRAS";#N/A,#N/A,TRUE,"DIRECCION";#N/A,#N/A,TRUE,"RESUMEN"}</definedName>
    <definedName name="DGGGHHJT" hidden="1">{#N/A,#N/A,TRUE,"INGENIERIA";#N/A,#N/A,TRUE,"COMPRAS";#N/A,#N/A,TRUE,"DIRECCION";#N/A,#N/A,TRUE,"RESUMEN"}</definedName>
    <definedName name="DGGGHHJT_1" localSheetId="15" hidden="1">{#N/A,#N/A,TRUE,"INGENIERIA";#N/A,#N/A,TRUE,"COMPRAS";#N/A,#N/A,TRUE,"DIRECCION";#N/A,#N/A,TRUE,"RESUMEN"}</definedName>
    <definedName name="DGGGHHJT_1" localSheetId="17" hidden="1">{#N/A,#N/A,TRUE,"INGENIERIA";#N/A,#N/A,TRUE,"COMPRAS";#N/A,#N/A,TRUE,"DIRECCION";#N/A,#N/A,TRUE,"RESUMEN"}</definedName>
    <definedName name="DGGGHHJT_1" localSheetId="19" hidden="1">{#N/A,#N/A,TRUE,"INGENIERIA";#N/A,#N/A,TRUE,"COMPRAS";#N/A,#N/A,TRUE,"DIRECCION";#N/A,#N/A,TRUE,"RESUMEN"}</definedName>
    <definedName name="DGGGHHJT_1" localSheetId="11" hidden="1">{#N/A,#N/A,TRUE,"INGENIERIA";#N/A,#N/A,TRUE,"COMPRAS";#N/A,#N/A,TRUE,"DIRECCION";#N/A,#N/A,TRUE,"RESUMEN"}</definedName>
    <definedName name="DGGGHHJT_1" localSheetId="14" hidden="1">{#N/A,#N/A,TRUE,"INGENIERIA";#N/A,#N/A,TRUE,"COMPRAS";#N/A,#N/A,TRUE,"DIRECCION";#N/A,#N/A,TRUE,"RESUMEN"}</definedName>
    <definedName name="DGGGHHJT_1" localSheetId="16" hidden="1">{#N/A,#N/A,TRUE,"INGENIERIA";#N/A,#N/A,TRUE,"COMPRAS";#N/A,#N/A,TRUE,"DIRECCION";#N/A,#N/A,TRUE,"RESUMEN"}</definedName>
    <definedName name="DGGGHHJT_1" localSheetId="18" hidden="1">{#N/A,#N/A,TRUE,"INGENIERIA";#N/A,#N/A,TRUE,"COMPRAS";#N/A,#N/A,TRUE,"DIRECCION";#N/A,#N/A,TRUE,"RESUMEN"}</definedName>
    <definedName name="DGGGHHJT_1" hidden="1">{#N/A,#N/A,TRUE,"INGENIERIA";#N/A,#N/A,TRUE,"COMPRAS";#N/A,#N/A,TRUE,"DIRECCION";#N/A,#N/A,TRUE,"RESUMEN"}</definedName>
    <definedName name="DGGGHHJT_2" localSheetId="15" hidden="1">{#N/A,#N/A,TRUE,"INGENIERIA";#N/A,#N/A,TRUE,"COMPRAS";#N/A,#N/A,TRUE,"DIRECCION";#N/A,#N/A,TRUE,"RESUMEN"}</definedName>
    <definedName name="DGGGHHJT_2" localSheetId="17" hidden="1">{#N/A,#N/A,TRUE,"INGENIERIA";#N/A,#N/A,TRUE,"COMPRAS";#N/A,#N/A,TRUE,"DIRECCION";#N/A,#N/A,TRUE,"RESUMEN"}</definedName>
    <definedName name="DGGGHHJT_2" localSheetId="19" hidden="1">{#N/A,#N/A,TRUE,"INGENIERIA";#N/A,#N/A,TRUE,"COMPRAS";#N/A,#N/A,TRUE,"DIRECCION";#N/A,#N/A,TRUE,"RESUMEN"}</definedName>
    <definedName name="DGGGHHJT_2" localSheetId="11" hidden="1">{#N/A,#N/A,TRUE,"INGENIERIA";#N/A,#N/A,TRUE,"COMPRAS";#N/A,#N/A,TRUE,"DIRECCION";#N/A,#N/A,TRUE,"RESUMEN"}</definedName>
    <definedName name="DGGGHHJT_2" localSheetId="14" hidden="1">{#N/A,#N/A,TRUE,"INGENIERIA";#N/A,#N/A,TRUE,"COMPRAS";#N/A,#N/A,TRUE,"DIRECCION";#N/A,#N/A,TRUE,"RESUMEN"}</definedName>
    <definedName name="DGGGHHJT_2" localSheetId="16" hidden="1">{#N/A,#N/A,TRUE,"INGENIERIA";#N/A,#N/A,TRUE,"COMPRAS";#N/A,#N/A,TRUE,"DIRECCION";#N/A,#N/A,TRUE,"RESUMEN"}</definedName>
    <definedName name="DGGGHHJT_2" localSheetId="18" hidden="1">{#N/A,#N/A,TRUE,"INGENIERIA";#N/A,#N/A,TRUE,"COMPRAS";#N/A,#N/A,TRUE,"DIRECCION";#N/A,#N/A,TRUE,"RESUMEN"}</definedName>
    <definedName name="DGGGHHJT_2" hidden="1">{#N/A,#N/A,TRUE,"INGENIERIA";#N/A,#N/A,TRUE,"COMPRAS";#N/A,#N/A,TRUE,"DIRECCION";#N/A,#N/A,TRUE,"RESUMEN"}</definedName>
    <definedName name="dgrdeb" localSheetId="15"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8" hidden="1">{"TAB1",#N/A,TRUE,"GENERAL";"TAB2",#N/A,TRUE,"GENERAL";"TAB3",#N/A,TRUE,"GENERAL";"TAB4",#N/A,TRUE,"GENERAL";"TAB5",#N/A,TRUE,"GENERAL"}</definedName>
    <definedName name="dgrdeb" hidden="1">{"TAB1",#N/A,TRUE,"GENERAL";"TAB2",#N/A,TRUE,"GENERAL";"TAB3",#N/A,TRUE,"GENERAL";"TAB4",#N/A,TRUE,"GENERAL";"TAB5",#N/A,TRUE,"GENERAL"}</definedName>
    <definedName name="dgreg" localSheetId="15" hidden="1">{"via1",#N/A,TRUE,"general";"via2",#N/A,TRUE,"general";"via3",#N/A,TRUE,"general"}</definedName>
    <definedName name="dgreg" localSheetId="17" hidden="1">{"via1",#N/A,TRUE,"general";"via2",#N/A,TRUE,"general";"via3",#N/A,TRUE,"general"}</definedName>
    <definedName name="dgreg" localSheetId="19" hidden="1">{"via1",#N/A,TRUE,"general";"via2",#N/A,TRUE,"general";"via3",#N/A,TRUE,"general"}</definedName>
    <definedName name="dgreg" localSheetId="12"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4" hidden="1">{"via1",#N/A,TRUE,"general";"via2",#N/A,TRUE,"general";"via3",#N/A,TRUE,"general"}</definedName>
    <definedName name="dgreg" localSheetId="1" hidden="1">{"via1",#N/A,TRUE,"general";"via2",#N/A,TRUE,"general";"via3",#N/A,TRUE,"general"}</definedName>
    <definedName name="dgreg" localSheetId="14" hidden="1">{"via1",#N/A,TRUE,"general";"via2",#N/A,TRUE,"general";"via3",#N/A,TRUE,"general"}</definedName>
    <definedName name="dgreg" localSheetId="16" hidden="1">{"via1",#N/A,TRUE,"general";"via2",#N/A,TRUE,"general";"via3",#N/A,TRUE,"general"}</definedName>
    <definedName name="dgreg" localSheetId="18" hidden="1">{"via1",#N/A,TRUE,"general";"via2",#N/A,TRUE,"general";"via3",#N/A,TRUE,"general"}</definedName>
    <definedName name="dgreg" hidden="1">{"via1",#N/A,TRUE,"general";"via2",#N/A,TRUE,"general";"via3",#N/A,TRUE,"general"}</definedName>
    <definedName name="DGRR" localSheetId="13" hidden="1">{#N/A,#N/A,TRUE,"INGENIERIA";#N/A,#N/A,TRUE,"COMPRAS";#N/A,#N/A,TRUE,"DIRECCION";#N/A,#N/A,TRUE,"RESUMEN"}</definedName>
    <definedName name="DGRR" localSheetId="15" hidden="1">{#N/A,#N/A,TRUE,"INGENIERIA";#N/A,#N/A,TRUE,"COMPRAS";#N/A,#N/A,TRUE,"DIRECCION";#N/A,#N/A,TRUE,"RESUMEN"}</definedName>
    <definedName name="DGRR" localSheetId="17" hidden="1">{#N/A,#N/A,TRUE,"INGENIERIA";#N/A,#N/A,TRUE,"COMPRAS";#N/A,#N/A,TRUE,"DIRECCION";#N/A,#N/A,TRUE,"RESUMEN"}</definedName>
    <definedName name="DGRR" localSheetId="19" hidden="1">{#N/A,#N/A,TRUE,"INGENIERIA";#N/A,#N/A,TRUE,"COMPRAS";#N/A,#N/A,TRUE,"DIRECCION";#N/A,#N/A,TRUE,"RESUMEN"}</definedName>
    <definedName name="DGRR" localSheetId="12" hidden="1">{#N/A,#N/A,TRUE,"INGENIERIA";#N/A,#N/A,TRUE,"COMPRAS";#N/A,#N/A,TRUE,"DIRECCION";#N/A,#N/A,TRUE,"RESUMEN"}</definedName>
    <definedName name="DGRR" localSheetId="8" hidden="1">{#N/A,#N/A,TRUE,"INGENIERIA";#N/A,#N/A,TRUE,"COMPRAS";#N/A,#N/A,TRUE,"DIRECCION";#N/A,#N/A,TRUE,"RESUMEN"}</definedName>
    <definedName name="DGRR" localSheetId="9" hidden="1">{#N/A,#N/A,TRUE,"INGENIERIA";#N/A,#N/A,TRUE,"COMPRAS";#N/A,#N/A,TRUE,"DIRECCION";#N/A,#N/A,TRUE,"RESUMEN"}</definedName>
    <definedName name="DGRR" localSheetId="7" hidden="1">{#N/A,#N/A,TRUE,"INGENIERIA";#N/A,#N/A,TRUE,"COMPRAS";#N/A,#N/A,TRUE,"DIRECCION";#N/A,#N/A,TRUE,"RESUMEN"}</definedName>
    <definedName name="DGRR" localSheetId="10" hidden="1">{#N/A,#N/A,TRUE,"INGENIERIA";#N/A,#N/A,TRUE,"COMPRAS";#N/A,#N/A,TRUE,"DIRECCION";#N/A,#N/A,TRUE,"RESUMEN"}</definedName>
    <definedName name="DGRR" localSheetId="0" hidden="1">{#N/A,#N/A,TRUE,"INGENIERIA";#N/A,#N/A,TRUE,"COMPRAS";#N/A,#N/A,TRUE,"DIRECCION";#N/A,#N/A,TRUE,"RESUMEN"}</definedName>
    <definedName name="DGRR" localSheetId="11" hidden="1">{#N/A,#N/A,TRUE,"INGENIERIA";#N/A,#N/A,TRUE,"COMPRAS";#N/A,#N/A,TRUE,"DIRECCION";#N/A,#N/A,TRUE,"RESUMEN"}</definedName>
    <definedName name="DGRR" localSheetId="6" hidden="1">{#N/A,#N/A,TRUE,"INGENIERIA";#N/A,#N/A,TRUE,"COMPRAS";#N/A,#N/A,TRUE,"DIRECCION";#N/A,#N/A,TRUE,"RESUMEN"}</definedName>
    <definedName name="DGRR" localSheetId="4" hidden="1">{#N/A,#N/A,TRUE,"INGENIERIA";#N/A,#N/A,TRUE,"COMPRAS";#N/A,#N/A,TRUE,"DIRECCION";#N/A,#N/A,TRUE,"RESUMEN"}</definedName>
    <definedName name="DGRR" localSheetId="1" hidden="1">{#N/A,#N/A,TRUE,"INGENIERIA";#N/A,#N/A,TRUE,"COMPRAS";#N/A,#N/A,TRUE,"DIRECCION";#N/A,#N/A,TRUE,"RESUMEN"}</definedName>
    <definedName name="DGRR" localSheetId="14" hidden="1">{#N/A,#N/A,TRUE,"INGENIERIA";#N/A,#N/A,TRUE,"COMPRAS";#N/A,#N/A,TRUE,"DIRECCION";#N/A,#N/A,TRUE,"RESUMEN"}</definedName>
    <definedName name="DGRR" localSheetId="16" hidden="1">{#N/A,#N/A,TRUE,"INGENIERIA";#N/A,#N/A,TRUE,"COMPRAS";#N/A,#N/A,TRUE,"DIRECCION";#N/A,#N/A,TRUE,"RESUMEN"}</definedName>
    <definedName name="DGRR" localSheetId="18" hidden="1">{#N/A,#N/A,TRUE,"INGENIERIA";#N/A,#N/A,TRUE,"COMPRAS";#N/A,#N/A,TRUE,"DIRECCION";#N/A,#N/A,TRUE,"RESUMEN"}</definedName>
    <definedName name="DGRR" localSheetId="5" hidden="1">{#N/A,#N/A,TRUE,"INGENIERIA";#N/A,#N/A,TRUE,"COMPRAS";#N/A,#N/A,TRUE,"DIRECCION";#N/A,#N/A,TRUE,"RESUMEN"}</definedName>
    <definedName name="DGRR" hidden="1">{#N/A,#N/A,TRUE,"INGENIERIA";#N/A,#N/A,TRUE,"COMPRAS";#N/A,#N/A,TRUE,"DIRECCION";#N/A,#N/A,TRUE,"RESUMEN"}</definedName>
    <definedName name="DGRR_1" localSheetId="15" hidden="1">{#N/A,#N/A,TRUE,"INGENIERIA";#N/A,#N/A,TRUE,"COMPRAS";#N/A,#N/A,TRUE,"DIRECCION";#N/A,#N/A,TRUE,"RESUMEN"}</definedName>
    <definedName name="DGRR_1" localSheetId="17" hidden="1">{#N/A,#N/A,TRUE,"INGENIERIA";#N/A,#N/A,TRUE,"COMPRAS";#N/A,#N/A,TRUE,"DIRECCION";#N/A,#N/A,TRUE,"RESUMEN"}</definedName>
    <definedName name="DGRR_1" localSheetId="19" hidden="1">{#N/A,#N/A,TRUE,"INGENIERIA";#N/A,#N/A,TRUE,"COMPRAS";#N/A,#N/A,TRUE,"DIRECCION";#N/A,#N/A,TRUE,"RESUMEN"}</definedName>
    <definedName name="DGRR_1" localSheetId="11" hidden="1">{#N/A,#N/A,TRUE,"INGENIERIA";#N/A,#N/A,TRUE,"COMPRAS";#N/A,#N/A,TRUE,"DIRECCION";#N/A,#N/A,TRUE,"RESUMEN"}</definedName>
    <definedName name="DGRR_1" localSheetId="14" hidden="1">{#N/A,#N/A,TRUE,"INGENIERIA";#N/A,#N/A,TRUE,"COMPRAS";#N/A,#N/A,TRUE,"DIRECCION";#N/A,#N/A,TRUE,"RESUMEN"}</definedName>
    <definedName name="DGRR_1" localSheetId="16" hidden="1">{#N/A,#N/A,TRUE,"INGENIERIA";#N/A,#N/A,TRUE,"COMPRAS";#N/A,#N/A,TRUE,"DIRECCION";#N/A,#N/A,TRUE,"RESUMEN"}</definedName>
    <definedName name="DGRR_1" localSheetId="18" hidden="1">{#N/A,#N/A,TRUE,"INGENIERIA";#N/A,#N/A,TRUE,"COMPRAS";#N/A,#N/A,TRUE,"DIRECCION";#N/A,#N/A,TRUE,"RESUMEN"}</definedName>
    <definedName name="DGRR_1" hidden="1">{#N/A,#N/A,TRUE,"INGENIERIA";#N/A,#N/A,TRUE,"COMPRAS";#N/A,#N/A,TRUE,"DIRECCION";#N/A,#N/A,TRUE,"RESUMEN"}</definedName>
    <definedName name="DGRR_2" localSheetId="15" hidden="1">{#N/A,#N/A,TRUE,"INGENIERIA";#N/A,#N/A,TRUE,"COMPRAS";#N/A,#N/A,TRUE,"DIRECCION";#N/A,#N/A,TRUE,"RESUMEN"}</definedName>
    <definedName name="DGRR_2" localSheetId="17" hidden="1">{#N/A,#N/A,TRUE,"INGENIERIA";#N/A,#N/A,TRUE,"COMPRAS";#N/A,#N/A,TRUE,"DIRECCION";#N/A,#N/A,TRUE,"RESUMEN"}</definedName>
    <definedName name="DGRR_2" localSheetId="19" hidden="1">{#N/A,#N/A,TRUE,"INGENIERIA";#N/A,#N/A,TRUE,"COMPRAS";#N/A,#N/A,TRUE,"DIRECCION";#N/A,#N/A,TRUE,"RESUMEN"}</definedName>
    <definedName name="DGRR_2" localSheetId="11" hidden="1">{#N/A,#N/A,TRUE,"INGENIERIA";#N/A,#N/A,TRUE,"COMPRAS";#N/A,#N/A,TRUE,"DIRECCION";#N/A,#N/A,TRUE,"RESUMEN"}</definedName>
    <definedName name="DGRR_2" localSheetId="14" hidden="1">{#N/A,#N/A,TRUE,"INGENIERIA";#N/A,#N/A,TRUE,"COMPRAS";#N/A,#N/A,TRUE,"DIRECCION";#N/A,#N/A,TRUE,"RESUMEN"}</definedName>
    <definedName name="DGRR_2" localSheetId="16" hidden="1">{#N/A,#N/A,TRUE,"INGENIERIA";#N/A,#N/A,TRUE,"COMPRAS";#N/A,#N/A,TRUE,"DIRECCION";#N/A,#N/A,TRUE,"RESUMEN"}</definedName>
    <definedName name="DGRR_2" localSheetId="18" hidden="1">{#N/A,#N/A,TRUE,"INGENIERIA";#N/A,#N/A,TRUE,"COMPRAS";#N/A,#N/A,TRUE,"DIRECCION";#N/A,#N/A,TRUE,"RESUMEN"}</definedName>
    <definedName name="DGRR_2" hidden="1">{#N/A,#N/A,TRUE,"INGENIERIA";#N/A,#N/A,TRUE,"COMPRAS";#N/A,#N/A,TRUE,"DIRECCION";#N/A,#N/A,TRUE,"RESUMEN"}</definedName>
    <definedName name="DH" localSheetId="15" hidden="1">{"via1",#N/A,TRUE,"general";"via2",#N/A,TRUE,"general";"via3",#N/A,TRUE,"general"}</definedName>
    <definedName name="DH" localSheetId="17" hidden="1">{"via1",#N/A,TRUE,"general";"via2",#N/A,TRUE,"general";"via3",#N/A,TRUE,"general"}</definedName>
    <definedName name="DH" localSheetId="19" hidden="1">{"via1",#N/A,TRUE,"general";"via2",#N/A,TRUE,"general";"via3",#N/A,TRUE,"general"}</definedName>
    <definedName name="DH" localSheetId="12"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4" hidden="1">{"via1",#N/A,TRUE,"general";"via2",#N/A,TRUE,"general";"via3",#N/A,TRUE,"general"}</definedName>
    <definedName name="DH" localSheetId="1" hidden="1">{"via1",#N/A,TRUE,"general";"via2",#N/A,TRUE,"general";"via3",#N/A,TRUE,"general"}</definedName>
    <definedName name="DH" localSheetId="14" hidden="1">{"via1",#N/A,TRUE,"general";"via2",#N/A,TRUE,"general";"via3",#N/A,TRUE,"general"}</definedName>
    <definedName name="DH" localSheetId="16" hidden="1">{"via1",#N/A,TRUE,"general";"via2",#N/A,TRUE,"general";"via3",#N/A,TRUE,"general"}</definedName>
    <definedName name="DH" localSheetId="18" hidden="1">{"via1",#N/A,TRUE,"general";"via2",#N/A,TRUE,"general";"via3",#N/A,TRUE,"general"}</definedName>
    <definedName name="DH" hidden="1">{"via1",#N/A,TRUE,"general";"via2",#N/A,TRUE,"general";"via3",#N/A,TRUE,"general"}</definedName>
    <definedName name="dhdth" localSheetId="15"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4" hidden="1">{"TAB1",#N/A,TRUE,"GENERAL";"TAB2",#N/A,TRUE,"GENERAL";"TAB3",#N/A,TRUE,"GENERAL";"TAB4",#N/A,TRUE,"GENERAL";"TAB5",#N/A,TRUE,"GENERAL"}</definedName>
    <definedName name="dhdth" localSheetId="1"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8" hidden="1">{"TAB1",#N/A,TRUE,"GENERAL";"TAB2",#N/A,TRUE,"GENERAL";"TAB3",#N/A,TRUE,"GENERAL";"TAB4",#N/A,TRUE,"GENERAL";"TAB5",#N/A,TRUE,"GENERAL"}</definedName>
    <definedName name="dhdth" hidden="1">{"TAB1",#N/A,TRUE,"GENERAL";"TAB2",#N/A,TRUE,"GENERAL";"TAB3",#N/A,TRUE,"GENERAL";"TAB4",#N/A,TRUE,"GENERAL";"TAB5",#N/A,TRUE,"GENERAL"}</definedName>
    <definedName name="dhgh" localSheetId="15" hidden="1">{"via1",#N/A,TRUE,"general";"via2",#N/A,TRUE,"general";"via3",#N/A,TRUE,"general"}</definedName>
    <definedName name="dhgh" localSheetId="17" hidden="1">{"via1",#N/A,TRUE,"general";"via2",#N/A,TRUE,"general";"via3",#N/A,TRUE,"general"}</definedName>
    <definedName name="dhgh" localSheetId="19" hidden="1">{"via1",#N/A,TRUE,"general";"via2",#N/A,TRUE,"general";"via3",#N/A,TRUE,"general"}</definedName>
    <definedName name="dhgh" localSheetId="12"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4" hidden="1">{"via1",#N/A,TRUE,"general";"via2",#N/A,TRUE,"general";"via3",#N/A,TRUE,"general"}</definedName>
    <definedName name="dhgh" localSheetId="1" hidden="1">{"via1",#N/A,TRUE,"general";"via2",#N/A,TRUE,"general";"via3",#N/A,TRUE,"general"}</definedName>
    <definedName name="dhgh" localSheetId="14" hidden="1">{"via1",#N/A,TRUE,"general";"via2",#N/A,TRUE,"general";"via3",#N/A,TRUE,"general"}</definedName>
    <definedName name="dhgh" localSheetId="16" hidden="1">{"via1",#N/A,TRUE,"general";"via2",#N/A,TRUE,"general";"via3",#N/A,TRUE,"general"}</definedName>
    <definedName name="dhgh" localSheetId="18" hidden="1">{"via1",#N/A,TRUE,"general";"via2",#N/A,TRUE,"general";"via3",#N/A,TRUE,"general"}</definedName>
    <definedName name="dhgh" hidden="1">{"via1",#N/A,TRUE,"general";"via2",#N/A,TRUE,"general";"via3",#N/A,TRUE,"general"}</definedName>
    <definedName name="DISTRIBUCION" localSheetId="15" hidden="1">{#N/A,#N/A,FALSE,"GRAFICO";#N/A,#N/A,FALSE,"CAJA (2)";#N/A,#N/A,FALSE,"TERCEROS-PROMEDIO";#N/A,#N/A,FALSE,"CAJA";#N/A,#N/A,FALSE,"INGRESOS1995-2003";#N/A,#N/A,FALSE,"GASTOS1995-2003"}</definedName>
    <definedName name="DISTRIBUCION" localSheetId="17" hidden="1">{#N/A,#N/A,FALSE,"GRAFICO";#N/A,#N/A,FALSE,"CAJA (2)";#N/A,#N/A,FALSE,"TERCEROS-PROMEDIO";#N/A,#N/A,FALSE,"CAJA";#N/A,#N/A,FALSE,"INGRESOS1995-2003";#N/A,#N/A,FALSE,"GASTOS1995-2003"}</definedName>
    <definedName name="DISTRIBUCION" localSheetId="19" hidden="1">{#N/A,#N/A,FALSE,"GRAFICO";#N/A,#N/A,FALSE,"CAJA (2)";#N/A,#N/A,FALSE,"TERCEROS-PROMEDIO";#N/A,#N/A,FALSE,"CAJA";#N/A,#N/A,FALSE,"INGRESOS1995-2003";#N/A,#N/A,FALSE,"GASTOS1995-2003"}</definedName>
    <definedName name="DISTRIBUCION" localSheetId="11" hidden="1">{#N/A,#N/A,FALSE,"GRAFICO";#N/A,#N/A,FALSE,"CAJA (2)";#N/A,#N/A,FALSE,"TERCEROS-PROMEDIO";#N/A,#N/A,FALSE,"CAJA";#N/A,#N/A,FALSE,"INGRESOS1995-2003";#N/A,#N/A,FALSE,"GASTOS1995-2003"}</definedName>
    <definedName name="DISTRIBUCION" localSheetId="14" hidden="1">{#N/A,#N/A,FALSE,"GRAFICO";#N/A,#N/A,FALSE,"CAJA (2)";#N/A,#N/A,FALSE,"TERCEROS-PROMEDIO";#N/A,#N/A,FALSE,"CAJA";#N/A,#N/A,FALSE,"INGRESOS1995-2003";#N/A,#N/A,FALSE,"GASTOS1995-2003"}</definedName>
    <definedName name="DISTRIBUCION" localSheetId="16" hidden="1">{#N/A,#N/A,FALSE,"GRAFICO";#N/A,#N/A,FALSE,"CAJA (2)";#N/A,#N/A,FALSE,"TERCEROS-PROMEDIO";#N/A,#N/A,FALSE,"CAJA";#N/A,#N/A,FALSE,"INGRESOS1995-2003";#N/A,#N/A,FALSE,"GASTOS1995-2003"}</definedName>
    <definedName name="DISTRIBUCION" localSheetId="18"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5"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8" hidden="1">{"TAB1",#N/A,TRUE,"GENERAL";"TAB2",#N/A,TRUE,"GENERAL";"TAB3",#N/A,TRUE,"GENERAL";"TAB4",#N/A,TRUE,"GENERAL";"TAB5",#N/A,TRUE,"GENERAL"}</definedName>
    <definedName name="djdytj" hidden="1">{"TAB1",#N/A,TRUE,"GENERAL";"TAB2",#N/A,TRUE,"GENERAL";"TAB3",#N/A,TRUE,"GENERAL";"TAB4",#N/A,TRUE,"GENERAL";"TAB5",#N/A,TRUE,"GENERAL"}</definedName>
    <definedName name="dry" localSheetId="15" hidden="1">{"via1",#N/A,TRUE,"general";"via2",#N/A,TRUE,"general";"via3",#N/A,TRUE,"general"}</definedName>
    <definedName name="dry" localSheetId="17" hidden="1">{"via1",#N/A,TRUE,"general";"via2",#N/A,TRUE,"general";"via3",#N/A,TRUE,"general"}</definedName>
    <definedName name="dry" localSheetId="19" hidden="1">{"via1",#N/A,TRUE,"general";"via2",#N/A,TRUE,"general";"via3",#N/A,TRUE,"general"}</definedName>
    <definedName name="dry" localSheetId="12"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4" hidden="1">{"via1",#N/A,TRUE,"general";"via2",#N/A,TRUE,"general";"via3",#N/A,TRUE,"general"}</definedName>
    <definedName name="dry" localSheetId="1" hidden="1">{"via1",#N/A,TRUE,"general";"via2",#N/A,TRUE,"general";"via3",#N/A,TRUE,"general"}</definedName>
    <definedName name="dry" localSheetId="14" hidden="1">{"via1",#N/A,TRUE,"general";"via2",#N/A,TRUE,"general";"via3",#N/A,TRUE,"general"}</definedName>
    <definedName name="dry" localSheetId="16" hidden="1">{"via1",#N/A,TRUE,"general";"via2",#N/A,TRUE,"general";"via3",#N/A,TRUE,"general"}</definedName>
    <definedName name="dry" localSheetId="18" hidden="1">{"via1",#N/A,TRUE,"general";"via2",#N/A,TRUE,"general";"via3",#N/A,TRUE,"general"}</definedName>
    <definedName name="dry" hidden="1">{"via1",#N/A,TRUE,"general";"via2",#N/A,TRUE,"general";"via3",#N/A,TRUE,"general"}</definedName>
    <definedName name="ds" hidden="1">#REF!</definedName>
    <definedName name="DSAD" localSheetId="15" hidden="1">{"via1",#N/A,TRUE,"general";"via2",#N/A,TRUE,"general";"via3",#N/A,TRUE,"general"}</definedName>
    <definedName name="DSAD" localSheetId="17" hidden="1">{"via1",#N/A,TRUE,"general";"via2",#N/A,TRUE,"general";"via3",#N/A,TRUE,"general"}</definedName>
    <definedName name="DSAD" localSheetId="19" hidden="1">{"via1",#N/A,TRUE,"general";"via2",#N/A,TRUE,"general";"via3",#N/A,TRUE,"general"}</definedName>
    <definedName name="DSAD" localSheetId="12"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4" hidden="1">{"via1",#N/A,TRUE,"general";"via2",#N/A,TRUE,"general";"via3",#N/A,TRUE,"general"}</definedName>
    <definedName name="DSAD" localSheetId="1" hidden="1">{"via1",#N/A,TRUE,"general";"via2",#N/A,TRUE,"general";"via3",#N/A,TRUE,"general"}</definedName>
    <definedName name="DSAD" localSheetId="14" hidden="1">{"via1",#N/A,TRUE,"general";"via2",#N/A,TRUE,"general";"via3",#N/A,TRUE,"general"}</definedName>
    <definedName name="DSAD" localSheetId="16" hidden="1">{"via1",#N/A,TRUE,"general";"via2",#N/A,TRUE,"general";"via3",#N/A,TRUE,"general"}</definedName>
    <definedName name="DSAD" localSheetId="18" hidden="1">{"via1",#N/A,TRUE,"general";"via2",#N/A,TRUE,"general";"via3",#N/A,TRUE,"general"}</definedName>
    <definedName name="DSAD" hidden="1">{"via1",#N/A,TRUE,"general";"via2",#N/A,TRUE,"general";"via3",#N/A,TRUE,"general"}</definedName>
    <definedName name="dsadfp" localSheetId="15"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8" hidden="1">{"TAB1",#N/A,TRUE,"GENERAL";"TAB2",#N/A,TRUE,"GENERAL";"TAB3",#N/A,TRUE,"GENERAL";"TAB4",#N/A,TRUE,"GENERAL";"TAB5",#N/A,TRUE,"GENERAL"}</definedName>
    <definedName name="dsadfp" hidden="1">{"TAB1",#N/A,TRUE,"GENERAL";"TAB2",#N/A,TRUE,"GENERAL";"TAB3",#N/A,TRUE,"GENERAL";"TAB4",#N/A,TRUE,"GENERAL";"TAB5",#N/A,TRUE,"GENERAL"}</definedName>
    <definedName name="DSD" localSheetId="15" hidden="1">{"via1",#N/A,TRUE,"general";"via2",#N/A,TRUE,"general";"via3",#N/A,TRUE,"general"}</definedName>
    <definedName name="DSD" localSheetId="17" hidden="1">{"via1",#N/A,TRUE,"general";"via2",#N/A,TRUE,"general";"via3",#N/A,TRUE,"general"}</definedName>
    <definedName name="DSD" localSheetId="19" hidden="1">{"via1",#N/A,TRUE,"general";"via2",#N/A,TRUE,"general";"via3",#N/A,TRUE,"general"}</definedName>
    <definedName name="DSD" localSheetId="12"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4" hidden="1">{"via1",#N/A,TRUE,"general";"via2",#N/A,TRUE,"general";"via3",#N/A,TRUE,"general"}</definedName>
    <definedName name="DSD" localSheetId="1" hidden="1">{"via1",#N/A,TRUE,"general";"via2",#N/A,TRUE,"general";"via3",#N/A,TRUE,"general"}</definedName>
    <definedName name="DSD" localSheetId="14" hidden="1">{"via1",#N/A,TRUE,"general";"via2",#N/A,TRUE,"general";"via3",#N/A,TRUE,"general"}</definedName>
    <definedName name="DSD" localSheetId="16" hidden="1">{"via1",#N/A,TRUE,"general";"via2",#N/A,TRUE,"general";"via3",#N/A,TRUE,"general"}</definedName>
    <definedName name="DSD" localSheetId="18" hidden="1">{"via1",#N/A,TRUE,"general";"via2",#N/A,TRUE,"general";"via3",#N/A,TRUE,"general"}</definedName>
    <definedName name="DSD" hidden="1">{"via1",#N/A,TRUE,"general";"via2",#N/A,TRUE,"general";"via3",#N/A,TRUE,"general"}</definedName>
    <definedName name="dsdads4" localSheetId="15"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8" hidden="1">{"TAB1",#N/A,TRUE,"GENERAL";"TAB2",#N/A,TRUE,"GENERAL";"TAB3",#N/A,TRUE,"GENERAL";"TAB4",#N/A,TRUE,"GENERAL";"TAB5",#N/A,TRUE,"GENERAL"}</definedName>
    <definedName name="dsdads4" hidden="1">{"TAB1",#N/A,TRUE,"GENERAL";"TAB2",#N/A,TRUE,"GENERAL";"TAB3",#N/A,TRUE,"GENERAL";"TAB4",#N/A,TRUE,"GENERAL";"TAB5",#N/A,TRUE,"GENERAL"}</definedName>
    <definedName name="DSF" localSheetId="15" hidden="1">{"via1",#N/A,TRUE,"general";"via2",#N/A,TRUE,"general";"via3",#N/A,TRUE,"general"}</definedName>
    <definedName name="DSF" localSheetId="17" hidden="1">{"via1",#N/A,TRUE,"general";"via2",#N/A,TRUE,"general";"via3",#N/A,TRUE,"general"}</definedName>
    <definedName name="DSF" localSheetId="19" hidden="1">{"via1",#N/A,TRUE,"general";"via2",#N/A,TRUE,"general";"via3",#N/A,TRUE,"general"}</definedName>
    <definedName name="DSF" localSheetId="12"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4" hidden="1">{"via1",#N/A,TRUE,"general";"via2",#N/A,TRUE,"general";"via3",#N/A,TRUE,"general"}</definedName>
    <definedName name="DSF" localSheetId="1" hidden="1">{"via1",#N/A,TRUE,"general";"via2",#N/A,TRUE,"general";"via3",#N/A,TRUE,"general"}</definedName>
    <definedName name="DSF" localSheetId="14" hidden="1">{"via1",#N/A,TRUE,"general";"via2",#N/A,TRUE,"general";"via3",#N/A,TRUE,"general"}</definedName>
    <definedName name="DSF" localSheetId="16" hidden="1">{"via1",#N/A,TRUE,"general";"via2",#N/A,TRUE,"general";"via3",#N/A,TRUE,"general"}</definedName>
    <definedName name="DSF" localSheetId="18" hidden="1">{"via1",#N/A,TRUE,"general";"via2",#N/A,TRUE,"general";"via3",#N/A,TRUE,"general"}</definedName>
    <definedName name="DSF" hidden="1">{"via1",#N/A,TRUE,"general";"via2",#N/A,TRUE,"general";"via3",#N/A,TRUE,"general"}</definedName>
    <definedName name="DSFCVTY" localSheetId="15"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8" hidden="1">{"TAB1",#N/A,TRUE,"GENERAL";"TAB2",#N/A,TRUE,"GENERAL";"TAB3",#N/A,TRUE,"GENERAL";"TAB4",#N/A,TRUE,"GENERAL";"TAB5",#N/A,TRUE,"GENERAL"}</definedName>
    <definedName name="DSFCVTY" hidden="1">{"TAB1",#N/A,TRUE,"GENERAL";"TAB2",#N/A,TRUE,"GENERAL";"TAB3",#N/A,TRUE,"GENERAL";"TAB4",#N/A,TRUE,"GENERAL";"TAB5",#N/A,TRUE,"GENERAL"}</definedName>
    <definedName name="dsfg" localSheetId="15" hidden="1">{"via1",#N/A,TRUE,"general";"via2",#N/A,TRUE,"general";"via3",#N/A,TRUE,"general"}</definedName>
    <definedName name="dsfg" localSheetId="17" hidden="1">{"via1",#N/A,TRUE,"general";"via2",#N/A,TRUE,"general";"via3",#N/A,TRUE,"general"}</definedName>
    <definedName name="dsfg" localSheetId="19" hidden="1">{"via1",#N/A,TRUE,"general";"via2",#N/A,TRUE,"general";"via3",#N/A,TRUE,"general"}</definedName>
    <definedName name="dsfg" localSheetId="12"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4" hidden="1">{"via1",#N/A,TRUE,"general";"via2",#N/A,TRUE,"general";"via3",#N/A,TRUE,"general"}</definedName>
    <definedName name="dsfg" localSheetId="1" hidden="1">{"via1",#N/A,TRUE,"general";"via2",#N/A,TRUE,"general";"via3",#N/A,TRUE,"general"}</definedName>
    <definedName name="dsfg" localSheetId="14" hidden="1">{"via1",#N/A,TRUE,"general";"via2",#N/A,TRUE,"general";"via3",#N/A,TRUE,"general"}</definedName>
    <definedName name="dsfg" localSheetId="16" hidden="1">{"via1",#N/A,TRUE,"general";"via2",#N/A,TRUE,"general";"via3",#N/A,TRUE,"general"}</definedName>
    <definedName name="dsfg" localSheetId="18" hidden="1">{"via1",#N/A,TRUE,"general";"via2",#N/A,TRUE,"general";"via3",#N/A,TRUE,"general"}</definedName>
    <definedName name="dsfg" hidden="1">{"via1",#N/A,TRUE,"general";"via2",#N/A,TRUE,"general";"via3",#N/A,TRUE,"general"}</definedName>
    <definedName name="dsfhgfdh" localSheetId="15"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8" hidden="1">{"TAB1",#N/A,TRUE,"GENERAL";"TAB2",#N/A,TRUE,"GENERAL";"TAB3",#N/A,TRUE,"GENERAL";"TAB4",#N/A,TRUE,"GENERAL";"TAB5",#N/A,TRUE,"GENERAL"}</definedName>
    <definedName name="dsfhgfdh" hidden="1">{"TAB1",#N/A,TRUE,"GENERAL";"TAB2",#N/A,TRUE,"GENERAL";"TAB3",#N/A,TRUE,"GENERAL";"TAB4",#N/A,TRUE,"GENERAL";"TAB5",#N/A,TRUE,"GENERAL"}</definedName>
    <definedName name="dsfsdf" localSheetId="15" hidden="1">{"via1",#N/A,TRUE,"general";"via2",#N/A,TRUE,"general";"via3",#N/A,TRUE,"general"}</definedName>
    <definedName name="dsfsdf" localSheetId="17" hidden="1">{"via1",#N/A,TRUE,"general";"via2",#N/A,TRUE,"general";"via3",#N/A,TRUE,"general"}</definedName>
    <definedName name="dsfsdf" localSheetId="19" hidden="1">{"via1",#N/A,TRUE,"general";"via2",#N/A,TRUE,"general";"via3",#N/A,TRUE,"general"}</definedName>
    <definedName name="dsfsdf" localSheetId="12"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4" hidden="1">{"via1",#N/A,TRUE,"general";"via2",#N/A,TRUE,"general";"via3",#N/A,TRUE,"general"}</definedName>
    <definedName name="dsfsdf" localSheetId="1" hidden="1">{"via1",#N/A,TRUE,"general";"via2",#N/A,TRUE,"general";"via3",#N/A,TRUE,"general"}</definedName>
    <definedName name="dsfsdf" localSheetId="14" hidden="1">{"via1",#N/A,TRUE,"general";"via2",#N/A,TRUE,"general";"via3",#N/A,TRUE,"general"}</definedName>
    <definedName name="dsfsdf" localSheetId="16" hidden="1">{"via1",#N/A,TRUE,"general";"via2",#N/A,TRUE,"general";"via3",#N/A,TRUE,"general"}</definedName>
    <definedName name="dsfsdf" localSheetId="18" hidden="1">{"via1",#N/A,TRUE,"general";"via2",#N/A,TRUE,"general";"via3",#N/A,TRUE,"general"}</definedName>
    <definedName name="dsfsdf" hidden="1">{"via1",#N/A,TRUE,"general";"via2",#N/A,TRUE,"general";"via3",#N/A,TRUE,"general"}</definedName>
    <definedName name="DSFSDFCXV" localSheetId="15"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8" hidden="1">{"TAB1",#N/A,TRUE,"GENERAL";"TAB2",#N/A,TRUE,"GENERAL";"TAB3",#N/A,TRUE,"GENERAL";"TAB4",#N/A,TRUE,"GENERAL";"TAB5",#N/A,TRUE,"GENERAL"}</definedName>
    <definedName name="DSFSDFCXV"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8" hidden="1">{"TAB1",#N/A,TRUE,"GENERAL";"TAB2",#N/A,TRUE,"GENERAL";"TAB3",#N/A,TRUE,"GENERAL";"TAB4",#N/A,TRUE,"GENERAL";"TAB5",#N/A,TRUE,"GENERAL"}</definedName>
    <definedName name="dsfsvm" hidden="1">{"TAB1",#N/A,TRUE,"GENERAL";"TAB2",#N/A,TRUE,"GENERAL";"TAB3",#N/A,TRUE,"GENERAL";"TAB4",#N/A,TRUE,"GENERAL";"TAB5",#N/A,TRUE,"GENERAL"}</definedName>
    <definedName name="dsftbv" localSheetId="15" hidden="1">{"via1",#N/A,TRUE,"general";"via2",#N/A,TRUE,"general";"via3",#N/A,TRUE,"general"}</definedName>
    <definedName name="dsftbv" localSheetId="17" hidden="1">{"via1",#N/A,TRUE,"general";"via2",#N/A,TRUE,"general";"via3",#N/A,TRUE,"general"}</definedName>
    <definedName name="dsftbv" localSheetId="19" hidden="1">{"via1",#N/A,TRUE,"general";"via2",#N/A,TRUE,"general";"via3",#N/A,TRUE,"general"}</definedName>
    <definedName name="dsftbv" localSheetId="12"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4" hidden="1">{"via1",#N/A,TRUE,"general";"via2",#N/A,TRUE,"general";"via3",#N/A,TRUE,"general"}</definedName>
    <definedName name="dsftbv" localSheetId="1" hidden="1">{"via1",#N/A,TRUE,"general";"via2",#N/A,TRUE,"general";"via3",#N/A,TRUE,"general"}</definedName>
    <definedName name="dsftbv" localSheetId="14" hidden="1">{"via1",#N/A,TRUE,"general";"via2",#N/A,TRUE,"general";"via3",#N/A,TRUE,"general"}</definedName>
    <definedName name="dsftbv" localSheetId="16" hidden="1">{"via1",#N/A,TRUE,"general";"via2",#N/A,TRUE,"general";"via3",#N/A,TRUE,"general"}</definedName>
    <definedName name="dsftbv" localSheetId="18" hidden="1">{"via1",#N/A,TRUE,"general";"via2",#N/A,TRUE,"general";"via3",#N/A,TRUE,"general"}</definedName>
    <definedName name="dsftbv" hidden="1">{"via1",#N/A,TRUE,"general";"via2",#N/A,TRUE,"general";"via3",#N/A,TRUE,"general"}</definedName>
    <definedName name="dtrhj" localSheetId="15" hidden="1">{"via1",#N/A,TRUE,"general";"via2",#N/A,TRUE,"general";"via3",#N/A,TRUE,"general"}</definedName>
    <definedName name="dtrhj" localSheetId="17" hidden="1">{"via1",#N/A,TRUE,"general";"via2",#N/A,TRUE,"general";"via3",#N/A,TRUE,"general"}</definedName>
    <definedName name="dtrhj" localSheetId="19" hidden="1">{"via1",#N/A,TRUE,"general";"via2",#N/A,TRUE,"general";"via3",#N/A,TRUE,"general"}</definedName>
    <definedName name="dtrhj" localSheetId="12"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4" hidden="1">{"via1",#N/A,TRUE,"general";"via2",#N/A,TRUE,"general";"via3",#N/A,TRUE,"general"}</definedName>
    <definedName name="dtrhj" localSheetId="1" hidden="1">{"via1",#N/A,TRUE,"general";"via2",#N/A,TRUE,"general";"via3",#N/A,TRUE,"general"}</definedName>
    <definedName name="dtrhj" localSheetId="14" hidden="1">{"via1",#N/A,TRUE,"general";"via2",#N/A,TRUE,"general";"via3",#N/A,TRUE,"general"}</definedName>
    <definedName name="dtrhj" localSheetId="16" hidden="1">{"via1",#N/A,TRUE,"general";"via2",#N/A,TRUE,"general";"via3",#N/A,TRUE,"general"}</definedName>
    <definedName name="dtrhj" localSheetId="18" hidden="1">{"via1",#N/A,TRUE,"general";"via2",#N/A,TRUE,"general";"via3",#N/A,TRUE,"general"}</definedName>
    <definedName name="dtrhj" hidden="1">{"via1",#N/A,TRUE,"general";"via2",#N/A,TRUE,"general";"via3",#N/A,TRUE,"general"}</definedName>
    <definedName name="DWPRICE" localSheetId="13" hidden="1">#REF!</definedName>
    <definedName name="DWPRICE" localSheetId="15" hidden="1">#REF!</definedName>
    <definedName name="DWPRICE" localSheetId="17" hidden="1">#REF!</definedName>
    <definedName name="DWPRICE" localSheetId="19" hidden="1">#REF!</definedName>
    <definedName name="DWPRICE" localSheetId="12" hidden="1">#REF!</definedName>
    <definedName name="DWPRICE" localSheetId="8" hidden="1">#REF!</definedName>
    <definedName name="DWPRICE" localSheetId="9" hidden="1">#REF!</definedName>
    <definedName name="DWPRICE" localSheetId="7" hidden="1">#REF!</definedName>
    <definedName name="DWPRICE" localSheetId="10" hidden="1">#REF!</definedName>
    <definedName name="DWPRICE" localSheetId="0" hidden="1">#REF!</definedName>
    <definedName name="DWPRICE" localSheetId="6" hidden="1">#REF!</definedName>
    <definedName name="DWPRICE" localSheetId="4" hidden="1">#REF!</definedName>
    <definedName name="DWPRICE" localSheetId="1" hidden="1">#REF!</definedName>
    <definedName name="DWPRICE" localSheetId="14" hidden="1">#REF!</definedName>
    <definedName name="DWPRICE" localSheetId="16" hidden="1">#REF!</definedName>
    <definedName name="DWPRICE" localSheetId="18" hidden="1">#REF!</definedName>
    <definedName name="DWPRICE" localSheetId="5" hidden="1">#REF!</definedName>
    <definedName name="DWPRICE" hidden="1">#REF!</definedName>
    <definedName name="dxfgg" localSheetId="15" hidden="1">{"via1",#N/A,TRUE,"general";"via2",#N/A,TRUE,"general";"via3",#N/A,TRUE,"general"}</definedName>
    <definedName name="dxfgg" localSheetId="17" hidden="1">{"via1",#N/A,TRUE,"general";"via2",#N/A,TRUE,"general";"via3",#N/A,TRUE,"general"}</definedName>
    <definedName name="dxfgg" localSheetId="19" hidden="1">{"via1",#N/A,TRUE,"general";"via2",#N/A,TRUE,"general";"via3",#N/A,TRUE,"general"}</definedName>
    <definedName name="dxfgg" localSheetId="12"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4" hidden="1">{"via1",#N/A,TRUE,"general";"via2",#N/A,TRUE,"general";"via3",#N/A,TRUE,"general"}</definedName>
    <definedName name="dxfgg" localSheetId="1" hidden="1">{"via1",#N/A,TRUE,"general";"via2",#N/A,TRUE,"general";"via3",#N/A,TRUE,"general"}</definedName>
    <definedName name="dxfgg" localSheetId="14" hidden="1">{"via1",#N/A,TRUE,"general";"via2",#N/A,TRUE,"general";"via3",#N/A,TRUE,"general"}</definedName>
    <definedName name="dxfgg" localSheetId="16" hidden="1">{"via1",#N/A,TRUE,"general";"via2",#N/A,TRUE,"general";"via3",#N/A,TRUE,"general"}</definedName>
    <definedName name="dxfgg" localSheetId="18" hidden="1">{"via1",#N/A,TRUE,"general";"via2",#N/A,TRUE,"general";"via3",#N/A,TRUE,"general"}</definedName>
    <definedName name="dxfgg" hidden="1">{"via1",#N/A,TRUE,"general";"via2",#N/A,TRUE,"general";"via3",#N/A,TRUE,"general"}</definedName>
    <definedName name="e3e33" localSheetId="15" hidden="1">{"via1",#N/A,TRUE,"general";"via2",#N/A,TRUE,"general";"via3",#N/A,TRUE,"general"}</definedName>
    <definedName name="e3e33" localSheetId="17" hidden="1">{"via1",#N/A,TRUE,"general";"via2",#N/A,TRUE,"general";"via3",#N/A,TRUE,"general"}</definedName>
    <definedName name="e3e33" localSheetId="19" hidden="1">{"via1",#N/A,TRUE,"general";"via2",#N/A,TRUE,"general";"via3",#N/A,TRUE,"general"}</definedName>
    <definedName name="e3e33" localSheetId="12"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4" hidden="1">{"via1",#N/A,TRUE,"general";"via2",#N/A,TRUE,"general";"via3",#N/A,TRUE,"general"}</definedName>
    <definedName name="e3e33" localSheetId="1" hidden="1">{"via1",#N/A,TRUE,"general";"via2",#N/A,TRUE,"general";"via3",#N/A,TRUE,"general"}</definedName>
    <definedName name="e3e33" localSheetId="14" hidden="1">{"via1",#N/A,TRUE,"general";"via2",#N/A,TRUE,"general";"via3",#N/A,TRUE,"general"}</definedName>
    <definedName name="e3e33" localSheetId="16" hidden="1">{"via1",#N/A,TRUE,"general";"via2",#N/A,TRUE,"general";"via3",#N/A,TRUE,"general"}</definedName>
    <definedName name="e3e33" localSheetId="18" hidden="1">{"via1",#N/A,TRUE,"general";"via2",#N/A,TRUE,"general";"via3",#N/A,TRUE,"general"}</definedName>
    <definedName name="e3e33" hidden="1">{"via1",#N/A,TRUE,"general";"via2",#N/A,TRUE,"general";"via3",#N/A,TRUE,"general"}</definedName>
    <definedName name="Ebitda" localSheetId="15" hidden="1">{#N/A,#N/A,FALSE,"GRAFICO";#N/A,#N/A,FALSE,"CAJA (2)";#N/A,#N/A,FALSE,"TERCEROS-PROMEDIO";#N/A,#N/A,FALSE,"CAJA";#N/A,#N/A,FALSE,"INGRESOS1995-2003";#N/A,#N/A,FALSE,"GASTOS1995-2003"}</definedName>
    <definedName name="Ebitda" localSheetId="17" hidden="1">{#N/A,#N/A,FALSE,"GRAFICO";#N/A,#N/A,FALSE,"CAJA (2)";#N/A,#N/A,FALSE,"TERCEROS-PROMEDIO";#N/A,#N/A,FALSE,"CAJA";#N/A,#N/A,FALSE,"INGRESOS1995-2003";#N/A,#N/A,FALSE,"GASTOS1995-2003"}</definedName>
    <definedName name="Ebitda" localSheetId="19" hidden="1">{#N/A,#N/A,FALSE,"GRAFICO";#N/A,#N/A,FALSE,"CAJA (2)";#N/A,#N/A,FALSE,"TERCEROS-PROMEDIO";#N/A,#N/A,FALSE,"CAJA";#N/A,#N/A,FALSE,"INGRESOS1995-2003";#N/A,#N/A,FALSE,"GASTOS1995-2003"}</definedName>
    <definedName name="Ebitda" localSheetId="11" hidden="1">{#N/A,#N/A,FALSE,"GRAFICO";#N/A,#N/A,FALSE,"CAJA (2)";#N/A,#N/A,FALSE,"TERCEROS-PROMEDIO";#N/A,#N/A,FALSE,"CAJA";#N/A,#N/A,FALSE,"INGRESOS1995-2003";#N/A,#N/A,FALSE,"GASTOS1995-2003"}</definedName>
    <definedName name="Ebitda" localSheetId="14" hidden="1">{#N/A,#N/A,FALSE,"GRAFICO";#N/A,#N/A,FALSE,"CAJA (2)";#N/A,#N/A,FALSE,"TERCEROS-PROMEDIO";#N/A,#N/A,FALSE,"CAJA";#N/A,#N/A,FALSE,"INGRESOS1995-2003";#N/A,#N/A,FALSE,"GASTOS1995-2003"}</definedName>
    <definedName name="Ebitda" localSheetId="16" hidden="1">{#N/A,#N/A,FALSE,"GRAFICO";#N/A,#N/A,FALSE,"CAJA (2)";#N/A,#N/A,FALSE,"TERCEROS-PROMEDIO";#N/A,#N/A,FALSE,"CAJA";#N/A,#N/A,FALSE,"INGRESOS1995-2003";#N/A,#N/A,FALSE,"GASTOS1995-2003"}</definedName>
    <definedName name="Ebitda" localSheetId="18"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15"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8" hidden="1">{"TAB1",#N/A,TRUE,"GENERAL";"TAB2",#N/A,TRUE,"GENERAL";"TAB3",#N/A,TRUE,"GENERAL";"TAB4",#N/A,TRUE,"GENERAL";"TAB5",#N/A,TRUE,"GENERAL"}</definedName>
    <definedName name="EDEDWSWQA" hidden="1">{"TAB1",#N/A,TRUE,"GENERAL";"TAB2",#N/A,TRUE,"GENERAL";"TAB3",#N/A,TRUE,"GENERAL";"TAB4",#N/A,TRUE,"GENERAL";"TAB5",#N/A,TRUE,"GENERAL"}</definedName>
    <definedName name="edgfhmn" localSheetId="15" hidden="1">{"via1",#N/A,TRUE,"general";"via2",#N/A,TRUE,"general";"via3",#N/A,TRUE,"general"}</definedName>
    <definedName name="edgfhmn" localSheetId="17" hidden="1">{"via1",#N/A,TRUE,"general";"via2",#N/A,TRUE,"general";"via3",#N/A,TRUE,"general"}</definedName>
    <definedName name="edgfhmn" localSheetId="19" hidden="1">{"via1",#N/A,TRUE,"general";"via2",#N/A,TRUE,"general";"via3",#N/A,TRUE,"general"}</definedName>
    <definedName name="edgfhmn" localSheetId="12"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4" hidden="1">{"via1",#N/A,TRUE,"general";"via2",#N/A,TRUE,"general";"via3",#N/A,TRUE,"general"}</definedName>
    <definedName name="edgfhmn" localSheetId="1" hidden="1">{"via1",#N/A,TRUE,"general";"via2",#N/A,TRUE,"general";"via3",#N/A,TRUE,"general"}</definedName>
    <definedName name="edgfhmn" localSheetId="14" hidden="1">{"via1",#N/A,TRUE,"general";"via2",#N/A,TRUE,"general";"via3",#N/A,TRUE,"general"}</definedName>
    <definedName name="edgfhmn" localSheetId="16" hidden="1">{"via1",#N/A,TRUE,"general";"via2",#N/A,TRUE,"general";"via3",#N/A,TRUE,"general"}</definedName>
    <definedName name="edgfhmn" localSheetId="18" hidden="1">{"via1",#N/A,TRUE,"general";"via2",#N/A,TRUE,"general";"via3",#N/A,TRUE,"general"}</definedName>
    <definedName name="edgfhmn" hidden="1">{"via1",#N/A,TRUE,"general";"via2",#N/A,TRUE,"general";"via3",#N/A,TRUE,"general"}</definedName>
    <definedName name="EE" hidden="1">#REF!</definedName>
    <definedName name="eeedfr" localSheetId="15"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8" hidden="1">{"TAB1",#N/A,TRUE,"GENERAL";"TAB2",#N/A,TRUE,"GENERAL";"TAB3",#N/A,TRUE,"GENERAL";"TAB4",#N/A,TRUE,"GENERAL";"TAB5",#N/A,TRUE,"GENERAL"}</definedName>
    <definedName name="eeedfr"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8" hidden="1">{"TAB1",#N/A,TRUE,"GENERAL";"TAB2",#N/A,TRUE,"GENERAL";"TAB3",#N/A,TRUE,"GENERAL";"TAB4",#N/A,TRUE,"GENERAL";"TAB5",#N/A,TRUE,"GENERAL"}</definedName>
    <definedName name="eeeeer" hidden="1">{"TAB1",#N/A,TRUE,"GENERAL";"TAB2",#N/A,TRUE,"GENERAL";"TAB3",#N/A,TRUE,"GENERAL";"TAB4",#N/A,TRUE,"GENERAL";"TAB5",#N/A,TRUE,"GENERAL"}</definedName>
    <definedName name="eeerfd" localSheetId="15" hidden="1">{"via1",#N/A,TRUE,"general";"via2",#N/A,TRUE,"general";"via3",#N/A,TRUE,"general"}</definedName>
    <definedName name="eeerfd" localSheetId="17" hidden="1">{"via1",#N/A,TRUE,"general";"via2",#N/A,TRUE,"general";"via3",#N/A,TRUE,"general"}</definedName>
    <definedName name="eeerfd" localSheetId="19" hidden="1">{"via1",#N/A,TRUE,"general";"via2",#N/A,TRUE,"general";"via3",#N/A,TRUE,"general"}</definedName>
    <definedName name="eeerfd" localSheetId="12"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4" hidden="1">{"via1",#N/A,TRUE,"general";"via2",#N/A,TRUE,"general";"via3",#N/A,TRUE,"general"}</definedName>
    <definedName name="eeerfd" localSheetId="1" hidden="1">{"via1",#N/A,TRUE,"general";"via2",#N/A,TRUE,"general";"via3",#N/A,TRUE,"general"}</definedName>
    <definedName name="eeerfd" localSheetId="14" hidden="1">{"via1",#N/A,TRUE,"general";"via2",#N/A,TRUE,"general";"via3",#N/A,TRUE,"general"}</definedName>
    <definedName name="eeerfd" localSheetId="16" hidden="1">{"via1",#N/A,TRUE,"general";"via2",#N/A,TRUE,"general";"via3",#N/A,TRUE,"general"}</definedName>
    <definedName name="eeerfd" localSheetId="18" hidden="1">{"via1",#N/A,TRUE,"general";"via2",#N/A,TRUE,"general";"via3",#N/A,TRUE,"general"}</definedName>
    <definedName name="eeerfd" hidden="1">{"via1",#N/A,TRUE,"general";"via2",#N/A,TRUE,"general";"via3",#N/A,TRUE,"general"}</definedName>
    <definedName name="efef" localSheetId="15" hidden="1">{"TAB1",#N/A,TRUE,"GENERAL";"TAB2",#N/A,TRUE,"GENERAL";"TAB3",#N/A,TRUE,"GENERAL";"TAB4",#N/A,TRUE,"GENERAL";"TAB5",#N/A,TRUE,"GENERAL"}</definedName>
    <definedName name="efef" localSheetId="17" hidden="1">{"TAB1",#N/A,TRUE,"GENERAL";"TAB2",#N/A,TRUE,"GENERAL";"TAB3",#N/A,TRUE,"GENERAL";"TAB4",#N/A,TRUE,"GENERAL";"TAB5",#N/A,TRUE,"GENERAL"}</definedName>
    <definedName name="efef" localSheetId="19" hidden="1">{"TAB1",#N/A,TRUE,"GENERAL";"TAB2",#N/A,TRUE,"GENERAL";"TAB3",#N/A,TRUE,"GENERAL";"TAB4",#N/A,TRUE,"GENERAL";"TAB5",#N/A,TRUE,"GENERAL"}</definedName>
    <definedName name="efef" localSheetId="12"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4" hidden="1">{"TAB1",#N/A,TRUE,"GENERAL";"TAB2",#N/A,TRUE,"GENERAL";"TAB3",#N/A,TRUE,"GENERAL";"TAB4",#N/A,TRUE,"GENERAL";"TAB5",#N/A,TRUE,"GENERAL"}</definedName>
    <definedName name="efef" localSheetId="1" hidden="1">{"TAB1",#N/A,TRUE,"GENERAL";"TAB2",#N/A,TRUE,"GENERAL";"TAB3",#N/A,TRUE,"GENERAL";"TAB4",#N/A,TRUE,"GENERAL";"TAB5",#N/A,TRUE,"GENERAL"}</definedName>
    <definedName name="efef" localSheetId="14" hidden="1">{"TAB1",#N/A,TRUE,"GENERAL";"TAB2",#N/A,TRUE,"GENERAL";"TAB3",#N/A,TRUE,"GENERAL";"TAB4",#N/A,TRUE,"GENERAL";"TAB5",#N/A,TRUE,"GENERAL"}</definedName>
    <definedName name="efef" localSheetId="16" hidden="1">{"TAB1",#N/A,TRUE,"GENERAL";"TAB2",#N/A,TRUE,"GENERAL";"TAB3",#N/A,TRUE,"GENERAL";"TAB4",#N/A,TRUE,"GENERAL";"TAB5",#N/A,TRUE,"GENERAL"}</definedName>
    <definedName name="efef" localSheetId="18" hidden="1">{"TAB1",#N/A,TRUE,"GENERAL";"TAB2",#N/A,TRUE,"GENERAL";"TAB3",#N/A,TRUE,"GENERAL";"TAB4",#N/A,TRUE,"GENERAL";"TAB5",#N/A,TRUE,"GENERAL"}</definedName>
    <definedName name="efef" hidden="1">{"TAB1",#N/A,TRUE,"GENERAL";"TAB2",#N/A,TRUE,"GENERAL";"TAB3",#N/A,TRUE,"GENERAL";"TAB4",#N/A,TRUE,"GENERAL";"TAB5",#N/A,TRUE,"GENERAL"}</definedName>
    <definedName name="efer" localSheetId="15" hidden="1">{"via1",#N/A,TRUE,"general";"via2",#N/A,TRUE,"general";"via3",#N/A,TRUE,"general"}</definedName>
    <definedName name="efer" localSheetId="17" hidden="1">{"via1",#N/A,TRUE,"general";"via2",#N/A,TRUE,"general";"via3",#N/A,TRUE,"general"}</definedName>
    <definedName name="efer" localSheetId="19" hidden="1">{"via1",#N/A,TRUE,"general";"via2",#N/A,TRUE,"general";"via3",#N/A,TRUE,"general"}</definedName>
    <definedName name="efer" localSheetId="12"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4" hidden="1">{"via1",#N/A,TRUE,"general";"via2",#N/A,TRUE,"general";"via3",#N/A,TRUE,"general"}</definedName>
    <definedName name="efer" localSheetId="1" hidden="1">{"via1",#N/A,TRUE,"general";"via2",#N/A,TRUE,"general";"via3",#N/A,TRUE,"general"}</definedName>
    <definedName name="efer" localSheetId="14" hidden="1">{"via1",#N/A,TRUE,"general";"via2",#N/A,TRUE,"general";"via3",#N/A,TRUE,"general"}</definedName>
    <definedName name="efer" localSheetId="16" hidden="1">{"via1",#N/A,TRUE,"general";"via2",#N/A,TRUE,"general";"via3",#N/A,TRUE,"general"}</definedName>
    <definedName name="efer" localSheetId="18" hidden="1">{"via1",#N/A,TRUE,"general";"via2",#N/A,TRUE,"general";"via3",#N/A,TRUE,"general"}</definedName>
    <definedName name="efer" hidden="1">{"via1",#N/A,TRUE,"general";"via2",#N/A,TRUE,"general";"via3",#N/A,TRUE,"general"}</definedName>
    <definedName name="egeg" localSheetId="15" hidden="1">{"TAB1",#N/A,TRUE,"GENERAL";"TAB2",#N/A,TRUE,"GENERAL";"TAB3",#N/A,TRUE,"GENERAL";"TAB4",#N/A,TRUE,"GENERAL";"TAB5",#N/A,TRUE,"GENERAL"}</definedName>
    <definedName name="egeg" localSheetId="17" hidden="1">{"TAB1",#N/A,TRUE,"GENERAL";"TAB2",#N/A,TRUE,"GENERAL";"TAB3",#N/A,TRUE,"GENERAL";"TAB4",#N/A,TRUE,"GENERAL";"TAB5",#N/A,TRUE,"GENERAL"}</definedName>
    <definedName name="egeg" localSheetId="19" hidden="1">{"TAB1",#N/A,TRUE,"GENERAL";"TAB2",#N/A,TRUE,"GENERAL";"TAB3",#N/A,TRUE,"GENERAL";"TAB4",#N/A,TRUE,"GENERAL";"TAB5",#N/A,TRUE,"GENERAL"}</definedName>
    <definedName name="egeg" localSheetId="12"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4" hidden="1">{"TAB1",#N/A,TRUE,"GENERAL";"TAB2",#N/A,TRUE,"GENERAL";"TAB3",#N/A,TRUE,"GENERAL";"TAB4",#N/A,TRUE,"GENERAL";"TAB5",#N/A,TRUE,"GENERAL"}</definedName>
    <definedName name="egeg" localSheetId="1" hidden="1">{"TAB1",#N/A,TRUE,"GENERAL";"TAB2",#N/A,TRUE,"GENERAL";"TAB3",#N/A,TRUE,"GENERAL";"TAB4",#N/A,TRUE,"GENERAL";"TAB5",#N/A,TRUE,"GENERAL"}</definedName>
    <definedName name="egeg" localSheetId="14" hidden="1">{"TAB1",#N/A,TRUE,"GENERAL";"TAB2",#N/A,TRUE,"GENERAL";"TAB3",#N/A,TRUE,"GENERAL";"TAB4",#N/A,TRUE,"GENERAL";"TAB5",#N/A,TRUE,"GENERAL"}</definedName>
    <definedName name="egeg" localSheetId="16" hidden="1">{"TAB1",#N/A,TRUE,"GENERAL";"TAB2",#N/A,TRUE,"GENERAL";"TAB3",#N/A,TRUE,"GENERAL";"TAB4",#N/A,TRUE,"GENERAL";"TAB5",#N/A,TRUE,"GENERAL"}</definedName>
    <definedName name="egeg" localSheetId="18" hidden="1">{"TAB1",#N/A,TRUE,"GENERAL";"TAB2",#N/A,TRUE,"GENERAL";"TAB3",#N/A,TRUE,"GENERAL";"TAB4",#N/A,TRUE,"GENERAL";"TAB5",#N/A,TRUE,"GENERAL"}</definedName>
    <definedName name="egeg"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8" hidden="1">{"TAB1",#N/A,TRUE,"GENERAL";"TAB2",#N/A,TRUE,"GENERAL";"TAB3",#N/A,TRUE,"GENERAL";"TAB4",#N/A,TRUE,"GENERAL";"TAB5",#N/A,TRUE,"GENERAL"}</definedName>
    <definedName name="egtrgthrt" hidden="1">{"TAB1",#N/A,TRUE,"GENERAL";"TAB2",#N/A,TRUE,"GENERAL";"TAB3",#N/A,TRUE,"GENERAL";"TAB4",#N/A,TRUE,"GENERAL";"TAB5",#N/A,TRUE,"GENERAL"}</definedName>
    <definedName name="Ensayo" localSheetId="15" hidden="1">{"AURES1",#N/A,TRUE,"GENERAL";"AURES2",#N/A,TRUE,"GENERAL";"AURES3",#N/A,TRUE,"GENERAL";"AURES4",#N/A,TRUE,"GENERAL";"AURES5",#N/A,TRUE,"GENERAL";"AURES6",#N/A,TRUE,"GENERAL";"AURES7",#N/A,TRUE,"GENERAL"}</definedName>
    <definedName name="Ensayo" localSheetId="17" hidden="1">{"AURES1",#N/A,TRUE,"GENERAL";"AURES2",#N/A,TRUE,"GENERAL";"AURES3",#N/A,TRUE,"GENERAL";"AURES4",#N/A,TRUE,"GENERAL";"AURES5",#N/A,TRUE,"GENERAL";"AURES6",#N/A,TRUE,"GENERAL";"AURES7",#N/A,TRUE,"GENERAL"}</definedName>
    <definedName name="Ensayo" localSheetId="19" hidden="1">{"AURES1",#N/A,TRUE,"GENERAL";"AURES2",#N/A,TRUE,"GENERAL";"AURES3",#N/A,TRUE,"GENERAL";"AURES4",#N/A,TRUE,"GENERAL";"AURES5",#N/A,TRUE,"GENERAL";"AURES6",#N/A,TRUE,"GENERAL";"AURES7",#N/A,TRUE,"GENERAL"}</definedName>
    <definedName name="Ensayo" localSheetId="11" hidden="1">{"AURES1",#N/A,TRUE,"GENERAL";"AURES2",#N/A,TRUE,"GENERAL";"AURES3",#N/A,TRUE,"GENERAL";"AURES4",#N/A,TRUE,"GENERAL";"AURES5",#N/A,TRUE,"GENERAL";"AURES6",#N/A,TRUE,"GENERAL";"AURES7",#N/A,TRUE,"GENERAL"}</definedName>
    <definedName name="Ensayo" localSheetId="14" hidden="1">{"AURES1",#N/A,TRUE,"GENERAL";"AURES2",#N/A,TRUE,"GENERAL";"AURES3",#N/A,TRUE,"GENERAL";"AURES4",#N/A,TRUE,"GENERAL";"AURES5",#N/A,TRUE,"GENERAL";"AURES6",#N/A,TRUE,"GENERAL";"AURES7",#N/A,TRUE,"GENERAL"}</definedName>
    <definedName name="Ensayo" localSheetId="16" hidden="1">{"AURES1",#N/A,TRUE,"GENERAL";"AURES2",#N/A,TRUE,"GENERAL";"AURES3",#N/A,TRUE,"GENERAL";"AURES4",#N/A,TRUE,"GENERAL";"AURES5",#N/A,TRUE,"GENERAL";"AURES6",#N/A,TRUE,"GENERAL";"AURES7",#N/A,TRUE,"GENERAL"}</definedName>
    <definedName name="Ensayo" localSheetId="18"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qw" localSheetId="15" hidden="1">{"via1",#N/A,TRUE,"general";"via2",#N/A,TRUE,"general";"via3",#N/A,TRUE,"general"}</definedName>
    <definedName name="eqw" localSheetId="17" hidden="1">{"via1",#N/A,TRUE,"general";"via2",#N/A,TRUE,"general";"via3",#N/A,TRUE,"general"}</definedName>
    <definedName name="eqw" localSheetId="19" hidden="1">{"via1",#N/A,TRUE,"general";"via2",#N/A,TRUE,"general";"via3",#N/A,TRUE,"general"}</definedName>
    <definedName name="eqw" localSheetId="12"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4" hidden="1">{"via1",#N/A,TRUE,"general";"via2",#N/A,TRUE,"general";"via3",#N/A,TRUE,"general"}</definedName>
    <definedName name="eqw" localSheetId="1" hidden="1">{"via1",#N/A,TRUE,"general";"via2",#N/A,TRUE,"general";"via3",#N/A,TRUE,"general"}</definedName>
    <definedName name="eqw" localSheetId="14" hidden="1">{"via1",#N/A,TRUE,"general";"via2",#N/A,TRUE,"general";"via3",#N/A,TRUE,"general"}</definedName>
    <definedName name="eqw" localSheetId="16" hidden="1">{"via1",#N/A,TRUE,"general";"via2",#N/A,TRUE,"general";"via3",#N/A,TRUE,"general"}</definedName>
    <definedName name="eqw" localSheetId="18" hidden="1">{"via1",#N/A,TRUE,"general";"via2",#N/A,TRUE,"general";"via3",#N/A,TRUE,"general"}</definedName>
    <definedName name="eqw" hidden="1">{"via1",#N/A,TRUE,"general";"via2",#N/A,TRUE,"general";"via3",#N/A,TRUE,"general"}</definedName>
    <definedName name="erfg" localSheetId="12" hidden="1">{#N/A,#N/A,FALSE,"Hoja1";#N/A,#N/A,FALSE,"Hoja2"}</definedName>
    <definedName name="erfg" localSheetId="8" hidden="1">{#N/A,#N/A,FALSE,"Hoja1";#N/A,#N/A,FALSE,"Hoja2"}</definedName>
    <definedName name="erfg" localSheetId="9" hidden="1">{#N/A,#N/A,FALSE,"Hoja1";#N/A,#N/A,FALSE,"Hoja2"}</definedName>
    <definedName name="erfg" localSheetId="7" hidden="1">{#N/A,#N/A,FALSE,"Hoja1";#N/A,#N/A,FALSE,"Hoja2"}</definedName>
    <definedName name="erfg" localSheetId="10" hidden="1">{#N/A,#N/A,FALSE,"Hoja1";#N/A,#N/A,FALSE,"Hoja2"}</definedName>
    <definedName name="erfg" localSheetId="1" hidden="1">{#N/A,#N/A,FALSE,"Hoja1";#N/A,#N/A,FALSE,"Hoja2"}</definedName>
    <definedName name="erfg" hidden="1">{#N/A,#N/A,FALSE,"Hoja1";#N/A,#N/A,FALSE,"Hoja2"}</definedName>
    <definedName name="erg" localSheetId="15" hidden="1">{"TAB1",#N/A,TRUE,"GENERAL";"TAB2",#N/A,TRUE,"GENERAL";"TAB3",#N/A,TRUE,"GENERAL";"TAB4",#N/A,TRUE,"GENERAL";"TAB5",#N/A,TRUE,"GENERAL"}</definedName>
    <definedName name="erg" localSheetId="17" hidden="1">{"TAB1",#N/A,TRUE,"GENERAL";"TAB2",#N/A,TRUE,"GENERAL";"TAB3",#N/A,TRUE,"GENERAL";"TAB4",#N/A,TRUE,"GENERAL";"TAB5",#N/A,TRUE,"GENERAL"}</definedName>
    <definedName name="erg" localSheetId="19" hidden="1">{"TAB1",#N/A,TRUE,"GENERAL";"TAB2",#N/A,TRUE,"GENERAL";"TAB3",#N/A,TRUE,"GENERAL";"TAB4",#N/A,TRUE,"GENERAL";"TAB5",#N/A,TRUE,"GENERAL"}</definedName>
    <definedName name="erg" localSheetId="12"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4" hidden="1">{"TAB1",#N/A,TRUE,"GENERAL";"TAB2",#N/A,TRUE,"GENERAL";"TAB3",#N/A,TRUE,"GENERAL";"TAB4",#N/A,TRUE,"GENERAL";"TAB5",#N/A,TRUE,"GENERAL"}</definedName>
    <definedName name="erg" localSheetId="1" hidden="1">{"TAB1",#N/A,TRUE,"GENERAL";"TAB2",#N/A,TRUE,"GENERAL";"TAB3",#N/A,TRUE,"GENERAL";"TAB4",#N/A,TRUE,"GENERAL";"TAB5",#N/A,TRUE,"GENERAL"}</definedName>
    <definedName name="erg" localSheetId="14" hidden="1">{"TAB1",#N/A,TRUE,"GENERAL";"TAB2",#N/A,TRUE,"GENERAL";"TAB3",#N/A,TRUE,"GENERAL";"TAB4",#N/A,TRUE,"GENERAL";"TAB5",#N/A,TRUE,"GENERAL"}</definedName>
    <definedName name="erg" localSheetId="16" hidden="1">{"TAB1",#N/A,TRUE,"GENERAL";"TAB2",#N/A,TRUE,"GENERAL";"TAB3",#N/A,TRUE,"GENERAL";"TAB4",#N/A,TRUE,"GENERAL";"TAB5",#N/A,TRUE,"GENERAL"}</definedName>
    <definedName name="erg" localSheetId="18" hidden="1">{"TAB1",#N/A,TRUE,"GENERAL";"TAB2",#N/A,TRUE,"GENERAL";"TAB3",#N/A,TRUE,"GENERAL";"TAB4",#N/A,TRUE,"GENERAL";"TAB5",#N/A,TRUE,"GENERAL"}</definedName>
    <definedName name="erg" hidden="1">{"TAB1",#N/A,TRUE,"GENERAL";"TAB2",#N/A,TRUE,"GENERAL";"TAB3",#N/A,TRUE,"GENERAL";"TAB4",#N/A,TRUE,"GENERAL";"TAB5",#N/A,TRUE,"GENERAL"}</definedName>
    <definedName name="erger" localSheetId="15" hidden="1">{"via1",#N/A,TRUE,"general";"via2",#N/A,TRUE,"general";"via3",#N/A,TRUE,"general"}</definedName>
    <definedName name="erger" localSheetId="17" hidden="1">{"via1",#N/A,TRUE,"general";"via2",#N/A,TRUE,"general";"via3",#N/A,TRUE,"general"}</definedName>
    <definedName name="erger" localSheetId="19" hidden="1">{"via1",#N/A,TRUE,"general";"via2",#N/A,TRUE,"general";"via3",#N/A,TRUE,"general"}</definedName>
    <definedName name="erger" localSheetId="12"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4" hidden="1">{"via1",#N/A,TRUE,"general";"via2",#N/A,TRUE,"general";"via3",#N/A,TRUE,"general"}</definedName>
    <definedName name="erger" localSheetId="1" hidden="1">{"via1",#N/A,TRUE,"general";"via2",#N/A,TRUE,"general";"via3",#N/A,TRUE,"general"}</definedName>
    <definedName name="erger" localSheetId="14" hidden="1">{"via1",#N/A,TRUE,"general";"via2",#N/A,TRUE,"general";"via3",#N/A,TRUE,"general"}</definedName>
    <definedName name="erger" localSheetId="16" hidden="1">{"via1",#N/A,TRUE,"general";"via2",#N/A,TRUE,"general";"via3",#N/A,TRUE,"general"}</definedName>
    <definedName name="erger" localSheetId="18" hidden="1">{"via1",#N/A,TRUE,"general";"via2",#N/A,TRUE,"general";"via3",#N/A,TRUE,"general"}</definedName>
    <definedName name="erger" hidden="1">{"via1",#N/A,TRUE,"general";"via2",#N/A,TRUE,"general";"via3",#N/A,TRUE,"general"}</definedName>
    <definedName name="ergerg" localSheetId="15" hidden="1">{"via1",#N/A,TRUE,"general";"via2",#N/A,TRUE,"general";"via3",#N/A,TRUE,"general"}</definedName>
    <definedName name="ergerg" localSheetId="17" hidden="1">{"via1",#N/A,TRUE,"general";"via2",#N/A,TRUE,"general";"via3",#N/A,TRUE,"general"}</definedName>
    <definedName name="ergerg" localSheetId="19" hidden="1">{"via1",#N/A,TRUE,"general";"via2",#N/A,TRUE,"general";"via3",#N/A,TRUE,"general"}</definedName>
    <definedName name="ergerg" localSheetId="12"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4" hidden="1">{"via1",#N/A,TRUE,"general";"via2",#N/A,TRUE,"general";"via3",#N/A,TRUE,"general"}</definedName>
    <definedName name="ergerg" localSheetId="1" hidden="1">{"via1",#N/A,TRUE,"general";"via2",#N/A,TRUE,"general";"via3",#N/A,TRUE,"general"}</definedName>
    <definedName name="ergerg" localSheetId="14" hidden="1">{"via1",#N/A,TRUE,"general";"via2",#N/A,TRUE,"general";"via3",#N/A,TRUE,"general"}</definedName>
    <definedName name="ergerg" localSheetId="16" hidden="1">{"via1",#N/A,TRUE,"general";"via2",#N/A,TRUE,"general";"via3",#N/A,TRUE,"general"}</definedName>
    <definedName name="ergerg" localSheetId="18" hidden="1">{"via1",#N/A,TRUE,"general";"via2",#N/A,TRUE,"general";"via3",#N/A,TRUE,"general"}</definedName>
    <definedName name="ergerg" hidden="1">{"via1",#N/A,TRUE,"general";"via2",#N/A,TRUE,"general";"via3",#N/A,TRUE,"general"}</definedName>
    <definedName name="ergfegr" localSheetId="15" hidden="1">{"via1",#N/A,TRUE,"general";"via2",#N/A,TRUE,"general";"via3",#N/A,TRUE,"general"}</definedName>
    <definedName name="ergfegr" localSheetId="17" hidden="1">{"via1",#N/A,TRUE,"general";"via2",#N/A,TRUE,"general";"via3",#N/A,TRUE,"general"}</definedName>
    <definedName name="ergfegr" localSheetId="19" hidden="1">{"via1",#N/A,TRUE,"general";"via2",#N/A,TRUE,"general";"via3",#N/A,TRUE,"general"}</definedName>
    <definedName name="ergfegr" localSheetId="12"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4" hidden="1">{"via1",#N/A,TRUE,"general";"via2",#N/A,TRUE,"general";"via3",#N/A,TRUE,"general"}</definedName>
    <definedName name="ergfegr" localSheetId="1" hidden="1">{"via1",#N/A,TRUE,"general";"via2",#N/A,TRUE,"general";"via3",#N/A,TRUE,"general"}</definedName>
    <definedName name="ergfegr" localSheetId="14" hidden="1">{"via1",#N/A,TRUE,"general";"via2",#N/A,TRUE,"general";"via3",#N/A,TRUE,"general"}</definedName>
    <definedName name="ergfegr" localSheetId="16" hidden="1">{"via1",#N/A,TRUE,"general";"via2",#N/A,TRUE,"general";"via3",#N/A,TRUE,"general"}</definedName>
    <definedName name="ergfegr" localSheetId="18" hidden="1">{"via1",#N/A,TRUE,"general";"via2",#N/A,TRUE,"general";"via3",#N/A,TRUE,"general"}</definedName>
    <definedName name="ergfegr" hidden="1">{"via1",#N/A,TRUE,"general";"via2",#N/A,TRUE,"general";"via3",#N/A,TRUE,"general"}</definedName>
    <definedName name="ergge" localSheetId="15"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4" hidden="1">{"TAB1",#N/A,TRUE,"GENERAL";"TAB2",#N/A,TRUE,"GENERAL";"TAB3",#N/A,TRUE,"GENERAL";"TAB4",#N/A,TRUE,"GENERAL";"TAB5",#N/A,TRUE,"GENERAL"}</definedName>
    <definedName name="ergge" localSheetId="1"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8" hidden="1">{"TAB1",#N/A,TRUE,"GENERAL";"TAB2",#N/A,TRUE,"GENERAL";"TAB3",#N/A,TRUE,"GENERAL";"TAB4",#N/A,TRUE,"GENERAL";"TAB5",#N/A,TRUE,"GENERAL"}</definedName>
    <definedName name="ergge" hidden="1">{"TAB1",#N/A,TRUE,"GENERAL";"TAB2",#N/A,TRUE,"GENERAL";"TAB3",#N/A,TRUE,"GENERAL";"TAB4",#N/A,TRUE,"GENERAL";"TAB5",#N/A,TRUE,"GENERAL"}</definedName>
    <definedName name="erggewg" localSheetId="15" hidden="1">{"via1",#N/A,TRUE,"general";"via2",#N/A,TRUE,"general";"via3",#N/A,TRUE,"general"}</definedName>
    <definedName name="erggewg" localSheetId="17" hidden="1">{"via1",#N/A,TRUE,"general";"via2",#N/A,TRUE,"general";"via3",#N/A,TRUE,"general"}</definedName>
    <definedName name="erggewg" localSheetId="19" hidden="1">{"via1",#N/A,TRUE,"general";"via2",#N/A,TRUE,"general";"via3",#N/A,TRUE,"general"}</definedName>
    <definedName name="erggewg" localSheetId="12"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4" hidden="1">{"via1",#N/A,TRUE,"general";"via2",#N/A,TRUE,"general";"via3",#N/A,TRUE,"general"}</definedName>
    <definedName name="erggewg" localSheetId="1" hidden="1">{"via1",#N/A,TRUE,"general";"via2",#N/A,TRUE,"general";"via3",#N/A,TRUE,"general"}</definedName>
    <definedName name="erggewg" localSheetId="14" hidden="1">{"via1",#N/A,TRUE,"general";"via2",#N/A,TRUE,"general";"via3",#N/A,TRUE,"general"}</definedName>
    <definedName name="erggewg" localSheetId="16" hidden="1">{"via1",#N/A,TRUE,"general";"via2",#N/A,TRUE,"general";"via3",#N/A,TRUE,"general"}</definedName>
    <definedName name="erggewg" localSheetId="18" hidden="1">{"via1",#N/A,TRUE,"general";"via2",#N/A,TRUE,"general";"via3",#N/A,TRUE,"general"}</definedName>
    <definedName name="erggewg" hidden="1">{"via1",#N/A,TRUE,"general";"via2",#N/A,TRUE,"general";"via3",#N/A,TRUE,"general"}</definedName>
    <definedName name="ergreg" localSheetId="15"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8" hidden="1">{"TAB1",#N/A,TRUE,"GENERAL";"TAB2",#N/A,TRUE,"GENERAL";"TAB3",#N/A,TRUE,"GENERAL";"TAB4",#N/A,TRUE,"GENERAL";"TAB5",#N/A,TRUE,"GENERAL"}</definedName>
    <definedName name="ergreg" hidden="1">{"TAB1",#N/A,TRUE,"GENERAL";"TAB2",#N/A,TRUE,"GENERAL";"TAB3",#N/A,TRUE,"GENERAL";"TAB4",#N/A,TRUE,"GENERAL";"TAB5",#N/A,TRUE,"GENERAL"}</definedName>
    <definedName name="ergregerg" localSheetId="15" hidden="1">{"via1",#N/A,TRUE,"general";"via2",#N/A,TRUE,"general";"via3",#N/A,TRUE,"general"}</definedName>
    <definedName name="ergregerg" localSheetId="17" hidden="1">{"via1",#N/A,TRUE,"general";"via2",#N/A,TRUE,"general";"via3",#N/A,TRUE,"general"}</definedName>
    <definedName name="ergregerg" localSheetId="19" hidden="1">{"via1",#N/A,TRUE,"general";"via2",#N/A,TRUE,"general";"via3",#N/A,TRUE,"general"}</definedName>
    <definedName name="ergregerg" localSheetId="12"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4" hidden="1">{"via1",#N/A,TRUE,"general";"via2",#N/A,TRUE,"general";"via3",#N/A,TRUE,"general"}</definedName>
    <definedName name="ergregerg" localSheetId="1" hidden="1">{"via1",#N/A,TRUE,"general";"via2",#N/A,TRUE,"general";"via3",#N/A,TRUE,"general"}</definedName>
    <definedName name="ergregerg" localSheetId="14" hidden="1">{"via1",#N/A,TRUE,"general";"via2",#N/A,TRUE,"general";"via3",#N/A,TRUE,"general"}</definedName>
    <definedName name="ergregerg" localSheetId="16" hidden="1">{"via1",#N/A,TRUE,"general";"via2",#N/A,TRUE,"general";"via3",#N/A,TRUE,"general"}</definedName>
    <definedName name="ergregerg" localSheetId="18" hidden="1">{"via1",#N/A,TRUE,"general";"via2",#N/A,TRUE,"general";"via3",#N/A,TRUE,"general"}</definedName>
    <definedName name="ergregerg" hidden="1">{"via1",#N/A,TRUE,"general";"via2",#N/A,TRUE,"general";"via3",#N/A,TRUE,"general"}</definedName>
    <definedName name="ergrg" localSheetId="15"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4" hidden="1">{"TAB1",#N/A,TRUE,"GENERAL";"TAB2",#N/A,TRUE,"GENERAL";"TAB3",#N/A,TRUE,"GENERAL";"TAB4",#N/A,TRUE,"GENERAL";"TAB5",#N/A,TRUE,"GENERAL"}</definedName>
    <definedName name="ergrg" localSheetId="1"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8" hidden="1">{"TAB1",#N/A,TRUE,"GENERAL";"TAB2",#N/A,TRUE,"GENERAL";"TAB3",#N/A,TRUE,"GENERAL";"TAB4",#N/A,TRUE,"GENERAL";"TAB5",#N/A,TRUE,"GENERAL"}</definedName>
    <definedName name="ergrg"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8" hidden="1">{"TAB1",#N/A,TRUE,"GENERAL";"TAB2",#N/A,TRUE,"GENERAL";"TAB3",#N/A,TRUE,"GENERAL";"TAB4",#N/A,TRUE,"GENERAL";"TAB5",#N/A,TRUE,"GENERAL"}</definedName>
    <definedName name="ergweg" hidden="1">{"TAB1",#N/A,TRUE,"GENERAL";"TAB2",#N/A,TRUE,"GENERAL";"TAB3",#N/A,TRUE,"GENERAL";"TAB4",#N/A,TRUE,"GENERAL";"TAB5",#N/A,TRUE,"GENERAL"}</definedName>
    <definedName name="ergwreg" localSheetId="15" hidden="1">{"via1",#N/A,TRUE,"general";"via2",#N/A,TRUE,"general";"via3",#N/A,TRUE,"general"}</definedName>
    <definedName name="ergwreg" localSheetId="17" hidden="1">{"via1",#N/A,TRUE,"general";"via2",#N/A,TRUE,"general";"via3",#N/A,TRUE,"general"}</definedName>
    <definedName name="ergwreg" localSheetId="19" hidden="1">{"via1",#N/A,TRUE,"general";"via2",#N/A,TRUE,"general";"via3",#N/A,TRUE,"general"}</definedName>
    <definedName name="ergwreg" localSheetId="12"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4" hidden="1">{"via1",#N/A,TRUE,"general";"via2",#N/A,TRUE,"general";"via3",#N/A,TRUE,"general"}</definedName>
    <definedName name="ergwreg" localSheetId="1" hidden="1">{"via1",#N/A,TRUE,"general";"via2",#N/A,TRUE,"general";"via3",#N/A,TRUE,"general"}</definedName>
    <definedName name="ergwreg" localSheetId="14" hidden="1">{"via1",#N/A,TRUE,"general";"via2",#N/A,TRUE,"general";"via3",#N/A,TRUE,"general"}</definedName>
    <definedName name="ergwreg" localSheetId="16" hidden="1">{"via1",#N/A,TRUE,"general";"via2",#N/A,TRUE,"general";"via3",#N/A,TRUE,"general"}</definedName>
    <definedName name="ergwreg" localSheetId="18" hidden="1">{"via1",#N/A,TRUE,"general";"via2",#N/A,TRUE,"general";"via3",#N/A,TRUE,"general"}</definedName>
    <definedName name="ergwreg" hidden="1">{"via1",#N/A,TRUE,"general";"via2",#N/A,TRUE,"general";"via3",#N/A,TRUE,"general"}</definedName>
    <definedName name="erheyh" localSheetId="15"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8" hidden="1">{"TAB1",#N/A,TRUE,"GENERAL";"TAB2",#N/A,TRUE,"GENERAL";"TAB3",#N/A,TRUE,"GENERAL";"TAB4",#N/A,TRUE,"GENERAL";"TAB5",#N/A,TRUE,"GENERAL"}</definedName>
    <definedName name="erheyh" hidden="1">{"TAB1",#N/A,TRUE,"GENERAL";"TAB2",#N/A,TRUE,"GENERAL";"TAB3",#N/A,TRUE,"GENERAL";"TAB4",#N/A,TRUE,"GENERAL";"TAB5",#N/A,TRUE,"GENERAL"}</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5" hidden="1">{"TAB1",#N/A,TRUE,"GENERAL";"TAB2",#N/A,TRUE,"GENERAL";"TAB3",#N/A,TRUE,"GENERAL";"TAB4",#N/A,TRUE,"GENERAL";"TAB5",#N/A,TRUE,"GENERAL"}</definedName>
    <definedName name="err" localSheetId="17" hidden="1">{"TAB1",#N/A,TRUE,"GENERAL";"TAB2",#N/A,TRUE,"GENERAL";"TAB3",#N/A,TRUE,"GENERAL";"TAB4",#N/A,TRUE,"GENERAL";"TAB5",#N/A,TRUE,"GENERAL"}</definedName>
    <definedName name="err" localSheetId="19" hidden="1">{"TAB1",#N/A,TRUE,"GENERAL";"TAB2",#N/A,TRUE,"GENERAL";"TAB3",#N/A,TRUE,"GENERAL";"TAB4",#N/A,TRUE,"GENERAL";"TAB5",#N/A,TRUE,"GENERAL"}</definedName>
    <definedName name="err" localSheetId="12"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7" hidden="1">{"TAB1",#N/A,TRUE,"GENERAL";"TAB2",#N/A,TRUE,"GENERAL";"TAB3",#N/A,TRUE,"GENERAL";"TAB4",#N/A,TRUE,"GENERAL";"TAB5",#N/A,TRUE,"GENERAL"}</definedName>
    <definedName name="err" localSheetId="10" hidden="1">{"TAB1",#N/A,TRUE,"GENERAL";"TAB2",#N/A,TRUE,"GENERAL";"TAB3",#N/A,TRUE,"GENERAL";"TAB4",#N/A,TRUE,"GENERAL";"TAB5",#N/A,TRUE,"GENERAL"}</definedName>
    <definedName name="err" localSheetId="11" hidden="1">{"TAB1",#N/A,TRUE,"GENERAL";"TAB2",#N/A,TRUE,"GENERAL";"TAB3",#N/A,TRUE,"GENERAL";"TAB4",#N/A,TRUE,"GENERAL";"TAB5",#N/A,TRUE,"GENERAL"}</definedName>
    <definedName name="err" localSheetId="4" hidden="1">{"TAB1",#N/A,TRUE,"GENERAL";"TAB2",#N/A,TRUE,"GENERAL";"TAB3",#N/A,TRUE,"GENERAL";"TAB4",#N/A,TRUE,"GENERAL";"TAB5",#N/A,TRUE,"GENERAL"}</definedName>
    <definedName name="err" localSheetId="1" hidden="1">{"TAB1",#N/A,TRUE,"GENERAL";"TAB2",#N/A,TRUE,"GENERAL";"TAB3",#N/A,TRUE,"GENERAL";"TAB4",#N/A,TRUE,"GENERAL";"TAB5",#N/A,TRUE,"GENERAL"}</definedName>
    <definedName name="err" localSheetId="14" hidden="1">{"TAB1",#N/A,TRUE,"GENERAL";"TAB2",#N/A,TRUE,"GENERAL";"TAB3",#N/A,TRUE,"GENERAL";"TAB4",#N/A,TRUE,"GENERAL";"TAB5",#N/A,TRUE,"GENERAL"}</definedName>
    <definedName name="err" localSheetId="16" hidden="1">{"TAB1",#N/A,TRUE,"GENERAL";"TAB2",#N/A,TRUE,"GENERAL";"TAB3",#N/A,TRUE,"GENERAL";"TAB4",#N/A,TRUE,"GENERAL";"TAB5",#N/A,TRUE,"GENERAL"}</definedName>
    <definedName name="err" localSheetId="18" hidden="1">{"TAB1",#N/A,TRUE,"GENERAL";"TAB2",#N/A,TRUE,"GENERAL";"TAB3",#N/A,TRUE,"GENERAL";"TAB4",#N/A,TRUE,"GENERAL";"TAB5",#N/A,TRUE,"GENERAL"}</definedName>
    <definedName name="err" hidden="1">{"TAB1",#N/A,TRUE,"GENERAL";"TAB2",#N/A,TRUE,"GENERAL";"TAB3",#N/A,TRUE,"GENERAL";"TAB4",#N/A,TRUE,"GENERAL";"TAB5",#N/A,TRUE,"GENERAL"}</definedName>
    <definedName name="ert" localSheetId="15" hidden="1">{"via1",#N/A,TRUE,"general";"via2",#N/A,TRUE,"general";"via3",#N/A,TRUE,"general"}</definedName>
    <definedName name="ert" localSheetId="17" hidden="1">{"via1",#N/A,TRUE,"general";"via2",#N/A,TRUE,"general";"via3",#N/A,TRUE,"general"}</definedName>
    <definedName name="ert" localSheetId="19" hidden="1">{"via1",#N/A,TRUE,"general";"via2",#N/A,TRUE,"general";"via3",#N/A,TRUE,"general"}</definedName>
    <definedName name="ert" localSheetId="12"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4" hidden="1">{"via1",#N/A,TRUE,"general";"via2",#N/A,TRUE,"general";"via3",#N/A,TRUE,"general"}</definedName>
    <definedName name="ert" localSheetId="1" hidden="1">{"via1",#N/A,TRUE,"general";"via2",#N/A,TRUE,"general";"via3",#N/A,TRUE,"general"}</definedName>
    <definedName name="ert" localSheetId="14" hidden="1">{"via1",#N/A,TRUE,"general";"via2",#N/A,TRUE,"general";"via3",#N/A,TRUE,"general"}</definedName>
    <definedName name="ert" localSheetId="16" hidden="1">{"via1",#N/A,TRUE,"general";"via2",#N/A,TRUE,"general";"via3",#N/A,TRUE,"general"}</definedName>
    <definedName name="ert" localSheetId="18" hidden="1">{"via1",#N/A,TRUE,"general";"via2",#N/A,TRUE,"general";"via3",#N/A,TRUE,"general"}</definedName>
    <definedName name="ert" hidden="1">{"via1",#N/A,TRUE,"general";"via2",#N/A,TRUE,"general";"via3",#N/A,TRUE,"general"}</definedName>
    <definedName name="erte" localSheetId="15" hidden="1">{"via1",#N/A,TRUE,"general";"via2",#N/A,TRUE,"general";"via3",#N/A,TRUE,"general"}</definedName>
    <definedName name="erte" localSheetId="17" hidden="1">{"via1",#N/A,TRUE,"general";"via2",#N/A,TRUE,"general";"via3",#N/A,TRUE,"general"}</definedName>
    <definedName name="erte" localSheetId="19" hidden="1">{"via1",#N/A,TRUE,"general";"via2",#N/A,TRUE,"general";"via3",#N/A,TRUE,"general"}</definedName>
    <definedName name="erte" localSheetId="12"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4" hidden="1">{"via1",#N/A,TRUE,"general";"via2",#N/A,TRUE,"general";"via3",#N/A,TRUE,"general"}</definedName>
    <definedName name="erte" localSheetId="1" hidden="1">{"via1",#N/A,TRUE,"general";"via2",#N/A,TRUE,"general";"via3",#N/A,TRUE,"general"}</definedName>
    <definedName name="erte" localSheetId="14" hidden="1">{"via1",#N/A,TRUE,"general";"via2",#N/A,TRUE,"general";"via3",#N/A,TRUE,"general"}</definedName>
    <definedName name="erte" localSheetId="16" hidden="1">{"via1",#N/A,TRUE,"general";"via2",#N/A,TRUE,"general";"via3",#N/A,TRUE,"general"}</definedName>
    <definedName name="erte" localSheetId="18" hidden="1">{"via1",#N/A,TRUE,"general";"via2",#N/A,TRUE,"general";"via3",#N/A,TRUE,"general"}</definedName>
    <definedName name="erte" hidden="1">{"via1",#N/A,TRUE,"general";"via2",#N/A,TRUE,"general";"via3",#N/A,TRUE,"general"}</definedName>
    <definedName name="erter" localSheetId="15"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4" hidden="1">{"TAB1",#N/A,TRUE,"GENERAL";"TAB2",#N/A,TRUE,"GENERAL";"TAB3",#N/A,TRUE,"GENERAL";"TAB4",#N/A,TRUE,"GENERAL";"TAB5",#N/A,TRUE,"GENERAL"}</definedName>
    <definedName name="erter" localSheetId="1"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8" hidden="1">{"TAB1",#N/A,TRUE,"GENERAL";"TAB2",#N/A,TRUE,"GENERAL";"TAB3",#N/A,TRUE,"GENERAL";"TAB4",#N/A,TRUE,"GENERAL";"TAB5",#N/A,TRUE,"GENERAL"}</definedName>
    <definedName name="erter" hidden="1">{"TAB1",#N/A,TRUE,"GENERAL";"TAB2",#N/A,TRUE,"GENERAL";"TAB3",#N/A,TRUE,"GENERAL";"TAB4",#N/A,TRUE,"GENERAL";"TAB5",#N/A,TRUE,"GENERAL"}</definedName>
    <definedName name="ertert" localSheetId="15" hidden="1">{"via1",#N/A,TRUE,"general";"via2",#N/A,TRUE,"general";"via3",#N/A,TRUE,"general"}</definedName>
    <definedName name="ertert" localSheetId="17" hidden="1">{"via1",#N/A,TRUE,"general";"via2",#N/A,TRUE,"general";"via3",#N/A,TRUE,"general"}</definedName>
    <definedName name="ertert" localSheetId="19" hidden="1">{"via1",#N/A,TRUE,"general";"via2",#N/A,TRUE,"general";"via3",#N/A,TRUE,"general"}</definedName>
    <definedName name="ertert" localSheetId="12"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4" hidden="1">{"via1",#N/A,TRUE,"general";"via2",#N/A,TRUE,"general";"via3",#N/A,TRUE,"general"}</definedName>
    <definedName name="ertert" localSheetId="1" hidden="1">{"via1",#N/A,TRUE,"general";"via2",#N/A,TRUE,"general";"via3",#N/A,TRUE,"general"}</definedName>
    <definedName name="ertert" localSheetId="14" hidden="1">{"via1",#N/A,TRUE,"general";"via2",#N/A,TRUE,"general";"via3",#N/A,TRUE,"general"}</definedName>
    <definedName name="ertert" localSheetId="16" hidden="1">{"via1",#N/A,TRUE,"general";"via2",#N/A,TRUE,"general";"via3",#N/A,TRUE,"general"}</definedName>
    <definedName name="ertert" localSheetId="18" hidden="1">{"via1",#N/A,TRUE,"general";"via2",#N/A,TRUE,"general";"via3",#N/A,TRUE,"general"}</definedName>
    <definedName name="ertert" hidden="1">{"via1",#N/A,TRUE,"general";"via2",#N/A,TRUE,"general";"via3",#N/A,TRUE,"general"}</definedName>
    <definedName name="ertgyhik" localSheetId="15"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8" hidden="1">{"TAB1",#N/A,TRUE,"GENERAL";"TAB2",#N/A,TRUE,"GENERAL";"TAB3",#N/A,TRUE,"GENERAL";"TAB4",#N/A,TRUE,"GENERAL";"TAB5",#N/A,TRUE,"GENERAL"}</definedName>
    <definedName name="ertgyhik" hidden="1">{"TAB1",#N/A,TRUE,"GENERAL";"TAB2",#N/A,TRUE,"GENERAL";"TAB3",#N/A,TRUE,"GENERAL";"TAB4",#N/A,TRUE,"GENERAL";"TAB5",#N/A,TRUE,"GENERAL"}</definedName>
    <definedName name="ertreb" localSheetId="15" hidden="1">{"via1",#N/A,TRUE,"general";"via2",#N/A,TRUE,"general";"via3",#N/A,TRUE,"general"}</definedName>
    <definedName name="ertreb" localSheetId="17" hidden="1">{"via1",#N/A,TRUE,"general";"via2",#N/A,TRUE,"general";"via3",#N/A,TRUE,"general"}</definedName>
    <definedName name="ertreb" localSheetId="19" hidden="1">{"via1",#N/A,TRUE,"general";"via2",#N/A,TRUE,"general";"via3",#N/A,TRUE,"general"}</definedName>
    <definedName name="ertreb" localSheetId="12"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4" hidden="1">{"via1",#N/A,TRUE,"general";"via2",#N/A,TRUE,"general";"via3",#N/A,TRUE,"general"}</definedName>
    <definedName name="ertreb" localSheetId="1" hidden="1">{"via1",#N/A,TRUE,"general";"via2",#N/A,TRUE,"general";"via3",#N/A,TRUE,"general"}</definedName>
    <definedName name="ertreb" localSheetId="14" hidden="1">{"via1",#N/A,TRUE,"general";"via2",#N/A,TRUE,"general";"via3",#N/A,TRUE,"general"}</definedName>
    <definedName name="ertreb" localSheetId="16" hidden="1">{"via1",#N/A,TRUE,"general";"via2",#N/A,TRUE,"general";"via3",#N/A,TRUE,"general"}</definedName>
    <definedName name="ertreb" localSheetId="18" hidden="1">{"via1",#N/A,TRUE,"general";"via2",#N/A,TRUE,"general";"via3",#N/A,TRUE,"general"}</definedName>
    <definedName name="ertreb" hidden="1">{"via1",#N/A,TRUE,"general";"via2",#N/A,TRUE,"general";"via3",#N/A,TRUE,"general"}</definedName>
    <definedName name="ertret" localSheetId="15"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8" hidden="1">{"TAB1",#N/A,TRUE,"GENERAL";"TAB2",#N/A,TRUE,"GENERAL";"TAB3",#N/A,TRUE,"GENERAL";"TAB4",#N/A,TRUE,"GENERAL";"TAB5",#N/A,TRUE,"GENERAL"}</definedName>
    <definedName name="ertret" hidden="1">{"TAB1",#N/A,TRUE,"GENERAL";"TAB2",#N/A,TRUE,"GENERAL";"TAB3",#N/A,TRUE,"GENERAL";"TAB4",#N/A,TRUE,"GENERAL";"TAB5",#N/A,TRUE,"GENERAL"}</definedName>
    <definedName name="erttret" localSheetId="15" hidden="1">{"via1",#N/A,TRUE,"general";"via2",#N/A,TRUE,"general";"via3",#N/A,TRUE,"general"}</definedName>
    <definedName name="erttret" localSheetId="17" hidden="1">{"via1",#N/A,TRUE,"general";"via2",#N/A,TRUE,"general";"via3",#N/A,TRUE,"general"}</definedName>
    <definedName name="erttret" localSheetId="19" hidden="1">{"via1",#N/A,TRUE,"general";"via2",#N/A,TRUE,"general";"via3",#N/A,TRUE,"general"}</definedName>
    <definedName name="erttret" localSheetId="12"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4" hidden="1">{"via1",#N/A,TRUE,"general";"via2",#N/A,TRUE,"general";"via3",#N/A,TRUE,"general"}</definedName>
    <definedName name="erttret" localSheetId="1" hidden="1">{"via1",#N/A,TRUE,"general";"via2",#N/A,TRUE,"general";"via3",#N/A,TRUE,"general"}</definedName>
    <definedName name="erttret" localSheetId="14" hidden="1">{"via1",#N/A,TRUE,"general";"via2",#N/A,TRUE,"general";"via3",#N/A,TRUE,"general"}</definedName>
    <definedName name="erttret" localSheetId="16" hidden="1">{"via1",#N/A,TRUE,"general";"via2",#N/A,TRUE,"general";"via3",#N/A,TRUE,"general"}</definedName>
    <definedName name="erttret" localSheetId="18" hidden="1">{"via1",#N/A,TRUE,"general";"via2",#N/A,TRUE,"general";"via3",#N/A,TRUE,"general"}</definedName>
    <definedName name="erttret" hidden="1">{"via1",#N/A,TRUE,"general";"via2",#N/A,TRUE,"general";"via3",#N/A,TRUE,"general"}</definedName>
    <definedName name="ertuiy" localSheetId="15" hidden="1">{"via1",#N/A,TRUE,"general";"via2",#N/A,TRUE,"general";"via3",#N/A,TRUE,"general"}</definedName>
    <definedName name="ertuiy" localSheetId="17" hidden="1">{"via1",#N/A,TRUE,"general";"via2",#N/A,TRUE,"general";"via3",#N/A,TRUE,"general"}</definedName>
    <definedName name="ertuiy" localSheetId="19" hidden="1">{"via1",#N/A,TRUE,"general";"via2",#N/A,TRUE,"general";"via3",#N/A,TRUE,"general"}</definedName>
    <definedName name="ertuiy" localSheetId="12"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4" hidden="1">{"via1",#N/A,TRUE,"general";"via2",#N/A,TRUE,"general";"via3",#N/A,TRUE,"general"}</definedName>
    <definedName name="ertuiy" localSheetId="1" hidden="1">{"via1",#N/A,TRUE,"general";"via2",#N/A,TRUE,"general";"via3",#N/A,TRUE,"general"}</definedName>
    <definedName name="ertuiy" localSheetId="14" hidden="1">{"via1",#N/A,TRUE,"general";"via2",#N/A,TRUE,"general";"via3",#N/A,TRUE,"general"}</definedName>
    <definedName name="ertuiy" localSheetId="16" hidden="1">{"via1",#N/A,TRUE,"general";"via2",#N/A,TRUE,"general";"via3",#N/A,TRUE,"general"}</definedName>
    <definedName name="ertuiy" localSheetId="18" hidden="1">{"via1",#N/A,TRUE,"general";"via2",#N/A,TRUE,"general";"via3",#N/A,TRUE,"general"}</definedName>
    <definedName name="ertuiy" hidden="1">{"via1",#N/A,TRUE,"general";"via2",#N/A,TRUE,"general";"via3",#N/A,TRUE,"general"}</definedName>
    <definedName name="ertwert" localSheetId="15"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8" hidden="1">{"TAB1",#N/A,TRUE,"GENERAL";"TAB2",#N/A,TRUE,"GENERAL";"TAB3",#N/A,TRUE,"GENERAL";"TAB4",#N/A,TRUE,"GENERAL";"TAB5",#N/A,TRUE,"GENERAL"}</definedName>
    <definedName name="ertwert" hidden="1">{"TAB1",#N/A,TRUE,"GENERAL";"TAB2",#N/A,TRUE,"GENERAL";"TAB3",#N/A,TRUE,"GENERAL";"TAB4",#N/A,TRUE,"GENERAL";"TAB5",#N/A,TRUE,"GENERAL"}</definedName>
    <definedName name="eru" localSheetId="15" hidden="1">{"TAB1",#N/A,TRUE,"GENERAL";"TAB2",#N/A,TRUE,"GENERAL";"TAB3",#N/A,TRUE,"GENERAL";"TAB4",#N/A,TRUE,"GENERAL";"TAB5",#N/A,TRUE,"GENERAL"}</definedName>
    <definedName name="eru" localSheetId="17" hidden="1">{"TAB1",#N/A,TRUE,"GENERAL";"TAB2",#N/A,TRUE,"GENERAL";"TAB3",#N/A,TRUE,"GENERAL";"TAB4",#N/A,TRUE,"GENERAL";"TAB5",#N/A,TRUE,"GENERAL"}</definedName>
    <definedName name="eru" localSheetId="19" hidden="1">{"TAB1",#N/A,TRUE,"GENERAL";"TAB2",#N/A,TRUE,"GENERAL";"TAB3",#N/A,TRUE,"GENERAL";"TAB4",#N/A,TRUE,"GENERAL";"TAB5",#N/A,TRUE,"GENERAL"}</definedName>
    <definedName name="eru" localSheetId="12"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4" hidden="1">{"TAB1",#N/A,TRUE,"GENERAL";"TAB2",#N/A,TRUE,"GENERAL";"TAB3",#N/A,TRUE,"GENERAL";"TAB4",#N/A,TRUE,"GENERAL";"TAB5",#N/A,TRUE,"GENERAL"}</definedName>
    <definedName name="eru" localSheetId="1" hidden="1">{"TAB1",#N/A,TRUE,"GENERAL";"TAB2",#N/A,TRUE,"GENERAL";"TAB3",#N/A,TRUE,"GENERAL";"TAB4",#N/A,TRUE,"GENERAL";"TAB5",#N/A,TRUE,"GENERAL"}</definedName>
    <definedName name="eru" localSheetId="14" hidden="1">{"TAB1",#N/A,TRUE,"GENERAL";"TAB2",#N/A,TRUE,"GENERAL";"TAB3",#N/A,TRUE,"GENERAL";"TAB4",#N/A,TRUE,"GENERAL";"TAB5",#N/A,TRUE,"GENERAL"}</definedName>
    <definedName name="eru" localSheetId="16" hidden="1">{"TAB1",#N/A,TRUE,"GENERAL";"TAB2",#N/A,TRUE,"GENERAL";"TAB3",#N/A,TRUE,"GENERAL";"TAB4",#N/A,TRUE,"GENERAL";"TAB5",#N/A,TRUE,"GENERAL"}</definedName>
    <definedName name="eru" localSheetId="18" hidden="1">{"TAB1",#N/A,TRUE,"GENERAL";"TAB2",#N/A,TRUE,"GENERAL";"TAB3",#N/A,TRUE,"GENERAL";"TAB4",#N/A,TRUE,"GENERAL";"TAB5",#N/A,TRUE,"GENERAL"}</definedName>
    <definedName name="eru" hidden="1">{"TAB1",#N/A,TRUE,"GENERAL";"TAB2",#N/A,TRUE,"GENERAL";"TAB3",#N/A,TRUE,"GENERAL";"TAB4",#N/A,TRUE,"GENERAL";"TAB5",#N/A,TRUE,"GENERAL"}</definedName>
    <definedName name="ERV" localSheetId="15" hidden="1">{"via1",#N/A,TRUE,"general";"via2",#N/A,TRUE,"general";"via3",#N/A,TRUE,"general"}</definedName>
    <definedName name="ERV" localSheetId="17" hidden="1">{"via1",#N/A,TRUE,"general";"via2",#N/A,TRUE,"general";"via3",#N/A,TRUE,"general"}</definedName>
    <definedName name="ERV" localSheetId="19" hidden="1">{"via1",#N/A,TRUE,"general";"via2",#N/A,TRUE,"general";"via3",#N/A,TRUE,"general"}</definedName>
    <definedName name="ERV" localSheetId="12"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4" hidden="1">{"via1",#N/A,TRUE,"general";"via2",#N/A,TRUE,"general";"via3",#N/A,TRUE,"general"}</definedName>
    <definedName name="ERV" localSheetId="1" hidden="1">{"via1",#N/A,TRUE,"general";"via2",#N/A,TRUE,"general";"via3",#N/A,TRUE,"general"}</definedName>
    <definedName name="ERV" localSheetId="14" hidden="1">{"via1",#N/A,TRUE,"general";"via2",#N/A,TRUE,"general";"via3",#N/A,TRUE,"general"}</definedName>
    <definedName name="ERV" localSheetId="16" hidden="1">{"via1",#N/A,TRUE,"general";"via2",#N/A,TRUE,"general";"via3",#N/A,TRUE,"general"}</definedName>
    <definedName name="ERV" localSheetId="18" hidden="1">{"via1",#N/A,TRUE,"general";"via2",#N/A,TRUE,"general";"via3",#N/A,TRUE,"general"}</definedName>
    <definedName name="ERV" hidden="1">{"via1",#N/A,TRUE,"general";"via2",#N/A,TRUE,"general";"via3",#N/A,TRUE,"general"}</definedName>
    <definedName name="erware" localSheetId="15" hidden="1">{"via1",#N/A,TRUE,"general";"via2",#N/A,TRUE,"general";"via3",#N/A,TRUE,"general"}</definedName>
    <definedName name="erware" localSheetId="17" hidden="1">{"via1",#N/A,TRUE,"general";"via2",#N/A,TRUE,"general";"via3",#N/A,TRUE,"general"}</definedName>
    <definedName name="erware" localSheetId="19" hidden="1">{"via1",#N/A,TRUE,"general";"via2",#N/A,TRUE,"general";"via3",#N/A,TRUE,"general"}</definedName>
    <definedName name="erware" localSheetId="12"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4" hidden="1">{"via1",#N/A,TRUE,"general";"via2",#N/A,TRUE,"general";"via3",#N/A,TRUE,"general"}</definedName>
    <definedName name="erware" localSheetId="1" hidden="1">{"via1",#N/A,TRUE,"general";"via2",#N/A,TRUE,"general";"via3",#N/A,TRUE,"general"}</definedName>
    <definedName name="erware" localSheetId="14" hidden="1">{"via1",#N/A,TRUE,"general";"via2",#N/A,TRUE,"general";"via3",#N/A,TRUE,"general"}</definedName>
    <definedName name="erware" localSheetId="16" hidden="1">{"via1",#N/A,TRUE,"general";"via2",#N/A,TRUE,"general";"via3",#N/A,TRUE,"general"}</definedName>
    <definedName name="erware" localSheetId="18" hidden="1">{"via1",#N/A,TRUE,"general";"via2",#N/A,TRUE,"general";"via3",#N/A,TRUE,"general"}</definedName>
    <definedName name="erware" hidden="1">{"via1",#N/A,TRUE,"general";"via2",#N/A,TRUE,"general";"via3",#N/A,TRUE,"general"}</definedName>
    <definedName name="ERWER" localSheetId="15" hidden="1">{"via1",#N/A,TRUE,"general";"via2",#N/A,TRUE,"general";"via3",#N/A,TRUE,"general"}</definedName>
    <definedName name="ERWER" localSheetId="17" hidden="1">{"via1",#N/A,TRUE,"general";"via2",#N/A,TRUE,"general";"via3",#N/A,TRUE,"general"}</definedName>
    <definedName name="ERWER" localSheetId="19" hidden="1">{"via1",#N/A,TRUE,"general";"via2",#N/A,TRUE,"general";"via3",#N/A,TRUE,"general"}</definedName>
    <definedName name="ERWER" localSheetId="12"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4" hidden="1">{"via1",#N/A,TRUE,"general";"via2",#N/A,TRUE,"general";"via3",#N/A,TRUE,"general"}</definedName>
    <definedName name="ERWER" localSheetId="1" hidden="1">{"via1",#N/A,TRUE,"general";"via2",#N/A,TRUE,"general";"via3",#N/A,TRUE,"general"}</definedName>
    <definedName name="ERWER" localSheetId="14" hidden="1">{"via1",#N/A,TRUE,"general";"via2",#N/A,TRUE,"general";"via3",#N/A,TRUE,"general"}</definedName>
    <definedName name="ERWER" localSheetId="16" hidden="1">{"via1",#N/A,TRUE,"general";"via2",#N/A,TRUE,"general";"via3",#N/A,TRUE,"general"}</definedName>
    <definedName name="ERWER" localSheetId="18" hidden="1">{"via1",#N/A,TRUE,"general";"via2",#N/A,TRUE,"general";"via3",#N/A,TRUE,"general"}</definedName>
    <definedName name="ERWER" hidden="1">{"via1",#N/A,TRUE,"general";"via2",#N/A,TRUE,"general";"via3",#N/A,TRUE,"general"}</definedName>
    <definedName name="erwertd" localSheetId="15"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8" hidden="1">{"TAB1",#N/A,TRUE,"GENERAL";"TAB2",#N/A,TRUE,"GENERAL";"TAB3",#N/A,TRUE,"GENERAL";"TAB4",#N/A,TRUE,"GENERAL";"TAB5",#N/A,TRUE,"GENERAL"}</definedName>
    <definedName name="erwertd" hidden="1">{"TAB1",#N/A,TRUE,"GENERAL";"TAB2",#N/A,TRUE,"GENERAL";"TAB3",#N/A,TRUE,"GENERAL";"TAB4",#N/A,TRUE,"GENERAL";"TAB5",#N/A,TRUE,"GENERAL"}</definedName>
    <definedName name="erwr" localSheetId="15" hidden="1">{"TAB1",#N/A,TRUE,"GENERAL";"TAB2",#N/A,TRUE,"GENERAL";"TAB3",#N/A,TRUE,"GENERAL";"TAB4",#N/A,TRUE,"GENERAL";"TAB5",#N/A,TRUE,"GENERAL"}</definedName>
    <definedName name="erwr" localSheetId="17" hidden="1">{"TAB1",#N/A,TRUE,"GENERAL";"TAB2",#N/A,TRUE,"GENERAL";"TAB3",#N/A,TRUE,"GENERAL";"TAB4",#N/A,TRUE,"GENERAL";"TAB5",#N/A,TRUE,"GENERAL"}</definedName>
    <definedName name="erwr" localSheetId="19" hidden="1">{"TAB1",#N/A,TRUE,"GENERAL";"TAB2",#N/A,TRUE,"GENERAL";"TAB3",#N/A,TRUE,"GENERAL";"TAB4",#N/A,TRUE,"GENERAL";"TAB5",#N/A,TRUE,"GENERAL"}</definedName>
    <definedName name="erwr" localSheetId="12"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4" hidden="1">{"TAB1",#N/A,TRUE,"GENERAL";"TAB2",#N/A,TRUE,"GENERAL";"TAB3",#N/A,TRUE,"GENERAL";"TAB4",#N/A,TRUE,"GENERAL";"TAB5",#N/A,TRUE,"GENERAL"}</definedName>
    <definedName name="erwr" localSheetId="1" hidden="1">{"TAB1",#N/A,TRUE,"GENERAL";"TAB2",#N/A,TRUE,"GENERAL";"TAB3",#N/A,TRUE,"GENERAL";"TAB4",#N/A,TRUE,"GENERAL";"TAB5",#N/A,TRUE,"GENERAL"}</definedName>
    <definedName name="erwr" localSheetId="14" hidden="1">{"TAB1",#N/A,TRUE,"GENERAL";"TAB2",#N/A,TRUE,"GENERAL";"TAB3",#N/A,TRUE,"GENERAL";"TAB4",#N/A,TRUE,"GENERAL";"TAB5",#N/A,TRUE,"GENERAL"}</definedName>
    <definedName name="erwr" localSheetId="16" hidden="1">{"TAB1",#N/A,TRUE,"GENERAL";"TAB2",#N/A,TRUE,"GENERAL";"TAB3",#N/A,TRUE,"GENERAL";"TAB4",#N/A,TRUE,"GENERAL";"TAB5",#N/A,TRUE,"GENERAL"}</definedName>
    <definedName name="erwr" localSheetId="18" hidden="1">{"TAB1",#N/A,TRUE,"GENERAL";"TAB2",#N/A,TRUE,"GENERAL";"TAB3",#N/A,TRUE,"GENERAL";"TAB4",#N/A,TRUE,"GENERAL";"TAB5",#N/A,TRUE,"GENERAL"}</definedName>
    <definedName name="erwr" hidden="1">{"TAB1",#N/A,TRUE,"GENERAL";"TAB2",#N/A,TRUE,"GENERAL";"TAB3",#N/A,TRUE,"GENERAL";"TAB4",#N/A,TRUE,"GENERAL";"TAB5",#N/A,TRUE,"GENERAL"}</definedName>
    <definedName name="ERWRL" localSheetId="15" hidden="1">{"via1",#N/A,TRUE,"general";"via2",#N/A,TRUE,"general";"via3",#N/A,TRUE,"general"}</definedName>
    <definedName name="ERWRL" localSheetId="17" hidden="1">{"via1",#N/A,TRUE,"general";"via2",#N/A,TRUE,"general";"via3",#N/A,TRUE,"general"}</definedName>
    <definedName name="ERWRL" localSheetId="19" hidden="1">{"via1",#N/A,TRUE,"general";"via2",#N/A,TRUE,"general";"via3",#N/A,TRUE,"general"}</definedName>
    <definedName name="ERWRL" localSheetId="12"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4" hidden="1">{"via1",#N/A,TRUE,"general";"via2",#N/A,TRUE,"general";"via3",#N/A,TRUE,"general"}</definedName>
    <definedName name="ERWRL" localSheetId="1" hidden="1">{"via1",#N/A,TRUE,"general";"via2",#N/A,TRUE,"general";"via3",#N/A,TRUE,"general"}</definedName>
    <definedName name="ERWRL" localSheetId="14" hidden="1">{"via1",#N/A,TRUE,"general";"via2",#N/A,TRUE,"general";"via3",#N/A,TRUE,"general"}</definedName>
    <definedName name="ERWRL" localSheetId="16" hidden="1">{"via1",#N/A,TRUE,"general";"via2",#N/A,TRUE,"general";"via3",#N/A,TRUE,"general"}</definedName>
    <definedName name="ERWRL" localSheetId="18" hidden="1">{"via1",#N/A,TRUE,"general";"via2",#N/A,TRUE,"general";"via3",#N/A,TRUE,"general"}</definedName>
    <definedName name="ERWRL" hidden="1">{"via1",#N/A,TRUE,"general";"via2",#N/A,TRUE,"general";"via3",#N/A,TRUE,"general"}</definedName>
    <definedName name="ery" localSheetId="15" hidden="1">{"via1",#N/A,TRUE,"general";"via2",#N/A,TRUE,"general";"via3",#N/A,TRUE,"general"}</definedName>
    <definedName name="ery" localSheetId="17" hidden="1">{"via1",#N/A,TRUE,"general";"via2",#N/A,TRUE,"general";"via3",#N/A,TRUE,"general"}</definedName>
    <definedName name="ery" localSheetId="19" hidden="1">{"via1",#N/A,TRUE,"general";"via2",#N/A,TRUE,"general";"via3",#N/A,TRUE,"general"}</definedName>
    <definedName name="ery" localSheetId="12"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4" hidden="1">{"via1",#N/A,TRUE,"general";"via2",#N/A,TRUE,"general";"via3",#N/A,TRUE,"general"}</definedName>
    <definedName name="ery" localSheetId="1" hidden="1">{"via1",#N/A,TRUE,"general";"via2",#N/A,TRUE,"general";"via3",#N/A,TRUE,"general"}</definedName>
    <definedName name="ery" localSheetId="14" hidden="1">{"via1",#N/A,TRUE,"general";"via2",#N/A,TRUE,"general";"via3",#N/A,TRUE,"general"}</definedName>
    <definedName name="ery" localSheetId="16" hidden="1">{"via1",#N/A,TRUE,"general";"via2",#N/A,TRUE,"general";"via3",#N/A,TRUE,"general"}</definedName>
    <definedName name="ery" localSheetId="18" hidden="1">{"via1",#N/A,TRUE,"general";"via2",#N/A,TRUE,"general";"via3",#N/A,TRUE,"general"}</definedName>
    <definedName name="ery" hidden="1">{"via1",#N/A,TRUE,"general";"via2",#N/A,TRUE,"general";"via3",#N/A,TRUE,"general"}</definedName>
    <definedName name="eryhd" localSheetId="15" hidden="1">{"via1",#N/A,TRUE,"general";"via2",#N/A,TRUE,"general";"via3",#N/A,TRUE,"general"}</definedName>
    <definedName name="eryhd" localSheetId="17" hidden="1">{"via1",#N/A,TRUE,"general";"via2",#N/A,TRUE,"general";"via3",#N/A,TRUE,"general"}</definedName>
    <definedName name="eryhd" localSheetId="19" hidden="1">{"via1",#N/A,TRUE,"general";"via2",#N/A,TRUE,"general";"via3",#N/A,TRUE,"general"}</definedName>
    <definedName name="eryhd" localSheetId="12"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4" hidden="1">{"via1",#N/A,TRUE,"general";"via2",#N/A,TRUE,"general";"via3",#N/A,TRUE,"general"}</definedName>
    <definedName name="eryhd" localSheetId="1" hidden="1">{"via1",#N/A,TRUE,"general";"via2",#N/A,TRUE,"general";"via3",#N/A,TRUE,"general"}</definedName>
    <definedName name="eryhd" localSheetId="14" hidden="1">{"via1",#N/A,TRUE,"general";"via2",#N/A,TRUE,"general";"via3",#N/A,TRUE,"general"}</definedName>
    <definedName name="eryhd" localSheetId="16" hidden="1">{"via1",#N/A,TRUE,"general";"via2",#N/A,TRUE,"general";"via3",#N/A,TRUE,"general"}</definedName>
    <definedName name="eryhd" localSheetId="18" hidden="1">{"via1",#N/A,TRUE,"general";"via2",#N/A,TRUE,"general";"via3",#N/A,TRUE,"general"}</definedName>
    <definedName name="eryhd" hidden="1">{"via1",#N/A,TRUE,"general";"via2",#N/A,TRUE,"general";"via3",#N/A,TRUE,"general"}</definedName>
    <definedName name="eryhdf" localSheetId="15"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8" hidden="1">{"TAB1",#N/A,TRUE,"GENERAL";"TAB2",#N/A,TRUE,"GENERAL";"TAB3",#N/A,TRUE,"GENERAL";"TAB4",#N/A,TRUE,"GENERAL";"TAB5",#N/A,TRUE,"GENERAL"}</definedName>
    <definedName name="eryhdf"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8" hidden="1">{"TAB1",#N/A,TRUE,"GENERAL";"TAB2",#N/A,TRUE,"GENERAL";"TAB3",#N/A,TRUE,"GENERAL";"TAB4",#N/A,TRUE,"GENERAL";"TAB5",#N/A,TRUE,"GENERAL"}</definedName>
    <definedName name="eryhk"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8" hidden="1">{"TAB1",#N/A,TRUE,"GENERAL";"TAB2",#N/A,TRUE,"GENERAL";"TAB3",#N/A,TRUE,"GENERAL";"TAB4",#N/A,TRUE,"GENERAL";"TAB5",#N/A,TRUE,"GENERAL"}</definedName>
    <definedName name="eryhrf"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8" hidden="1">{"TAB1",#N/A,TRUE,"GENERAL";"TAB2",#N/A,TRUE,"GENERAL";"TAB3",#N/A,TRUE,"GENERAL";"TAB4",#N/A,TRUE,"GENERAL";"TAB5",#N/A,TRUE,"GENERAL"}</definedName>
    <definedName name="eryre" hidden="1">{"TAB1",#N/A,TRUE,"GENERAL";"TAB2",#N/A,TRUE,"GENERAL";"TAB3",#N/A,TRUE,"GENERAL";"TAB4",#N/A,TRUE,"GENERAL";"TAB5",#N/A,TRUE,"GENERAL"}</definedName>
    <definedName name="erytd" localSheetId="15" hidden="1">{"via1",#N/A,TRUE,"general";"via2",#N/A,TRUE,"general";"via3",#N/A,TRUE,"general"}</definedName>
    <definedName name="erytd" localSheetId="17" hidden="1">{"via1",#N/A,TRUE,"general";"via2",#N/A,TRUE,"general";"via3",#N/A,TRUE,"general"}</definedName>
    <definedName name="erytd" localSheetId="19" hidden="1">{"via1",#N/A,TRUE,"general";"via2",#N/A,TRUE,"general";"via3",#N/A,TRUE,"general"}</definedName>
    <definedName name="erytd" localSheetId="12"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4" hidden="1">{"via1",#N/A,TRUE,"general";"via2",#N/A,TRUE,"general";"via3",#N/A,TRUE,"general"}</definedName>
    <definedName name="erytd" localSheetId="1" hidden="1">{"via1",#N/A,TRUE,"general";"via2",#N/A,TRUE,"general";"via3",#N/A,TRUE,"general"}</definedName>
    <definedName name="erytd" localSheetId="14" hidden="1">{"via1",#N/A,TRUE,"general";"via2",#N/A,TRUE,"general";"via3",#N/A,TRUE,"general"}</definedName>
    <definedName name="erytd" localSheetId="16" hidden="1">{"via1",#N/A,TRUE,"general";"via2",#N/A,TRUE,"general";"via3",#N/A,TRUE,"general"}</definedName>
    <definedName name="erytd" localSheetId="18" hidden="1">{"via1",#N/A,TRUE,"general";"via2",#N/A,TRUE,"general";"via3",#N/A,TRUE,"general"}</definedName>
    <definedName name="erytd" hidden="1">{"via1",#N/A,TRUE,"general";"via2",#N/A,TRUE,"general";"via3",#N/A,TRUE,"general"}</definedName>
    <definedName name="eryty" localSheetId="15" hidden="1">{"via1",#N/A,TRUE,"general";"via2",#N/A,TRUE,"general";"via3",#N/A,TRUE,"general"}</definedName>
    <definedName name="eryty" localSheetId="17" hidden="1">{"via1",#N/A,TRUE,"general";"via2",#N/A,TRUE,"general";"via3",#N/A,TRUE,"general"}</definedName>
    <definedName name="eryty" localSheetId="19" hidden="1">{"via1",#N/A,TRUE,"general";"via2",#N/A,TRUE,"general";"via3",#N/A,TRUE,"general"}</definedName>
    <definedName name="eryty" localSheetId="12"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4" hidden="1">{"via1",#N/A,TRUE,"general";"via2",#N/A,TRUE,"general";"via3",#N/A,TRUE,"general"}</definedName>
    <definedName name="eryty" localSheetId="1" hidden="1">{"via1",#N/A,TRUE,"general";"via2",#N/A,TRUE,"general";"via3",#N/A,TRUE,"general"}</definedName>
    <definedName name="eryty" localSheetId="14" hidden="1">{"via1",#N/A,TRUE,"general";"via2",#N/A,TRUE,"general";"via3",#N/A,TRUE,"general"}</definedName>
    <definedName name="eryty" localSheetId="16" hidden="1">{"via1",#N/A,TRUE,"general";"via2",#N/A,TRUE,"general";"via3",#N/A,TRUE,"general"}</definedName>
    <definedName name="eryty" localSheetId="18" hidden="1">{"via1",#N/A,TRUE,"general";"via2",#N/A,TRUE,"general";"via3",#N/A,TRUE,"general"}</definedName>
    <definedName name="eryty" hidden="1">{"via1",#N/A,TRUE,"general";"via2",#N/A,TRUE,"general";"via3",#N/A,TRUE,"general"}</definedName>
    <definedName name="eryy" localSheetId="15" hidden="1">{"via1",#N/A,TRUE,"general";"via2",#N/A,TRUE,"general";"via3",#N/A,TRUE,"general"}</definedName>
    <definedName name="eryy" localSheetId="17" hidden="1">{"via1",#N/A,TRUE,"general";"via2",#N/A,TRUE,"general";"via3",#N/A,TRUE,"general"}</definedName>
    <definedName name="eryy" localSheetId="19" hidden="1">{"via1",#N/A,TRUE,"general";"via2",#N/A,TRUE,"general";"via3",#N/A,TRUE,"general"}</definedName>
    <definedName name="eryy" localSheetId="12"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4" hidden="1">{"via1",#N/A,TRUE,"general";"via2",#N/A,TRUE,"general";"via3",#N/A,TRUE,"general"}</definedName>
    <definedName name="eryy" localSheetId="1" hidden="1">{"via1",#N/A,TRUE,"general";"via2",#N/A,TRUE,"general";"via3",#N/A,TRUE,"general"}</definedName>
    <definedName name="eryy" localSheetId="14" hidden="1">{"via1",#N/A,TRUE,"general";"via2",#N/A,TRUE,"general";"via3",#N/A,TRUE,"general"}</definedName>
    <definedName name="eryy" localSheetId="16" hidden="1">{"via1",#N/A,TRUE,"general";"via2",#N/A,TRUE,"general";"via3",#N/A,TRUE,"general"}</definedName>
    <definedName name="eryy" localSheetId="18" hidden="1">{"via1",#N/A,TRUE,"general";"via2",#N/A,TRUE,"general";"via3",#N/A,TRUE,"general"}</definedName>
    <definedName name="eryy" hidden="1">{"via1",#N/A,TRUE,"general";"via2",#N/A,TRUE,"general";"via3",#N/A,TRUE,"general"}</definedName>
    <definedName name="ESCENARIO" localSheetId="15" hidden="1">{#N/A,#N/A,FALSE,"GRAFICO";#N/A,#N/A,FALSE,"CAJA (2)";#N/A,#N/A,FALSE,"TERCEROS-PROMEDIO";#N/A,#N/A,FALSE,"CAJA";#N/A,#N/A,FALSE,"INGRESOS1995-2003";#N/A,#N/A,FALSE,"GASTOS1995-2003"}</definedName>
    <definedName name="ESCENARIO" localSheetId="17" hidden="1">{#N/A,#N/A,FALSE,"GRAFICO";#N/A,#N/A,FALSE,"CAJA (2)";#N/A,#N/A,FALSE,"TERCEROS-PROMEDIO";#N/A,#N/A,FALSE,"CAJA";#N/A,#N/A,FALSE,"INGRESOS1995-2003";#N/A,#N/A,FALSE,"GASTOS1995-2003"}</definedName>
    <definedName name="ESCENARIO" localSheetId="19" hidden="1">{#N/A,#N/A,FALSE,"GRAFICO";#N/A,#N/A,FALSE,"CAJA (2)";#N/A,#N/A,FALSE,"TERCEROS-PROMEDIO";#N/A,#N/A,FALSE,"CAJA";#N/A,#N/A,FALSE,"INGRESOS1995-2003";#N/A,#N/A,FALSE,"GASTOS1995-2003"}</definedName>
    <definedName name="ESCENARIO" localSheetId="11" hidden="1">{#N/A,#N/A,FALSE,"GRAFICO";#N/A,#N/A,FALSE,"CAJA (2)";#N/A,#N/A,FALSE,"TERCEROS-PROMEDIO";#N/A,#N/A,FALSE,"CAJA";#N/A,#N/A,FALSE,"INGRESOS1995-2003";#N/A,#N/A,FALSE,"GASTOS1995-2003"}</definedName>
    <definedName name="ESCENARIO" localSheetId="14" hidden="1">{#N/A,#N/A,FALSE,"GRAFICO";#N/A,#N/A,FALSE,"CAJA (2)";#N/A,#N/A,FALSE,"TERCEROS-PROMEDIO";#N/A,#N/A,FALSE,"CAJA";#N/A,#N/A,FALSE,"INGRESOS1995-2003";#N/A,#N/A,FALSE,"GASTOS1995-2003"}</definedName>
    <definedName name="ESCENARIO" localSheetId="16" hidden="1">{#N/A,#N/A,FALSE,"GRAFICO";#N/A,#N/A,FALSE,"CAJA (2)";#N/A,#N/A,FALSE,"TERCEROS-PROMEDIO";#N/A,#N/A,FALSE,"CAJA";#N/A,#N/A,FALSE,"INGRESOS1995-2003";#N/A,#N/A,FALSE,"GASTOS1995-2003"}</definedName>
    <definedName name="ESCENARIO" localSheetId="18"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15" hidden="1">{"PYGT",#N/A,FALSE,"PYG";"ACTIT",#N/A,FALSE,"BCE_GRAL-ACTIVO";"PASIT",#N/A,FALSE,"BCE_GRAL-PASIVO-PATRIM";"CAJAT",#N/A,FALSE,"CAJA"}</definedName>
    <definedName name="este" localSheetId="17" hidden="1">{"PYGT",#N/A,FALSE,"PYG";"ACTIT",#N/A,FALSE,"BCE_GRAL-ACTIVO";"PASIT",#N/A,FALSE,"BCE_GRAL-PASIVO-PATRIM";"CAJAT",#N/A,FALSE,"CAJA"}</definedName>
    <definedName name="este" localSheetId="19" hidden="1">{"PYGT",#N/A,FALSE,"PYG";"ACTIT",#N/A,FALSE,"BCE_GRAL-ACTIVO";"PASIT",#N/A,FALSE,"BCE_GRAL-PASIVO-PATRIM";"CAJAT",#N/A,FALSE,"CAJA"}</definedName>
    <definedName name="este" localSheetId="11" hidden="1">{"PYGT",#N/A,FALSE,"PYG";"ACTIT",#N/A,FALSE,"BCE_GRAL-ACTIVO";"PASIT",#N/A,FALSE,"BCE_GRAL-PASIVO-PATRIM";"CAJAT",#N/A,FALSE,"CAJA"}</definedName>
    <definedName name="este" localSheetId="14" hidden="1">{"PYGT",#N/A,FALSE,"PYG";"ACTIT",#N/A,FALSE,"BCE_GRAL-ACTIVO";"PASIT",#N/A,FALSE,"BCE_GRAL-PASIVO-PATRIM";"CAJAT",#N/A,FALSE,"CAJA"}</definedName>
    <definedName name="este" localSheetId="16" hidden="1">{"PYGT",#N/A,FALSE,"PYG";"ACTIT",#N/A,FALSE,"BCE_GRAL-ACTIVO";"PASIT",#N/A,FALSE,"BCE_GRAL-PASIVO-PATRIM";"CAJAT",#N/A,FALSE,"CAJA"}</definedName>
    <definedName name="este" localSheetId="18" hidden="1">{"PYGT",#N/A,FALSE,"PYG";"ACTIT",#N/A,FALSE,"BCE_GRAL-ACTIVO";"PASIT",#N/A,FALSE,"BCE_GRAL-PASIVO-PATRIM";"CAJAT",#N/A,FALSE,"CAJA"}</definedName>
    <definedName name="este" hidden="1">{"PYGT",#N/A,FALSE,"PYG";"ACTIT",#N/A,FALSE,"BCE_GRAL-ACTIVO";"PASIT",#N/A,FALSE,"BCE_GRAL-PASIVO-PATRIM";"CAJAT",#N/A,FALSE,"CAJA"}</definedName>
    <definedName name="ESTEWW" localSheetId="15" hidden="1">{#N/A,#N/A,FALSE,"GRAFICO";#N/A,#N/A,FALSE,"CAJA (2)";#N/A,#N/A,FALSE,"TERCEROS-PROMEDIO";#N/A,#N/A,FALSE,"CAJA";#N/A,#N/A,FALSE,"INGRESOS1995-2003";#N/A,#N/A,FALSE,"GASTOS1995-2003"}</definedName>
    <definedName name="ESTEWW" localSheetId="17" hidden="1">{#N/A,#N/A,FALSE,"GRAFICO";#N/A,#N/A,FALSE,"CAJA (2)";#N/A,#N/A,FALSE,"TERCEROS-PROMEDIO";#N/A,#N/A,FALSE,"CAJA";#N/A,#N/A,FALSE,"INGRESOS1995-2003";#N/A,#N/A,FALSE,"GASTOS1995-2003"}</definedName>
    <definedName name="ESTEWW" localSheetId="19" hidden="1">{#N/A,#N/A,FALSE,"GRAFICO";#N/A,#N/A,FALSE,"CAJA (2)";#N/A,#N/A,FALSE,"TERCEROS-PROMEDIO";#N/A,#N/A,FALSE,"CAJA";#N/A,#N/A,FALSE,"INGRESOS1995-2003";#N/A,#N/A,FALSE,"GASTOS1995-2003"}</definedName>
    <definedName name="ESTEWW" localSheetId="11" hidden="1">{#N/A,#N/A,FALSE,"GRAFICO";#N/A,#N/A,FALSE,"CAJA (2)";#N/A,#N/A,FALSE,"TERCEROS-PROMEDIO";#N/A,#N/A,FALSE,"CAJA";#N/A,#N/A,FALSE,"INGRESOS1995-2003";#N/A,#N/A,FALSE,"GASTOS1995-2003"}</definedName>
    <definedName name="ESTEWW" localSheetId="14" hidden="1">{#N/A,#N/A,FALSE,"GRAFICO";#N/A,#N/A,FALSE,"CAJA (2)";#N/A,#N/A,FALSE,"TERCEROS-PROMEDIO";#N/A,#N/A,FALSE,"CAJA";#N/A,#N/A,FALSE,"INGRESOS1995-2003";#N/A,#N/A,FALSE,"GASTOS1995-2003"}</definedName>
    <definedName name="ESTEWW" localSheetId="16" hidden="1">{#N/A,#N/A,FALSE,"GRAFICO";#N/A,#N/A,FALSE,"CAJA (2)";#N/A,#N/A,FALSE,"TERCEROS-PROMEDIO";#N/A,#N/A,FALSE,"CAJA";#N/A,#N/A,FALSE,"INGRESOS1995-2003";#N/A,#N/A,FALSE,"GASTOS1995-2003"}</definedName>
    <definedName name="ESTEWW" localSheetId="18"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5" hidden="1">{#N/A,#N/A,FALSE,"GRAFICO";#N/A,#N/A,FALSE,"CAJA (2)";#N/A,#N/A,FALSE,"TERCEROS-PROMEDIO";#N/A,#N/A,FALSE,"CAJA";#N/A,#N/A,FALSE,"INGRESOS1995-2003";#N/A,#N/A,FALSE,"GASTOS1995-2003"}</definedName>
    <definedName name="estre" localSheetId="17" hidden="1">{#N/A,#N/A,FALSE,"GRAFICO";#N/A,#N/A,FALSE,"CAJA (2)";#N/A,#N/A,FALSE,"TERCEROS-PROMEDIO";#N/A,#N/A,FALSE,"CAJA";#N/A,#N/A,FALSE,"INGRESOS1995-2003";#N/A,#N/A,FALSE,"GASTOS1995-2003"}</definedName>
    <definedName name="estre" localSheetId="19" hidden="1">{#N/A,#N/A,FALSE,"GRAFICO";#N/A,#N/A,FALSE,"CAJA (2)";#N/A,#N/A,FALSE,"TERCEROS-PROMEDIO";#N/A,#N/A,FALSE,"CAJA";#N/A,#N/A,FALSE,"INGRESOS1995-2003";#N/A,#N/A,FALSE,"GASTOS1995-2003"}</definedName>
    <definedName name="estre" localSheetId="11" hidden="1">{#N/A,#N/A,FALSE,"GRAFICO";#N/A,#N/A,FALSE,"CAJA (2)";#N/A,#N/A,FALSE,"TERCEROS-PROMEDIO";#N/A,#N/A,FALSE,"CAJA";#N/A,#N/A,FALSE,"INGRESOS1995-2003";#N/A,#N/A,FALSE,"GASTOS1995-2003"}</definedName>
    <definedName name="estre" localSheetId="14" hidden="1">{#N/A,#N/A,FALSE,"GRAFICO";#N/A,#N/A,FALSE,"CAJA (2)";#N/A,#N/A,FALSE,"TERCEROS-PROMEDIO";#N/A,#N/A,FALSE,"CAJA";#N/A,#N/A,FALSE,"INGRESOS1995-2003";#N/A,#N/A,FALSE,"GASTOS1995-2003"}</definedName>
    <definedName name="estre" localSheetId="16" hidden="1">{#N/A,#N/A,FALSE,"GRAFICO";#N/A,#N/A,FALSE,"CAJA (2)";#N/A,#N/A,FALSE,"TERCEROS-PROMEDIO";#N/A,#N/A,FALSE,"CAJA";#N/A,#N/A,FALSE,"INGRESOS1995-2003";#N/A,#N/A,FALSE,"GASTOS1995-2003"}</definedName>
    <definedName name="estre" localSheetId="18"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3" hidden="1">{#N/A,#N/A,TRUE,"INGENIERIA";#N/A,#N/A,TRUE,"COMPRAS";#N/A,#N/A,TRUE,"DIRECCION";#N/A,#N/A,TRUE,"RESUMEN"}</definedName>
    <definedName name="ESTRUCTURA" localSheetId="15" hidden="1">{#N/A,#N/A,TRUE,"INGENIERIA";#N/A,#N/A,TRUE,"COMPRAS";#N/A,#N/A,TRUE,"DIRECCION";#N/A,#N/A,TRUE,"RESUMEN"}</definedName>
    <definedName name="ESTRUCTURA" localSheetId="17" hidden="1">{#N/A,#N/A,TRUE,"INGENIERIA";#N/A,#N/A,TRUE,"COMPRAS";#N/A,#N/A,TRUE,"DIRECCION";#N/A,#N/A,TRUE,"RESUMEN"}</definedName>
    <definedName name="ESTRUCTURA" localSheetId="19" hidden="1">{#N/A,#N/A,TRUE,"INGENIERIA";#N/A,#N/A,TRUE,"COMPRAS";#N/A,#N/A,TRUE,"DIRECCION";#N/A,#N/A,TRUE,"RESUMEN"}</definedName>
    <definedName name="ESTRUCTURA" localSheetId="12"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7" hidden="1">{#N/A,#N/A,TRUE,"INGENIERIA";#N/A,#N/A,TRUE,"COMPRAS";#N/A,#N/A,TRUE,"DIRECCION";#N/A,#N/A,TRUE,"RESUMEN"}</definedName>
    <definedName name="ESTRUCTURA" localSheetId="10" hidden="1">{#N/A,#N/A,TRUE,"INGENIERIA";#N/A,#N/A,TRUE,"COMPRAS";#N/A,#N/A,TRUE,"DIRECCION";#N/A,#N/A,TRUE,"RESUMEN"}</definedName>
    <definedName name="ESTRUCTURA" localSheetId="0" hidden="1">{#N/A,#N/A,TRUE,"INGENIERIA";#N/A,#N/A,TRUE,"COMPRAS";#N/A,#N/A,TRUE,"DIRECCION";#N/A,#N/A,TRUE,"RESUMEN"}</definedName>
    <definedName name="ESTRUCTURA" localSheetId="11" hidden="1">{#N/A,#N/A,TRUE,"INGENIERIA";#N/A,#N/A,TRUE,"COMPRAS";#N/A,#N/A,TRUE,"DIRECCION";#N/A,#N/A,TRUE,"RESUMEN"}</definedName>
    <definedName name="ESTRUCTURA" localSheetId="6" hidden="1">{#N/A,#N/A,TRUE,"INGENIERIA";#N/A,#N/A,TRUE,"COMPRAS";#N/A,#N/A,TRUE,"DIRECCION";#N/A,#N/A,TRUE,"RESUMEN"}</definedName>
    <definedName name="ESTRUCTURA" localSheetId="4" hidden="1">{#N/A,#N/A,TRUE,"INGENIERIA";#N/A,#N/A,TRUE,"COMPRAS";#N/A,#N/A,TRUE,"DIRECCION";#N/A,#N/A,TRUE,"RESUMEN"}</definedName>
    <definedName name="ESTRUCTURA" localSheetId="1" hidden="1">{#N/A,#N/A,TRUE,"INGENIERIA";#N/A,#N/A,TRUE,"COMPRAS";#N/A,#N/A,TRUE,"DIRECCION";#N/A,#N/A,TRUE,"RESUMEN"}</definedName>
    <definedName name="ESTRUCTURA" localSheetId="14" hidden="1">{#N/A,#N/A,TRUE,"INGENIERIA";#N/A,#N/A,TRUE,"COMPRAS";#N/A,#N/A,TRUE,"DIRECCION";#N/A,#N/A,TRUE,"RESUMEN"}</definedName>
    <definedName name="ESTRUCTURA" localSheetId="16" hidden="1">{#N/A,#N/A,TRUE,"INGENIERIA";#N/A,#N/A,TRUE,"COMPRAS";#N/A,#N/A,TRUE,"DIRECCION";#N/A,#N/A,TRUE,"RESUMEN"}</definedName>
    <definedName name="ESTRUCTURA" localSheetId="18"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RUCTURA_1" localSheetId="15" hidden="1">{#N/A,#N/A,TRUE,"INGENIERIA";#N/A,#N/A,TRUE,"COMPRAS";#N/A,#N/A,TRUE,"DIRECCION";#N/A,#N/A,TRUE,"RESUMEN"}</definedName>
    <definedName name="ESTRUCTURA_1" localSheetId="17" hidden="1">{#N/A,#N/A,TRUE,"INGENIERIA";#N/A,#N/A,TRUE,"COMPRAS";#N/A,#N/A,TRUE,"DIRECCION";#N/A,#N/A,TRUE,"RESUMEN"}</definedName>
    <definedName name="ESTRUCTURA_1" localSheetId="19" hidden="1">{#N/A,#N/A,TRUE,"INGENIERIA";#N/A,#N/A,TRUE,"COMPRAS";#N/A,#N/A,TRUE,"DIRECCION";#N/A,#N/A,TRUE,"RESUMEN"}</definedName>
    <definedName name="ESTRUCTURA_1" localSheetId="11" hidden="1">{#N/A,#N/A,TRUE,"INGENIERIA";#N/A,#N/A,TRUE,"COMPRAS";#N/A,#N/A,TRUE,"DIRECCION";#N/A,#N/A,TRUE,"RESUMEN"}</definedName>
    <definedName name="ESTRUCTURA_1" localSheetId="14" hidden="1">{#N/A,#N/A,TRUE,"INGENIERIA";#N/A,#N/A,TRUE,"COMPRAS";#N/A,#N/A,TRUE,"DIRECCION";#N/A,#N/A,TRUE,"RESUMEN"}</definedName>
    <definedName name="ESTRUCTURA_1" localSheetId="16" hidden="1">{#N/A,#N/A,TRUE,"INGENIERIA";#N/A,#N/A,TRUE,"COMPRAS";#N/A,#N/A,TRUE,"DIRECCION";#N/A,#N/A,TRUE,"RESUMEN"}</definedName>
    <definedName name="ESTRUCTURA_1" localSheetId="18" hidden="1">{#N/A,#N/A,TRUE,"INGENIERIA";#N/A,#N/A,TRUE,"COMPRAS";#N/A,#N/A,TRUE,"DIRECCION";#N/A,#N/A,TRUE,"RESUMEN"}</definedName>
    <definedName name="ESTRUCTURA_1" hidden="1">{#N/A,#N/A,TRUE,"INGENIERIA";#N/A,#N/A,TRUE,"COMPRAS";#N/A,#N/A,TRUE,"DIRECCION";#N/A,#N/A,TRUE,"RESUMEN"}</definedName>
    <definedName name="ESTRUCTURA_2" localSheetId="15" hidden="1">{#N/A,#N/A,TRUE,"INGENIERIA";#N/A,#N/A,TRUE,"COMPRAS";#N/A,#N/A,TRUE,"DIRECCION";#N/A,#N/A,TRUE,"RESUMEN"}</definedName>
    <definedName name="ESTRUCTURA_2" localSheetId="17" hidden="1">{#N/A,#N/A,TRUE,"INGENIERIA";#N/A,#N/A,TRUE,"COMPRAS";#N/A,#N/A,TRUE,"DIRECCION";#N/A,#N/A,TRUE,"RESUMEN"}</definedName>
    <definedName name="ESTRUCTURA_2" localSheetId="19" hidden="1">{#N/A,#N/A,TRUE,"INGENIERIA";#N/A,#N/A,TRUE,"COMPRAS";#N/A,#N/A,TRUE,"DIRECCION";#N/A,#N/A,TRUE,"RESUMEN"}</definedName>
    <definedName name="ESTRUCTURA_2" localSheetId="11" hidden="1">{#N/A,#N/A,TRUE,"INGENIERIA";#N/A,#N/A,TRUE,"COMPRAS";#N/A,#N/A,TRUE,"DIRECCION";#N/A,#N/A,TRUE,"RESUMEN"}</definedName>
    <definedName name="ESTRUCTURA_2" localSheetId="14" hidden="1">{#N/A,#N/A,TRUE,"INGENIERIA";#N/A,#N/A,TRUE,"COMPRAS";#N/A,#N/A,TRUE,"DIRECCION";#N/A,#N/A,TRUE,"RESUMEN"}</definedName>
    <definedName name="ESTRUCTURA_2" localSheetId="16" hidden="1">{#N/A,#N/A,TRUE,"INGENIERIA";#N/A,#N/A,TRUE,"COMPRAS";#N/A,#N/A,TRUE,"DIRECCION";#N/A,#N/A,TRUE,"RESUMEN"}</definedName>
    <definedName name="ESTRUCTURA_2" localSheetId="18" hidden="1">{#N/A,#N/A,TRUE,"INGENIERIA";#N/A,#N/A,TRUE,"COMPRAS";#N/A,#N/A,TRUE,"DIRECCION";#N/A,#N/A,TRUE,"RESUMEN"}</definedName>
    <definedName name="ESTRUCTURA_2" hidden="1">{#N/A,#N/A,TRUE,"INGENIERIA";#N/A,#N/A,TRUE,"COMPRAS";#N/A,#N/A,TRUE,"DIRECCION";#N/A,#N/A,TRUE,"RESUMEN"}</definedName>
    <definedName name="etertgg" localSheetId="15" hidden="1">{"via1",#N/A,TRUE,"general";"via2",#N/A,TRUE,"general";"via3",#N/A,TRUE,"general"}</definedName>
    <definedName name="etertgg" localSheetId="17" hidden="1">{"via1",#N/A,TRUE,"general";"via2",#N/A,TRUE,"general";"via3",#N/A,TRUE,"general"}</definedName>
    <definedName name="etertgg" localSheetId="19" hidden="1">{"via1",#N/A,TRUE,"general";"via2",#N/A,TRUE,"general";"via3",#N/A,TRUE,"general"}</definedName>
    <definedName name="etertgg" localSheetId="12"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4" hidden="1">{"via1",#N/A,TRUE,"general";"via2",#N/A,TRUE,"general";"via3",#N/A,TRUE,"general"}</definedName>
    <definedName name="etertgg" localSheetId="1" hidden="1">{"via1",#N/A,TRUE,"general";"via2",#N/A,TRUE,"general";"via3",#N/A,TRUE,"general"}</definedName>
    <definedName name="etertgg" localSheetId="14" hidden="1">{"via1",#N/A,TRUE,"general";"via2",#N/A,TRUE,"general";"via3",#N/A,TRUE,"general"}</definedName>
    <definedName name="etertgg" localSheetId="16" hidden="1">{"via1",#N/A,TRUE,"general";"via2",#N/A,TRUE,"general";"via3",#N/A,TRUE,"general"}</definedName>
    <definedName name="etertgg" localSheetId="18" hidden="1">{"via1",#N/A,TRUE,"general";"via2",#N/A,TRUE,"general";"via3",#N/A,TRUE,"general"}</definedName>
    <definedName name="etertgg" hidden="1">{"via1",#N/A,TRUE,"general";"via2",#N/A,TRUE,"general";"via3",#N/A,TRUE,"general"}</definedName>
    <definedName name="etertt" localSheetId="12" hidden="1">{#N/A,#N/A,TRUE,"1842CWN0"}</definedName>
    <definedName name="etertt" localSheetId="8" hidden="1">{#N/A,#N/A,TRUE,"1842CWN0"}</definedName>
    <definedName name="etertt" localSheetId="9" hidden="1">{#N/A,#N/A,TRUE,"1842CWN0"}</definedName>
    <definedName name="etertt" localSheetId="7" hidden="1">{#N/A,#N/A,TRUE,"1842CWN0"}</definedName>
    <definedName name="etertt" localSheetId="10" hidden="1">{#N/A,#N/A,TRUE,"1842CWN0"}</definedName>
    <definedName name="etertt" localSheetId="1" hidden="1">{#N/A,#N/A,TRUE,"1842CWN0"}</definedName>
    <definedName name="etertt" hidden="1">{#N/A,#N/A,TRUE,"1842CWN0"}</definedName>
    <definedName name="etewt" localSheetId="15"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4" hidden="1">{"TAB1",#N/A,TRUE,"GENERAL";"TAB2",#N/A,TRUE,"GENERAL";"TAB3",#N/A,TRUE,"GENERAL";"TAB4",#N/A,TRUE,"GENERAL";"TAB5",#N/A,TRUE,"GENERAL"}</definedName>
    <definedName name="etewt" localSheetId="1"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8" hidden="1">{"TAB1",#N/A,TRUE,"GENERAL";"TAB2",#N/A,TRUE,"GENERAL";"TAB3",#N/A,TRUE,"GENERAL";"TAB4",#N/A,TRUE,"GENERAL";"TAB5",#N/A,TRUE,"GENERAL"}</definedName>
    <definedName name="etewt" hidden="1">{"TAB1",#N/A,TRUE,"GENERAL";"TAB2",#N/A,TRUE,"GENERAL";"TAB3",#N/A,TRUE,"GENERAL";"TAB4",#N/A,TRUE,"GENERAL";"TAB5",#N/A,TRUE,"GENERAL"}</definedName>
    <definedName name="etu" localSheetId="15" hidden="1">{"via1",#N/A,TRUE,"general";"via2",#N/A,TRUE,"general";"via3",#N/A,TRUE,"general"}</definedName>
    <definedName name="etu" localSheetId="17" hidden="1">{"via1",#N/A,TRUE,"general";"via2",#N/A,TRUE,"general";"via3",#N/A,TRUE,"general"}</definedName>
    <definedName name="etu" localSheetId="19" hidden="1">{"via1",#N/A,TRUE,"general";"via2",#N/A,TRUE,"general";"via3",#N/A,TRUE,"general"}</definedName>
    <definedName name="etu" localSheetId="12"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4" hidden="1">{"via1",#N/A,TRUE,"general";"via2",#N/A,TRUE,"general";"via3",#N/A,TRUE,"general"}</definedName>
    <definedName name="etu" localSheetId="1" hidden="1">{"via1",#N/A,TRUE,"general";"via2",#N/A,TRUE,"general";"via3",#N/A,TRUE,"general"}</definedName>
    <definedName name="etu" localSheetId="14" hidden="1">{"via1",#N/A,TRUE,"general";"via2",#N/A,TRUE,"general";"via3",#N/A,TRUE,"general"}</definedName>
    <definedName name="etu" localSheetId="16" hidden="1">{"via1",#N/A,TRUE,"general";"via2",#N/A,TRUE,"general";"via3",#N/A,TRUE,"general"}</definedName>
    <definedName name="etu" localSheetId="18" hidden="1">{"via1",#N/A,TRUE,"general";"via2",#N/A,TRUE,"general";"via3",#N/A,TRUE,"general"}</definedName>
    <definedName name="etu" hidden="1">{"via1",#N/A,TRUE,"general";"via2",#N/A,TRUE,"general";"via3",#N/A,TRUE,"general"}</definedName>
    <definedName name="etueh" localSheetId="15" hidden="1">{"via1",#N/A,TRUE,"general";"via2",#N/A,TRUE,"general";"via3",#N/A,TRUE,"general"}</definedName>
    <definedName name="etueh" localSheetId="17" hidden="1">{"via1",#N/A,TRUE,"general";"via2",#N/A,TRUE,"general";"via3",#N/A,TRUE,"general"}</definedName>
    <definedName name="etueh" localSheetId="19" hidden="1">{"via1",#N/A,TRUE,"general";"via2",#N/A,TRUE,"general";"via3",#N/A,TRUE,"general"}</definedName>
    <definedName name="etueh" localSheetId="12"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4" hidden="1">{"via1",#N/A,TRUE,"general";"via2",#N/A,TRUE,"general";"via3",#N/A,TRUE,"general"}</definedName>
    <definedName name="etueh" localSheetId="1" hidden="1">{"via1",#N/A,TRUE,"general";"via2",#N/A,TRUE,"general";"via3",#N/A,TRUE,"general"}</definedName>
    <definedName name="etueh" localSheetId="14" hidden="1">{"via1",#N/A,TRUE,"general";"via2",#N/A,TRUE,"general";"via3",#N/A,TRUE,"general"}</definedName>
    <definedName name="etueh" localSheetId="16" hidden="1">{"via1",#N/A,TRUE,"general";"via2",#N/A,TRUE,"general";"via3",#N/A,TRUE,"general"}</definedName>
    <definedName name="etueh" localSheetId="18" hidden="1">{"via1",#N/A,TRUE,"general";"via2",#N/A,TRUE,"general";"via3",#N/A,TRUE,"general"}</definedName>
    <definedName name="etueh" hidden="1">{"via1",#N/A,TRUE,"general";"via2",#N/A,TRUE,"general";"via3",#N/A,TRUE,"general"}</definedName>
    <definedName name="etyty" localSheetId="15" hidden="1">{"via1",#N/A,TRUE,"general";"via2",#N/A,TRUE,"general";"via3",#N/A,TRUE,"general"}</definedName>
    <definedName name="etyty" localSheetId="17" hidden="1">{"via1",#N/A,TRUE,"general";"via2",#N/A,TRUE,"general";"via3",#N/A,TRUE,"general"}</definedName>
    <definedName name="etyty" localSheetId="19" hidden="1">{"via1",#N/A,TRUE,"general";"via2",#N/A,TRUE,"general";"via3",#N/A,TRUE,"general"}</definedName>
    <definedName name="etyty" localSheetId="12"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4" hidden="1">{"via1",#N/A,TRUE,"general";"via2",#N/A,TRUE,"general";"via3",#N/A,TRUE,"general"}</definedName>
    <definedName name="etyty" localSheetId="1" hidden="1">{"via1",#N/A,TRUE,"general";"via2",#N/A,TRUE,"general";"via3",#N/A,TRUE,"general"}</definedName>
    <definedName name="etyty" localSheetId="14" hidden="1">{"via1",#N/A,TRUE,"general";"via2",#N/A,TRUE,"general";"via3",#N/A,TRUE,"general"}</definedName>
    <definedName name="etyty" localSheetId="16" hidden="1">{"via1",#N/A,TRUE,"general";"via2",#N/A,TRUE,"general";"via3",#N/A,TRUE,"general"}</definedName>
    <definedName name="etyty" localSheetId="18" hidden="1">{"via1",#N/A,TRUE,"general";"via2",#N/A,TRUE,"general";"via3",#N/A,TRUE,"general"}</definedName>
    <definedName name="etyty" hidden="1">{"via1",#N/A,TRUE,"general";"via2",#N/A,TRUE,"general";"via3",#N/A,TRUE,"general"}</definedName>
    <definedName name="etyu" localSheetId="15" hidden="1">{"TAB1",#N/A,TRUE,"GENERAL";"TAB2",#N/A,TRUE,"GENERAL";"TAB3",#N/A,TRUE,"GENERAL";"TAB4",#N/A,TRUE,"GENERAL";"TAB5",#N/A,TRUE,"GENERAL"}</definedName>
    <definedName name="etyu" localSheetId="17" hidden="1">{"TAB1",#N/A,TRUE,"GENERAL";"TAB2",#N/A,TRUE,"GENERAL";"TAB3",#N/A,TRUE,"GENERAL";"TAB4",#N/A,TRUE,"GENERAL";"TAB5",#N/A,TRUE,"GENERAL"}</definedName>
    <definedName name="etyu" localSheetId="19" hidden="1">{"TAB1",#N/A,TRUE,"GENERAL";"TAB2",#N/A,TRUE,"GENERAL";"TAB3",#N/A,TRUE,"GENERAL";"TAB4",#N/A,TRUE,"GENERAL";"TAB5",#N/A,TRUE,"GENERAL"}</definedName>
    <definedName name="etyu" localSheetId="12"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4" hidden="1">{"TAB1",#N/A,TRUE,"GENERAL";"TAB2",#N/A,TRUE,"GENERAL";"TAB3",#N/A,TRUE,"GENERAL";"TAB4",#N/A,TRUE,"GENERAL";"TAB5",#N/A,TRUE,"GENERAL"}</definedName>
    <definedName name="etyu" localSheetId="1" hidden="1">{"TAB1",#N/A,TRUE,"GENERAL";"TAB2",#N/A,TRUE,"GENERAL";"TAB3",#N/A,TRUE,"GENERAL";"TAB4",#N/A,TRUE,"GENERAL";"TAB5",#N/A,TRUE,"GENERAL"}</definedName>
    <definedName name="etyu" localSheetId="14" hidden="1">{"TAB1",#N/A,TRUE,"GENERAL";"TAB2",#N/A,TRUE,"GENERAL";"TAB3",#N/A,TRUE,"GENERAL";"TAB4",#N/A,TRUE,"GENERAL";"TAB5",#N/A,TRUE,"GENERAL"}</definedName>
    <definedName name="etyu" localSheetId="16" hidden="1">{"TAB1",#N/A,TRUE,"GENERAL";"TAB2",#N/A,TRUE,"GENERAL";"TAB3",#N/A,TRUE,"GENERAL";"TAB4",#N/A,TRUE,"GENERAL";"TAB5",#N/A,TRUE,"GENERAL"}</definedName>
    <definedName name="etyu" localSheetId="18" hidden="1">{"TAB1",#N/A,TRUE,"GENERAL";"TAB2",#N/A,TRUE,"GENERAL";"TAB3",#N/A,TRUE,"GENERAL";"TAB4",#N/A,TRUE,"GENERAL";"TAB5",#N/A,TRUE,"GENERAL"}</definedName>
    <definedName name="etyu" hidden="1">{"TAB1",#N/A,TRUE,"GENERAL";"TAB2",#N/A,TRUE,"GENERAL";"TAB3",#N/A,TRUE,"GENERAL";"TAB4",#N/A,TRUE,"GENERAL";"TAB5",#N/A,TRUE,"GENERAL"}</definedName>
    <definedName name="eu" localSheetId="15" hidden="1">{"via1",#N/A,TRUE,"general";"via2",#N/A,TRUE,"general";"via3",#N/A,TRUE,"general"}</definedName>
    <definedName name="eu" localSheetId="17" hidden="1">{"via1",#N/A,TRUE,"general";"via2",#N/A,TRUE,"general";"via3",#N/A,TRUE,"general"}</definedName>
    <definedName name="eu" localSheetId="19" hidden="1">{"via1",#N/A,TRUE,"general";"via2",#N/A,TRUE,"general";"via3",#N/A,TRUE,"general"}</definedName>
    <definedName name="eu" localSheetId="12"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4" hidden="1">{"via1",#N/A,TRUE,"general";"via2",#N/A,TRUE,"general";"via3",#N/A,TRUE,"general"}</definedName>
    <definedName name="eu" localSheetId="1" hidden="1">{"via1",#N/A,TRUE,"general";"via2",#N/A,TRUE,"general";"via3",#N/A,TRUE,"general"}</definedName>
    <definedName name="eu" localSheetId="14" hidden="1">{"via1",#N/A,TRUE,"general";"via2",#N/A,TRUE,"general";"via3",#N/A,TRUE,"general"}</definedName>
    <definedName name="eu" localSheetId="16" hidden="1">{"via1",#N/A,TRUE,"general";"via2",#N/A,TRUE,"general";"via3",#N/A,TRUE,"general"}</definedName>
    <definedName name="eu" localSheetId="18" hidden="1">{"via1",#N/A,TRUE,"general";"via2",#N/A,TRUE,"general";"via3",#N/A,TRUE,"general"}</definedName>
    <definedName name="eu" hidden="1">{"via1",#N/A,TRUE,"general";"via2",#N/A,TRUE,"general";"via3",#N/A,TRUE,"general"}</definedName>
    <definedName name="eut" localSheetId="15" hidden="1">{"via1",#N/A,TRUE,"general";"via2",#N/A,TRUE,"general";"via3",#N/A,TRUE,"general"}</definedName>
    <definedName name="eut" localSheetId="17" hidden="1">{"via1",#N/A,TRUE,"general";"via2",#N/A,TRUE,"general";"via3",#N/A,TRUE,"general"}</definedName>
    <definedName name="eut" localSheetId="19" hidden="1">{"via1",#N/A,TRUE,"general";"via2",#N/A,TRUE,"general";"via3",#N/A,TRUE,"general"}</definedName>
    <definedName name="eut" localSheetId="12"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4" hidden="1">{"via1",#N/A,TRUE,"general";"via2",#N/A,TRUE,"general";"via3",#N/A,TRUE,"general"}</definedName>
    <definedName name="eut" localSheetId="1" hidden="1">{"via1",#N/A,TRUE,"general";"via2",#N/A,TRUE,"general";"via3",#N/A,TRUE,"general"}</definedName>
    <definedName name="eut" localSheetId="14" hidden="1">{"via1",#N/A,TRUE,"general";"via2",#N/A,TRUE,"general";"via3",#N/A,TRUE,"general"}</definedName>
    <definedName name="eut" localSheetId="16" hidden="1">{"via1",#N/A,TRUE,"general";"via2",#N/A,TRUE,"general";"via3",#N/A,TRUE,"general"}</definedName>
    <definedName name="eut" localSheetId="18" hidden="1">{"via1",#N/A,TRUE,"general";"via2",#N/A,TRUE,"general";"via3",#N/A,TRUE,"general"}</definedName>
    <definedName name="eut" hidden="1">{"via1",#N/A,TRUE,"general";"via2",#N/A,TRUE,"general";"via3",#N/A,TRUE,"general"}</definedName>
    <definedName name="euyt" localSheetId="15" hidden="1">{"TAB1",#N/A,TRUE,"GENERAL";"TAB2",#N/A,TRUE,"GENERAL";"TAB3",#N/A,TRUE,"GENERAL";"TAB4",#N/A,TRUE,"GENERAL";"TAB5",#N/A,TRUE,"GENERAL"}</definedName>
    <definedName name="euyt" localSheetId="17" hidden="1">{"TAB1",#N/A,TRUE,"GENERAL";"TAB2",#N/A,TRUE,"GENERAL";"TAB3",#N/A,TRUE,"GENERAL";"TAB4",#N/A,TRUE,"GENERAL";"TAB5",#N/A,TRUE,"GENERAL"}</definedName>
    <definedName name="euyt" localSheetId="19" hidden="1">{"TAB1",#N/A,TRUE,"GENERAL";"TAB2",#N/A,TRUE,"GENERAL";"TAB3",#N/A,TRUE,"GENERAL";"TAB4",#N/A,TRUE,"GENERAL";"TAB5",#N/A,TRUE,"GENERAL"}</definedName>
    <definedName name="euyt" localSheetId="12"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4" hidden="1">{"TAB1",#N/A,TRUE,"GENERAL";"TAB2",#N/A,TRUE,"GENERAL";"TAB3",#N/A,TRUE,"GENERAL";"TAB4",#N/A,TRUE,"GENERAL";"TAB5",#N/A,TRUE,"GENERAL"}</definedName>
    <definedName name="euyt" localSheetId="1" hidden="1">{"TAB1",#N/A,TRUE,"GENERAL";"TAB2",#N/A,TRUE,"GENERAL";"TAB3",#N/A,TRUE,"GENERAL";"TAB4",#N/A,TRUE,"GENERAL";"TAB5",#N/A,TRUE,"GENERAL"}</definedName>
    <definedName name="euyt" localSheetId="14" hidden="1">{"TAB1",#N/A,TRUE,"GENERAL";"TAB2",#N/A,TRUE,"GENERAL";"TAB3",#N/A,TRUE,"GENERAL";"TAB4",#N/A,TRUE,"GENERAL";"TAB5",#N/A,TRUE,"GENERAL"}</definedName>
    <definedName name="euyt" localSheetId="16" hidden="1">{"TAB1",#N/A,TRUE,"GENERAL";"TAB2",#N/A,TRUE,"GENERAL";"TAB3",#N/A,TRUE,"GENERAL";"TAB4",#N/A,TRUE,"GENERAL";"TAB5",#N/A,TRUE,"GENERAL"}</definedName>
    <definedName name="euyt" localSheetId="18" hidden="1">{"TAB1",#N/A,TRUE,"GENERAL";"TAB2",#N/A,TRUE,"GENERAL";"TAB3",#N/A,TRUE,"GENERAL";"TAB4",#N/A,TRUE,"GENERAL";"TAB5",#N/A,TRUE,"GENERAL"}</definedName>
    <definedName name="euyt"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4" hidden="1">{"TAB1",#N/A,TRUE,"GENERAL";"TAB2",#N/A,TRUE,"GENERAL";"TAB3",#N/A,TRUE,"GENERAL";"TAB4",#N/A,TRUE,"GENERAL";"TAB5",#N/A,TRUE,"GENERAL"}</definedName>
    <definedName name="ewegt" localSheetId="1"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8" hidden="1">{"TAB1",#N/A,TRUE,"GENERAL";"TAB2",#N/A,TRUE,"GENERAL";"TAB3",#N/A,TRUE,"GENERAL";"TAB4",#N/A,TRUE,"GENERAL";"TAB5",#N/A,TRUE,"GENERAL"}</definedName>
    <definedName name="ewegt"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8" hidden="1">{"TAB1",#N/A,TRUE,"GENERAL";"TAB2",#N/A,TRUE,"GENERAL";"TAB3",#N/A,TRUE,"GENERAL";"TAB4",#N/A,TRUE,"GENERAL";"TAB5",#N/A,TRUE,"GENERAL"}</definedName>
    <definedName name="ewfewfg" hidden="1">{"TAB1",#N/A,TRUE,"GENERAL";"TAB2",#N/A,TRUE,"GENERAL";"TAB3",#N/A,TRUE,"GENERAL";"TAB4",#N/A,TRUE,"GENERAL";"TAB5",#N/A,TRUE,"GENERAL"}</definedName>
    <definedName name="ewre" localSheetId="15" hidden="1">{"TAB1",#N/A,TRUE,"GENERAL";"TAB2",#N/A,TRUE,"GENERAL";"TAB3",#N/A,TRUE,"GENERAL";"TAB4",#N/A,TRUE,"GENERAL";"TAB5",#N/A,TRUE,"GENERAL"}</definedName>
    <definedName name="ewre" localSheetId="17" hidden="1">{"TAB1",#N/A,TRUE,"GENERAL";"TAB2",#N/A,TRUE,"GENERAL";"TAB3",#N/A,TRUE,"GENERAL";"TAB4",#N/A,TRUE,"GENERAL";"TAB5",#N/A,TRUE,"GENERAL"}</definedName>
    <definedName name="ewre" localSheetId="19" hidden="1">{"TAB1",#N/A,TRUE,"GENERAL";"TAB2",#N/A,TRUE,"GENERAL";"TAB3",#N/A,TRUE,"GENERAL";"TAB4",#N/A,TRUE,"GENERAL";"TAB5",#N/A,TRUE,"GENERAL"}</definedName>
    <definedName name="ewre" localSheetId="12"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4" hidden="1">{"TAB1",#N/A,TRUE,"GENERAL";"TAB2",#N/A,TRUE,"GENERAL";"TAB3",#N/A,TRUE,"GENERAL";"TAB4",#N/A,TRUE,"GENERAL";"TAB5",#N/A,TRUE,"GENERAL"}</definedName>
    <definedName name="ewre" localSheetId="1" hidden="1">{"TAB1",#N/A,TRUE,"GENERAL";"TAB2",#N/A,TRUE,"GENERAL";"TAB3",#N/A,TRUE,"GENERAL";"TAB4",#N/A,TRUE,"GENERAL";"TAB5",#N/A,TRUE,"GENERAL"}</definedName>
    <definedName name="ewre" localSheetId="14" hidden="1">{"TAB1",#N/A,TRUE,"GENERAL";"TAB2",#N/A,TRUE,"GENERAL";"TAB3",#N/A,TRUE,"GENERAL";"TAB4",#N/A,TRUE,"GENERAL";"TAB5",#N/A,TRUE,"GENERAL"}</definedName>
    <definedName name="ewre" localSheetId="16" hidden="1">{"TAB1",#N/A,TRUE,"GENERAL";"TAB2",#N/A,TRUE,"GENERAL";"TAB3",#N/A,TRUE,"GENERAL";"TAB4",#N/A,TRUE,"GENERAL";"TAB5",#N/A,TRUE,"GENERAL"}</definedName>
    <definedName name="ewre" localSheetId="18" hidden="1">{"TAB1",#N/A,TRUE,"GENERAL";"TAB2",#N/A,TRUE,"GENERAL";"TAB3",#N/A,TRUE,"GENERAL";"TAB4",#N/A,TRUE,"GENERAL";"TAB5",#N/A,TRUE,"GENERAL"}</definedName>
    <definedName name="ewre"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8" hidden="1">{"TAB1",#N/A,TRUE,"GENERAL";"TAB2",#N/A,TRUE,"GENERAL";"TAB3",#N/A,TRUE,"GENERAL";"TAB4",#N/A,TRUE,"GENERAL";"TAB5",#N/A,TRUE,"GENERAL"}</definedName>
    <definedName name="ewrewf" hidden="1">{"TAB1",#N/A,TRUE,"GENERAL";"TAB2",#N/A,TRUE,"GENERAL";"TAB3",#N/A,TRUE,"GENERAL";"TAB4",#N/A,TRUE,"GENERAL";"TAB5",#N/A,TRUE,"GENERAL"}</definedName>
    <definedName name="ewrr" localSheetId="15" hidden="1">{"TAB1",#N/A,TRUE,"GENERAL";"TAB2",#N/A,TRUE,"GENERAL";"TAB3",#N/A,TRUE,"GENERAL";"TAB4",#N/A,TRUE,"GENERAL";"TAB5",#N/A,TRUE,"GENERAL"}</definedName>
    <definedName name="ewrr" localSheetId="17" hidden="1">{"TAB1",#N/A,TRUE,"GENERAL";"TAB2",#N/A,TRUE,"GENERAL";"TAB3",#N/A,TRUE,"GENERAL";"TAB4",#N/A,TRUE,"GENERAL";"TAB5",#N/A,TRUE,"GENERAL"}</definedName>
    <definedName name="ewrr" localSheetId="19" hidden="1">{"TAB1",#N/A,TRUE,"GENERAL";"TAB2",#N/A,TRUE,"GENERAL";"TAB3",#N/A,TRUE,"GENERAL";"TAB4",#N/A,TRUE,"GENERAL";"TAB5",#N/A,TRUE,"GENERAL"}</definedName>
    <definedName name="ewrr" localSheetId="12"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4" hidden="1">{"TAB1",#N/A,TRUE,"GENERAL";"TAB2",#N/A,TRUE,"GENERAL";"TAB3",#N/A,TRUE,"GENERAL";"TAB4",#N/A,TRUE,"GENERAL";"TAB5",#N/A,TRUE,"GENERAL"}</definedName>
    <definedName name="ewrr" localSheetId="1" hidden="1">{"TAB1",#N/A,TRUE,"GENERAL";"TAB2",#N/A,TRUE,"GENERAL";"TAB3",#N/A,TRUE,"GENERAL";"TAB4",#N/A,TRUE,"GENERAL";"TAB5",#N/A,TRUE,"GENERAL"}</definedName>
    <definedName name="ewrr" localSheetId="14" hidden="1">{"TAB1",#N/A,TRUE,"GENERAL";"TAB2",#N/A,TRUE,"GENERAL";"TAB3",#N/A,TRUE,"GENERAL";"TAB4",#N/A,TRUE,"GENERAL";"TAB5",#N/A,TRUE,"GENERAL"}</definedName>
    <definedName name="ewrr" localSheetId="16" hidden="1">{"TAB1",#N/A,TRUE,"GENERAL";"TAB2",#N/A,TRUE,"GENERAL";"TAB3",#N/A,TRUE,"GENERAL";"TAB4",#N/A,TRUE,"GENERAL";"TAB5",#N/A,TRUE,"GENERAL"}</definedName>
    <definedName name="ewrr" localSheetId="18" hidden="1">{"TAB1",#N/A,TRUE,"GENERAL";"TAB2",#N/A,TRUE,"GENERAL";"TAB3",#N/A,TRUE,"GENERAL";"TAB4",#N/A,TRUE,"GENERAL";"TAB5",#N/A,TRUE,"GENERAL"}</definedName>
    <definedName name="ewrr" hidden="1">{"TAB1",#N/A,TRUE,"GENERAL";"TAB2",#N/A,TRUE,"GENERAL";"TAB3",#N/A,TRUE,"GENERAL";"TAB4",#N/A,TRUE,"GENERAL";"TAB5",#N/A,TRUE,"GENERAL"}</definedName>
    <definedName name="ewrt" localSheetId="15" hidden="1">{"TAB1",#N/A,TRUE,"GENERAL";"TAB2",#N/A,TRUE,"GENERAL";"TAB3",#N/A,TRUE,"GENERAL";"TAB4",#N/A,TRUE,"GENERAL";"TAB5",#N/A,TRUE,"GENERAL"}</definedName>
    <definedName name="ewrt" localSheetId="17" hidden="1">{"TAB1",#N/A,TRUE,"GENERAL";"TAB2",#N/A,TRUE,"GENERAL";"TAB3",#N/A,TRUE,"GENERAL";"TAB4",#N/A,TRUE,"GENERAL";"TAB5",#N/A,TRUE,"GENERAL"}</definedName>
    <definedName name="ewrt" localSheetId="19" hidden="1">{"TAB1",#N/A,TRUE,"GENERAL";"TAB2",#N/A,TRUE,"GENERAL";"TAB3",#N/A,TRUE,"GENERAL";"TAB4",#N/A,TRUE,"GENERAL";"TAB5",#N/A,TRUE,"GENERAL"}</definedName>
    <definedName name="ewrt" localSheetId="12"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4" hidden="1">{"TAB1",#N/A,TRUE,"GENERAL";"TAB2",#N/A,TRUE,"GENERAL";"TAB3",#N/A,TRUE,"GENERAL";"TAB4",#N/A,TRUE,"GENERAL";"TAB5",#N/A,TRUE,"GENERAL"}</definedName>
    <definedName name="ewrt" localSheetId="1" hidden="1">{"TAB1",#N/A,TRUE,"GENERAL";"TAB2",#N/A,TRUE,"GENERAL";"TAB3",#N/A,TRUE,"GENERAL";"TAB4",#N/A,TRUE,"GENERAL";"TAB5",#N/A,TRUE,"GENERAL"}</definedName>
    <definedName name="ewrt" localSheetId="14" hidden="1">{"TAB1",#N/A,TRUE,"GENERAL";"TAB2",#N/A,TRUE,"GENERAL";"TAB3",#N/A,TRUE,"GENERAL";"TAB4",#N/A,TRUE,"GENERAL";"TAB5",#N/A,TRUE,"GENERAL"}</definedName>
    <definedName name="ewrt" localSheetId="16" hidden="1">{"TAB1",#N/A,TRUE,"GENERAL";"TAB2",#N/A,TRUE,"GENERAL";"TAB3",#N/A,TRUE,"GENERAL";"TAB4",#N/A,TRUE,"GENERAL";"TAB5",#N/A,TRUE,"GENERAL"}</definedName>
    <definedName name="ewrt" localSheetId="18" hidden="1">{"TAB1",#N/A,TRUE,"GENERAL";"TAB2",#N/A,TRUE,"GENERAL";"TAB3",#N/A,TRUE,"GENERAL";"TAB4",#N/A,TRUE,"GENERAL";"TAB5",#N/A,TRUE,"GENERAL"}</definedName>
    <definedName name="ewrt"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8"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15" hidden="1">{"TAB1",#N/A,TRUE,"GENERAL";"TAB2",#N/A,TRUE,"GENERAL";"TAB3",#N/A,TRUE,"GENERAL";"TAB4",#N/A,TRUE,"GENERAL";"TAB5",#N/A,TRUE,"GENERAL"}</definedName>
    <definedName name="fda" localSheetId="17" hidden="1">{"TAB1",#N/A,TRUE,"GENERAL";"TAB2",#N/A,TRUE,"GENERAL";"TAB3",#N/A,TRUE,"GENERAL";"TAB4",#N/A,TRUE,"GENERAL";"TAB5",#N/A,TRUE,"GENERAL"}</definedName>
    <definedName name="fda" localSheetId="19" hidden="1">{"TAB1",#N/A,TRUE,"GENERAL";"TAB2",#N/A,TRUE,"GENERAL";"TAB3",#N/A,TRUE,"GENERAL";"TAB4",#N/A,TRUE,"GENERAL";"TAB5",#N/A,TRUE,"GENERAL"}</definedName>
    <definedName name="fda" localSheetId="12"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4" hidden="1">{"TAB1",#N/A,TRUE,"GENERAL";"TAB2",#N/A,TRUE,"GENERAL";"TAB3",#N/A,TRUE,"GENERAL";"TAB4",#N/A,TRUE,"GENERAL";"TAB5",#N/A,TRUE,"GENERAL"}</definedName>
    <definedName name="fda" localSheetId="1" hidden="1">{"TAB1",#N/A,TRUE,"GENERAL";"TAB2",#N/A,TRUE,"GENERAL";"TAB3",#N/A,TRUE,"GENERAL";"TAB4",#N/A,TRUE,"GENERAL";"TAB5",#N/A,TRUE,"GENERAL"}</definedName>
    <definedName name="fda" localSheetId="14" hidden="1">{"TAB1",#N/A,TRUE,"GENERAL";"TAB2",#N/A,TRUE,"GENERAL";"TAB3",#N/A,TRUE,"GENERAL";"TAB4",#N/A,TRUE,"GENERAL";"TAB5",#N/A,TRUE,"GENERAL"}</definedName>
    <definedName name="fda" localSheetId="16" hidden="1">{"TAB1",#N/A,TRUE,"GENERAL";"TAB2",#N/A,TRUE,"GENERAL";"TAB3",#N/A,TRUE,"GENERAL";"TAB4",#N/A,TRUE,"GENERAL";"TAB5",#N/A,TRUE,"GENERAL"}</definedName>
    <definedName name="fda" localSheetId="18" hidden="1">{"TAB1",#N/A,TRUE,"GENERAL";"TAB2",#N/A,TRUE,"GENERAL";"TAB3",#N/A,TRUE,"GENERAL";"TAB4",#N/A,TRUE,"GENERAL";"TAB5",#N/A,TRUE,"GENERAL"}</definedName>
    <definedName name="fda" hidden="1">{"TAB1",#N/A,TRUE,"GENERAL";"TAB2",#N/A,TRUE,"GENERAL";"TAB3",#N/A,TRUE,"GENERAL";"TAB4",#N/A,TRUE,"GENERAL";"TAB5",#N/A,TRUE,"GENERAL"}</definedName>
    <definedName name="fdadsfa" localSheetId="15" hidden="1">{"PRES REHAB ARM-PER POR ITEMS  KM A KM",#N/A,TRUE,"Rehabilitacion Arm-Per"}</definedName>
    <definedName name="fdadsfa" localSheetId="17" hidden="1">{"PRES REHAB ARM-PER POR ITEMS  KM A KM",#N/A,TRUE,"Rehabilitacion Arm-Per"}</definedName>
    <definedName name="fdadsfa" localSheetId="19" hidden="1">{"PRES REHAB ARM-PER POR ITEMS  KM A KM",#N/A,TRUE,"Rehabilitacion Arm-Per"}</definedName>
    <definedName name="fdadsfa" localSheetId="12" hidden="1">{"PRES REHAB ARM-PER POR ITEMS  KM A KM",#N/A,TRUE,"Rehabilitacion Arm-Per"}</definedName>
    <definedName name="fdadsfa" localSheetId="8" hidden="1">{"PRES REHAB ARM-PER POR ITEMS  KM A KM",#N/A,TRUE,"Rehabilitacion Arm-Per"}</definedName>
    <definedName name="fdadsfa" localSheetId="9" hidden="1">{"PRES REHAB ARM-PER POR ITEMS  KM A KM",#N/A,TRUE,"Rehabilitacion Arm-Per"}</definedName>
    <definedName name="fdadsfa" localSheetId="7" hidden="1">{"PRES REHAB ARM-PER POR ITEMS  KM A KM",#N/A,TRUE,"Rehabilitacion Arm-Per"}</definedName>
    <definedName name="fdadsfa" localSheetId="10" hidden="1">{"PRES REHAB ARM-PER POR ITEMS  KM A KM",#N/A,TRUE,"Rehabilitacion Arm-Per"}</definedName>
    <definedName name="fdadsfa" localSheetId="11" hidden="1">{"PRES REHAB ARM-PER POR ITEMS  KM A KM",#N/A,TRUE,"Rehabilitacion Arm-Per"}</definedName>
    <definedName name="fdadsfa" localSheetId="4" hidden="1">{"PRES REHAB ARM-PER POR ITEMS  KM A KM",#N/A,TRUE,"Rehabilitacion Arm-Per"}</definedName>
    <definedName name="fdadsfa" localSheetId="1" hidden="1">{"PRES REHAB ARM-PER POR ITEMS  KM A KM",#N/A,TRUE,"Rehabilitacion Arm-Per"}</definedName>
    <definedName name="fdadsfa" localSheetId="14" hidden="1">{"PRES REHAB ARM-PER POR ITEMS  KM A KM",#N/A,TRUE,"Rehabilitacion Arm-Per"}</definedName>
    <definedName name="fdadsfa" localSheetId="16" hidden="1">{"PRES REHAB ARM-PER POR ITEMS  KM A KM",#N/A,TRUE,"Rehabilitacion Arm-Per"}</definedName>
    <definedName name="fdadsfa" localSheetId="18" hidden="1">{"PRES REHAB ARM-PER POR ITEMS  KM A KM",#N/A,TRUE,"Rehabilitacion Arm-Per"}</definedName>
    <definedName name="fdadsfa" hidden="1">{"PRES REHAB ARM-PER POR ITEMS  KM A KM",#N/A,TRUE,"Rehabilitacion Arm-Per"}</definedName>
    <definedName name="fdbjp" localSheetId="15"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4" hidden="1">{"TAB1",#N/A,TRUE,"GENERAL";"TAB2",#N/A,TRUE,"GENERAL";"TAB3",#N/A,TRUE,"GENERAL";"TAB4",#N/A,TRUE,"GENERAL";"TAB5",#N/A,TRUE,"GENERAL"}</definedName>
    <definedName name="fdbjp" localSheetId="1"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8" hidden="1">{"TAB1",#N/A,TRUE,"GENERAL";"TAB2",#N/A,TRUE,"GENERAL";"TAB3",#N/A,TRUE,"GENERAL";"TAB4",#N/A,TRUE,"GENERAL";"TAB5",#N/A,TRUE,"GENERAL"}</definedName>
    <definedName name="fdbjp" hidden="1">{"TAB1",#N/A,TRUE,"GENERAL";"TAB2",#N/A,TRUE,"GENERAL";"TAB3",#N/A,TRUE,"GENERAL";"TAB4",#N/A,TRUE,"GENERAL";"TAB5",#N/A,TRUE,"GENERAL"}</definedName>
    <definedName name="fdf" localSheetId="15" hidden="1">{"TAB1",#N/A,TRUE,"GENERAL";"TAB2",#N/A,TRUE,"GENERAL";"TAB3",#N/A,TRUE,"GENERAL";"TAB4",#N/A,TRUE,"GENERAL";"TAB5",#N/A,TRUE,"GENERAL"}</definedName>
    <definedName name="fdf" localSheetId="17" hidden="1">{"TAB1",#N/A,TRUE,"GENERAL";"TAB2",#N/A,TRUE,"GENERAL";"TAB3",#N/A,TRUE,"GENERAL";"TAB4",#N/A,TRUE,"GENERAL";"TAB5",#N/A,TRUE,"GENERAL"}</definedName>
    <definedName name="fdf" localSheetId="19" hidden="1">{"TAB1",#N/A,TRUE,"GENERAL";"TAB2",#N/A,TRUE,"GENERAL";"TAB3",#N/A,TRUE,"GENERAL";"TAB4",#N/A,TRUE,"GENERAL";"TAB5",#N/A,TRUE,"GENERAL"}</definedName>
    <definedName name="fdf" localSheetId="12"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4" hidden="1">{"TAB1",#N/A,TRUE,"GENERAL";"TAB2",#N/A,TRUE,"GENERAL";"TAB3",#N/A,TRUE,"GENERAL";"TAB4",#N/A,TRUE,"GENERAL";"TAB5",#N/A,TRUE,"GENERAL"}</definedName>
    <definedName name="fdf" localSheetId="1" hidden="1">{"TAB1",#N/A,TRUE,"GENERAL";"TAB2",#N/A,TRUE,"GENERAL";"TAB3",#N/A,TRUE,"GENERAL";"TAB4",#N/A,TRUE,"GENERAL";"TAB5",#N/A,TRUE,"GENERAL"}</definedName>
    <definedName name="fdf" localSheetId="14" hidden="1">{"TAB1",#N/A,TRUE,"GENERAL";"TAB2",#N/A,TRUE,"GENERAL";"TAB3",#N/A,TRUE,"GENERAL";"TAB4",#N/A,TRUE,"GENERAL";"TAB5",#N/A,TRUE,"GENERAL"}</definedName>
    <definedName name="fdf" localSheetId="16" hidden="1">{"TAB1",#N/A,TRUE,"GENERAL";"TAB2",#N/A,TRUE,"GENERAL";"TAB3",#N/A,TRUE,"GENERAL";"TAB4",#N/A,TRUE,"GENERAL";"TAB5",#N/A,TRUE,"GENERAL"}</definedName>
    <definedName name="fdf" localSheetId="18" hidden="1">{"TAB1",#N/A,TRUE,"GENERAL";"TAB2",#N/A,TRUE,"GENERAL";"TAB3",#N/A,TRUE,"GENERAL";"TAB4",#N/A,TRUE,"GENERAL";"TAB5",#N/A,TRUE,"GENERAL"}</definedName>
    <definedName name="fdf" hidden="1">{"TAB1",#N/A,TRUE,"GENERAL";"TAB2",#N/A,TRUE,"GENERAL";"TAB3",#N/A,TRUE,"GENERAL";"TAB4",#N/A,TRUE,"GENERAL";"TAB5",#N/A,TRUE,"GENERAL"}</definedName>
    <definedName name="fdg" localSheetId="15" hidden="1">{"via1",#N/A,TRUE,"general";"via2",#N/A,TRUE,"general";"via3",#N/A,TRUE,"general"}</definedName>
    <definedName name="fdg" localSheetId="17" hidden="1">{"via1",#N/A,TRUE,"general";"via2",#N/A,TRUE,"general";"via3",#N/A,TRUE,"general"}</definedName>
    <definedName name="fdg" localSheetId="19" hidden="1">{"via1",#N/A,TRUE,"general";"via2",#N/A,TRUE,"general";"via3",#N/A,TRUE,"general"}</definedName>
    <definedName name="fdg" localSheetId="12"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4" hidden="1">{"via1",#N/A,TRUE,"general";"via2",#N/A,TRUE,"general";"via3",#N/A,TRUE,"general"}</definedName>
    <definedName name="fdg" localSheetId="1" hidden="1">{"via1",#N/A,TRUE,"general";"via2",#N/A,TRUE,"general";"via3",#N/A,TRUE,"general"}</definedName>
    <definedName name="fdg" localSheetId="14" hidden="1">{"via1",#N/A,TRUE,"general";"via2",#N/A,TRUE,"general";"via3",#N/A,TRUE,"general"}</definedName>
    <definedName name="fdg" localSheetId="16" hidden="1">{"via1",#N/A,TRUE,"general";"via2",#N/A,TRUE,"general";"via3",#N/A,TRUE,"general"}</definedName>
    <definedName name="fdg" localSheetId="18" hidden="1">{"via1",#N/A,TRUE,"general";"via2",#N/A,TRUE,"general";"via3",#N/A,TRUE,"general"}</definedName>
    <definedName name="fdg" hidden="1">{"via1",#N/A,TRUE,"general";"via2",#N/A,TRUE,"general";"via3",#N/A,TRUE,"general"}</definedName>
    <definedName name="FDGD" localSheetId="15" hidden="1">{"TAB1",#N/A,TRUE,"GENERAL";"TAB2",#N/A,TRUE,"GENERAL";"TAB3",#N/A,TRUE,"GENERAL";"TAB4",#N/A,TRUE,"GENERAL";"TAB5",#N/A,TRUE,"GENERAL"}</definedName>
    <definedName name="FDGD" localSheetId="17" hidden="1">{"TAB1",#N/A,TRUE,"GENERAL";"TAB2",#N/A,TRUE,"GENERAL";"TAB3",#N/A,TRUE,"GENERAL";"TAB4",#N/A,TRUE,"GENERAL";"TAB5",#N/A,TRUE,"GENERAL"}</definedName>
    <definedName name="FDGD" localSheetId="19" hidden="1">{"TAB1",#N/A,TRUE,"GENERAL";"TAB2",#N/A,TRUE,"GENERAL";"TAB3",#N/A,TRUE,"GENERAL";"TAB4",#N/A,TRUE,"GENERAL";"TAB5",#N/A,TRUE,"GENERAL"}</definedName>
    <definedName name="FDGD" localSheetId="12"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4" hidden="1">{"TAB1",#N/A,TRUE,"GENERAL";"TAB2",#N/A,TRUE,"GENERAL";"TAB3",#N/A,TRUE,"GENERAL";"TAB4",#N/A,TRUE,"GENERAL";"TAB5",#N/A,TRUE,"GENERAL"}</definedName>
    <definedName name="FDGD" localSheetId="1" hidden="1">{"TAB1",#N/A,TRUE,"GENERAL";"TAB2",#N/A,TRUE,"GENERAL";"TAB3",#N/A,TRUE,"GENERAL";"TAB4",#N/A,TRUE,"GENERAL";"TAB5",#N/A,TRUE,"GENERAL"}</definedName>
    <definedName name="FDGD" localSheetId="14" hidden="1">{"TAB1",#N/A,TRUE,"GENERAL";"TAB2",#N/A,TRUE,"GENERAL";"TAB3",#N/A,TRUE,"GENERAL";"TAB4",#N/A,TRUE,"GENERAL";"TAB5",#N/A,TRUE,"GENERAL"}</definedName>
    <definedName name="FDGD" localSheetId="16" hidden="1">{"TAB1",#N/A,TRUE,"GENERAL";"TAB2",#N/A,TRUE,"GENERAL";"TAB3",#N/A,TRUE,"GENERAL";"TAB4",#N/A,TRUE,"GENERAL";"TAB5",#N/A,TRUE,"GENERAL"}</definedName>
    <definedName name="FDGD" localSheetId="18" hidden="1">{"TAB1",#N/A,TRUE,"GENERAL";"TAB2",#N/A,TRUE,"GENERAL";"TAB3",#N/A,TRUE,"GENERAL";"TAB4",#N/A,TRUE,"GENERAL";"TAB5",#N/A,TRUE,"GENERAL"}</definedName>
    <definedName name="FDGD"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8" hidden="1">{"TAB1",#N/A,TRUE,"GENERAL";"TAB2",#N/A,TRUE,"GENERAL";"TAB3",#N/A,TRUE,"GENERAL";"TAB4",#N/A,TRUE,"GENERAL";"TAB5",#N/A,TRUE,"GENERAL"}</definedName>
    <definedName name="FDGFDBBP" hidden="1">{"TAB1",#N/A,TRUE,"GENERAL";"TAB2",#N/A,TRUE,"GENERAL";"TAB3",#N/A,TRUE,"GENERAL";"TAB4",#N/A,TRUE,"GENERAL";"TAB5",#N/A,TRUE,"GENERAL"}</definedName>
    <definedName name="fdh" localSheetId="15" hidden="1">{"TAB1",#N/A,TRUE,"GENERAL";"TAB2",#N/A,TRUE,"GENERAL";"TAB3",#N/A,TRUE,"GENERAL";"TAB4",#N/A,TRUE,"GENERAL";"TAB5",#N/A,TRUE,"GENERAL"}</definedName>
    <definedName name="fdh" localSheetId="17" hidden="1">{"TAB1",#N/A,TRUE,"GENERAL";"TAB2",#N/A,TRUE,"GENERAL";"TAB3",#N/A,TRUE,"GENERAL";"TAB4",#N/A,TRUE,"GENERAL";"TAB5",#N/A,TRUE,"GENERAL"}</definedName>
    <definedName name="fdh" localSheetId="19" hidden="1">{"TAB1",#N/A,TRUE,"GENERAL";"TAB2",#N/A,TRUE,"GENERAL";"TAB3",#N/A,TRUE,"GENERAL";"TAB4",#N/A,TRUE,"GENERAL";"TAB5",#N/A,TRUE,"GENERAL"}</definedName>
    <definedName name="fdh" localSheetId="12"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4" hidden="1">{"TAB1",#N/A,TRUE,"GENERAL";"TAB2",#N/A,TRUE,"GENERAL";"TAB3",#N/A,TRUE,"GENERAL";"TAB4",#N/A,TRUE,"GENERAL";"TAB5",#N/A,TRUE,"GENERAL"}</definedName>
    <definedName name="fdh" localSheetId="1" hidden="1">{"TAB1",#N/A,TRUE,"GENERAL";"TAB2",#N/A,TRUE,"GENERAL";"TAB3",#N/A,TRUE,"GENERAL";"TAB4",#N/A,TRUE,"GENERAL";"TAB5",#N/A,TRUE,"GENERAL"}</definedName>
    <definedName name="fdh" localSheetId="14" hidden="1">{"TAB1",#N/A,TRUE,"GENERAL";"TAB2",#N/A,TRUE,"GENERAL";"TAB3",#N/A,TRUE,"GENERAL";"TAB4",#N/A,TRUE,"GENERAL";"TAB5",#N/A,TRUE,"GENERAL"}</definedName>
    <definedName name="fdh" localSheetId="16" hidden="1">{"TAB1",#N/A,TRUE,"GENERAL";"TAB2",#N/A,TRUE,"GENERAL";"TAB3",#N/A,TRUE,"GENERAL";"TAB4",#N/A,TRUE,"GENERAL";"TAB5",#N/A,TRUE,"GENERAL"}</definedName>
    <definedName name="fdh" localSheetId="18" hidden="1">{"TAB1",#N/A,TRUE,"GENERAL";"TAB2",#N/A,TRUE,"GENERAL";"TAB3",#N/A,TRUE,"GENERAL";"TAB4",#N/A,TRUE,"GENERAL";"TAB5",#N/A,TRUE,"GENERAL"}</definedName>
    <definedName name="fdh" hidden="1">{"TAB1",#N/A,TRUE,"GENERAL";"TAB2",#N/A,TRUE,"GENERAL";"TAB3",#N/A,TRUE,"GENERAL";"TAB4",#N/A,TRUE,"GENERAL";"TAB5",#N/A,TRUE,"GENERAL"}</definedName>
    <definedName name="fdsf" localSheetId="15" hidden="1">{"TAB1",#N/A,TRUE,"GENERAL";"TAB2",#N/A,TRUE,"GENERAL";"TAB3",#N/A,TRUE,"GENERAL";"TAB4",#N/A,TRUE,"GENERAL";"TAB5",#N/A,TRUE,"GENERAL"}</definedName>
    <definedName name="fdsf" localSheetId="17" hidden="1">{"TAB1",#N/A,TRUE,"GENERAL";"TAB2",#N/A,TRUE,"GENERAL";"TAB3",#N/A,TRUE,"GENERAL";"TAB4",#N/A,TRUE,"GENERAL";"TAB5",#N/A,TRUE,"GENERAL"}</definedName>
    <definedName name="fdsf" localSheetId="19" hidden="1">{"TAB1",#N/A,TRUE,"GENERAL";"TAB2",#N/A,TRUE,"GENERAL";"TAB3",#N/A,TRUE,"GENERAL";"TAB4",#N/A,TRUE,"GENERAL";"TAB5",#N/A,TRUE,"GENERAL"}</definedName>
    <definedName name="fdsf" localSheetId="12"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4" hidden="1">{"TAB1",#N/A,TRUE,"GENERAL";"TAB2",#N/A,TRUE,"GENERAL";"TAB3",#N/A,TRUE,"GENERAL";"TAB4",#N/A,TRUE,"GENERAL";"TAB5",#N/A,TRUE,"GENERAL"}</definedName>
    <definedName name="fdsf" localSheetId="1" hidden="1">{"TAB1",#N/A,TRUE,"GENERAL";"TAB2",#N/A,TRUE,"GENERAL";"TAB3",#N/A,TRUE,"GENERAL";"TAB4",#N/A,TRUE,"GENERAL";"TAB5",#N/A,TRUE,"GENERAL"}</definedName>
    <definedName name="fdsf" localSheetId="14" hidden="1">{"TAB1",#N/A,TRUE,"GENERAL";"TAB2",#N/A,TRUE,"GENERAL";"TAB3",#N/A,TRUE,"GENERAL";"TAB4",#N/A,TRUE,"GENERAL";"TAB5",#N/A,TRUE,"GENERAL"}</definedName>
    <definedName name="fdsf" localSheetId="16" hidden="1">{"TAB1",#N/A,TRUE,"GENERAL";"TAB2",#N/A,TRUE,"GENERAL";"TAB3",#N/A,TRUE,"GENERAL";"TAB4",#N/A,TRUE,"GENERAL";"TAB5",#N/A,TRUE,"GENERAL"}</definedName>
    <definedName name="fdsf" localSheetId="18" hidden="1">{"TAB1",#N/A,TRUE,"GENERAL";"TAB2",#N/A,TRUE,"GENERAL";"TAB3",#N/A,TRUE,"GENERAL";"TAB4",#N/A,TRUE,"GENERAL";"TAB5",#N/A,TRUE,"GENERAL"}</definedName>
    <definedName name="fdsf"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8" hidden="1">{"TAB1",#N/A,TRUE,"GENERAL";"TAB2",#N/A,TRUE,"GENERAL";"TAB3",#N/A,TRUE,"GENERAL";"TAB4",#N/A,TRUE,"GENERAL";"TAB5",#N/A,TRUE,"GENERAL"}</definedName>
    <definedName name="fdsfds" hidden="1">{"TAB1",#N/A,TRUE,"GENERAL";"TAB2",#N/A,TRUE,"GENERAL";"TAB3",#N/A,TRUE,"GENERAL";"TAB4",#N/A,TRUE,"GENERAL";"TAB5",#N/A,TRUE,"GENERAL"}</definedName>
    <definedName name="fdsfdsf" localSheetId="15" hidden="1">{"via1",#N/A,TRUE,"general";"via2",#N/A,TRUE,"general";"via3",#N/A,TRUE,"general"}</definedName>
    <definedName name="fdsfdsf" localSheetId="17" hidden="1">{"via1",#N/A,TRUE,"general";"via2",#N/A,TRUE,"general";"via3",#N/A,TRUE,"general"}</definedName>
    <definedName name="fdsfdsf" localSheetId="19" hidden="1">{"via1",#N/A,TRUE,"general";"via2",#N/A,TRUE,"general";"via3",#N/A,TRUE,"general"}</definedName>
    <definedName name="fdsfdsf" localSheetId="12"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4" hidden="1">{"via1",#N/A,TRUE,"general";"via2",#N/A,TRUE,"general";"via3",#N/A,TRUE,"general"}</definedName>
    <definedName name="fdsfdsf" localSheetId="1" hidden="1">{"via1",#N/A,TRUE,"general";"via2",#N/A,TRUE,"general";"via3",#N/A,TRUE,"general"}</definedName>
    <definedName name="fdsfdsf" localSheetId="14" hidden="1">{"via1",#N/A,TRUE,"general";"via2",#N/A,TRUE,"general";"via3",#N/A,TRUE,"general"}</definedName>
    <definedName name="fdsfdsf" localSheetId="16" hidden="1">{"via1",#N/A,TRUE,"general";"via2",#N/A,TRUE,"general";"via3",#N/A,TRUE,"general"}</definedName>
    <definedName name="fdsfdsf" localSheetId="18" hidden="1">{"via1",#N/A,TRUE,"general";"via2",#N/A,TRUE,"general";"via3",#N/A,TRUE,"general"}</definedName>
    <definedName name="fdsfdsf" hidden="1">{"via1",#N/A,TRUE,"general";"via2",#N/A,TRUE,"general";"via3",#N/A,TRUE,"general"}</definedName>
    <definedName name="fdsgfds" localSheetId="15" hidden="1">{"via1",#N/A,TRUE,"general";"via2",#N/A,TRUE,"general";"via3",#N/A,TRUE,"general"}</definedName>
    <definedName name="fdsgfds" localSheetId="17" hidden="1">{"via1",#N/A,TRUE,"general";"via2",#N/A,TRUE,"general";"via3",#N/A,TRUE,"general"}</definedName>
    <definedName name="fdsgfds" localSheetId="19" hidden="1">{"via1",#N/A,TRUE,"general";"via2",#N/A,TRUE,"general";"via3",#N/A,TRUE,"general"}</definedName>
    <definedName name="fdsgfds" localSheetId="12"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4" hidden="1">{"via1",#N/A,TRUE,"general";"via2",#N/A,TRUE,"general";"via3",#N/A,TRUE,"general"}</definedName>
    <definedName name="fdsgfds" localSheetId="1" hidden="1">{"via1",#N/A,TRUE,"general";"via2",#N/A,TRUE,"general";"via3",#N/A,TRUE,"general"}</definedName>
    <definedName name="fdsgfds" localSheetId="14" hidden="1">{"via1",#N/A,TRUE,"general";"via2",#N/A,TRUE,"general";"via3",#N/A,TRUE,"general"}</definedName>
    <definedName name="fdsgfds" localSheetId="16" hidden="1">{"via1",#N/A,TRUE,"general";"via2",#N/A,TRUE,"general";"via3",#N/A,TRUE,"general"}</definedName>
    <definedName name="fdsgfds" localSheetId="18" hidden="1">{"via1",#N/A,TRUE,"general";"via2",#N/A,TRUE,"general";"via3",#N/A,TRUE,"general"}</definedName>
    <definedName name="fdsgfds" hidden="1">{"via1",#N/A,TRUE,"general";"via2",#N/A,TRUE,"general";"via3",#N/A,TRUE,"general"}</definedName>
    <definedName name="fdsgsdfu" localSheetId="15"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8" hidden="1">{"TAB1",#N/A,TRUE,"GENERAL";"TAB2",#N/A,TRUE,"GENERAL";"TAB3",#N/A,TRUE,"GENERAL";"TAB4",#N/A,TRUE,"GENERAL";"TAB5",#N/A,TRUE,"GENERAL"}</definedName>
    <definedName name="fdsgsdfu"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8" hidden="1">{"TAB1",#N/A,TRUE,"GENERAL";"TAB2",#N/A,TRUE,"GENERAL";"TAB3",#N/A,TRUE,"GENERAL";"TAB4",#N/A,TRUE,"GENERAL";"TAB5",#N/A,TRUE,"GENERAL"}</definedName>
    <definedName name="FDSIO" hidden="1">{"TAB1",#N/A,TRUE,"GENERAL";"TAB2",#N/A,TRUE,"GENERAL";"TAB3",#N/A,TRUE,"GENERAL";"TAB4",#N/A,TRUE,"GENERAL";"TAB5",#N/A,TRUE,"GENERAL"}</definedName>
    <definedName name="ferfer" localSheetId="15" hidden="1">{"via1",#N/A,TRUE,"general";"via2",#N/A,TRUE,"general";"via3",#N/A,TRUE,"general"}</definedName>
    <definedName name="ferfer" localSheetId="17" hidden="1">{"via1",#N/A,TRUE,"general";"via2",#N/A,TRUE,"general";"via3",#N/A,TRUE,"general"}</definedName>
    <definedName name="ferfer" localSheetId="19" hidden="1">{"via1",#N/A,TRUE,"general";"via2",#N/A,TRUE,"general";"via3",#N/A,TRUE,"general"}</definedName>
    <definedName name="ferfer" localSheetId="12"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4" hidden="1">{"via1",#N/A,TRUE,"general";"via2",#N/A,TRUE,"general";"via3",#N/A,TRUE,"general"}</definedName>
    <definedName name="ferfer" localSheetId="1" hidden="1">{"via1",#N/A,TRUE,"general";"via2",#N/A,TRUE,"general";"via3",#N/A,TRUE,"general"}</definedName>
    <definedName name="ferfer" localSheetId="14" hidden="1">{"via1",#N/A,TRUE,"general";"via2",#N/A,TRUE,"general";"via3",#N/A,TRUE,"general"}</definedName>
    <definedName name="ferfer" localSheetId="16" hidden="1">{"via1",#N/A,TRUE,"general";"via2",#N/A,TRUE,"general";"via3",#N/A,TRUE,"general"}</definedName>
    <definedName name="ferfer" localSheetId="18" hidden="1">{"via1",#N/A,TRUE,"general";"via2",#N/A,TRUE,"general";"via3",#N/A,TRUE,"general"}</definedName>
    <definedName name="ferfer" hidden="1">{"via1",#N/A,TRUE,"general";"via2",#N/A,TRUE,"general";"via3",#N/A,TRUE,"general"}</definedName>
    <definedName name="fff" localSheetId="15" hidden="1">{"via1",#N/A,TRUE,"general";"via2",#N/A,TRUE,"general";"via3",#N/A,TRUE,"general"}</definedName>
    <definedName name="fff" localSheetId="17" hidden="1">{"via1",#N/A,TRUE,"general";"via2",#N/A,TRUE,"general";"via3",#N/A,TRUE,"general"}</definedName>
    <definedName name="fff" localSheetId="19" hidden="1">{"via1",#N/A,TRUE,"general";"via2",#N/A,TRUE,"general";"via3",#N/A,TRUE,"general"}</definedName>
    <definedName name="fff" localSheetId="12"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4" hidden="1">{"via1",#N/A,TRUE,"general";"via2",#N/A,TRUE,"general";"via3",#N/A,TRUE,"general"}</definedName>
    <definedName name="fff" localSheetId="1" hidden="1">{"via1",#N/A,TRUE,"general";"via2",#N/A,TRUE,"general";"via3",#N/A,TRUE,"general"}</definedName>
    <definedName name="fff" localSheetId="14" hidden="1">{"via1",#N/A,TRUE,"general";"via2",#N/A,TRUE,"general";"via3",#N/A,TRUE,"general"}</definedName>
    <definedName name="fff" localSheetId="16" hidden="1">{"via1",#N/A,TRUE,"general";"via2",#N/A,TRUE,"general";"via3",#N/A,TRUE,"general"}</definedName>
    <definedName name="fff" localSheetId="18" hidden="1">{"via1",#N/A,TRUE,"general";"via2",#N/A,TRUE,"general";"via3",#N/A,TRUE,"general"}</definedName>
    <definedName name="fff" hidden="1">{"via1",#N/A,TRUE,"general";"via2",#N/A,TRUE,"general";"via3",#N/A,TRUE,"general"}</definedName>
    <definedName name="ffffd" localSheetId="15" hidden="1">{"via1",#N/A,TRUE,"general";"via2",#N/A,TRUE,"general";"via3",#N/A,TRUE,"general"}</definedName>
    <definedName name="ffffd" localSheetId="17" hidden="1">{"via1",#N/A,TRUE,"general";"via2",#N/A,TRUE,"general";"via3",#N/A,TRUE,"general"}</definedName>
    <definedName name="ffffd" localSheetId="19" hidden="1">{"via1",#N/A,TRUE,"general";"via2",#N/A,TRUE,"general";"via3",#N/A,TRUE,"general"}</definedName>
    <definedName name="ffffd" localSheetId="12"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4" hidden="1">{"via1",#N/A,TRUE,"general";"via2",#N/A,TRUE,"general";"via3",#N/A,TRUE,"general"}</definedName>
    <definedName name="ffffd" localSheetId="1" hidden="1">{"via1",#N/A,TRUE,"general";"via2",#N/A,TRUE,"general";"via3",#N/A,TRUE,"general"}</definedName>
    <definedName name="ffffd" localSheetId="14" hidden="1">{"via1",#N/A,TRUE,"general";"via2",#N/A,TRUE,"general";"via3",#N/A,TRUE,"general"}</definedName>
    <definedName name="ffffd" localSheetId="16" hidden="1">{"via1",#N/A,TRUE,"general";"via2",#N/A,TRUE,"general";"via3",#N/A,TRUE,"general"}</definedName>
    <definedName name="ffffd" localSheetId="18" hidden="1">{"via1",#N/A,TRUE,"general";"via2",#N/A,TRUE,"general";"via3",#N/A,TRUE,"general"}</definedName>
    <definedName name="ffffd" hidden="1">{"via1",#N/A,TRUE,"general";"via2",#N/A,TRUE,"general";"via3",#N/A,TRUE,"general"}</definedName>
    <definedName name="fffffft" localSheetId="15"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8" hidden="1">{"TAB1",#N/A,TRUE,"GENERAL";"TAB2",#N/A,TRUE,"GENERAL";"TAB3",#N/A,TRUE,"GENERAL";"TAB4",#N/A,TRUE,"GENERAL";"TAB5",#N/A,TRUE,"GENERAL"}</definedName>
    <definedName name="fffffft"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8" hidden="1">{"TAB1",#N/A,TRUE,"GENERAL";"TAB2",#N/A,TRUE,"GENERAL";"TAB3",#N/A,TRUE,"GENERAL";"TAB4",#N/A,TRUE,"GENERAL";"TAB5",#N/A,TRUE,"GENERAL"}</definedName>
    <definedName name="fffffik"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8" hidden="1">{"TAB1",#N/A,TRUE,"GENERAL";"TAB2",#N/A,TRUE,"GENERAL";"TAB3",#N/A,TRUE,"GENERAL";"TAB4",#N/A,TRUE,"GENERAL";"TAB5",#N/A,TRUE,"GENERAL"}</definedName>
    <definedName name="fffffj" hidden="1">{"TAB1",#N/A,TRUE,"GENERAL";"TAB2",#N/A,TRUE,"GENERAL";"TAB3",#N/A,TRUE,"GENERAL";"TAB4",#N/A,TRUE,"GENERAL";"TAB5",#N/A,TRUE,"GENERAL"}</definedName>
    <definedName name="ffffrd" localSheetId="15" hidden="1">{"via1",#N/A,TRUE,"general";"via2",#N/A,TRUE,"general";"via3",#N/A,TRUE,"general"}</definedName>
    <definedName name="ffffrd" localSheetId="17" hidden="1">{"via1",#N/A,TRUE,"general";"via2",#N/A,TRUE,"general";"via3",#N/A,TRUE,"general"}</definedName>
    <definedName name="ffffrd" localSheetId="19" hidden="1">{"via1",#N/A,TRUE,"general";"via2",#N/A,TRUE,"general";"via3",#N/A,TRUE,"general"}</definedName>
    <definedName name="ffffrd" localSheetId="12"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4" hidden="1">{"via1",#N/A,TRUE,"general";"via2",#N/A,TRUE,"general";"via3",#N/A,TRUE,"general"}</definedName>
    <definedName name="ffffrd" localSheetId="1" hidden="1">{"via1",#N/A,TRUE,"general";"via2",#N/A,TRUE,"general";"via3",#N/A,TRUE,"general"}</definedName>
    <definedName name="ffffrd" localSheetId="14" hidden="1">{"via1",#N/A,TRUE,"general";"via2",#N/A,TRUE,"general";"via3",#N/A,TRUE,"general"}</definedName>
    <definedName name="ffffrd" localSheetId="16" hidden="1">{"via1",#N/A,TRUE,"general";"via2",#N/A,TRUE,"general";"via3",#N/A,TRUE,"general"}</definedName>
    <definedName name="ffffrd" localSheetId="18" hidden="1">{"via1",#N/A,TRUE,"general";"via2",#N/A,TRUE,"general";"via3",#N/A,TRUE,"general"}</definedName>
    <definedName name="ffffrd" hidden="1">{"via1",#N/A,TRUE,"general";"via2",#N/A,TRUE,"general";"via3",#N/A,TRUE,"general"}</definedName>
    <definedName name="ffffy" localSheetId="15"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4" hidden="1">{"TAB1",#N/A,TRUE,"GENERAL";"TAB2",#N/A,TRUE,"GENERAL";"TAB3",#N/A,TRUE,"GENERAL";"TAB4",#N/A,TRUE,"GENERAL";"TAB5",#N/A,TRUE,"GENERAL"}</definedName>
    <definedName name="ffffy" localSheetId="1"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8" hidden="1">{"TAB1",#N/A,TRUE,"GENERAL";"TAB2",#N/A,TRUE,"GENERAL";"TAB3",#N/A,TRUE,"GENERAL";"TAB4",#N/A,TRUE,"GENERAL";"TAB5",#N/A,TRUE,"GENERAL"}</definedName>
    <definedName name="ffffy"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8" hidden="1">{"TAB1",#N/A,TRUE,"GENERAL";"TAB2",#N/A,TRUE,"GENERAL";"TAB3",#N/A,TRUE,"GENERAL";"TAB4",#N/A,TRUE,"GENERAL";"TAB5",#N/A,TRUE,"GENERAL"}</definedName>
    <definedName name="fffrfr" hidden="1">{"TAB1",#N/A,TRUE,"GENERAL";"TAB2",#N/A,TRUE,"GENERAL";"TAB3",#N/A,TRUE,"GENERAL";"TAB4",#N/A,TRUE,"GENERAL";"TAB5",#N/A,TRUE,"GENERAL"}</definedName>
    <definedName name="fffs" localSheetId="15" hidden="1">{"TAB1",#N/A,TRUE,"GENERAL";"TAB2",#N/A,TRUE,"GENERAL";"TAB3",#N/A,TRUE,"GENERAL";"TAB4",#N/A,TRUE,"GENERAL";"TAB5",#N/A,TRUE,"GENERAL"}</definedName>
    <definedName name="fffs" localSheetId="17" hidden="1">{"TAB1",#N/A,TRUE,"GENERAL";"TAB2",#N/A,TRUE,"GENERAL";"TAB3",#N/A,TRUE,"GENERAL";"TAB4",#N/A,TRUE,"GENERAL";"TAB5",#N/A,TRUE,"GENERAL"}</definedName>
    <definedName name="fffs" localSheetId="19" hidden="1">{"TAB1",#N/A,TRUE,"GENERAL";"TAB2",#N/A,TRUE,"GENERAL";"TAB3",#N/A,TRUE,"GENERAL";"TAB4",#N/A,TRUE,"GENERAL";"TAB5",#N/A,TRUE,"GENERAL"}</definedName>
    <definedName name="fffs" localSheetId="12"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4" hidden="1">{"TAB1",#N/A,TRUE,"GENERAL";"TAB2",#N/A,TRUE,"GENERAL";"TAB3",#N/A,TRUE,"GENERAL";"TAB4",#N/A,TRUE,"GENERAL";"TAB5",#N/A,TRUE,"GENERAL"}</definedName>
    <definedName name="fffs" localSheetId="1" hidden="1">{"TAB1",#N/A,TRUE,"GENERAL";"TAB2",#N/A,TRUE,"GENERAL";"TAB3",#N/A,TRUE,"GENERAL";"TAB4",#N/A,TRUE,"GENERAL";"TAB5",#N/A,TRUE,"GENERAL"}</definedName>
    <definedName name="fffs" localSheetId="14" hidden="1">{"TAB1",#N/A,TRUE,"GENERAL";"TAB2",#N/A,TRUE,"GENERAL";"TAB3",#N/A,TRUE,"GENERAL";"TAB4",#N/A,TRUE,"GENERAL";"TAB5",#N/A,TRUE,"GENERAL"}</definedName>
    <definedName name="fffs" localSheetId="16" hidden="1">{"TAB1",#N/A,TRUE,"GENERAL";"TAB2",#N/A,TRUE,"GENERAL";"TAB3",#N/A,TRUE,"GENERAL";"TAB4",#N/A,TRUE,"GENERAL";"TAB5",#N/A,TRUE,"GENERAL"}</definedName>
    <definedName name="fffs" localSheetId="18" hidden="1">{"TAB1",#N/A,TRUE,"GENERAL";"TAB2",#N/A,TRUE,"GENERAL";"TAB3",#N/A,TRUE,"GENERAL";"TAB4",#N/A,TRUE,"GENERAL";"TAB5",#N/A,TRUE,"GENERAL"}</definedName>
    <definedName name="fffs"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4" hidden="1">{"TAB1",#N/A,TRUE,"GENERAL";"TAB2",#N/A,TRUE,"GENERAL";"TAB3",#N/A,TRUE,"GENERAL";"TAB4",#N/A,TRUE,"GENERAL";"TAB5",#N/A,TRUE,"GENERAL"}</definedName>
    <definedName name="fgdfg" localSheetId="1"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8" hidden="1">{"TAB1",#N/A,TRUE,"GENERAL";"TAB2",#N/A,TRUE,"GENERAL";"TAB3",#N/A,TRUE,"GENERAL";"TAB4",#N/A,TRUE,"GENERAL";"TAB5",#N/A,TRUE,"GENERAL"}</definedName>
    <definedName name="fgdfg" hidden="1">{"TAB1",#N/A,TRUE,"GENERAL";"TAB2",#N/A,TRUE,"GENERAL";"TAB3",#N/A,TRUE,"GENERAL";"TAB4",#N/A,TRUE,"GENERAL";"TAB5",#N/A,TRUE,"GENERAL"}</definedName>
    <definedName name="fgdfsgr" localSheetId="15" hidden="1">{"via1",#N/A,TRUE,"general";"via2",#N/A,TRUE,"general";"via3",#N/A,TRUE,"general"}</definedName>
    <definedName name="fgdfsgr" localSheetId="17" hidden="1">{"via1",#N/A,TRUE,"general";"via2",#N/A,TRUE,"general";"via3",#N/A,TRUE,"general"}</definedName>
    <definedName name="fgdfsgr" localSheetId="19" hidden="1">{"via1",#N/A,TRUE,"general";"via2",#N/A,TRUE,"general";"via3",#N/A,TRUE,"general"}</definedName>
    <definedName name="fgdfsgr" localSheetId="12"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4" hidden="1">{"via1",#N/A,TRUE,"general";"via2",#N/A,TRUE,"general";"via3",#N/A,TRUE,"general"}</definedName>
    <definedName name="fgdfsgr" localSheetId="1" hidden="1">{"via1",#N/A,TRUE,"general";"via2",#N/A,TRUE,"general";"via3",#N/A,TRUE,"general"}</definedName>
    <definedName name="fgdfsgr" localSheetId="14" hidden="1">{"via1",#N/A,TRUE,"general";"via2",#N/A,TRUE,"general";"via3",#N/A,TRUE,"general"}</definedName>
    <definedName name="fgdfsgr" localSheetId="16" hidden="1">{"via1",#N/A,TRUE,"general";"via2",#N/A,TRUE,"general";"via3",#N/A,TRUE,"general"}</definedName>
    <definedName name="fgdfsgr" localSheetId="18" hidden="1">{"via1",#N/A,TRUE,"general";"via2",#N/A,TRUE,"general";"via3",#N/A,TRUE,"general"}</definedName>
    <definedName name="fgdfsgr" hidden="1">{"via1",#N/A,TRUE,"general";"via2",#N/A,TRUE,"general";"via3",#N/A,TRUE,"general"}</definedName>
    <definedName name="fgdsfg" localSheetId="15"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8" hidden="1">{"TAB1",#N/A,TRUE,"GENERAL";"TAB2",#N/A,TRUE,"GENERAL";"TAB3",#N/A,TRUE,"GENERAL";"TAB4",#N/A,TRUE,"GENERAL";"TAB5",#N/A,TRUE,"GENERAL"}</definedName>
    <definedName name="fgdsfg" hidden="1">{"TAB1",#N/A,TRUE,"GENERAL";"TAB2",#N/A,TRUE,"GENERAL";"TAB3",#N/A,TRUE,"GENERAL";"TAB4",#N/A,TRUE,"GENERAL";"TAB5",#N/A,TRUE,"GENERAL"}</definedName>
    <definedName name="FGFDH" localSheetId="15" hidden="1">{"via1",#N/A,TRUE,"general";"via2",#N/A,TRUE,"general";"via3",#N/A,TRUE,"general"}</definedName>
    <definedName name="FGFDH" localSheetId="17" hidden="1">{"via1",#N/A,TRUE,"general";"via2",#N/A,TRUE,"general";"via3",#N/A,TRUE,"general"}</definedName>
    <definedName name="FGFDH" localSheetId="19" hidden="1">{"via1",#N/A,TRUE,"general";"via2",#N/A,TRUE,"general";"via3",#N/A,TRUE,"general"}</definedName>
    <definedName name="FGFDH" localSheetId="12"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4" hidden="1">{"via1",#N/A,TRUE,"general";"via2",#N/A,TRUE,"general";"via3",#N/A,TRUE,"general"}</definedName>
    <definedName name="FGFDH" localSheetId="1" hidden="1">{"via1",#N/A,TRUE,"general";"via2",#N/A,TRUE,"general";"via3",#N/A,TRUE,"general"}</definedName>
    <definedName name="FGFDH" localSheetId="14" hidden="1">{"via1",#N/A,TRUE,"general";"via2",#N/A,TRUE,"general";"via3",#N/A,TRUE,"general"}</definedName>
    <definedName name="FGFDH" localSheetId="16" hidden="1">{"via1",#N/A,TRUE,"general";"via2",#N/A,TRUE,"general";"via3",#N/A,TRUE,"general"}</definedName>
    <definedName name="FGFDH" localSheetId="18" hidden="1">{"via1",#N/A,TRUE,"general";"via2",#N/A,TRUE,"general";"via3",#N/A,TRUE,"general"}</definedName>
    <definedName name="FGFDH" hidden="1">{"via1",#N/A,TRUE,"general";"via2",#N/A,TRUE,"general";"via3",#N/A,TRUE,"general"}</definedName>
    <definedName name="fgghhj" localSheetId="15" hidden="1">{"via1",#N/A,TRUE,"general";"via2",#N/A,TRUE,"general";"via3",#N/A,TRUE,"general"}</definedName>
    <definedName name="fgghhj" localSheetId="17" hidden="1">{"via1",#N/A,TRUE,"general";"via2",#N/A,TRUE,"general";"via3",#N/A,TRUE,"general"}</definedName>
    <definedName name="fgghhj" localSheetId="19" hidden="1">{"via1",#N/A,TRUE,"general";"via2",#N/A,TRUE,"general";"via3",#N/A,TRUE,"general"}</definedName>
    <definedName name="fgghhj" localSheetId="12"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4" hidden="1">{"via1",#N/A,TRUE,"general";"via2",#N/A,TRUE,"general";"via3",#N/A,TRUE,"general"}</definedName>
    <definedName name="fgghhj" localSheetId="1" hidden="1">{"via1",#N/A,TRUE,"general";"via2",#N/A,TRUE,"general";"via3",#N/A,TRUE,"general"}</definedName>
    <definedName name="fgghhj" localSheetId="14" hidden="1">{"via1",#N/A,TRUE,"general";"via2",#N/A,TRUE,"general";"via3",#N/A,TRUE,"general"}</definedName>
    <definedName name="fgghhj" localSheetId="16" hidden="1">{"via1",#N/A,TRUE,"general";"via2",#N/A,TRUE,"general";"via3",#N/A,TRUE,"general"}</definedName>
    <definedName name="fgghhj" localSheetId="18" hidden="1">{"via1",#N/A,TRUE,"general";"via2",#N/A,TRUE,"general";"via3",#N/A,TRUE,"general"}</definedName>
    <definedName name="fgghhj" hidden="1">{"via1",#N/A,TRUE,"general";"via2",#N/A,TRUE,"general";"via3",#N/A,TRUE,"general"}</definedName>
    <definedName name="FGHFBC" localSheetId="15" hidden="1">{"via1",#N/A,TRUE,"general";"via2",#N/A,TRUE,"general";"via3",#N/A,TRUE,"general"}</definedName>
    <definedName name="FGHFBC" localSheetId="17" hidden="1">{"via1",#N/A,TRUE,"general";"via2",#N/A,TRUE,"general";"via3",#N/A,TRUE,"general"}</definedName>
    <definedName name="FGHFBC" localSheetId="19" hidden="1">{"via1",#N/A,TRUE,"general";"via2",#N/A,TRUE,"general";"via3",#N/A,TRUE,"general"}</definedName>
    <definedName name="FGHFBC" localSheetId="12"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4" hidden="1">{"via1",#N/A,TRUE,"general";"via2",#N/A,TRUE,"general";"via3",#N/A,TRUE,"general"}</definedName>
    <definedName name="FGHFBC" localSheetId="1" hidden="1">{"via1",#N/A,TRUE,"general";"via2",#N/A,TRUE,"general";"via3",#N/A,TRUE,"general"}</definedName>
    <definedName name="FGHFBC" localSheetId="14" hidden="1">{"via1",#N/A,TRUE,"general";"via2",#N/A,TRUE,"general";"via3",#N/A,TRUE,"general"}</definedName>
    <definedName name="FGHFBC" localSheetId="16" hidden="1">{"via1",#N/A,TRUE,"general";"via2",#N/A,TRUE,"general";"via3",#N/A,TRUE,"general"}</definedName>
    <definedName name="FGHFBC" localSheetId="18" hidden="1">{"via1",#N/A,TRUE,"general";"via2",#N/A,TRUE,"general";"via3",#N/A,TRUE,"general"}</definedName>
    <definedName name="FGHFBC" hidden="1">{"via1",#N/A,TRUE,"general";"via2",#N/A,TRUE,"general";"via3",#N/A,TRUE,"general"}</definedName>
    <definedName name="fghfg" localSheetId="15"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4" hidden="1">{"TAB1",#N/A,TRUE,"GENERAL";"TAB2",#N/A,TRUE,"GENERAL";"TAB3",#N/A,TRUE,"GENERAL";"TAB4",#N/A,TRUE,"GENERAL";"TAB5",#N/A,TRUE,"GENERAL"}</definedName>
    <definedName name="fghfg" localSheetId="1"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8" hidden="1">{"TAB1",#N/A,TRUE,"GENERAL";"TAB2",#N/A,TRUE,"GENERAL";"TAB3",#N/A,TRUE,"GENERAL";"TAB4",#N/A,TRUE,"GENERAL";"TAB5",#N/A,TRUE,"GENERAL"}</definedName>
    <definedName name="fghfg" hidden="1">{"TAB1",#N/A,TRUE,"GENERAL";"TAB2",#N/A,TRUE,"GENERAL";"TAB3",#N/A,TRUE,"GENERAL";"TAB4",#N/A,TRUE,"GENERAL";"TAB5",#N/A,TRUE,"GENERAL"}</definedName>
    <definedName name="fghfgh" localSheetId="15" hidden="1">{"via1",#N/A,TRUE,"general";"via2",#N/A,TRUE,"general";"via3",#N/A,TRUE,"general"}</definedName>
    <definedName name="fghfgh" localSheetId="17" hidden="1">{"via1",#N/A,TRUE,"general";"via2",#N/A,TRUE,"general";"via3",#N/A,TRUE,"general"}</definedName>
    <definedName name="fghfgh" localSheetId="19" hidden="1">{"via1",#N/A,TRUE,"general";"via2",#N/A,TRUE,"general";"via3",#N/A,TRUE,"general"}</definedName>
    <definedName name="fghfgh" localSheetId="12"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4" hidden="1">{"via1",#N/A,TRUE,"general";"via2",#N/A,TRUE,"general";"via3",#N/A,TRUE,"general"}</definedName>
    <definedName name="fghfgh" localSheetId="1" hidden="1">{"via1",#N/A,TRUE,"general";"via2",#N/A,TRUE,"general";"via3",#N/A,TRUE,"general"}</definedName>
    <definedName name="fghfgh" localSheetId="14" hidden="1">{"via1",#N/A,TRUE,"general";"via2",#N/A,TRUE,"general";"via3",#N/A,TRUE,"general"}</definedName>
    <definedName name="fghfgh" localSheetId="16" hidden="1">{"via1",#N/A,TRUE,"general";"via2",#N/A,TRUE,"general";"via3",#N/A,TRUE,"general"}</definedName>
    <definedName name="fghfgh" localSheetId="18" hidden="1">{"via1",#N/A,TRUE,"general";"via2",#N/A,TRUE,"general";"via3",#N/A,TRUE,"general"}</definedName>
    <definedName name="fghfgh" hidden="1">{"via1",#N/A,TRUE,"general";"via2",#N/A,TRUE,"general";"via3",#N/A,TRUE,"general"}</definedName>
    <definedName name="FGHFW" localSheetId="15" hidden="1">{"via1",#N/A,TRUE,"general";"via2",#N/A,TRUE,"general";"via3",#N/A,TRUE,"general"}</definedName>
    <definedName name="FGHFW" localSheetId="17" hidden="1">{"via1",#N/A,TRUE,"general";"via2",#N/A,TRUE,"general";"via3",#N/A,TRUE,"general"}</definedName>
    <definedName name="FGHFW" localSheetId="19" hidden="1">{"via1",#N/A,TRUE,"general";"via2",#N/A,TRUE,"general";"via3",#N/A,TRUE,"general"}</definedName>
    <definedName name="FGHFW" localSheetId="12"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4" hidden="1">{"via1",#N/A,TRUE,"general";"via2",#N/A,TRUE,"general";"via3",#N/A,TRUE,"general"}</definedName>
    <definedName name="FGHFW" localSheetId="1" hidden="1">{"via1",#N/A,TRUE,"general";"via2",#N/A,TRUE,"general";"via3",#N/A,TRUE,"general"}</definedName>
    <definedName name="FGHFW" localSheetId="14" hidden="1">{"via1",#N/A,TRUE,"general";"via2",#N/A,TRUE,"general";"via3",#N/A,TRUE,"general"}</definedName>
    <definedName name="FGHFW" localSheetId="16" hidden="1">{"via1",#N/A,TRUE,"general";"via2",#N/A,TRUE,"general";"via3",#N/A,TRUE,"general"}</definedName>
    <definedName name="FGHFW" localSheetId="18" hidden="1">{"via1",#N/A,TRUE,"general";"via2",#N/A,TRUE,"general";"via3",#N/A,TRUE,"general"}</definedName>
    <definedName name="FGHFW" hidden="1">{"via1",#N/A,TRUE,"general";"via2",#N/A,TRUE,"general";"via3",#N/A,TRUE,"general"}</definedName>
    <definedName name="fghhh" localSheetId="15"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4" hidden="1">{"TAB1",#N/A,TRUE,"GENERAL";"TAB2",#N/A,TRUE,"GENERAL";"TAB3",#N/A,TRUE,"GENERAL";"TAB4",#N/A,TRUE,"GENERAL";"TAB5",#N/A,TRUE,"GENERAL"}</definedName>
    <definedName name="fghhh" localSheetId="1"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8" hidden="1">{"TAB1",#N/A,TRUE,"GENERAL";"TAB2",#N/A,TRUE,"GENERAL";"TAB3",#N/A,TRUE,"GENERAL";"TAB4",#N/A,TRUE,"GENERAL";"TAB5",#N/A,TRUE,"GENERAL"}</definedName>
    <definedName name="fghhh" hidden="1">{"TAB1",#N/A,TRUE,"GENERAL";"TAB2",#N/A,TRUE,"GENERAL";"TAB3",#N/A,TRUE,"GENERAL";"TAB4",#N/A,TRUE,"GENERAL";"TAB5",#N/A,TRUE,"GENERAL"}</definedName>
    <definedName name="fghsfgh" localSheetId="15" hidden="1">{"via1",#N/A,TRUE,"general";"via2",#N/A,TRUE,"general";"via3",#N/A,TRUE,"general"}</definedName>
    <definedName name="fghsfgh" localSheetId="17" hidden="1">{"via1",#N/A,TRUE,"general";"via2",#N/A,TRUE,"general";"via3",#N/A,TRUE,"general"}</definedName>
    <definedName name="fghsfgh" localSheetId="19" hidden="1">{"via1",#N/A,TRUE,"general";"via2",#N/A,TRUE,"general";"via3",#N/A,TRUE,"general"}</definedName>
    <definedName name="fghsfgh" localSheetId="12"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4" hidden="1">{"via1",#N/A,TRUE,"general";"via2",#N/A,TRUE,"general";"via3",#N/A,TRUE,"general"}</definedName>
    <definedName name="fghsfgh" localSheetId="1" hidden="1">{"via1",#N/A,TRUE,"general";"via2",#N/A,TRUE,"general";"via3",#N/A,TRUE,"general"}</definedName>
    <definedName name="fghsfgh" localSheetId="14" hidden="1">{"via1",#N/A,TRUE,"general";"via2",#N/A,TRUE,"general";"via3",#N/A,TRUE,"general"}</definedName>
    <definedName name="fghsfgh" localSheetId="16" hidden="1">{"via1",#N/A,TRUE,"general";"via2",#N/A,TRUE,"general";"via3",#N/A,TRUE,"general"}</definedName>
    <definedName name="fghsfgh" localSheetId="18" hidden="1">{"via1",#N/A,TRUE,"general";"via2",#N/A,TRUE,"general";"via3",#N/A,TRUE,"general"}</definedName>
    <definedName name="fghsfgh" hidden="1">{"via1",#N/A,TRUE,"general";"via2",#N/A,TRUE,"general";"via3",#N/A,TRUE,"general"}</definedName>
    <definedName name="fght" localSheetId="15" hidden="1">{"TAB1",#N/A,TRUE,"GENERAL";"TAB2",#N/A,TRUE,"GENERAL";"TAB3",#N/A,TRUE,"GENERAL";"TAB4",#N/A,TRUE,"GENERAL";"TAB5",#N/A,TRUE,"GENERAL"}</definedName>
    <definedName name="fght" localSheetId="17" hidden="1">{"TAB1",#N/A,TRUE,"GENERAL";"TAB2",#N/A,TRUE,"GENERAL";"TAB3",#N/A,TRUE,"GENERAL";"TAB4",#N/A,TRUE,"GENERAL";"TAB5",#N/A,TRUE,"GENERAL"}</definedName>
    <definedName name="fght" localSheetId="19" hidden="1">{"TAB1",#N/A,TRUE,"GENERAL";"TAB2",#N/A,TRUE,"GENERAL";"TAB3",#N/A,TRUE,"GENERAL";"TAB4",#N/A,TRUE,"GENERAL";"TAB5",#N/A,TRUE,"GENERAL"}</definedName>
    <definedName name="fght" localSheetId="12"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4" hidden="1">{"TAB1",#N/A,TRUE,"GENERAL";"TAB2",#N/A,TRUE,"GENERAL";"TAB3",#N/A,TRUE,"GENERAL";"TAB4",#N/A,TRUE,"GENERAL";"TAB5",#N/A,TRUE,"GENERAL"}</definedName>
    <definedName name="fght" localSheetId="1" hidden="1">{"TAB1",#N/A,TRUE,"GENERAL";"TAB2",#N/A,TRUE,"GENERAL";"TAB3",#N/A,TRUE,"GENERAL";"TAB4",#N/A,TRUE,"GENERAL";"TAB5",#N/A,TRUE,"GENERAL"}</definedName>
    <definedName name="fght" localSheetId="14" hidden="1">{"TAB1",#N/A,TRUE,"GENERAL";"TAB2",#N/A,TRUE,"GENERAL";"TAB3",#N/A,TRUE,"GENERAL";"TAB4",#N/A,TRUE,"GENERAL";"TAB5",#N/A,TRUE,"GENERAL"}</definedName>
    <definedName name="fght" localSheetId="16" hidden="1">{"TAB1",#N/A,TRUE,"GENERAL";"TAB2",#N/A,TRUE,"GENERAL";"TAB3",#N/A,TRUE,"GENERAL";"TAB4",#N/A,TRUE,"GENERAL";"TAB5",#N/A,TRUE,"GENERAL"}</definedName>
    <definedName name="fght" localSheetId="18" hidden="1">{"TAB1",#N/A,TRUE,"GENERAL";"TAB2",#N/A,TRUE,"GENERAL";"TAB3",#N/A,TRUE,"GENERAL";"TAB4",#N/A,TRUE,"GENERAL";"TAB5",#N/A,TRUE,"GENERAL"}</definedName>
    <definedName name="fght"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8" hidden="1">{"TAB1",#N/A,TRUE,"GENERAL";"TAB2",#N/A,TRUE,"GENERAL";"TAB3",#N/A,TRUE,"GENERAL";"TAB4",#N/A,TRUE,"GENERAL";"TAB5",#N/A,TRUE,"GENERAL"}</definedName>
    <definedName name="fgjgryi" hidden="1">{"TAB1",#N/A,TRUE,"GENERAL";"TAB2",#N/A,TRUE,"GENERAL";"TAB3",#N/A,TRUE,"GENERAL";"TAB4",#N/A,TRUE,"GENERAL";"TAB5",#N/A,TRUE,"GENERAL"}</definedName>
    <definedName name="fhfg" localSheetId="15" hidden="1">{"TAB1",#N/A,TRUE,"GENERAL";"TAB2",#N/A,TRUE,"GENERAL";"TAB3",#N/A,TRUE,"GENERAL";"TAB4",#N/A,TRUE,"GENERAL";"TAB5",#N/A,TRUE,"GENERAL"}</definedName>
    <definedName name="fhfg" localSheetId="17" hidden="1">{"TAB1",#N/A,TRUE,"GENERAL";"TAB2",#N/A,TRUE,"GENERAL";"TAB3",#N/A,TRUE,"GENERAL";"TAB4",#N/A,TRUE,"GENERAL";"TAB5",#N/A,TRUE,"GENERAL"}</definedName>
    <definedName name="fhfg" localSheetId="19" hidden="1">{"TAB1",#N/A,TRUE,"GENERAL";"TAB2",#N/A,TRUE,"GENERAL";"TAB3",#N/A,TRUE,"GENERAL";"TAB4",#N/A,TRUE,"GENERAL";"TAB5",#N/A,TRUE,"GENERAL"}</definedName>
    <definedName name="fhfg" localSheetId="12"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4" hidden="1">{"TAB1",#N/A,TRUE,"GENERAL";"TAB2",#N/A,TRUE,"GENERAL";"TAB3",#N/A,TRUE,"GENERAL";"TAB4",#N/A,TRUE,"GENERAL";"TAB5",#N/A,TRUE,"GENERAL"}</definedName>
    <definedName name="fhfg" localSheetId="1" hidden="1">{"TAB1",#N/A,TRUE,"GENERAL";"TAB2",#N/A,TRUE,"GENERAL";"TAB3",#N/A,TRUE,"GENERAL";"TAB4",#N/A,TRUE,"GENERAL";"TAB5",#N/A,TRUE,"GENERAL"}</definedName>
    <definedName name="fhfg" localSheetId="14" hidden="1">{"TAB1",#N/A,TRUE,"GENERAL";"TAB2",#N/A,TRUE,"GENERAL";"TAB3",#N/A,TRUE,"GENERAL";"TAB4",#N/A,TRUE,"GENERAL";"TAB5",#N/A,TRUE,"GENERAL"}</definedName>
    <definedName name="fhfg" localSheetId="16" hidden="1">{"TAB1",#N/A,TRUE,"GENERAL";"TAB2",#N/A,TRUE,"GENERAL";"TAB3",#N/A,TRUE,"GENERAL";"TAB4",#N/A,TRUE,"GENERAL";"TAB5",#N/A,TRUE,"GENERAL"}</definedName>
    <definedName name="fhfg" localSheetId="18" hidden="1">{"TAB1",#N/A,TRUE,"GENERAL";"TAB2",#N/A,TRUE,"GENERAL";"TAB3",#N/A,TRUE,"GENERAL";"TAB4",#N/A,TRUE,"GENERAL";"TAB5",#N/A,TRUE,"GENERAL"}</definedName>
    <definedName name="fhfg" hidden="1">{"TAB1",#N/A,TRUE,"GENERAL";"TAB2",#N/A,TRUE,"GENERAL";"TAB3",#N/A,TRUE,"GENERAL";"TAB4",#N/A,TRUE,"GENERAL";"TAB5",#N/A,TRUE,"GENERAL"}</definedName>
    <definedName name="fhfgh" localSheetId="15" hidden="1">{"via1",#N/A,TRUE,"general";"via2",#N/A,TRUE,"general";"via3",#N/A,TRUE,"general"}</definedName>
    <definedName name="fhfgh" localSheetId="17" hidden="1">{"via1",#N/A,TRUE,"general";"via2",#N/A,TRUE,"general";"via3",#N/A,TRUE,"general"}</definedName>
    <definedName name="fhfgh" localSheetId="19" hidden="1">{"via1",#N/A,TRUE,"general";"via2",#N/A,TRUE,"general";"via3",#N/A,TRUE,"general"}</definedName>
    <definedName name="fhfgh" localSheetId="12"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4" hidden="1">{"via1",#N/A,TRUE,"general";"via2",#N/A,TRUE,"general";"via3",#N/A,TRUE,"general"}</definedName>
    <definedName name="fhfgh" localSheetId="1" hidden="1">{"via1",#N/A,TRUE,"general";"via2",#N/A,TRUE,"general";"via3",#N/A,TRUE,"general"}</definedName>
    <definedName name="fhfgh" localSheetId="14" hidden="1">{"via1",#N/A,TRUE,"general";"via2",#N/A,TRUE,"general";"via3",#N/A,TRUE,"general"}</definedName>
    <definedName name="fhfgh" localSheetId="16" hidden="1">{"via1",#N/A,TRUE,"general";"via2",#N/A,TRUE,"general";"via3",#N/A,TRUE,"general"}</definedName>
    <definedName name="fhfgh" localSheetId="18" hidden="1">{"via1",#N/A,TRUE,"general";"via2",#N/A,TRUE,"general";"via3",#N/A,TRUE,"general"}</definedName>
    <definedName name="fhfgh" hidden="1">{"via1",#N/A,TRUE,"general";"via2",#N/A,TRUE,"general";"via3",#N/A,TRUE,"general"}</definedName>
    <definedName name="fhg" localSheetId="13" hidden="1">{#N/A,#N/A,TRUE,"1842CWN0"}</definedName>
    <definedName name="fhg" localSheetId="15" hidden="1">{#N/A,#N/A,TRUE,"1842CWN0"}</definedName>
    <definedName name="fhg" localSheetId="17" hidden="1">{#N/A,#N/A,TRUE,"1842CWN0"}</definedName>
    <definedName name="fhg" localSheetId="19" hidden="1">{#N/A,#N/A,TRUE,"1842CWN0"}</definedName>
    <definedName name="fhg" localSheetId="12" hidden="1">{#N/A,#N/A,TRUE,"1842CWN0"}</definedName>
    <definedName name="fhg" localSheetId="8" hidden="1">{#N/A,#N/A,TRUE,"1842CWN0"}</definedName>
    <definedName name="fhg" localSheetId="9" hidden="1">{#N/A,#N/A,TRUE,"1842CWN0"}</definedName>
    <definedName name="fhg" localSheetId="7" hidden="1">{#N/A,#N/A,TRUE,"1842CWN0"}</definedName>
    <definedName name="fhg" localSheetId="10" hidden="1">{#N/A,#N/A,TRUE,"1842CWN0"}</definedName>
    <definedName name="fhg" localSheetId="0" hidden="1">{#N/A,#N/A,TRUE,"1842CWN0"}</definedName>
    <definedName name="fhg" localSheetId="11" hidden="1">{#N/A,#N/A,TRUE,"1842CWN0"}</definedName>
    <definedName name="fhg" localSheetId="6" hidden="1">{#N/A,#N/A,TRUE,"1842CWN0"}</definedName>
    <definedName name="fhg" localSheetId="4" hidden="1">{#N/A,#N/A,TRUE,"1842CWN0"}</definedName>
    <definedName name="fhg" localSheetId="1" hidden="1">{#N/A,#N/A,TRUE,"1842CWN0"}</definedName>
    <definedName name="fhg" localSheetId="14" hidden="1">{#N/A,#N/A,TRUE,"1842CWN0"}</definedName>
    <definedName name="fhg" localSheetId="16" hidden="1">{#N/A,#N/A,TRUE,"1842CWN0"}</definedName>
    <definedName name="fhg" localSheetId="18" hidden="1">{#N/A,#N/A,TRUE,"1842CWN0"}</definedName>
    <definedName name="fhg" localSheetId="5" hidden="1">{#N/A,#N/A,TRUE,"1842CWN0"}</definedName>
    <definedName name="fhg" hidden="1">{#N/A,#N/A,TRUE,"1842CWN0"}</definedName>
    <definedName name="fhg_1" localSheetId="15" hidden="1">{#N/A,#N/A,TRUE,"1842CWN0"}</definedName>
    <definedName name="fhg_1" localSheetId="17" hidden="1">{#N/A,#N/A,TRUE,"1842CWN0"}</definedName>
    <definedName name="fhg_1" localSheetId="19" hidden="1">{#N/A,#N/A,TRUE,"1842CWN0"}</definedName>
    <definedName name="fhg_1" localSheetId="11" hidden="1">{#N/A,#N/A,TRUE,"1842CWN0"}</definedName>
    <definedName name="fhg_1" localSheetId="14" hidden="1">{#N/A,#N/A,TRUE,"1842CWN0"}</definedName>
    <definedName name="fhg_1" localSheetId="16" hidden="1">{#N/A,#N/A,TRUE,"1842CWN0"}</definedName>
    <definedName name="fhg_1" localSheetId="18" hidden="1">{#N/A,#N/A,TRUE,"1842CWN0"}</definedName>
    <definedName name="fhg_1" hidden="1">{#N/A,#N/A,TRUE,"1842CWN0"}</definedName>
    <definedName name="fhg_2" localSheetId="15" hidden="1">{#N/A,#N/A,TRUE,"1842CWN0"}</definedName>
    <definedName name="fhg_2" localSheetId="17" hidden="1">{#N/A,#N/A,TRUE,"1842CWN0"}</definedName>
    <definedName name="fhg_2" localSheetId="19" hidden="1">{#N/A,#N/A,TRUE,"1842CWN0"}</definedName>
    <definedName name="fhg_2" localSheetId="11" hidden="1">{#N/A,#N/A,TRUE,"1842CWN0"}</definedName>
    <definedName name="fhg_2" localSheetId="14" hidden="1">{#N/A,#N/A,TRUE,"1842CWN0"}</definedName>
    <definedName name="fhg_2" localSheetId="16" hidden="1">{#N/A,#N/A,TRUE,"1842CWN0"}</definedName>
    <definedName name="fhg_2" localSheetId="18" hidden="1">{#N/A,#N/A,TRUE,"1842CWN0"}</definedName>
    <definedName name="fhg_2" hidden="1">{#N/A,#N/A,TRUE,"1842CWN0"}</definedName>
    <definedName name="fhgh" localSheetId="15" hidden="1">{"via1",#N/A,TRUE,"general";"via2",#N/A,TRUE,"general";"via3",#N/A,TRUE,"general"}</definedName>
    <definedName name="fhgh" localSheetId="17" hidden="1">{"via1",#N/A,TRUE,"general";"via2",#N/A,TRUE,"general";"via3",#N/A,TRUE,"general"}</definedName>
    <definedName name="fhgh" localSheetId="19" hidden="1">{"via1",#N/A,TRUE,"general";"via2",#N/A,TRUE,"general";"via3",#N/A,TRUE,"general"}</definedName>
    <definedName name="fhgh" localSheetId="12"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4" hidden="1">{"via1",#N/A,TRUE,"general";"via2",#N/A,TRUE,"general";"via3",#N/A,TRUE,"general"}</definedName>
    <definedName name="fhgh" localSheetId="1" hidden="1">{"via1",#N/A,TRUE,"general";"via2",#N/A,TRUE,"general";"via3",#N/A,TRUE,"general"}</definedName>
    <definedName name="fhgh" localSheetId="14" hidden="1">{"via1",#N/A,TRUE,"general";"via2",#N/A,TRUE,"general";"via3",#N/A,TRUE,"general"}</definedName>
    <definedName name="fhgh" localSheetId="16" hidden="1">{"via1",#N/A,TRUE,"general";"via2",#N/A,TRUE,"general";"via3",#N/A,TRUE,"general"}</definedName>
    <definedName name="fhgh" localSheetId="18" hidden="1">{"via1",#N/A,TRUE,"general";"via2",#N/A,TRUE,"general";"via3",#N/A,TRUE,"general"}</definedName>
    <definedName name="fhgh" hidden="1">{"via1",#N/A,TRUE,"general";"via2",#N/A,TRUE,"general";"via3",#N/A,TRUE,"general"}</definedName>
    <definedName name="fhpltyunh" localSheetId="15" hidden="1">{"via1",#N/A,TRUE,"general";"via2",#N/A,TRUE,"general";"via3",#N/A,TRUE,"general"}</definedName>
    <definedName name="fhpltyunh" localSheetId="17" hidden="1">{"via1",#N/A,TRUE,"general";"via2",#N/A,TRUE,"general";"via3",#N/A,TRUE,"general"}</definedName>
    <definedName name="fhpltyunh" localSheetId="19" hidden="1">{"via1",#N/A,TRUE,"general";"via2",#N/A,TRUE,"general";"via3",#N/A,TRUE,"general"}</definedName>
    <definedName name="fhpltyunh" localSheetId="12"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4" hidden="1">{"via1",#N/A,TRUE,"general";"via2",#N/A,TRUE,"general";"via3",#N/A,TRUE,"general"}</definedName>
    <definedName name="fhpltyunh" localSheetId="1" hidden="1">{"via1",#N/A,TRUE,"general";"via2",#N/A,TRUE,"general";"via3",#N/A,TRUE,"general"}</definedName>
    <definedName name="fhpltyunh" localSheetId="14" hidden="1">{"via1",#N/A,TRUE,"general";"via2",#N/A,TRUE,"general";"via3",#N/A,TRUE,"general"}</definedName>
    <definedName name="fhpltyunh" localSheetId="16" hidden="1">{"via1",#N/A,TRUE,"general";"via2",#N/A,TRUE,"general";"via3",#N/A,TRUE,"general"}</definedName>
    <definedName name="fhpltyunh" localSheetId="18" hidden="1">{"via1",#N/A,TRUE,"general";"via2",#N/A,TRUE,"general";"via3",#N/A,TRUE,"general"}</definedName>
    <definedName name="fhpltyunh" hidden="1">{"via1",#N/A,TRUE,"general";"via2",#N/A,TRUE,"general";"via3",#N/A,TRUE,"general"}</definedName>
    <definedName name="FIDUCIASOCTUBRE" localSheetId="15" hidden="1">{#N/A,#N/A,FALSE,"Aging Summary";#N/A,#N/A,FALSE,"Ratio Analysis";#N/A,#N/A,FALSE,"Test 120 Day Accts";#N/A,#N/A,FALSE,"Tickmarks"}</definedName>
    <definedName name="FIDUCIASOCTUBRE" localSheetId="17" hidden="1">{#N/A,#N/A,FALSE,"Aging Summary";#N/A,#N/A,FALSE,"Ratio Analysis";#N/A,#N/A,FALSE,"Test 120 Day Accts";#N/A,#N/A,FALSE,"Tickmarks"}</definedName>
    <definedName name="FIDUCIASOCTUBRE" localSheetId="19" hidden="1">{#N/A,#N/A,FALSE,"Aging Summary";#N/A,#N/A,FALSE,"Ratio Analysis";#N/A,#N/A,FALSE,"Test 120 Day Accts";#N/A,#N/A,FALSE,"Tickmarks"}</definedName>
    <definedName name="FIDUCIASOCTUBRE" localSheetId="11" hidden="1">{#N/A,#N/A,FALSE,"Aging Summary";#N/A,#N/A,FALSE,"Ratio Analysis";#N/A,#N/A,FALSE,"Test 120 Day Accts";#N/A,#N/A,FALSE,"Tickmarks"}</definedName>
    <definedName name="FIDUCIASOCTUBRE" localSheetId="14" hidden="1">{#N/A,#N/A,FALSE,"Aging Summary";#N/A,#N/A,FALSE,"Ratio Analysis";#N/A,#N/A,FALSE,"Test 120 Day Accts";#N/A,#N/A,FALSE,"Tickmarks"}</definedName>
    <definedName name="FIDUCIASOCTUBRE" localSheetId="16" hidden="1">{#N/A,#N/A,FALSE,"Aging Summary";#N/A,#N/A,FALSE,"Ratio Analysis";#N/A,#N/A,FALSE,"Test 120 Day Accts";#N/A,#N/A,FALSE,"Tickmarks"}</definedName>
    <definedName name="FIDUCIASOCTUBRE" localSheetId="18" hidden="1">{#N/A,#N/A,FALSE,"Aging Summary";#N/A,#N/A,FALSE,"Ratio Analysis";#N/A,#N/A,FALSE,"Test 120 Day Accts";#N/A,#N/A,FALSE,"Tickmarks"}</definedName>
    <definedName name="FIDUCIASOCTUBRE" hidden="1">{#N/A,#N/A,FALSE,"Aging Summary";#N/A,#N/A,FALSE,"Ratio Analysis";#N/A,#N/A,FALSE,"Test 120 Day Accts";#N/A,#N/A,FALSE,"Tickmarks"}</definedName>
    <definedName name="fill1" localSheetId="8" hidden="1">#REF!</definedName>
    <definedName name="fill1" localSheetId="9" hidden="1">#REF!</definedName>
    <definedName name="fill1" localSheetId="7" hidden="1">#REF!</definedName>
    <definedName name="fill1" localSheetId="10" hidden="1">#REF!</definedName>
    <definedName name="fill1" localSheetId="1" hidden="1">#REF!</definedName>
    <definedName name="fill1" hidden="1">#REF!</definedName>
    <definedName name="frbgsd" localSheetId="15"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8" hidden="1">{"TAB1",#N/A,TRUE,"GENERAL";"TAB2",#N/A,TRUE,"GENERAL";"TAB3",#N/A,TRUE,"GENERAL";"TAB4",#N/A,TRUE,"GENERAL";"TAB5",#N/A,TRUE,"GENERAL"}</definedName>
    <definedName name="frbgsd" hidden="1">{"TAB1",#N/A,TRUE,"GENERAL";"TAB2",#N/A,TRUE,"GENERAL";"TAB3",#N/A,TRUE,"GENERAL";"TAB4",#N/A,TRUE,"GENERAL";"TAB5",#N/A,TRUE,"GENERAL"}</definedName>
    <definedName name="frefr" localSheetId="15" hidden="1">{"via1",#N/A,TRUE,"general";"via2",#N/A,TRUE,"general";"via3",#N/A,TRUE,"general"}</definedName>
    <definedName name="frefr" localSheetId="17" hidden="1">{"via1",#N/A,TRUE,"general";"via2",#N/A,TRUE,"general";"via3",#N/A,TRUE,"general"}</definedName>
    <definedName name="frefr" localSheetId="19" hidden="1">{"via1",#N/A,TRUE,"general";"via2",#N/A,TRUE,"general";"via3",#N/A,TRUE,"general"}</definedName>
    <definedName name="frefr" localSheetId="12"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4" hidden="1">{"via1",#N/A,TRUE,"general";"via2",#N/A,TRUE,"general";"via3",#N/A,TRUE,"general"}</definedName>
    <definedName name="frefr" localSheetId="1" hidden="1">{"via1",#N/A,TRUE,"general";"via2",#N/A,TRUE,"general";"via3",#N/A,TRUE,"general"}</definedName>
    <definedName name="frefr" localSheetId="14" hidden="1">{"via1",#N/A,TRUE,"general";"via2",#N/A,TRUE,"general";"via3",#N/A,TRUE,"general"}</definedName>
    <definedName name="frefr" localSheetId="16" hidden="1">{"via1",#N/A,TRUE,"general";"via2",#N/A,TRUE,"general";"via3",#N/A,TRUE,"general"}</definedName>
    <definedName name="frefr" localSheetId="18" hidden="1">{"via1",#N/A,TRUE,"general";"via2",#N/A,TRUE,"general";"via3",#N/A,TRUE,"general"}</definedName>
    <definedName name="frefr" hidden="1">{"via1",#N/A,TRUE,"general";"via2",#N/A,TRUE,"general";"via3",#N/A,TRUE,"general"}</definedName>
    <definedName name="FREV" localSheetId="15" hidden="1">{"PYGT",#N/A,FALSE,"PYG";"ACTIT",#N/A,FALSE,"BCE_GRAL-ACTIVO";"PASIT",#N/A,FALSE,"BCE_GRAL-PASIVO-PATRIM";"CAJAT",#N/A,FALSE,"CAJA"}</definedName>
    <definedName name="FREV" localSheetId="17" hidden="1">{"PYGT",#N/A,FALSE,"PYG";"ACTIT",#N/A,FALSE,"BCE_GRAL-ACTIVO";"PASIT",#N/A,FALSE,"BCE_GRAL-PASIVO-PATRIM";"CAJAT",#N/A,FALSE,"CAJA"}</definedName>
    <definedName name="FREV" localSheetId="19" hidden="1">{"PYGT",#N/A,FALSE,"PYG";"ACTIT",#N/A,FALSE,"BCE_GRAL-ACTIVO";"PASIT",#N/A,FALSE,"BCE_GRAL-PASIVO-PATRIM";"CAJAT",#N/A,FALSE,"CAJA"}</definedName>
    <definedName name="FREV" localSheetId="11" hidden="1">{"PYGT",#N/A,FALSE,"PYG";"ACTIT",#N/A,FALSE,"BCE_GRAL-ACTIVO";"PASIT",#N/A,FALSE,"BCE_GRAL-PASIVO-PATRIM";"CAJAT",#N/A,FALSE,"CAJA"}</definedName>
    <definedName name="FREV" localSheetId="14" hidden="1">{"PYGT",#N/A,FALSE,"PYG";"ACTIT",#N/A,FALSE,"BCE_GRAL-ACTIVO";"PASIT",#N/A,FALSE,"BCE_GRAL-PASIVO-PATRIM";"CAJAT",#N/A,FALSE,"CAJA"}</definedName>
    <definedName name="FREV" localSheetId="16" hidden="1">{"PYGT",#N/A,FALSE,"PYG";"ACTIT",#N/A,FALSE,"BCE_GRAL-ACTIVO";"PASIT",#N/A,FALSE,"BCE_GRAL-PASIVO-PATRIM";"CAJAT",#N/A,FALSE,"CAJA"}</definedName>
    <definedName name="FREV" localSheetId="18" hidden="1">{"PYGT",#N/A,FALSE,"PYG";"ACTIT",#N/A,FALSE,"BCE_GRAL-ACTIVO";"PASIT",#N/A,FALSE,"BCE_GRAL-PASIVO-PATRIM";"CAJAT",#N/A,FALSE,"CAJA"}</definedName>
    <definedName name="FREV" hidden="1">{"PYGT",#N/A,FALSE,"PYG";"ACTIT",#N/A,FALSE,"BCE_GRAL-ACTIVO";"PASIT",#N/A,FALSE,"BCE_GRAL-PASIVO-PATRIM";"CAJAT",#N/A,FALSE,"CAJA"}</definedName>
    <definedName name="frfa" localSheetId="15" hidden="1">{"via1",#N/A,TRUE,"general";"via2",#N/A,TRUE,"general";"via3",#N/A,TRUE,"general"}</definedName>
    <definedName name="frfa" localSheetId="17" hidden="1">{"via1",#N/A,TRUE,"general";"via2",#N/A,TRUE,"general";"via3",#N/A,TRUE,"general"}</definedName>
    <definedName name="frfa" localSheetId="19" hidden="1">{"via1",#N/A,TRUE,"general";"via2",#N/A,TRUE,"general";"via3",#N/A,TRUE,"general"}</definedName>
    <definedName name="frfa" localSheetId="12"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4" hidden="1">{"via1",#N/A,TRUE,"general";"via2",#N/A,TRUE,"general";"via3",#N/A,TRUE,"general"}</definedName>
    <definedName name="frfa" localSheetId="1" hidden="1">{"via1",#N/A,TRUE,"general";"via2",#N/A,TRUE,"general";"via3",#N/A,TRUE,"general"}</definedName>
    <definedName name="frfa" localSheetId="14" hidden="1">{"via1",#N/A,TRUE,"general";"via2",#N/A,TRUE,"general";"via3",#N/A,TRUE,"general"}</definedName>
    <definedName name="frfa" localSheetId="16" hidden="1">{"via1",#N/A,TRUE,"general";"via2",#N/A,TRUE,"general";"via3",#N/A,TRUE,"general"}</definedName>
    <definedName name="frfa" localSheetId="18" hidden="1">{"via1",#N/A,TRUE,"general";"via2",#N/A,TRUE,"general";"via3",#N/A,TRUE,"general"}</definedName>
    <definedName name="frfa" hidden="1">{"via1",#N/A,TRUE,"general";"via2",#N/A,TRUE,"general";"via3",#N/A,TRUE,"general"}</definedName>
    <definedName name="frfr" localSheetId="15" hidden="1">{"TAB1",#N/A,TRUE,"GENERAL";"TAB2",#N/A,TRUE,"GENERAL";"TAB3",#N/A,TRUE,"GENERAL";"TAB4",#N/A,TRUE,"GENERAL";"TAB5",#N/A,TRUE,"GENERAL"}</definedName>
    <definedName name="frfr" localSheetId="17" hidden="1">{"TAB1",#N/A,TRUE,"GENERAL";"TAB2",#N/A,TRUE,"GENERAL";"TAB3",#N/A,TRUE,"GENERAL";"TAB4",#N/A,TRUE,"GENERAL";"TAB5",#N/A,TRUE,"GENERAL"}</definedName>
    <definedName name="frfr" localSheetId="19" hidden="1">{"TAB1",#N/A,TRUE,"GENERAL";"TAB2",#N/A,TRUE,"GENERAL";"TAB3",#N/A,TRUE,"GENERAL";"TAB4",#N/A,TRUE,"GENERAL";"TAB5",#N/A,TRUE,"GENERAL"}</definedName>
    <definedName name="frfr" localSheetId="12"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4" hidden="1">{"TAB1",#N/A,TRUE,"GENERAL";"TAB2",#N/A,TRUE,"GENERAL";"TAB3",#N/A,TRUE,"GENERAL";"TAB4",#N/A,TRUE,"GENERAL";"TAB5",#N/A,TRUE,"GENERAL"}</definedName>
    <definedName name="frfr" localSheetId="1" hidden="1">{"TAB1",#N/A,TRUE,"GENERAL";"TAB2",#N/A,TRUE,"GENERAL";"TAB3",#N/A,TRUE,"GENERAL";"TAB4",#N/A,TRUE,"GENERAL";"TAB5",#N/A,TRUE,"GENERAL"}</definedName>
    <definedName name="frfr" localSheetId="14" hidden="1">{"TAB1",#N/A,TRUE,"GENERAL";"TAB2",#N/A,TRUE,"GENERAL";"TAB3",#N/A,TRUE,"GENERAL";"TAB4",#N/A,TRUE,"GENERAL";"TAB5",#N/A,TRUE,"GENERAL"}</definedName>
    <definedName name="frfr" localSheetId="16" hidden="1">{"TAB1",#N/A,TRUE,"GENERAL";"TAB2",#N/A,TRUE,"GENERAL";"TAB3",#N/A,TRUE,"GENERAL";"TAB4",#N/A,TRUE,"GENERAL";"TAB5",#N/A,TRUE,"GENERAL"}</definedName>
    <definedName name="frfr" localSheetId="18" hidden="1">{"TAB1",#N/A,TRUE,"GENERAL";"TAB2",#N/A,TRUE,"GENERAL";"TAB3",#N/A,TRUE,"GENERAL";"TAB4",#N/A,TRUE,"GENERAL";"TAB5",#N/A,TRUE,"GENERAL"}</definedName>
    <definedName name="frfr" hidden="1">{"TAB1",#N/A,TRUE,"GENERAL";"TAB2",#N/A,TRUE,"GENERAL";"TAB3",#N/A,TRUE,"GENERAL";"TAB4",#N/A,TRUE,"GENERAL";"TAB5",#N/A,TRUE,"GENERAL"}</definedName>
    <definedName name="fwff" localSheetId="15" hidden="1">{"via1",#N/A,TRUE,"general";"via2",#N/A,TRUE,"general";"via3",#N/A,TRUE,"general"}</definedName>
    <definedName name="fwff" localSheetId="17" hidden="1">{"via1",#N/A,TRUE,"general";"via2",#N/A,TRUE,"general";"via3",#N/A,TRUE,"general"}</definedName>
    <definedName name="fwff" localSheetId="19" hidden="1">{"via1",#N/A,TRUE,"general";"via2",#N/A,TRUE,"general";"via3",#N/A,TRUE,"general"}</definedName>
    <definedName name="fwff" localSheetId="12"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4" hidden="1">{"via1",#N/A,TRUE,"general";"via2",#N/A,TRUE,"general";"via3",#N/A,TRUE,"general"}</definedName>
    <definedName name="fwff" localSheetId="1" hidden="1">{"via1",#N/A,TRUE,"general";"via2",#N/A,TRUE,"general";"via3",#N/A,TRUE,"general"}</definedName>
    <definedName name="fwff" localSheetId="14" hidden="1">{"via1",#N/A,TRUE,"general";"via2",#N/A,TRUE,"general";"via3",#N/A,TRUE,"general"}</definedName>
    <definedName name="fwff" localSheetId="16" hidden="1">{"via1",#N/A,TRUE,"general";"via2",#N/A,TRUE,"general";"via3",#N/A,TRUE,"general"}</definedName>
    <definedName name="fwff" localSheetId="18" hidden="1">{"via1",#N/A,TRUE,"general";"via2",#N/A,TRUE,"general";"via3",#N/A,TRUE,"general"}</definedName>
    <definedName name="fwff" hidden="1">{"via1",#N/A,TRUE,"general";"via2",#N/A,TRUE,"general";"via3",#N/A,TRUE,"general"}</definedName>
    <definedName name="fwwe" localSheetId="15" hidden="1">{"via1",#N/A,TRUE,"general";"via2",#N/A,TRUE,"general";"via3",#N/A,TRUE,"general"}</definedName>
    <definedName name="fwwe" localSheetId="17" hidden="1">{"via1",#N/A,TRUE,"general";"via2",#N/A,TRUE,"general";"via3",#N/A,TRUE,"general"}</definedName>
    <definedName name="fwwe" localSheetId="19" hidden="1">{"via1",#N/A,TRUE,"general";"via2",#N/A,TRUE,"general";"via3",#N/A,TRUE,"general"}</definedName>
    <definedName name="fwwe" localSheetId="12"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4" hidden="1">{"via1",#N/A,TRUE,"general";"via2",#N/A,TRUE,"general";"via3",#N/A,TRUE,"general"}</definedName>
    <definedName name="fwwe" localSheetId="1" hidden="1">{"via1",#N/A,TRUE,"general";"via2",#N/A,TRUE,"general";"via3",#N/A,TRUE,"general"}</definedName>
    <definedName name="fwwe" localSheetId="14" hidden="1">{"via1",#N/A,TRUE,"general";"via2",#N/A,TRUE,"general";"via3",#N/A,TRUE,"general"}</definedName>
    <definedName name="fwwe" localSheetId="16" hidden="1">{"via1",#N/A,TRUE,"general";"via2",#N/A,TRUE,"general";"via3",#N/A,TRUE,"general"}</definedName>
    <definedName name="fwwe" localSheetId="18" hidden="1">{"via1",#N/A,TRUE,"general";"via2",#N/A,TRUE,"general";"via3",#N/A,TRUE,"general"}</definedName>
    <definedName name="fwwe" hidden="1">{"via1",#N/A,TRUE,"general";"via2",#N/A,TRUE,"general";"via3",#N/A,TRUE,"general"}</definedName>
    <definedName name="Gastos" localSheetId="15" hidden="1">{#N/A,#N/A,FALSE,"GRAFICO";#N/A,#N/A,FALSE,"CAJA (2)";#N/A,#N/A,FALSE,"TERCEROS-PROMEDIO";#N/A,#N/A,FALSE,"CAJA";#N/A,#N/A,FALSE,"INGRESOS1995-2003";#N/A,#N/A,FALSE,"GASTOS1995-2003"}</definedName>
    <definedName name="Gastos" localSheetId="17" hidden="1">{#N/A,#N/A,FALSE,"GRAFICO";#N/A,#N/A,FALSE,"CAJA (2)";#N/A,#N/A,FALSE,"TERCEROS-PROMEDIO";#N/A,#N/A,FALSE,"CAJA";#N/A,#N/A,FALSE,"INGRESOS1995-2003";#N/A,#N/A,FALSE,"GASTOS1995-2003"}</definedName>
    <definedName name="Gastos" localSheetId="19" hidden="1">{#N/A,#N/A,FALSE,"GRAFICO";#N/A,#N/A,FALSE,"CAJA (2)";#N/A,#N/A,FALSE,"TERCEROS-PROMEDIO";#N/A,#N/A,FALSE,"CAJA";#N/A,#N/A,FALSE,"INGRESOS1995-2003";#N/A,#N/A,FALSE,"GASTOS1995-2003"}</definedName>
    <definedName name="Gastos" localSheetId="11" hidden="1">{#N/A,#N/A,FALSE,"GRAFICO";#N/A,#N/A,FALSE,"CAJA (2)";#N/A,#N/A,FALSE,"TERCEROS-PROMEDIO";#N/A,#N/A,FALSE,"CAJA";#N/A,#N/A,FALSE,"INGRESOS1995-2003";#N/A,#N/A,FALSE,"GASTOS1995-2003"}</definedName>
    <definedName name="Gastos" localSheetId="14" hidden="1">{#N/A,#N/A,FALSE,"GRAFICO";#N/A,#N/A,FALSE,"CAJA (2)";#N/A,#N/A,FALSE,"TERCEROS-PROMEDIO";#N/A,#N/A,FALSE,"CAJA";#N/A,#N/A,FALSE,"INGRESOS1995-2003";#N/A,#N/A,FALSE,"GASTOS1995-2003"}</definedName>
    <definedName name="Gastos" localSheetId="16" hidden="1">{#N/A,#N/A,FALSE,"GRAFICO";#N/A,#N/A,FALSE,"CAJA (2)";#N/A,#N/A,FALSE,"TERCEROS-PROMEDIO";#N/A,#N/A,FALSE,"CAJA";#N/A,#N/A,FALSE,"INGRESOS1995-2003";#N/A,#N/A,FALSE,"GASTOS1995-2003"}</definedName>
    <definedName name="Gastos" localSheetId="18"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12"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2"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5"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8" hidden="1">{"TAB1",#N/A,TRUE,"GENERAL";"TAB2",#N/A,TRUE,"GENERAL";"TAB3",#N/A,TRUE,"GENERAL";"TAB4",#N/A,TRUE,"GENERAL";"TAB5",#N/A,TRUE,"GENERAL"}</definedName>
    <definedName name="gbbfghghj" hidden="1">{"TAB1",#N/A,TRUE,"GENERAL";"TAB2",#N/A,TRUE,"GENERAL";"TAB3",#N/A,TRUE,"GENERAL";"TAB4",#N/A,TRUE,"GENERAL";"TAB5",#N/A,TRUE,"GENERAL"}</definedName>
    <definedName name="gdt" localSheetId="15" hidden="1">{"TAB1",#N/A,TRUE,"GENERAL";"TAB2",#N/A,TRUE,"GENERAL";"TAB3",#N/A,TRUE,"GENERAL";"TAB4",#N/A,TRUE,"GENERAL";"TAB5",#N/A,TRUE,"GENERAL"}</definedName>
    <definedName name="gdt" localSheetId="17" hidden="1">{"TAB1",#N/A,TRUE,"GENERAL";"TAB2",#N/A,TRUE,"GENERAL";"TAB3",#N/A,TRUE,"GENERAL";"TAB4",#N/A,TRUE,"GENERAL";"TAB5",#N/A,TRUE,"GENERAL"}</definedName>
    <definedName name="gdt" localSheetId="19" hidden="1">{"TAB1",#N/A,TRUE,"GENERAL";"TAB2",#N/A,TRUE,"GENERAL";"TAB3",#N/A,TRUE,"GENERAL";"TAB4",#N/A,TRUE,"GENERAL";"TAB5",#N/A,TRUE,"GENERAL"}</definedName>
    <definedName name="gdt" localSheetId="12"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4" hidden="1">{"TAB1",#N/A,TRUE,"GENERAL";"TAB2",#N/A,TRUE,"GENERAL";"TAB3",#N/A,TRUE,"GENERAL";"TAB4",#N/A,TRUE,"GENERAL";"TAB5",#N/A,TRUE,"GENERAL"}</definedName>
    <definedName name="gdt" localSheetId="1" hidden="1">{"TAB1",#N/A,TRUE,"GENERAL";"TAB2",#N/A,TRUE,"GENERAL";"TAB3",#N/A,TRUE,"GENERAL";"TAB4",#N/A,TRUE,"GENERAL";"TAB5",#N/A,TRUE,"GENERAL"}</definedName>
    <definedName name="gdt" localSheetId="14" hidden="1">{"TAB1",#N/A,TRUE,"GENERAL";"TAB2",#N/A,TRUE,"GENERAL";"TAB3",#N/A,TRUE,"GENERAL";"TAB4",#N/A,TRUE,"GENERAL";"TAB5",#N/A,TRUE,"GENERAL"}</definedName>
    <definedName name="gdt" localSheetId="16" hidden="1">{"TAB1",#N/A,TRUE,"GENERAL";"TAB2",#N/A,TRUE,"GENERAL";"TAB3",#N/A,TRUE,"GENERAL";"TAB4",#N/A,TRUE,"GENERAL";"TAB5",#N/A,TRUE,"GENERAL"}</definedName>
    <definedName name="gdt" localSheetId="18" hidden="1">{"TAB1",#N/A,TRUE,"GENERAL";"TAB2",#N/A,TRUE,"GENERAL";"TAB3",#N/A,TRUE,"GENERAL";"TAB4",#N/A,TRUE,"GENERAL";"TAB5",#N/A,TRUE,"GENERAL"}</definedName>
    <definedName name="gdt" hidden="1">{"TAB1",#N/A,TRUE,"GENERAL";"TAB2",#N/A,TRUE,"GENERAL";"TAB3",#N/A,TRUE,"GENERAL";"TAB4",#N/A,TRUE,"GENERAL";"TAB5",#N/A,TRUE,"GENERAL"}</definedName>
    <definedName name="geg" localSheetId="15" hidden="1">{"via1",#N/A,TRUE,"general";"via2",#N/A,TRUE,"general";"via3",#N/A,TRUE,"general"}</definedName>
    <definedName name="geg" localSheetId="17" hidden="1">{"via1",#N/A,TRUE,"general";"via2",#N/A,TRUE,"general";"via3",#N/A,TRUE,"general"}</definedName>
    <definedName name="geg" localSheetId="19" hidden="1">{"via1",#N/A,TRUE,"general";"via2",#N/A,TRUE,"general";"via3",#N/A,TRUE,"general"}</definedName>
    <definedName name="geg" localSheetId="12"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4" hidden="1">{"via1",#N/A,TRUE,"general";"via2",#N/A,TRUE,"general";"via3",#N/A,TRUE,"general"}</definedName>
    <definedName name="geg" localSheetId="1" hidden="1">{"via1",#N/A,TRUE,"general";"via2",#N/A,TRUE,"general";"via3",#N/A,TRUE,"general"}</definedName>
    <definedName name="geg" localSheetId="14" hidden="1">{"via1",#N/A,TRUE,"general";"via2",#N/A,TRUE,"general";"via3",#N/A,TRUE,"general"}</definedName>
    <definedName name="geg" localSheetId="16" hidden="1">{"via1",#N/A,TRUE,"general";"via2",#N/A,TRUE,"general";"via3",#N/A,TRUE,"general"}</definedName>
    <definedName name="geg" localSheetId="18" hidden="1">{"via1",#N/A,TRUE,"general";"via2",#N/A,TRUE,"general";"via3",#N/A,TRUE,"general"}</definedName>
    <definedName name="geg" hidden="1">{"via1",#N/A,TRUE,"general";"via2",#N/A,TRUE,"general";"via3",#N/A,TRUE,"general"}</definedName>
    <definedName name="gerg" localSheetId="15" hidden="1">{"TAB1",#N/A,TRUE,"GENERAL";"TAB2",#N/A,TRUE,"GENERAL";"TAB3",#N/A,TRUE,"GENERAL";"TAB4",#N/A,TRUE,"GENERAL";"TAB5",#N/A,TRUE,"GENERAL"}</definedName>
    <definedName name="gerg" localSheetId="17" hidden="1">{"TAB1",#N/A,TRUE,"GENERAL";"TAB2",#N/A,TRUE,"GENERAL";"TAB3",#N/A,TRUE,"GENERAL";"TAB4",#N/A,TRUE,"GENERAL";"TAB5",#N/A,TRUE,"GENERAL"}</definedName>
    <definedName name="gerg" localSheetId="19" hidden="1">{"TAB1",#N/A,TRUE,"GENERAL";"TAB2",#N/A,TRUE,"GENERAL";"TAB3",#N/A,TRUE,"GENERAL";"TAB4",#N/A,TRUE,"GENERAL";"TAB5",#N/A,TRUE,"GENERAL"}</definedName>
    <definedName name="gerg" localSheetId="12"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4" hidden="1">{"TAB1",#N/A,TRUE,"GENERAL";"TAB2",#N/A,TRUE,"GENERAL";"TAB3",#N/A,TRUE,"GENERAL";"TAB4",#N/A,TRUE,"GENERAL";"TAB5",#N/A,TRUE,"GENERAL"}</definedName>
    <definedName name="gerg" localSheetId="1" hidden="1">{"TAB1",#N/A,TRUE,"GENERAL";"TAB2",#N/A,TRUE,"GENERAL";"TAB3",#N/A,TRUE,"GENERAL";"TAB4",#N/A,TRUE,"GENERAL";"TAB5",#N/A,TRUE,"GENERAL"}</definedName>
    <definedName name="gerg" localSheetId="14" hidden="1">{"TAB1",#N/A,TRUE,"GENERAL";"TAB2",#N/A,TRUE,"GENERAL";"TAB3",#N/A,TRUE,"GENERAL";"TAB4",#N/A,TRUE,"GENERAL";"TAB5",#N/A,TRUE,"GENERAL"}</definedName>
    <definedName name="gerg" localSheetId="16" hidden="1">{"TAB1",#N/A,TRUE,"GENERAL";"TAB2",#N/A,TRUE,"GENERAL";"TAB3",#N/A,TRUE,"GENERAL";"TAB4",#N/A,TRUE,"GENERAL";"TAB5",#N/A,TRUE,"GENERAL"}</definedName>
    <definedName name="gerg" localSheetId="18" hidden="1">{"TAB1",#N/A,TRUE,"GENERAL";"TAB2",#N/A,TRUE,"GENERAL";"TAB3",#N/A,TRUE,"GENERAL";"TAB4",#N/A,TRUE,"GENERAL";"TAB5",#N/A,TRUE,"GENERAL"}</definedName>
    <definedName name="gerg" hidden="1">{"TAB1",#N/A,TRUE,"GENERAL";"TAB2",#N/A,TRUE,"GENERAL";"TAB3",#N/A,TRUE,"GENERAL";"TAB4",#N/A,TRUE,"GENERAL";"TAB5",#N/A,TRUE,"GENERAL"}</definedName>
    <definedName name="gerg54" localSheetId="15" hidden="1">{"via1",#N/A,TRUE,"general";"via2",#N/A,TRUE,"general";"via3",#N/A,TRUE,"general"}</definedName>
    <definedName name="gerg54" localSheetId="17" hidden="1">{"via1",#N/A,TRUE,"general";"via2",#N/A,TRUE,"general";"via3",#N/A,TRUE,"general"}</definedName>
    <definedName name="gerg54" localSheetId="19" hidden="1">{"via1",#N/A,TRUE,"general";"via2",#N/A,TRUE,"general";"via3",#N/A,TRUE,"general"}</definedName>
    <definedName name="gerg54" localSheetId="12"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4" hidden="1">{"via1",#N/A,TRUE,"general";"via2",#N/A,TRUE,"general";"via3",#N/A,TRUE,"general"}</definedName>
    <definedName name="gerg54" localSheetId="1" hidden="1">{"via1",#N/A,TRUE,"general";"via2",#N/A,TRUE,"general";"via3",#N/A,TRUE,"general"}</definedName>
    <definedName name="gerg54" localSheetId="14" hidden="1">{"via1",#N/A,TRUE,"general";"via2",#N/A,TRUE,"general";"via3",#N/A,TRUE,"general"}</definedName>
    <definedName name="gerg54" localSheetId="16" hidden="1">{"via1",#N/A,TRUE,"general";"via2",#N/A,TRUE,"general";"via3",#N/A,TRUE,"general"}</definedName>
    <definedName name="gerg54" localSheetId="18" hidden="1">{"via1",#N/A,TRUE,"general";"via2",#N/A,TRUE,"general";"via3",#N/A,TRUE,"general"}</definedName>
    <definedName name="gerg54" hidden="1">{"via1",#N/A,TRUE,"general";"via2",#N/A,TRUE,"general";"via3",#N/A,TRUE,"general"}</definedName>
    <definedName name="gergew" localSheetId="15"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8" hidden="1">{"TAB1",#N/A,TRUE,"GENERAL";"TAB2",#N/A,TRUE,"GENERAL";"TAB3",#N/A,TRUE,"GENERAL";"TAB4",#N/A,TRUE,"GENERAL";"TAB5",#N/A,TRUE,"GENERAL"}</definedName>
    <definedName name="gergew"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8" hidden="1">{"TAB1",#N/A,TRUE,"GENERAL";"TAB2",#N/A,TRUE,"GENERAL";"TAB3",#N/A,TRUE,"GENERAL";"TAB4",#N/A,TRUE,"GENERAL";"TAB5",#N/A,TRUE,"GENERAL"}</definedName>
    <definedName name="gergw" hidden="1">{"TAB1",#N/A,TRUE,"GENERAL";"TAB2",#N/A,TRUE,"GENERAL";"TAB3",#N/A,TRUE,"GENERAL";"TAB4",#N/A,TRUE,"GENERAL";"TAB5",#N/A,TRUE,"GENERAL"}</definedName>
    <definedName name="gfd" localSheetId="15" hidden="1">{"TAB1",#N/A,TRUE,"GENERAL";"TAB2",#N/A,TRUE,"GENERAL";"TAB3",#N/A,TRUE,"GENERAL";"TAB4",#N/A,TRUE,"GENERAL";"TAB5",#N/A,TRUE,"GENERAL"}</definedName>
    <definedName name="gfd" localSheetId="17" hidden="1">{"TAB1",#N/A,TRUE,"GENERAL";"TAB2",#N/A,TRUE,"GENERAL";"TAB3",#N/A,TRUE,"GENERAL";"TAB4",#N/A,TRUE,"GENERAL";"TAB5",#N/A,TRUE,"GENERAL"}</definedName>
    <definedName name="gfd" localSheetId="19" hidden="1">{"TAB1",#N/A,TRUE,"GENERAL";"TAB2",#N/A,TRUE,"GENERAL";"TAB3",#N/A,TRUE,"GENERAL";"TAB4",#N/A,TRUE,"GENERAL";"TAB5",#N/A,TRUE,"GENERAL"}</definedName>
    <definedName name="gfd" localSheetId="12"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4" hidden="1">{"TAB1",#N/A,TRUE,"GENERAL";"TAB2",#N/A,TRUE,"GENERAL";"TAB3",#N/A,TRUE,"GENERAL";"TAB4",#N/A,TRUE,"GENERAL";"TAB5",#N/A,TRUE,"GENERAL"}</definedName>
    <definedName name="gfd" localSheetId="1" hidden="1">{"TAB1",#N/A,TRUE,"GENERAL";"TAB2",#N/A,TRUE,"GENERAL";"TAB3",#N/A,TRUE,"GENERAL";"TAB4",#N/A,TRUE,"GENERAL";"TAB5",#N/A,TRUE,"GENERAL"}</definedName>
    <definedName name="gfd" localSheetId="14" hidden="1">{"TAB1",#N/A,TRUE,"GENERAL";"TAB2",#N/A,TRUE,"GENERAL";"TAB3",#N/A,TRUE,"GENERAL";"TAB4",#N/A,TRUE,"GENERAL";"TAB5",#N/A,TRUE,"GENERAL"}</definedName>
    <definedName name="gfd" localSheetId="16" hidden="1">{"TAB1",#N/A,TRUE,"GENERAL";"TAB2",#N/A,TRUE,"GENERAL";"TAB3",#N/A,TRUE,"GENERAL";"TAB4",#N/A,TRUE,"GENERAL";"TAB5",#N/A,TRUE,"GENERAL"}</definedName>
    <definedName name="gfd" localSheetId="18" hidden="1">{"TAB1",#N/A,TRUE,"GENERAL";"TAB2",#N/A,TRUE,"GENERAL";"TAB3",#N/A,TRUE,"GENERAL";"TAB4",#N/A,TRUE,"GENERAL";"TAB5",#N/A,TRUE,"GENERAL"}</definedName>
    <definedName name="gfd" hidden="1">{"TAB1",#N/A,TRUE,"GENERAL";"TAB2",#N/A,TRUE,"GENERAL";"TAB3",#N/A,TRUE,"GENERAL";"TAB4",#N/A,TRUE,"GENERAL";"TAB5",#N/A,TRUE,"GENERAL"}</definedName>
    <definedName name="gfdg" localSheetId="15" hidden="1">{"via1",#N/A,TRUE,"general";"via2",#N/A,TRUE,"general";"via3",#N/A,TRUE,"general"}</definedName>
    <definedName name="gfdg" localSheetId="17" hidden="1">{"via1",#N/A,TRUE,"general";"via2",#N/A,TRUE,"general";"via3",#N/A,TRUE,"general"}</definedName>
    <definedName name="gfdg" localSheetId="19" hidden="1">{"via1",#N/A,TRUE,"general";"via2",#N/A,TRUE,"general";"via3",#N/A,TRUE,"general"}</definedName>
    <definedName name="gfdg" localSheetId="12"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4" hidden="1">{"via1",#N/A,TRUE,"general";"via2",#N/A,TRUE,"general";"via3",#N/A,TRUE,"general"}</definedName>
    <definedName name="gfdg" localSheetId="1" hidden="1">{"via1",#N/A,TRUE,"general";"via2",#N/A,TRUE,"general";"via3",#N/A,TRUE,"general"}</definedName>
    <definedName name="gfdg" localSheetId="14" hidden="1">{"via1",#N/A,TRUE,"general";"via2",#N/A,TRUE,"general";"via3",#N/A,TRUE,"general"}</definedName>
    <definedName name="gfdg" localSheetId="16" hidden="1">{"via1",#N/A,TRUE,"general";"via2",#N/A,TRUE,"general";"via3",#N/A,TRUE,"general"}</definedName>
    <definedName name="gfdg" localSheetId="18" hidden="1">{"via1",#N/A,TRUE,"general";"via2",#N/A,TRUE,"general";"via3",#N/A,TRUE,"general"}</definedName>
    <definedName name="gfdg" hidden="1">{"via1",#N/A,TRUE,"general";"via2",#N/A,TRUE,"general";"via3",#N/A,TRUE,"general"}</definedName>
    <definedName name="gffgfhhf" localSheetId="12"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7" hidden="1">{#N/A,#N/A,TRUE,"INGENIERIA";#N/A,#N/A,TRUE,"COMPRAS";#N/A,#N/A,TRUE,"DIRECCION";#N/A,#N/A,TRUE,"RESUMEN"}</definedName>
    <definedName name="gffgfhhf" localSheetId="1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5" hidden="1">{"via1",#N/A,TRUE,"general";"via2",#N/A,TRUE,"general";"via3",#N/A,TRUE,"general"}</definedName>
    <definedName name="gfgfgr" localSheetId="17" hidden="1">{"via1",#N/A,TRUE,"general";"via2",#N/A,TRUE,"general";"via3",#N/A,TRUE,"general"}</definedName>
    <definedName name="gfgfgr" localSheetId="19" hidden="1">{"via1",#N/A,TRUE,"general";"via2",#N/A,TRUE,"general";"via3",#N/A,TRUE,"general"}</definedName>
    <definedName name="gfgfgr" localSheetId="12"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4" hidden="1">{"via1",#N/A,TRUE,"general";"via2",#N/A,TRUE,"general";"via3",#N/A,TRUE,"general"}</definedName>
    <definedName name="gfgfgr" localSheetId="1" hidden="1">{"via1",#N/A,TRUE,"general";"via2",#N/A,TRUE,"general";"via3",#N/A,TRUE,"general"}</definedName>
    <definedName name="gfgfgr" localSheetId="14" hidden="1">{"via1",#N/A,TRUE,"general";"via2",#N/A,TRUE,"general";"via3",#N/A,TRUE,"general"}</definedName>
    <definedName name="gfgfgr" localSheetId="16" hidden="1">{"via1",#N/A,TRUE,"general";"via2",#N/A,TRUE,"general";"via3",#N/A,TRUE,"general"}</definedName>
    <definedName name="gfgfgr" localSheetId="18" hidden="1">{"via1",#N/A,TRUE,"general";"via2",#N/A,TRUE,"general";"via3",#N/A,TRUE,"general"}</definedName>
    <definedName name="gfgfgr" hidden="1">{"via1",#N/A,TRUE,"general";"via2",#N/A,TRUE,"general";"via3",#N/A,TRUE,"general"}</definedName>
    <definedName name="gfhf" localSheetId="15" hidden="1">{"via1",#N/A,TRUE,"general";"via2",#N/A,TRUE,"general";"via3",#N/A,TRUE,"general"}</definedName>
    <definedName name="gfhf" localSheetId="17" hidden="1">{"via1",#N/A,TRUE,"general";"via2",#N/A,TRUE,"general";"via3",#N/A,TRUE,"general"}</definedName>
    <definedName name="gfhf" localSheetId="19" hidden="1">{"via1",#N/A,TRUE,"general";"via2",#N/A,TRUE,"general";"via3",#N/A,TRUE,"general"}</definedName>
    <definedName name="gfhf" localSheetId="12"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4" hidden="1">{"via1",#N/A,TRUE,"general";"via2",#N/A,TRUE,"general";"via3",#N/A,TRUE,"general"}</definedName>
    <definedName name="gfhf" localSheetId="1" hidden="1">{"via1",#N/A,TRUE,"general";"via2",#N/A,TRUE,"general";"via3",#N/A,TRUE,"general"}</definedName>
    <definedName name="gfhf" localSheetId="14" hidden="1">{"via1",#N/A,TRUE,"general";"via2",#N/A,TRUE,"general";"via3",#N/A,TRUE,"general"}</definedName>
    <definedName name="gfhf" localSheetId="16" hidden="1">{"via1",#N/A,TRUE,"general";"via2",#N/A,TRUE,"general";"via3",#N/A,TRUE,"general"}</definedName>
    <definedName name="gfhf" localSheetId="18" hidden="1">{"via1",#N/A,TRUE,"general";"via2",#N/A,TRUE,"general";"via3",#N/A,TRUE,"general"}</definedName>
    <definedName name="gfhf" hidden="1">{"via1",#N/A,TRUE,"general";"via2",#N/A,TRUE,"general";"via3",#N/A,TRUE,"general"}</definedName>
    <definedName name="gfhfdh" localSheetId="15"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8" hidden="1">{"TAB1",#N/A,TRUE,"GENERAL";"TAB2",#N/A,TRUE,"GENERAL";"TAB3",#N/A,TRUE,"GENERAL";"TAB4",#N/A,TRUE,"GENERAL";"TAB5",#N/A,TRUE,"GENERAL"}</definedName>
    <definedName name="gfhfdh"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8" hidden="1">{"TAB1",#N/A,TRUE,"GENERAL";"TAB2",#N/A,TRUE,"GENERAL";"TAB3",#N/A,TRUE,"GENERAL";"TAB4",#N/A,TRUE,"GENERAL";"TAB5",#N/A,TRUE,"GENERAL"}</definedName>
    <definedName name="gfhgfh"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8" hidden="1">{"TAB1",#N/A,TRUE,"GENERAL";"TAB2",#N/A,TRUE,"GENERAL";"TAB3",#N/A,TRUE,"GENERAL";"TAB4",#N/A,TRUE,"GENERAL";"TAB5",#N/A,TRUE,"GENERAL"}</definedName>
    <definedName name="GFJHGJ" hidden="1">{"TAB1",#N/A,TRUE,"GENERAL";"TAB2",#N/A,TRUE,"GENERAL";"TAB3",#N/A,TRUE,"GENERAL";"TAB4",#N/A,TRUE,"GENERAL";"TAB5",#N/A,TRUE,"GENERAL"}</definedName>
    <definedName name="gfjjh" localSheetId="15" hidden="1">{"via1",#N/A,TRUE,"general";"via2",#N/A,TRUE,"general";"via3",#N/A,TRUE,"general"}</definedName>
    <definedName name="gfjjh" localSheetId="17" hidden="1">{"via1",#N/A,TRUE,"general";"via2",#N/A,TRUE,"general";"via3",#N/A,TRUE,"general"}</definedName>
    <definedName name="gfjjh" localSheetId="19" hidden="1">{"via1",#N/A,TRUE,"general";"via2",#N/A,TRUE,"general";"via3",#N/A,TRUE,"general"}</definedName>
    <definedName name="gfjjh" localSheetId="12"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4" hidden="1">{"via1",#N/A,TRUE,"general";"via2",#N/A,TRUE,"general";"via3",#N/A,TRUE,"general"}</definedName>
    <definedName name="gfjjh" localSheetId="1" hidden="1">{"via1",#N/A,TRUE,"general";"via2",#N/A,TRUE,"general";"via3",#N/A,TRUE,"general"}</definedName>
    <definedName name="gfjjh" localSheetId="14" hidden="1">{"via1",#N/A,TRUE,"general";"via2",#N/A,TRUE,"general";"via3",#N/A,TRUE,"general"}</definedName>
    <definedName name="gfjjh" localSheetId="16" hidden="1">{"via1",#N/A,TRUE,"general";"via2",#N/A,TRUE,"general";"via3",#N/A,TRUE,"general"}</definedName>
    <definedName name="gfjjh" localSheetId="18" hidden="1">{"via1",#N/A,TRUE,"general";"via2",#N/A,TRUE,"general";"via3",#N/A,TRUE,"general"}</definedName>
    <definedName name="gfjjh" hidden="1">{"via1",#N/A,TRUE,"general";"via2",#N/A,TRUE,"general";"via3",#N/A,TRUE,"general"}</definedName>
    <definedName name="gfutyj6" localSheetId="15" hidden="1">{"via1",#N/A,TRUE,"general";"via2",#N/A,TRUE,"general";"via3",#N/A,TRUE,"general"}</definedName>
    <definedName name="gfutyj6" localSheetId="17" hidden="1">{"via1",#N/A,TRUE,"general";"via2",#N/A,TRUE,"general";"via3",#N/A,TRUE,"general"}</definedName>
    <definedName name="gfutyj6" localSheetId="19" hidden="1">{"via1",#N/A,TRUE,"general";"via2",#N/A,TRUE,"general";"via3",#N/A,TRUE,"general"}</definedName>
    <definedName name="gfutyj6" localSheetId="12"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4" hidden="1">{"via1",#N/A,TRUE,"general";"via2",#N/A,TRUE,"general";"via3",#N/A,TRUE,"general"}</definedName>
    <definedName name="gfutyj6" localSheetId="1" hidden="1">{"via1",#N/A,TRUE,"general";"via2",#N/A,TRUE,"general";"via3",#N/A,TRUE,"general"}</definedName>
    <definedName name="gfutyj6" localSheetId="14" hidden="1">{"via1",#N/A,TRUE,"general";"via2",#N/A,TRUE,"general";"via3",#N/A,TRUE,"general"}</definedName>
    <definedName name="gfutyj6" localSheetId="16" hidden="1">{"via1",#N/A,TRUE,"general";"via2",#N/A,TRUE,"general";"via3",#N/A,TRUE,"general"}</definedName>
    <definedName name="gfutyj6" localSheetId="18" hidden="1">{"via1",#N/A,TRUE,"general";"via2",#N/A,TRUE,"general";"via3",#N/A,TRUE,"general"}</definedName>
    <definedName name="gfutyj6" hidden="1">{"via1",#N/A,TRUE,"general";"via2",#N/A,TRUE,"general";"via3",#N/A,TRUE,"general"}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7" hidden="1">{"TAB1",#N/A,TRUE,"GENERAL";"TAB2",#N/A,TRUE,"GENERAL";"TAB3",#N/A,TRUE,"GENERAL";"TAB4",#N/A,TRUE,"GENERAL";"TAB5",#N/A,TRUE,"GENERAL"}</definedName>
    <definedName name="gg" localSheetId="10" hidden="1">{"TAB1",#N/A,TRUE,"GENERAL";"TAB2",#N/A,TRUE,"GENERAL";"TAB3",#N/A,TRUE,"GENERAL";"TAB4",#N/A,TRUE,"GENERAL";"TAB5",#N/A,TRUE,"GENERAL"}</definedName>
    <definedName name="gg" localSheetId="4" hidden="1">{"TAB1",#N/A,TRUE,"GENERAL";"TAB2",#N/A,TRUE,"GENERAL";"TAB3",#N/A,TRUE,"GENERAL";"TAB4",#N/A,TRUE,"GENERAL";"TAB5",#N/A,TRUE,"GENERAL"}</definedName>
    <definedName name="gg" localSheetId="1" hidden="1">{"TAB1",#N/A,TRUE,"GENERAL";"TAB2",#N/A,TRUE,"GENERAL";"TAB3",#N/A,TRUE,"GENERAL";"TAB4",#N/A,TRUE,"GENERAL";"TAB5",#N/A,TRUE,"GENERAL"}</definedName>
    <definedName name="ggdr" localSheetId="15" hidden="1">{"via1",#N/A,TRUE,"general";"via2",#N/A,TRUE,"general";"via3",#N/A,TRUE,"general"}</definedName>
    <definedName name="ggdr" localSheetId="17" hidden="1">{"via1",#N/A,TRUE,"general";"via2",#N/A,TRUE,"general";"via3",#N/A,TRUE,"general"}</definedName>
    <definedName name="ggdr" localSheetId="19" hidden="1">{"via1",#N/A,TRUE,"general";"via2",#N/A,TRUE,"general";"via3",#N/A,TRUE,"general"}</definedName>
    <definedName name="ggdr" localSheetId="12"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4" hidden="1">{"via1",#N/A,TRUE,"general";"via2",#N/A,TRUE,"general";"via3",#N/A,TRUE,"general"}</definedName>
    <definedName name="ggdr" localSheetId="1" hidden="1">{"via1",#N/A,TRUE,"general";"via2",#N/A,TRUE,"general";"via3",#N/A,TRUE,"general"}</definedName>
    <definedName name="ggdr" localSheetId="14" hidden="1">{"via1",#N/A,TRUE,"general";"via2",#N/A,TRUE,"general";"via3",#N/A,TRUE,"general"}</definedName>
    <definedName name="ggdr" localSheetId="16" hidden="1">{"via1",#N/A,TRUE,"general";"via2",#N/A,TRUE,"general";"via3",#N/A,TRUE,"general"}</definedName>
    <definedName name="ggdr" localSheetId="18" hidden="1">{"via1",#N/A,TRUE,"general";"via2",#N/A,TRUE,"general";"via3",#N/A,TRUE,"general"}</definedName>
    <definedName name="ggdr" hidden="1">{"via1",#N/A,TRUE,"general";"via2",#N/A,TRUE,"general";"via3",#N/A,TRUE,"general"}</definedName>
    <definedName name="ggerg" localSheetId="15"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4" hidden="1">{"TAB1",#N/A,TRUE,"GENERAL";"TAB2",#N/A,TRUE,"GENERAL";"TAB3",#N/A,TRUE,"GENERAL";"TAB4",#N/A,TRUE,"GENERAL";"TAB5",#N/A,TRUE,"GENERAL"}</definedName>
    <definedName name="ggerg" localSheetId="1"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8" hidden="1">{"TAB1",#N/A,TRUE,"GENERAL";"TAB2",#N/A,TRUE,"GENERAL";"TAB3",#N/A,TRUE,"GENERAL";"TAB4",#N/A,TRUE,"GENERAL";"TAB5",#N/A,TRUE,"GENERAL"}</definedName>
    <definedName name="ggerg" hidden="1">{"TAB1",#N/A,TRUE,"GENERAL";"TAB2",#N/A,TRUE,"GENERAL";"TAB3",#N/A,TRUE,"GENERAL";"TAB4",#N/A,TRUE,"GENERAL";"TAB5",#N/A,TRUE,"GENERAL"}</definedName>
    <definedName name="gggb" localSheetId="15" hidden="1">{"TAB1",#N/A,TRUE,"GENERAL";"TAB2",#N/A,TRUE,"GENERAL";"TAB3",#N/A,TRUE,"GENERAL";"TAB4",#N/A,TRUE,"GENERAL";"TAB5",#N/A,TRUE,"GENERAL"}</definedName>
    <definedName name="gggb" localSheetId="17" hidden="1">{"TAB1",#N/A,TRUE,"GENERAL";"TAB2",#N/A,TRUE,"GENERAL";"TAB3",#N/A,TRUE,"GENERAL";"TAB4",#N/A,TRUE,"GENERAL";"TAB5",#N/A,TRUE,"GENERAL"}</definedName>
    <definedName name="gggb" localSheetId="19" hidden="1">{"TAB1",#N/A,TRUE,"GENERAL";"TAB2",#N/A,TRUE,"GENERAL";"TAB3",#N/A,TRUE,"GENERAL";"TAB4",#N/A,TRUE,"GENERAL";"TAB5",#N/A,TRUE,"GENERAL"}</definedName>
    <definedName name="gggb" localSheetId="12"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4" hidden="1">{"TAB1",#N/A,TRUE,"GENERAL";"TAB2",#N/A,TRUE,"GENERAL";"TAB3",#N/A,TRUE,"GENERAL";"TAB4",#N/A,TRUE,"GENERAL";"TAB5",#N/A,TRUE,"GENERAL"}</definedName>
    <definedName name="gggb" localSheetId="1" hidden="1">{"TAB1",#N/A,TRUE,"GENERAL";"TAB2",#N/A,TRUE,"GENERAL";"TAB3",#N/A,TRUE,"GENERAL";"TAB4",#N/A,TRUE,"GENERAL";"TAB5",#N/A,TRUE,"GENERAL"}</definedName>
    <definedName name="gggb" localSheetId="14" hidden="1">{"TAB1",#N/A,TRUE,"GENERAL";"TAB2",#N/A,TRUE,"GENERAL";"TAB3",#N/A,TRUE,"GENERAL";"TAB4",#N/A,TRUE,"GENERAL";"TAB5",#N/A,TRUE,"GENERAL"}</definedName>
    <definedName name="gggb" localSheetId="16" hidden="1">{"TAB1",#N/A,TRUE,"GENERAL";"TAB2",#N/A,TRUE,"GENERAL";"TAB3",#N/A,TRUE,"GENERAL";"TAB4",#N/A,TRUE,"GENERAL";"TAB5",#N/A,TRUE,"GENERAL"}</definedName>
    <definedName name="gggb" localSheetId="18" hidden="1">{"TAB1",#N/A,TRUE,"GENERAL";"TAB2",#N/A,TRUE,"GENERAL";"TAB3",#N/A,TRUE,"GENERAL";"TAB4",#N/A,TRUE,"GENERAL";"TAB5",#N/A,TRUE,"GENERAL"}</definedName>
    <definedName name="gggb" hidden="1">{"TAB1",#N/A,TRUE,"GENERAL";"TAB2",#N/A,TRUE,"GENERAL";"TAB3",#N/A,TRUE,"GENERAL";"TAB4",#N/A,TRUE,"GENERAL";"TAB5",#N/A,TRUE,"GENERAL"}</definedName>
    <definedName name="gggg" localSheetId="15" hidden="1">{"via1",#N/A,TRUE,"general";"via2",#N/A,TRUE,"general";"via3",#N/A,TRUE,"general"}</definedName>
    <definedName name="gggg" localSheetId="17" hidden="1">{"via1",#N/A,TRUE,"general";"via2",#N/A,TRUE,"general";"via3",#N/A,TRUE,"general"}</definedName>
    <definedName name="gggg" localSheetId="19" hidden="1">{"via1",#N/A,TRUE,"general";"via2",#N/A,TRUE,"general";"via3",#N/A,TRUE,"general"}</definedName>
    <definedName name="gggg" localSheetId="12"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4" hidden="1">{"via1",#N/A,TRUE,"general";"via2",#N/A,TRUE,"general";"via3",#N/A,TRUE,"general"}</definedName>
    <definedName name="gggg" localSheetId="1" hidden="1">{"via1",#N/A,TRUE,"general";"via2",#N/A,TRUE,"general";"via3",#N/A,TRUE,"general"}</definedName>
    <definedName name="gggg" localSheetId="14" hidden="1">{"via1",#N/A,TRUE,"general";"via2",#N/A,TRUE,"general";"via3",#N/A,TRUE,"general"}</definedName>
    <definedName name="gggg" localSheetId="16" hidden="1">{"via1",#N/A,TRUE,"general";"via2",#N/A,TRUE,"general";"via3",#N/A,TRUE,"general"}</definedName>
    <definedName name="gggg" localSheetId="18" hidden="1">{"via1",#N/A,TRUE,"general";"via2",#N/A,TRUE,"general";"via3",#N/A,TRUE,"general"}</definedName>
    <definedName name="gggg" hidden="1">{"via1",#N/A,TRUE,"general";"via2",#N/A,TRUE,"general";"via3",#N/A,TRUE,"general"}</definedName>
    <definedName name="ggggd" localSheetId="15"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4" hidden="1">{"TAB1",#N/A,TRUE,"GENERAL";"TAB2",#N/A,TRUE,"GENERAL";"TAB3",#N/A,TRUE,"GENERAL";"TAB4",#N/A,TRUE,"GENERAL";"TAB5",#N/A,TRUE,"GENERAL"}</definedName>
    <definedName name="ggggd" localSheetId="1"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8" hidden="1">{"TAB1",#N/A,TRUE,"GENERAL";"TAB2",#N/A,TRUE,"GENERAL";"TAB3",#N/A,TRUE,"GENERAL";"TAB4",#N/A,TRUE,"GENERAL";"TAB5",#N/A,TRUE,"GENERAL"}</definedName>
    <definedName name="ggggd" hidden="1">{"TAB1",#N/A,TRUE,"GENERAL";"TAB2",#N/A,TRUE,"GENERAL";"TAB3",#N/A,TRUE,"GENERAL";"TAB4",#N/A,TRUE,"GENERAL";"TAB5",#N/A,TRUE,"GENERAL"}</definedName>
    <definedName name="gggggt" localSheetId="15" hidden="1">{"via1",#N/A,TRUE,"general";"via2",#N/A,TRUE,"general";"via3",#N/A,TRUE,"general"}</definedName>
    <definedName name="gggggt" localSheetId="17" hidden="1">{"via1",#N/A,TRUE,"general";"via2",#N/A,TRUE,"general";"via3",#N/A,TRUE,"general"}</definedName>
    <definedName name="gggggt" localSheetId="19" hidden="1">{"via1",#N/A,TRUE,"general";"via2",#N/A,TRUE,"general";"via3",#N/A,TRUE,"general"}</definedName>
    <definedName name="gggggt" localSheetId="12"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4" hidden="1">{"via1",#N/A,TRUE,"general";"via2",#N/A,TRUE,"general";"via3",#N/A,TRUE,"general"}</definedName>
    <definedName name="gggggt" localSheetId="1" hidden="1">{"via1",#N/A,TRUE,"general";"via2",#N/A,TRUE,"general";"via3",#N/A,TRUE,"general"}</definedName>
    <definedName name="gggggt" localSheetId="14" hidden="1">{"via1",#N/A,TRUE,"general";"via2",#N/A,TRUE,"general";"via3",#N/A,TRUE,"general"}</definedName>
    <definedName name="gggggt" localSheetId="16" hidden="1">{"via1",#N/A,TRUE,"general";"via2",#N/A,TRUE,"general";"via3",#N/A,TRUE,"general"}</definedName>
    <definedName name="gggggt" localSheetId="18" hidden="1">{"via1",#N/A,TRUE,"general";"via2",#N/A,TRUE,"general";"via3",#N/A,TRUE,"general"}</definedName>
    <definedName name="gggggt" hidden="1">{"via1",#N/A,TRUE,"general";"via2",#N/A,TRUE,"general";"via3",#N/A,TRUE,"general"}</definedName>
    <definedName name="gggghn" localSheetId="15"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8" hidden="1">{"TAB1",#N/A,TRUE,"GENERAL";"TAB2",#N/A,TRUE,"GENERAL";"TAB3",#N/A,TRUE,"GENERAL";"TAB4",#N/A,TRUE,"GENERAL";"TAB5",#N/A,TRUE,"GENERAL"}</definedName>
    <definedName name="gggghn"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8" hidden="1">{"TAB1",#N/A,TRUE,"GENERAL";"TAB2",#N/A,TRUE,"GENERAL";"TAB3",#N/A,TRUE,"GENERAL";"TAB4",#N/A,TRUE,"GENERAL";"TAB5",#N/A,TRUE,"GENERAL"}</definedName>
    <definedName name="ggggt"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8" hidden="1">{"TAB1",#N/A,TRUE,"GENERAL";"TAB2",#N/A,TRUE,"GENERAL";"TAB3",#N/A,TRUE,"GENERAL";"TAB4",#N/A,TRUE,"GENERAL";"TAB5",#N/A,TRUE,"GENERAL"}</definedName>
    <definedName name="ggggy" hidden="1">{"TAB1",#N/A,TRUE,"GENERAL";"TAB2",#N/A,TRUE,"GENERAL";"TAB3",#N/A,TRUE,"GENERAL";"TAB4",#N/A,TRUE,"GENERAL";"TAB5",#N/A,TRUE,"GENERAL"}</definedName>
    <definedName name="gggtgd" localSheetId="15" hidden="1">{"via1",#N/A,TRUE,"general";"via2",#N/A,TRUE,"general";"via3",#N/A,TRUE,"general"}</definedName>
    <definedName name="gggtgd" localSheetId="17" hidden="1">{"via1",#N/A,TRUE,"general";"via2",#N/A,TRUE,"general";"via3",#N/A,TRUE,"general"}</definedName>
    <definedName name="gggtgd" localSheetId="19" hidden="1">{"via1",#N/A,TRUE,"general";"via2",#N/A,TRUE,"general";"via3",#N/A,TRUE,"general"}</definedName>
    <definedName name="gggtgd" localSheetId="12"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4" hidden="1">{"via1",#N/A,TRUE,"general";"via2",#N/A,TRUE,"general";"via3",#N/A,TRUE,"general"}</definedName>
    <definedName name="gggtgd" localSheetId="1" hidden="1">{"via1",#N/A,TRUE,"general";"via2",#N/A,TRUE,"general";"via3",#N/A,TRUE,"general"}</definedName>
    <definedName name="gggtgd" localSheetId="14" hidden="1">{"via1",#N/A,TRUE,"general";"via2",#N/A,TRUE,"general";"via3",#N/A,TRUE,"general"}</definedName>
    <definedName name="gggtgd" localSheetId="16" hidden="1">{"via1",#N/A,TRUE,"general";"via2",#N/A,TRUE,"general";"via3",#N/A,TRUE,"general"}</definedName>
    <definedName name="gggtgd" localSheetId="18" hidden="1">{"via1",#N/A,TRUE,"general";"via2",#N/A,TRUE,"general";"via3",#N/A,TRUE,"general"}</definedName>
    <definedName name="gggtgd" hidden="1">{"via1",#N/A,TRUE,"general";"via2",#N/A,TRUE,"general";"via3",#N/A,TRUE,"general"}</definedName>
    <definedName name="ggjgjkg" localSheetId="12" hidden="1">{#N/A,#N/A,TRUE,"1842CWN0"}</definedName>
    <definedName name="ggjgjkg" localSheetId="8" hidden="1">{#N/A,#N/A,TRUE,"1842CWN0"}</definedName>
    <definedName name="ggjgjkg" localSheetId="9" hidden="1">{#N/A,#N/A,TRUE,"1842CWN0"}</definedName>
    <definedName name="ggjgjkg" localSheetId="7" hidden="1">{#N/A,#N/A,TRUE,"1842CWN0"}</definedName>
    <definedName name="ggjgjkg" localSheetId="10" hidden="1">{#N/A,#N/A,TRUE,"1842CWN0"}</definedName>
    <definedName name="ggjgjkg" localSheetId="1" hidden="1">{#N/A,#N/A,TRUE,"1842CWN0"}</definedName>
    <definedName name="ggjgjkg" hidden="1">{#N/A,#N/A,TRUE,"1842CWN0"}</definedName>
    <definedName name="ggtgt" localSheetId="15" hidden="1">{"via1",#N/A,TRUE,"general";"via2",#N/A,TRUE,"general";"via3",#N/A,TRUE,"general"}</definedName>
    <definedName name="ggtgt" localSheetId="17" hidden="1">{"via1",#N/A,TRUE,"general";"via2",#N/A,TRUE,"general";"via3",#N/A,TRUE,"general"}</definedName>
    <definedName name="ggtgt" localSheetId="19" hidden="1">{"via1",#N/A,TRUE,"general";"via2",#N/A,TRUE,"general";"via3",#N/A,TRUE,"general"}</definedName>
    <definedName name="ggtgt" localSheetId="12"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4" hidden="1">{"via1",#N/A,TRUE,"general";"via2",#N/A,TRUE,"general";"via3",#N/A,TRUE,"general"}</definedName>
    <definedName name="ggtgt" localSheetId="1" hidden="1">{"via1",#N/A,TRUE,"general";"via2",#N/A,TRUE,"general";"via3",#N/A,TRUE,"general"}</definedName>
    <definedName name="ggtgt" localSheetId="14" hidden="1">{"via1",#N/A,TRUE,"general";"via2",#N/A,TRUE,"general";"via3",#N/A,TRUE,"general"}</definedName>
    <definedName name="ggtgt" localSheetId="16" hidden="1">{"via1",#N/A,TRUE,"general";"via2",#N/A,TRUE,"general";"via3",#N/A,TRUE,"general"}</definedName>
    <definedName name="ggtgt" localSheetId="18" hidden="1">{"via1",#N/A,TRUE,"general";"via2",#N/A,TRUE,"general";"via3",#N/A,TRUE,"general"}</definedName>
    <definedName name="ggtgt" hidden="1">{"via1",#N/A,TRUE,"general";"via2",#N/A,TRUE,"general";"via3",#N/A,TRUE,"general"}</definedName>
    <definedName name="ghdghuy" localSheetId="15" hidden="1">{"via1",#N/A,TRUE,"general";"via2",#N/A,TRUE,"general";"via3",#N/A,TRUE,"general"}</definedName>
    <definedName name="ghdghuy" localSheetId="17" hidden="1">{"via1",#N/A,TRUE,"general";"via2",#N/A,TRUE,"general";"via3",#N/A,TRUE,"general"}</definedName>
    <definedName name="ghdghuy" localSheetId="19" hidden="1">{"via1",#N/A,TRUE,"general";"via2",#N/A,TRUE,"general";"via3",#N/A,TRUE,"general"}</definedName>
    <definedName name="ghdghuy" localSheetId="12"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4" hidden="1">{"via1",#N/A,TRUE,"general";"via2",#N/A,TRUE,"general";"via3",#N/A,TRUE,"general"}</definedName>
    <definedName name="ghdghuy" localSheetId="1" hidden="1">{"via1",#N/A,TRUE,"general";"via2",#N/A,TRUE,"general";"via3",#N/A,TRUE,"general"}</definedName>
    <definedName name="ghdghuy" localSheetId="14" hidden="1">{"via1",#N/A,TRUE,"general";"via2",#N/A,TRUE,"general";"via3",#N/A,TRUE,"general"}</definedName>
    <definedName name="ghdghuy" localSheetId="16" hidden="1">{"via1",#N/A,TRUE,"general";"via2",#N/A,TRUE,"general";"via3",#N/A,TRUE,"general"}</definedName>
    <definedName name="ghdghuy" localSheetId="18" hidden="1">{"via1",#N/A,TRUE,"general";"via2",#N/A,TRUE,"general";"via3",#N/A,TRUE,"general"}</definedName>
    <definedName name="ghdghuy" hidden="1">{"via1",#N/A,TRUE,"general";"via2",#N/A,TRUE,"general";"via3",#N/A,TRUE,"general"}</definedName>
    <definedName name="GHDP" localSheetId="15" hidden="1">{"via1",#N/A,TRUE,"general";"via2",#N/A,TRUE,"general";"via3",#N/A,TRUE,"general"}</definedName>
    <definedName name="GHDP" localSheetId="17" hidden="1">{"via1",#N/A,TRUE,"general";"via2",#N/A,TRUE,"general";"via3",#N/A,TRUE,"general"}</definedName>
    <definedName name="GHDP" localSheetId="19" hidden="1">{"via1",#N/A,TRUE,"general";"via2",#N/A,TRUE,"general";"via3",#N/A,TRUE,"general"}</definedName>
    <definedName name="GHDP" localSheetId="12"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4" hidden="1">{"via1",#N/A,TRUE,"general";"via2",#N/A,TRUE,"general";"via3",#N/A,TRUE,"general"}</definedName>
    <definedName name="GHDP" localSheetId="1" hidden="1">{"via1",#N/A,TRUE,"general";"via2",#N/A,TRUE,"general";"via3",#N/A,TRUE,"general"}</definedName>
    <definedName name="GHDP" localSheetId="14" hidden="1">{"via1",#N/A,TRUE,"general";"via2",#N/A,TRUE,"general";"via3",#N/A,TRUE,"general"}</definedName>
    <definedName name="GHDP" localSheetId="16" hidden="1">{"via1",#N/A,TRUE,"general";"via2",#N/A,TRUE,"general";"via3",#N/A,TRUE,"general"}</definedName>
    <definedName name="GHDP" localSheetId="18" hidden="1">{"via1",#N/A,TRUE,"general";"via2",#N/A,TRUE,"general";"via3",#N/A,TRUE,"general"}</definedName>
    <definedName name="GHDP" hidden="1">{"via1",#N/A,TRUE,"general";"via2",#N/A,TRUE,"general";"via3",#N/A,TRUE,"general"}</definedName>
    <definedName name="ghfg" localSheetId="15" hidden="1">{"via1",#N/A,TRUE,"general";"via2",#N/A,TRUE,"general";"via3",#N/A,TRUE,"general"}</definedName>
    <definedName name="ghfg" localSheetId="17" hidden="1">{"via1",#N/A,TRUE,"general";"via2",#N/A,TRUE,"general";"via3",#N/A,TRUE,"general"}</definedName>
    <definedName name="ghfg" localSheetId="19" hidden="1">{"via1",#N/A,TRUE,"general";"via2",#N/A,TRUE,"general";"via3",#N/A,TRUE,"general"}</definedName>
    <definedName name="ghfg" localSheetId="12"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4" hidden="1">{"via1",#N/A,TRUE,"general";"via2",#N/A,TRUE,"general";"via3",#N/A,TRUE,"general"}</definedName>
    <definedName name="ghfg" localSheetId="1" hidden="1">{"via1",#N/A,TRUE,"general";"via2",#N/A,TRUE,"general";"via3",#N/A,TRUE,"general"}</definedName>
    <definedName name="ghfg" localSheetId="14" hidden="1">{"via1",#N/A,TRUE,"general";"via2",#N/A,TRUE,"general";"via3",#N/A,TRUE,"general"}</definedName>
    <definedName name="ghfg" localSheetId="16" hidden="1">{"via1",#N/A,TRUE,"general";"via2",#N/A,TRUE,"general";"via3",#N/A,TRUE,"general"}</definedName>
    <definedName name="ghfg" localSheetId="18" hidden="1">{"via1",#N/A,TRUE,"general";"via2",#N/A,TRUE,"general";"via3",#N/A,TRUE,"general"}</definedName>
    <definedName name="ghfg" hidden="1">{"via1",#N/A,TRUE,"general";"via2",#N/A,TRUE,"general";"via3",#N/A,TRUE,"general"}</definedName>
    <definedName name="ghjghj" localSheetId="15"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8" hidden="1">{"TAB1",#N/A,TRUE,"GENERAL";"TAB2",#N/A,TRUE,"GENERAL";"TAB3",#N/A,TRUE,"GENERAL";"TAB4",#N/A,TRUE,"GENERAL";"TAB5",#N/A,TRUE,"GENERAL"}</definedName>
    <definedName name="ghjghj"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8" hidden="1">{"TAB1",#N/A,TRUE,"GENERAL";"TAB2",#N/A,TRUE,"GENERAL";"TAB3",#N/A,TRUE,"GENERAL";"TAB4",#N/A,TRUE,"GENERAL";"TAB5",#N/A,TRUE,"GENERAL"}</definedName>
    <definedName name="GHKJHK" hidden="1">{"TAB1",#N/A,TRUE,"GENERAL";"TAB2",#N/A,TRUE,"GENERAL";"TAB3",#N/A,TRUE,"GENERAL";"TAB4",#N/A,TRUE,"GENERAL";"TAB5",#N/A,TRUE,"GENERAL"}</definedName>
    <definedName name="ghnbbfr" localSheetId="12" hidden="1">{#N/A,#N/A,TRUE,"1842CWN0"}</definedName>
    <definedName name="ghnbbfr" localSheetId="8" hidden="1">{#N/A,#N/A,TRUE,"1842CWN0"}</definedName>
    <definedName name="ghnbbfr" localSheetId="9" hidden="1">{#N/A,#N/A,TRUE,"1842CWN0"}</definedName>
    <definedName name="ghnbbfr" localSheetId="7" hidden="1">{#N/A,#N/A,TRUE,"1842CWN0"}</definedName>
    <definedName name="ghnbbfr" localSheetId="10" hidden="1">{#N/A,#N/A,TRUE,"1842CWN0"}</definedName>
    <definedName name="ghnbbfr" localSheetId="1" hidden="1">{#N/A,#N/A,TRUE,"1842CWN0"}</definedName>
    <definedName name="ghnbbfr" hidden="1">{#N/A,#N/A,TRUE,"1842CWN0"}</definedName>
    <definedName name="GJ_CANT_A" localSheetId="11" hidden="1">#REF!</definedName>
    <definedName name="GJ_CANT_A" hidden="1">#REF!</definedName>
    <definedName name="GJ_CANT_B" localSheetId="11" hidden="1">#REF!</definedName>
    <definedName name="GJ_CANT_B" hidden="1">#REF!</definedName>
    <definedName name="GJ_CANT_C" localSheetId="11" hidden="1">#REF!</definedName>
    <definedName name="GJ_CANT_C" hidden="1">#REF!</definedName>
    <definedName name="GJ_CANT_D" localSheetId="11" hidden="1">#REF!</definedName>
    <definedName name="GJ_CANT_D" hidden="1">#REF!</definedName>
    <definedName name="GJ_CANT_E" localSheetId="11" hidden="1">#REF!</definedName>
    <definedName name="GJ_CANT_E" hidden="1">#REF!</definedName>
    <definedName name="GJ_CANT_F" localSheetId="11" hidden="1">#REF!</definedName>
    <definedName name="GJ_CANT_F" hidden="1">#REF!</definedName>
    <definedName name="GJ_CANT_G" localSheetId="11" hidden="1">#REF!</definedName>
    <definedName name="GJ_CANT_G" hidden="1">#REF!</definedName>
    <definedName name="GJ_CANT_H" localSheetId="11" hidden="1">#REF!</definedName>
    <definedName name="GJ_CANT_H" hidden="1">#REF!</definedName>
    <definedName name="GJ_CANT_I" localSheetId="11" hidden="1">#REF!</definedName>
    <definedName name="GJ_CANT_I" hidden="1">#REF!</definedName>
    <definedName name="GJ_CANT_J" localSheetId="11" hidden="1">#REF!</definedName>
    <definedName name="GJ_CANT_J" hidden="1">#REF!</definedName>
    <definedName name="GJ_CANT_K" localSheetId="11" hidden="1">#REF!</definedName>
    <definedName name="GJ_CANT_K" hidden="1">#REF!</definedName>
    <definedName name="GJ_CANT_L" localSheetId="11" hidden="1">#REF!</definedName>
    <definedName name="GJ_CANT_L" hidden="1">#REF!</definedName>
    <definedName name="GJ_CANT_M" localSheetId="11" hidden="1">#REF!</definedName>
    <definedName name="GJ_CANT_M" hidden="1">#REF!</definedName>
    <definedName name="GJ_CANT_N" localSheetId="11" hidden="1">#REF!</definedName>
    <definedName name="GJ_CANT_N" hidden="1">#REF!</definedName>
    <definedName name="GJ_CANT_O" localSheetId="11" hidden="1">#REF!</definedName>
    <definedName name="GJ_CANT_O" hidden="1">#REF!</definedName>
    <definedName name="GJ_CANT_P" localSheetId="11" hidden="1">#REF!</definedName>
    <definedName name="GJ_CANT_P" hidden="1">#REF!</definedName>
    <definedName name="GJHVCB" localSheetId="15"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8" hidden="1">{"TAB1",#N/A,TRUE,"GENERAL";"TAB2",#N/A,TRUE,"GENERAL";"TAB3",#N/A,TRUE,"GENERAL";"TAB4",#N/A,TRUE,"GENERAL";"TAB5",#N/A,TRUE,"GENERAL"}</definedName>
    <definedName name="GJHVCB" hidden="1">{"TAB1",#N/A,TRUE,"GENERAL";"TAB2",#N/A,TRUE,"GENERAL";"TAB3",#N/A,TRUE,"GENERAL";"TAB4",#N/A,TRUE,"GENERAL";"TAB5",#N/A,TRUE,"GENERAL"}</definedName>
    <definedName name="gk" localSheetId="15" hidden="1">{"via1",#N/A,TRUE,"general";"via2",#N/A,TRUE,"general";"via3",#N/A,TRUE,"general"}</definedName>
    <definedName name="gk" localSheetId="17" hidden="1">{"via1",#N/A,TRUE,"general";"via2",#N/A,TRUE,"general";"via3",#N/A,TRUE,"general"}</definedName>
    <definedName name="gk" localSheetId="19" hidden="1">{"via1",#N/A,TRUE,"general";"via2",#N/A,TRUE,"general";"via3",#N/A,TRUE,"general"}</definedName>
    <definedName name="gk" localSheetId="12"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7"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4" hidden="1">{"via1",#N/A,TRUE,"general";"via2",#N/A,TRUE,"general";"via3",#N/A,TRUE,"general"}</definedName>
    <definedName name="gk" localSheetId="1" hidden="1">{"via1",#N/A,TRUE,"general";"via2",#N/A,TRUE,"general";"via3",#N/A,TRUE,"general"}</definedName>
    <definedName name="gk" localSheetId="14" hidden="1">{"via1",#N/A,TRUE,"general";"via2",#N/A,TRUE,"general";"via3",#N/A,TRUE,"general"}</definedName>
    <definedName name="gk" localSheetId="16" hidden="1">{"via1",#N/A,TRUE,"general";"via2",#N/A,TRUE,"general";"via3",#N/A,TRUE,"general"}</definedName>
    <definedName name="gk" localSheetId="18" hidden="1">{"via1",#N/A,TRUE,"general";"via2",#N/A,TRUE,"general";"via3",#N/A,TRUE,"general"}</definedName>
    <definedName name="gk" hidden="1">{"via1",#N/A,TRUE,"general";"via2",#N/A,TRUE,"general";"via3",#N/A,TRUE,"general"}</definedName>
    <definedName name="GRAF1ANO" localSheetId="15" hidden="1">{"via1",#N/A,TRUE,"general";"via2",#N/A,TRUE,"general";"via3",#N/A,TRUE,"general"}</definedName>
    <definedName name="GRAF1ANO" localSheetId="17" hidden="1">{"via1",#N/A,TRUE,"general";"via2",#N/A,TRUE,"general";"via3",#N/A,TRUE,"general"}</definedName>
    <definedName name="GRAF1ANO" localSheetId="19" hidden="1">{"via1",#N/A,TRUE,"general";"via2",#N/A,TRUE,"general";"via3",#N/A,TRUE,"general"}</definedName>
    <definedName name="GRAF1ANO" localSheetId="12"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4" hidden="1">{"via1",#N/A,TRUE,"general";"via2",#N/A,TRUE,"general";"via3",#N/A,TRUE,"general"}</definedName>
    <definedName name="GRAF1ANO" localSheetId="1" hidden="1">{"via1",#N/A,TRUE,"general";"via2",#N/A,TRUE,"general";"via3",#N/A,TRUE,"general"}</definedName>
    <definedName name="GRAF1ANO" localSheetId="14" hidden="1">{"via1",#N/A,TRUE,"general";"via2",#N/A,TRUE,"general";"via3",#N/A,TRUE,"general"}</definedName>
    <definedName name="GRAF1ANO" localSheetId="16" hidden="1">{"via1",#N/A,TRUE,"general";"via2",#N/A,TRUE,"general";"via3",#N/A,TRUE,"general"}</definedName>
    <definedName name="GRAF1ANO" localSheetId="18" hidden="1">{"via1",#N/A,TRUE,"general";"via2",#N/A,TRUE,"general";"via3",#N/A,TRUE,"general"}</definedName>
    <definedName name="GRAF1ANO" hidden="1">{"via1",#N/A,TRUE,"general";"via2",#N/A,TRUE,"general";"via3",#N/A,TRUE,"general"}</definedName>
    <definedName name="GRAF1AÑO" localSheetId="15"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8" hidden="1">{"TAB1",#N/A,TRUE,"GENERAL";"TAB2",#N/A,TRUE,"GENERAL";"TAB3",#N/A,TRUE,"GENERAL";"TAB4",#N/A,TRUE,"GENERAL";"TAB5",#N/A,TRUE,"GENERAL"}</definedName>
    <definedName name="GRAF1AÑO"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8" hidden="1">{"TAB1",#N/A,TRUE,"GENERAL";"TAB2",#N/A,TRUE,"GENERAL";"TAB3",#N/A,TRUE,"GENERAL";"TAB4",#N/A,TRUE,"GENERAL";"TAB5",#N/A,TRUE,"GENERAL"}</definedName>
    <definedName name="gregds"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8" hidden="1">{"TAB1",#N/A,TRUE,"GENERAL";"TAB2",#N/A,TRUE,"GENERAL";"TAB3",#N/A,TRUE,"GENERAL";"TAB4",#N/A,TRUE,"GENERAL";"TAB5",#N/A,TRUE,"GENERAL"}</definedName>
    <definedName name="grehrtyh" hidden="1">{"TAB1",#N/A,TRUE,"GENERAL";"TAB2",#N/A,TRUE,"GENERAL";"TAB3",#N/A,TRUE,"GENERAL";"TAB4",#N/A,TRUE,"GENERAL";"TAB5",#N/A,TRUE,"GENERAL"}</definedName>
    <definedName name="grggwero" localSheetId="15" hidden="1">{"via1",#N/A,TRUE,"general";"via2",#N/A,TRUE,"general";"via3",#N/A,TRUE,"general"}</definedName>
    <definedName name="grggwero" localSheetId="17" hidden="1">{"via1",#N/A,TRUE,"general";"via2",#N/A,TRUE,"general";"via3",#N/A,TRUE,"general"}</definedName>
    <definedName name="grggwero" localSheetId="19" hidden="1">{"via1",#N/A,TRUE,"general";"via2",#N/A,TRUE,"general";"via3",#N/A,TRUE,"general"}</definedName>
    <definedName name="grggwero" localSheetId="12"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4" hidden="1">{"via1",#N/A,TRUE,"general";"via2",#N/A,TRUE,"general";"via3",#N/A,TRUE,"general"}</definedName>
    <definedName name="grggwero" localSheetId="1" hidden="1">{"via1",#N/A,TRUE,"general";"via2",#N/A,TRUE,"general";"via3",#N/A,TRUE,"general"}</definedName>
    <definedName name="grggwero" localSheetId="14" hidden="1">{"via1",#N/A,TRUE,"general";"via2",#N/A,TRUE,"general";"via3",#N/A,TRUE,"general"}</definedName>
    <definedName name="grggwero" localSheetId="16" hidden="1">{"via1",#N/A,TRUE,"general";"via2",#N/A,TRUE,"general";"via3",#N/A,TRUE,"general"}</definedName>
    <definedName name="grggwero" localSheetId="18" hidden="1">{"via1",#N/A,TRUE,"general";"via2",#N/A,TRUE,"general";"via3",#N/A,TRUE,"general"}</definedName>
    <definedName name="grggwero" hidden="1">{"via1",#N/A,TRUE,"general";"via2",#N/A,TRUE,"general";"via3",#N/A,TRUE,"general"}</definedName>
    <definedName name="grtyerh" localSheetId="15"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8" hidden="1">{"TAB1",#N/A,TRUE,"GENERAL";"TAB2",#N/A,TRUE,"GENERAL";"TAB3",#N/A,TRUE,"GENERAL";"TAB4",#N/A,TRUE,"GENERAL";"TAB5",#N/A,TRUE,"GENERAL"}</definedName>
    <definedName name="grtyerh" hidden="1">{"TAB1",#N/A,TRUE,"GENERAL";"TAB2",#N/A,TRUE,"GENERAL";"TAB3",#N/A,TRUE,"GENERAL";"TAB4",#N/A,TRUE,"GENERAL";"TAB5",#N/A,TRUE,"GENERAL"}</definedName>
    <definedName name="GSDG" localSheetId="15" hidden="1">{"TAB1",#N/A,TRUE,"GENERAL";"TAB2",#N/A,TRUE,"GENERAL";"TAB3",#N/A,TRUE,"GENERAL";"TAB4",#N/A,TRUE,"GENERAL";"TAB5",#N/A,TRUE,"GENERAL"}</definedName>
    <definedName name="GSDG" localSheetId="17" hidden="1">{"TAB1",#N/A,TRUE,"GENERAL";"TAB2",#N/A,TRUE,"GENERAL";"TAB3",#N/A,TRUE,"GENERAL";"TAB4",#N/A,TRUE,"GENERAL";"TAB5",#N/A,TRUE,"GENERAL"}</definedName>
    <definedName name="GSDG" localSheetId="19" hidden="1">{"TAB1",#N/A,TRUE,"GENERAL";"TAB2",#N/A,TRUE,"GENERAL";"TAB3",#N/A,TRUE,"GENERAL";"TAB4",#N/A,TRUE,"GENERAL";"TAB5",#N/A,TRUE,"GENERAL"}</definedName>
    <definedName name="GSDG" localSheetId="12"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4" hidden="1">{"TAB1",#N/A,TRUE,"GENERAL";"TAB2",#N/A,TRUE,"GENERAL";"TAB3",#N/A,TRUE,"GENERAL";"TAB4",#N/A,TRUE,"GENERAL";"TAB5",#N/A,TRUE,"GENERAL"}</definedName>
    <definedName name="GSDG" localSheetId="1" hidden="1">{"TAB1",#N/A,TRUE,"GENERAL";"TAB2",#N/A,TRUE,"GENERAL";"TAB3",#N/A,TRUE,"GENERAL";"TAB4",#N/A,TRUE,"GENERAL";"TAB5",#N/A,TRUE,"GENERAL"}</definedName>
    <definedName name="GSDG" localSheetId="14" hidden="1">{"TAB1",#N/A,TRUE,"GENERAL";"TAB2",#N/A,TRUE,"GENERAL";"TAB3",#N/A,TRUE,"GENERAL";"TAB4",#N/A,TRUE,"GENERAL";"TAB5",#N/A,TRUE,"GENERAL"}</definedName>
    <definedName name="GSDG" localSheetId="16" hidden="1">{"TAB1",#N/A,TRUE,"GENERAL";"TAB2",#N/A,TRUE,"GENERAL";"TAB3",#N/A,TRUE,"GENERAL";"TAB4",#N/A,TRUE,"GENERAL";"TAB5",#N/A,TRUE,"GENERAL"}</definedName>
    <definedName name="GSDG" localSheetId="18" hidden="1">{"TAB1",#N/A,TRUE,"GENERAL";"TAB2",#N/A,TRUE,"GENERAL";"TAB3",#N/A,TRUE,"GENERAL";"TAB4",#N/A,TRUE,"GENERAL";"TAB5",#N/A,TRUE,"GENERAL"}</definedName>
    <definedName name="GSDG" hidden="1">{"TAB1",#N/A,TRUE,"GENERAL";"TAB2",#N/A,TRUE,"GENERAL";"TAB3",#N/A,TRUE,"GENERAL";"TAB4",#N/A,TRUE,"GENERAL";"TAB5",#N/A,TRUE,"GENERAL"}</definedName>
    <definedName name="gsfsf" localSheetId="15" hidden="1">{"via1",#N/A,TRUE,"general";"via2",#N/A,TRUE,"general";"via3",#N/A,TRUE,"general"}</definedName>
    <definedName name="gsfsf" localSheetId="17" hidden="1">{"via1",#N/A,TRUE,"general";"via2",#N/A,TRUE,"general";"via3",#N/A,TRUE,"general"}</definedName>
    <definedName name="gsfsf" localSheetId="19" hidden="1">{"via1",#N/A,TRUE,"general";"via2",#N/A,TRUE,"general";"via3",#N/A,TRUE,"general"}</definedName>
    <definedName name="gsfsf" localSheetId="12"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4" hidden="1">{"via1",#N/A,TRUE,"general";"via2",#N/A,TRUE,"general";"via3",#N/A,TRUE,"general"}</definedName>
    <definedName name="gsfsf" localSheetId="1" hidden="1">{"via1",#N/A,TRUE,"general";"via2",#N/A,TRUE,"general";"via3",#N/A,TRUE,"general"}</definedName>
    <definedName name="gsfsf" localSheetId="14" hidden="1">{"via1",#N/A,TRUE,"general";"via2",#N/A,TRUE,"general";"via3",#N/A,TRUE,"general"}</definedName>
    <definedName name="gsfsf" localSheetId="16" hidden="1">{"via1",#N/A,TRUE,"general";"via2",#N/A,TRUE,"general";"via3",#N/A,TRUE,"general"}</definedName>
    <definedName name="gsfsf" localSheetId="18" hidden="1">{"via1",#N/A,TRUE,"general";"via2",#N/A,TRUE,"general";"via3",#N/A,TRUE,"general"}</definedName>
    <definedName name="gsfsf" hidden="1">{"via1",#N/A,TRUE,"general";"via2",#N/A,TRUE,"general";"via3",#N/A,TRUE,"general"}</definedName>
    <definedName name="gtgt" localSheetId="15" hidden="1">{"via1",#N/A,TRUE,"general";"via2",#N/A,TRUE,"general";"via3",#N/A,TRUE,"general"}</definedName>
    <definedName name="gtgt" localSheetId="17" hidden="1">{"via1",#N/A,TRUE,"general";"via2",#N/A,TRUE,"general";"via3",#N/A,TRUE,"general"}</definedName>
    <definedName name="gtgt" localSheetId="19" hidden="1">{"via1",#N/A,TRUE,"general";"via2",#N/A,TRUE,"general";"via3",#N/A,TRUE,"general"}</definedName>
    <definedName name="gtgt" localSheetId="12"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4" hidden="1">{"via1",#N/A,TRUE,"general";"via2",#N/A,TRUE,"general";"via3",#N/A,TRUE,"general"}</definedName>
    <definedName name="gtgt" localSheetId="1" hidden="1">{"via1",#N/A,TRUE,"general";"via2",#N/A,TRUE,"general";"via3",#N/A,TRUE,"general"}</definedName>
    <definedName name="gtgt" localSheetId="14" hidden="1">{"via1",#N/A,TRUE,"general";"via2",#N/A,TRUE,"general";"via3",#N/A,TRUE,"general"}</definedName>
    <definedName name="gtgt" localSheetId="16" hidden="1">{"via1",#N/A,TRUE,"general";"via2",#N/A,TRUE,"general";"via3",#N/A,TRUE,"general"}</definedName>
    <definedName name="gtgt" localSheetId="18" hidden="1">{"via1",#N/A,TRUE,"general";"via2",#N/A,TRUE,"general";"via3",#N/A,TRUE,"general"}</definedName>
    <definedName name="gtgt" hidden="1">{"via1",#N/A,TRUE,"general";"via2",#N/A,TRUE,"general";"via3",#N/A,TRUE,"general"}</definedName>
    <definedName name="gtgtg" localSheetId="15" hidden="1">{"via1",#N/A,TRUE,"general";"via2",#N/A,TRUE,"general";"via3",#N/A,TRUE,"general"}</definedName>
    <definedName name="gtgtg" localSheetId="17" hidden="1">{"via1",#N/A,TRUE,"general";"via2",#N/A,TRUE,"general";"via3",#N/A,TRUE,"general"}</definedName>
    <definedName name="gtgtg" localSheetId="19" hidden="1">{"via1",#N/A,TRUE,"general";"via2",#N/A,TRUE,"general";"via3",#N/A,TRUE,"general"}</definedName>
    <definedName name="gtgtg" localSheetId="12"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4" hidden="1">{"via1",#N/A,TRUE,"general";"via2",#N/A,TRUE,"general";"via3",#N/A,TRUE,"general"}</definedName>
    <definedName name="gtgtg" localSheetId="1" hidden="1">{"via1",#N/A,TRUE,"general";"via2",#N/A,TRUE,"general";"via3",#N/A,TRUE,"general"}</definedName>
    <definedName name="gtgtg" localSheetId="14" hidden="1">{"via1",#N/A,TRUE,"general";"via2",#N/A,TRUE,"general";"via3",#N/A,TRUE,"general"}</definedName>
    <definedName name="gtgtg" localSheetId="16" hidden="1">{"via1",#N/A,TRUE,"general";"via2",#N/A,TRUE,"general";"via3",#N/A,TRUE,"general"}</definedName>
    <definedName name="gtgtg" localSheetId="18" hidden="1">{"via1",#N/A,TRUE,"general";"via2",#N/A,TRUE,"general";"via3",#N/A,TRUE,"general"}</definedName>
    <definedName name="gtgtg" hidden="1">{"via1",#N/A,TRUE,"general";"via2",#N/A,TRUE,"general";"via3",#N/A,TRUE,"general"}</definedName>
    <definedName name="gtgtgff" localSheetId="15" hidden="1">{"via1",#N/A,TRUE,"general";"via2",#N/A,TRUE,"general";"via3",#N/A,TRUE,"general"}</definedName>
    <definedName name="gtgtgff" localSheetId="17" hidden="1">{"via1",#N/A,TRUE,"general";"via2",#N/A,TRUE,"general";"via3",#N/A,TRUE,"general"}</definedName>
    <definedName name="gtgtgff" localSheetId="19" hidden="1">{"via1",#N/A,TRUE,"general";"via2",#N/A,TRUE,"general";"via3",#N/A,TRUE,"general"}</definedName>
    <definedName name="gtgtgff" localSheetId="12"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4" hidden="1">{"via1",#N/A,TRUE,"general";"via2",#N/A,TRUE,"general";"via3",#N/A,TRUE,"general"}</definedName>
    <definedName name="gtgtgff" localSheetId="1" hidden="1">{"via1",#N/A,TRUE,"general";"via2",#N/A,TRUE,"general";"via3",#N/A,TRUE,"general"}</definedName>
    <definedName name="gtgtgff" localSheetId="14" hidden="1">{"via1",#N/A,TRUE,"general";"via2",#N/A,TRUE,"general";"via3",#N/A,TRUE,"general"}</definedName>
    <definedName name="gtgtgff" localSheetId="16" hidden="1">{"via1",#N/A,TRUE,"general";"via2",#N/A,TRUE,"general";"via3",#N/A,TRUE,"general"}</definedName>
    <definedName name="gtgtgff" localSheetId="18" hidden="1">{"via1",#N/A,TRUE,"general";"via2",#N/A,TRUE,"general";"via3",#N/A,TRUE,"general"}</definedName>
    <definedName name="gtgtgff" hidden="1">{"via1",#N/A,TRUE,"general";"via2",#N/A,TRUE,"general";"via3",#N/A,TRUE,"general"}</definedName>
    <definedName name="gtgtgyh" localSheetId="15"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8" hidden="1">{"TAB1",#N/A,TRUE,"GENERAL";"TAB2",#N/A,TRUE,"GENERAL";"TAB3",#N/A,TRUE,"GENERAL";"TAB4",#N/A,TRUE,"GENERAL";"TAB5",#N/A,TRUE,"GENERAL"}</definedName>
    <definedName name="gtgtgyh"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8" hidden="1">{"TAB1",#N/A,TRUE,"GENERAL";"TAB2",#N/A,TRUE,"GENERAL";"TAB3",#N/A,TRUE,"GENERAL";"TAB4",#N/A,TRUE,"GENERAL";"TAB5",#N/A,TRUE,"GENERAL"}</definedName>
    <definedName name="gtgth" hidden="1">{"TAB1",#N/A,TRUE,"GENERAL";"TAB2",#N/A,TRUE,"GENERAL";"TAB3",#N/A,TRUE,"GENERAL";"TAB4",#N/A,TRUE,"GENERAL";"TAB5",#N/A,TRUE,"GENERAL"}</definedName>
    <definedName name="h9h" localSheetId="15" hidden="1">{"via1",#N/A,TRUE,"general";"via2",#N/A,TRUE,"general";"via3",#N/A,TRUE,"general"}</definedName>
    <definedName name="h9h" localSheetId="17" hidden="1">{"via1",#N/A,TRUE,"general";"via2",#N/A,TRUE,"general";"via3",#N/A,TRUE,"general"}</definedName>
    <definedName name="h9h" localSheetId="19" hidden="1">{"via1",#N/A,TRUE,"general";"via2",#N/A,TRUE,"general";"via3",#N/A,TRUE,"general"}</definedName>
    <definedName name="h9h" localSheetId="12"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4" hidden="1">{"via1",#N/A,TRUE,"general";"via2",#N/A,TRUE,"general";"via3",#N/A,TRUE,"general"}</definedName>
    <definedName name="h9h" localSheetId="1" hidden="1">{"via1",#N/A,TRUE,"general";"via2",#N/A,TRUE,"general";"via3",#N/A,TRUE,"general"}</definedName>
    <definedName name="h9h" localSheetId="14" hidden="1">{"via1",#N/A,TRUE,"general";"via2",#N/A,TRUE,"general";"via3",#N/A,TRUE,"general"}</definedName>
    <definedName name="h9h" localSheetId="16" hidden="1">{"via1",#N/A,TRUE,"general";"via2",#N/A,TRUE,"general";"via3",#N/A,TRUE,"general"}</definedName>
    <definedName name="h9h" localSheetId="18" hidden="1">{"via1",#N/A,TRUE,"general";"via2",#N/A,TRUE,"general";"via3",#N/A,TRUE,"general"}</definedName>
    <definedName name="h9h" hidden="1">{"via1",#N/A,TRUE,"general";"via2",#N/A,TRUE,"general";"via3",#N/A,TRUE,"general"}</definedName>
    <definedName name="hbfdhrw" localSheetId="15"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8" hidden="1">{"TAB1",#N/A,TRUE,"GENERAL";"TAB2",#N/A,TRUE,"GENERAL";"TAB3",#N/A,TRUE,"GENERAL";"TAB4",#N/A,TRUE,"GENERAL";"TAB5",#N/A,TRUE,"GENERAL"}</definedName>
    <definedName name="hbfdhrw" hidden="1">{"TAB1",#N/A,TRUE,"GENERAL";"TAB2",#N/A,TRUE,"GENERAL";"TAB3",#N/A,TRUE,"GENERAL";"TAB4",#N/A,TRUE,"GENERAL";"TAB5",#N/A,TRUE,"GENERAL"}</definedName>
    <definedName name="hdfh" localSheetId="15" hidden="1">{"via1",#N/A,TRUE,"general";"via2",#N/A,TRUE,"general";"via3",#N/A,TRUE,"general"}</definedName>
    <definedName name="hdfh" localSheetId="17" hidden="1">{"via1",#N/A,TRUE,"general";"via2",#N/A,TRUE,"general";"via3",#N/A,TRUE,"general"}</definedName>
    <definedName name="hdfh" localSheetId="19" hidden="1">{"via1",#N/A,TRUE,"general";"via2",#N/A,TRUE,"general";"via3",#N/A,TRUE,"general"}</definedName>
    <definedName name="hdfh" localSheetId="12"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4" hidden="1">{"via1",#N/A,TRUE,"general";"via2",#N/A,TRUE,"general";"via3",#N/A,TRUE,"general"}</definedName>
    <definedName name="hdfh" localSheetId="1" hidden="1">{"via1",#N/A,TRUE,"general";"via2",#N/A,TRUE,"general";"via3",#N/A,TRUE,"general"}</definedName>
    <definedName name="hdfh" localSheetId="14" hidden="1">{"via1",#N/A,TRUE,"general";"via2",#N/A,TRUE,"general";"via3",#N/A,TRUE,"general"}</definedName>
    <definedName name="hdfh" localSheetId="16" hidden="1">{"via1",#N/A,TRUE,"general";"via2",#N/A,TRUE,"general";"via3",#N/A,TRUE,"general"}</definedName>
    <definedName name="hdfh" localSheetId="18" hidden="1">{"via1",#N/A,TRUE,"general";"via2",#N/A,TRUE,"general";"via3",#N/A,TRUE,"general"}</definedName>
    <definedName name="hdfh" hidden="1">{"via1",#N/A,TRUE,"general";"via2",#N/A,TRUE,"general";"via3",#N/A,TRUE,"general"}</definedName>
    <definedName name="hdfh4" localSheetId="15"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4" hidden="1">{"TAB1",#N/A,TRUE,"GENERAL";"TAB2",#N/A,TRUE,"GENERAL";"TAB3",#N/A,TRUE,"GENERAL";"TAB4",#N/A,TRUE,"GENERAL";"TAB5",#N/A,TRUE,"GENERAL"}</definedName>
    <definedName name="hdfh4" localSheetId="1"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8" hidden="1">{"TAB1",#N/A,TRUE,"GENERAL";"TAB2",#N/A,TRUE,"GENERAL";"TAB3",#N/A,TRUE,"GENERAL";"TAB4",#N/A,TRUE,"GENERAL";"TAB5",#N/A,TRUE,"GENERAL"}</definedName>
    <definedName name="hdfh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8" hidden="1">{"TAB1",#N/A,TRUE,"GENERAL";"TAB2",#N/A,TRUE,"GENERAL";"TAB3",#N/A,TRUE,"GENERAL";"TAB4",#N/A,TRUE,"GENERAL";"TAB5",#N/A,TRUE,"GENERAL"}</definedName>
    <definedName name="hdfhwq" hidden="1">{"TAB1",#N/A,TRUE,"GENERAL";"TAB2",#N/A,TRUE,"GENERAL";"TAB3",#N/A,TRUE,"GENERAL";"TAB4",#N/A,TRUE,"GENERAL";"TAB5",#N/A,TRUE,"GENERAL"}</definedName>
    <definedName name="hdgh" localSheetId="15" hidden="1">{"via1",#N/A,TRUE,"general";"via2",#N/A,TRUE,"general";"via3",#N/A,TRUE,"general"}</definedName>
    <definedName name="hdgh" localSheetId="17" hidden="1">{"via1",#N/A,TRUE,"general";"via2",#N/A,TRUE,"general";"via3",#N/A,TRUE,"general"}</definedName>
    <definedName name="hdgh" localSheetId="19" hidden="1">{"via1",#N/A,TRUE,"general";"via2",#N/A,TRUE,"general";"via3",#N/A,TRUE,"general"}</definedName>
    <definedName name="hdgh" localSheetId="12"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4" hidden="1">{"via1",#N/A,TRUE,"general";"via2",#N/A,TRUE,"general";"via3",#N/A,TRUE,"general"}</definedName>
    <definedName name="hdgh" localSheetId="1" hidden="1">{"via1",#N/A,TRUE,"general";"via2",#N/A,TRUE,"general";"via3",#N/A,TRUE,"general"}</definedName>
    <definedName name="hdgh" localSheetId="14" hidden="1">{"via1",#N/A,TRUE,"general";"via2",#N/A,TRUE,"general";"via3",#N/A,TRUE,"general"}</definedName>
    <definedName name="hdgh" localSheetId="16" hidden="1">{"via1",#N/A,TRUE,"general";"via2",#N/A,TRUE,"general";"via3",#N/A,TRUE,"general"}</definedName>
    <definedName name="hdgh" localSheetId="18" hidden="1">{"via1",#N/A,TRUE,"general";"via2",#N/A,TRUE,"general";"via3",#N/A,TRUE,"general"}</definedName>
    <definedName name="hdgh" hidden="1">{"via1",#N/A,TRUE,"general";"via2",#N/A,TRUE,"general";"via3",#N/A,TRUE,"general"}</definedName>
    <definedName name="hdhf" localSheetId="15" hidden="1">{"TAB1",#N/A,TRUE,"GENERAL";"TAB2",#N/A,TRUE,"GENERAL";"TAB3",#N/A,TRUE,"GENERAL";"TAB4",#N/A,TRUE,"GENERAL";"TAB5",#N/A,TRUE,"GENERAL"}</definedName>
    <definedName name="hdhf" localSheetId="17" hidden="1">{"TAB1",#N/A,TRUE,"GENERAL";"TAB2",#N/A,TRUE,"GENERAL";"TAB3",#N/A,TRUE,"GENERAL";"TAB4",#N/A,TRUE,"GENERAL";"TAB5",#N/A,TRUE,"GENERAL"}</definedName>
    <definedName name="hdhf" localSheetId="19" hidden="1">{"TAB1",#N/A,TRUE,"GENERAL";"TAB2",#N/A,TRUE,"GENERAL";"TAB3",#N/A,TRUE,"GENERAL";"TAB4",#N/A,TRUE,"GENERAL";"TAB5",#N/A,TRUE,"GENERAL"}</definedName>
    <definedName name="hdhf" localSheetId="12"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4" hidden="1">{"TAB1",#N/A,TRUE,"GENERAL";"TAB2",#N/A,TRUE,"GENERAL";"TAB3",#N/A,TRUE,"GENERAL";"TAB4",#N/A,TRUE,"GENERAL";"TAB5",#N/A,TRUE,"GENERAL"}</definedName>
    <definedName name="hdhf" localSheetId="1" hidden="1">{"TAB1",#N/A,TRUE,"GENERAL";"TAB2",#N/A,TRUE,"GENERAL";"TAB3",#N/A,TRUE,"GENERAL";"TAB4",#N/A,TRUE,"GENERAL";"TAB5",#N/A,TRUE,"GENERAL"}</definedName>
    <definedName name="hdhf" localSheetId="14" hidden="1">{"TAB1",#N/A,TRUE,"GENERAL";"TAB2",#N/A,TRUE,"GENERAL";"TAB3",#N/A,TRUE,"GENERAL";"TAB4",#N/A,TRUE,"GENERAL";"TAB5",#N/A,TRUE,"GENERAL"}</definedName>
    <definedName name="hdhf" localSheetId="16" hidden="1">{"TAB1",#N/A,TRUE,"GENERAL";"TAB2",#N/A,TRUE,"GENERAL";"TAB3",#N/A,TRUE,"GENERAL";"TAB4",#N/A,TRUE,"GENERAL";"TAB5",#N/A,TRUE,"GENERAL"}</definedName>
    <definedName name="hdhf" localSheetId="18" hidden="1">{"TAB1",#N/A,TRUE,"GENERAL";"TAB2",#N/A,TRUE,"GENERAL";"TAB3",#N/A,TRUE,"GENERAL";"TAB4",#N/A,TRUE,"GENERAL";"TAB5",#N/A,TRUE,"GENERAL"}</definedName>
    <definedName name="hdhf" hidden="1">{"TAB1",#N/A,TRUE,"GENERAL";"TAB2",#N/A,TRUE,"GENERAL";"TAB3",#N/A,TRUE,"GENERAL";"TAB4",#N/A,TRUE,"GENERAL";"TAB5",#N/A,TRUE,"GENERAL"}</definedName>
    <definedName name="hfgh" localSheetId="15" hidden="1">{"via1",#N/A,TRUE,"general";"via2",#N/A,TRUE,"general";"via3",#N/A,TRUE,"general"}</definedName>
    <definedName name="hfgh" localSheetId="17" hidden="1">{"via1",#N/A,TRUE,"general";"via2",#N/A,TRUE,"general";"via3",#N/A,TRUE,"general"}</definedName>
    <definedName name="hfgh" localSheetId="19" hidden="1">{"via1",#N/A,TRUE,"general";"via2",#N/A,TRUE,"general";"via3",#N/A,TRUE,"general"}</definedName>
    <definedName name="hfgh" localSheetId="12"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4" hidden="1">{"via1",#N/A,TRUE,"general";"via2",#N/A,TRUE,"general";"via3",#N/A,TRUE,"general"}</definedName>
    <definedName name="hfgh" localSheetId="1" hidden="1">{"via1",#N/A,TRUE,"general";"via2",#N/A,TRUE,"general";"via3",#N/A,TRUE,"general"}</definedName>
    <definedName name="hfgh" localSheetId="14" hidden="1">{"via1",#N/A,TRUE,"general";"via2",#N/A,TRUE,"general";"via3",#N/A,TRUE,"general"}</definedName>
    <definedName name="hfgh" localSheetId="16" hidden="1">{"via1",#N/A,TRUE,"general";"via2",#N/A,TRUE,"general";"via3",#N/A,TRUE,"general"}</definedName>
    <definedName name="hfgh" localSheetId="18" hidden="1">{"via1",#N/A,TRUE,"general";"via2",#N/A,TRUE,"general";"via3",#N/A,TRUE,"general"}</definedName>
    <definedName name="hfgh" hidden="1">{"via1",#N/A,TRUE,"general";"via2",#N/A,TRUE,"general";"via3",#N/A,TRUE,"general"}</definedName>
    <definedName name="hfh" localSheetId="15" hidden="1">{"TAB1",#N/A,TRUE,"GENERAL";"TAB2",#N/A,TRUE,"GENERAL";"TAB3",#N/A,TRUE,"GENERAL";"TAB4",#N/A,TRUE,"GENERAL";"TAB5",#N/A,TRUE,"GENERAL"}</definedName>
    <definedName name="hfh" localSheetId="17" hidden="1">{"TAB1",#N/A,TRUE,"GENERAL";"TAB2",#N/A,TRUE,"GENERAL";"TAB3",#N/A,TRUE,"GENERAL";"TAB4",#N/A,TRUE,"GENERAL";"TAB5",#N/A,TRUE,"GENERAL"}</definedName>
    <definedName name="hfh" localSheetId="19" hidden="1">{"TAB1",#N/A,TRUE,"GENERAL";"TAB2",#N/A,TRUE,"GENERAL";"TAB3",#N/A,TRUE,"GENERAL";"TAB4",#N/A,TRUE,"GENERAL";"TAB5",#N/A,TRUE,"GENERAL"}</definedName>
    <definedName name="hfh" localSheetId="12"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4" hidden="1">{"TAB1",#N/A,TRUE,"GENERAL";"TAB2",#N/A,TRUE,"GENERAL";"TAB3",#N/A,TRUE,"GENERAL";"TAB4",#N/A,TRUE,"GENERAL";"TAB5",#N/A,TRUE,"GENERAL"}</definedName>
    <definedName name="hfh" localSheetId="1" hidden="1">{"TAB1",#N/A,TRUE,"GENERAL";"TAB2",#N/A,TRUE,"GENERAL";"TAB3",#N/A,TRUE,"GENERAL";"TAB4",#N/A,TRUE,"GENERAL";"TAB5",#N/A,TRUE,"GENERAL"}</definedName>
    <definedName name="hfh" localSheetId="14" hidden="1">{"TAB1",#N/A,TRUE,"GENERAL";"TAB2",#N/A,TRUE,"GENERAL";"TAB3",#N/A,TRUE,"GENERAL";"TAB4",#N/A,TRUE,"GENERAL";"TAB5",#N/A,TRUE,"GENERAL"}</definedName>
    <definedName name="hfh" localSheetId="16" hidden="1">{"TAB1",#N/A,TRUE,"GENERAL";"TAB2",#N/A,TRUE,"GENERAL";"TAB3",#N/A,TRUE,"GENERAL";"TAB4",#N/A,TRUE,"GENERAL";"TAB5",#N/A,TRUE,"GENERAL"}</definedName>
    <definedName name="hfh" localSheetId="18" hidden="1">{"TAB1",#N/A,TRUE,"GENERAL";"TAB2",#N/A,TRUE,"GENERAL";"TAB3",#N/A,TRUE,"GENERAL";"TAB4",#N/A,TRUE,"GENERAL";"TAB5",#N/A,TRUE,"GENERAL"}</definedName>
    <definedName name="hfh" hidden="1">{"TAB1",#N/A,TRUE,"GENERAL";"TAB2",#N/A,TRUE,"GENERAL";"TAB3",#N/A,TRUE,"GENERAL";"TAB4",#N/A,TRUE,"GENERAL";"TAB5",#N/A,TRUE,"GENERAL"}</definedName>
    <definedName name="hfhg" localSheetId="15" hidden="1">{"TAB1",#N/A,TRUE,"GENERAL";"TAB2",#N/A,TRUE,"GENERAL";"TAB3",#N/A,TRUE,"GENERAL";"TAB4",#N/A,TRUE,"GENERAL";"TAB5",#N/A,TRUE,"GENERAL"}</definedName>
    <definedName name="hfhg" localSheetId="17" hidden="1">{"TAB1",#N/A,TRUE,"GENERAL";"TAB2",#N/A,TRUE,"GENERAL";"TAB3",#N/A,TRUE,"GENERAL";"TAB4",#N/A,TRUE,"GENERAL";"TAB5",#N/A,TRUE,"GENERAL"}</definedName>
    <definedName name="hfhg" localSheetId="19" hidden="1">{"TAB1",#N/A,TRUE,"GENERAL";"TAB2",#N/A,TRUE,"GENERAL";"TAB3",#N/A,TRUE,"GENERAL";"TAB4",#N/A,TRUE,"GENERAL";"TAB5",#N/A,TRUE,"GENERAL"}</definedName>
    <definedName name="hfhg" localSheetId="12"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4" hidden="1">{"TAB1",#N/A,TRUE,"GENERAL";"TAB2",#N/A,TRUE,"GENERAL";"TAB3",#N/A,TRUE,"GENERAL";"TAB4",#N/A,TRUE,"GENERAL";"TAB5",#N/A,TRUE,"GENERAL"}</definedName>
    <definedName name="hfhg" localSheetId="1" hidden="1">{"TAB1",#N/A,TRUE,"GENERAL";"TAB2",#N/A,TRUE,"GENERAL";"TAB3",#N/A,TRUE,"GENERAL";"TAB4",#N/A,TRUE,"GENERAL";"TAB5",#N/A,TRUE,"GENERAL"}</definedName>
    <definedName name="hfhg" localSheetId="14" hidden="1">{"TAB1",#N/A,TRUE,"GENERAL";"TAB2",#N/A,TRUE,"GENERAL";"TAB3",#N/A,TRUE,"GENERAL";"TAB4",#N/A,TRUE,"GENERAL";"TAB5",#N/A,TRUE,"GENERAL"}</definedName>
    <definedName name="hfhg" localSheetId="16" hidden="1">{"TAB1",#N/A,TRUE,"GENERAL";"TAB2",#N/A,TRUE,"GENERAL";"TAB3",#N/A,TRUE,"GENERAL";"TAB4",#N/A,TRUE,"GENERAL";"TAB5",#N/A,TRUE,"GENERAL"}</definedName>
    <definedName name="hfhg" localSheetId="18" hidden="1">{"TAB1",#N/A,TRUE,"GENERAL";"TAB2",#N/A,TRUE,"GENERAL";"TAB3",#N/A,TRUE,"GENERAL";"TAB4",#N/A,TRUE,"GENERAL";"TAB5",#N/A,TRUE,"GENERAL"}</definedName>
    <definedName name="hfhg" hidden="1">{"TAB1",#N/A,TRUE,"GENERAL";"TAB2",#N/A,TRUE,"GENERAL";"TAB3",#N/A,TRUE,"GENERAL";"TAB4",#N/A,TRUE,"GENERAL";"TAB5",#N/A,TRUE,"GENERAL"}</definedName>
    <definedName name="hfthr" localSheetId="15" hidden="1">{"via1",#N/A,TRUE,"general";"via2",#N/A,TRUE,"general";"via3",#N/A,TRUE,"general"}</definedName>
    <definedName name="hfthr" localSheetId="17" hidden="1">{"via1",#N/A,TRUE,"general";"via2",#N/A,TRUE,"general";"via3",#N/A,TRUE,"general"}</definedName>
    <definedName name="hfthr" localSheetId="19" hidden="1">{"via1",#N/A,TRUE,"general";"via2",#N/A,TRUE,"general";"via3",#N/A,TRUE,"general"}</definedName>
    <definedName name="hfthr" localSheetId="12"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4" hidden="1">{"via1",#N/A,TRUE,"general";"via2",#N/A,TRUE,"general";"via3",#N/A,TRUE,"general"}</definedName>
    <definedName name="hfthr" localSheetId="1" hidden="1">{"via1",#N/A,TRUE,"general";"via2",#N/A,TRUE,"general";"via3",#N/A,TRUE,"general"}</definedName>
    <definedName name="hfthr" localSheetId="14" hidden="1">{"via1",#N/A,TRUE,"general";"via2",#N/A,TRUE,"general";"via3",#N/A,TRUE,"general"}</definedName>
    <definedName name="hfthr" localSheetId="16" hidden="1">{"via1",#N/A,TRUE,"general";"via2",#N/A,TRUE,"general";"via3",#N/A,TRUE,"general"}</definedName>
    <definedName name="hfthr" localSheetId="18" hidden="1">{"via1",#N/A,TRUE,"general";"via2",#N/A,TRUE,"general";"via3",#N/A,TRUE,"general"}</definedName>
    <definedName name="hfthr" hidden="1">{"via1",#N/A,TRUE,"general";"via2",#N/A,TRUE,"general";"via3",#N/A,TRUE,"general"}</definedName>
    <definedName name="hg" localSheetId="15" hidden="1">{"via1",#N/A,TRUE,"general";"via2",#N/A,TRUE,"general";"via3",#N/A,TRUE,"general"}</definedName>
    <definedName name="hg" localSheetId="17" hidden="1">{"via1",#N/A,TRUE,"general";"via2",#N/A,TRUE,"general";"via3",#N/A,TRUE,"general"}</definedName>
    <definedName name="hg" localSheetId="19" hidden="1">{"via1",#N/A,TRUE,"general";"via2",#N/A,TRUE,"general";"via3",#N/A,TRUE,"general"}</definedName>
    <definedName name="hg" localSheetId="12"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7"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4" hidden="1">{"via1",#N/A,TRUE,"general";"via2",#N/A,TRUE,"general";"via3",#N/A,TRUE,"general"}</definedName>
    <definedName name="hg" localSheetId="1" hidden="1">{"via1",#N/A,TRUE,"general";"via2",#N/A,TRUE,"general";"via3",#N/A,TRUE,"general"}</definedName>
    <definedName name="hg" localSheetId="14" hidden="1">{"via1",#N/A,TRUE,"general";"via2",#N/A,TRUE,"general";"via3",#N/A,TRUE,"general"}</definedName>
    <definedName name="hg" localSheetId="16" hidden="1">{"via1",#N/A,TRUE,"general";"via2",#N/A,TRUE,"general";"via3",#N/A,TRUE,"general"}</definedName>
    <definedName name="hg" localSheetId="18" hidden="1">{"via1",#N/A,TRUE,"general";"via2",#N/A,TRUE,"general";"via3",#N/A,TRUE,"general"}</definedName>
    <definedName name="hg" hidden="1">{"via1",#N/A,TRUE,"general";"via2",#N/A,TRUE,"general";"via3",#N/A,TRUE,"general"}</definedName>
    <definedName name="HGF" hidden="1">#REF!</definedName>
    <definedName name="HGFH" localSheetId="15" hidden="1">{"via1",#N/A,TRUE,"general";"via2",#N/A,TRUE,"general";"via3",#N/A,TRUE,"general"}</definedName>
    <definedName name="HGFH" localSheetId="17" hidden="1">{"via1",#N/A,TRUE,"general";"via2",#N/A,TRUE,"general";"via3",#N/A,TRUE,"general"}</definedName>
    <definedName name="HGFH" localSheetId="19" hidden="1">{"via1",#N/A,TRUE,"general";"via2",#N/A,TRUE,"general";"via3",#N/A,TRUE,"general"}</definedName>
    <definedName name="HGFH" localSheetId="12"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4" hidden="1">{"via1",#N/A,TRUE,"general";"via2",#N/A,TRUE,"general";"via3",#N/A,TRUE,"general"}</definedName>
    <definedName name="HGFH" localSheetId="1" hidden="1">{"via1",#N/A,TRUE,"general";"via2",#N/A,TRUE,"general";"via3",#N/A,TRUE,"general"}</definedName>
    <definedName name="HGFH" localSheetId="14" hidden="1">{"via1",#N/A,TRUE,"general";"via2",#N/A,TRUE,"general";"via3",#N/A,TRUE,"general"}</definedName>
    <definedName name="HGFH" localSheetId="16" hidden="1">{"via1",#N/A,TRUE,"general";"via2",#N/A,TRUE,"general";"via3",#N/A,TRUE,"general"}</definedName>
    <definedName name="HGFH" localSheetId="18" hidden="1">{"via1",#N/A,TRUE,"general";"via2",#N/A,TRUE,"general";"via3",#N/A,TRUE,"general"}</definedName>
    <definedName name="HGFH" hidden="1">{"via1",#N/A,TRUE,"general";"via2",#N/A,TRUE,"general";"via3",#N/A,TRUE,"general"}</definedName>
    <definedName name="hgfhty" localSheetId="15" hidden="1">{"via1",#N/A,TRUE,"general";"via2",#N/A,TRUE,"general";"via3",#N/A,TRUE,"general"}</definedName>
    <definedName name="hgfhty" localSheetId="17" hidden="1">{"via1",#N/A,TRUE,"general";"via2",#N/A,TRUE,"general";"via3",#N/A,TRUE,"general"}</definedName>
    <definedName name="hgfhty" localSheetId="19" hidden="1">{"via1",#N/A,TRUE,"general";"via2",#N/A,TRUE,"general";"via3",#N/A,TRUE,"general"}</definedName>
    <definedName name="hgfhty" localSheetId="12"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4" hidden="1">{"via1",#N/A,TRUE,"general";"via2",#N/A,TRUE,"general";"via3",#N/A,TRUE,"general"}</definedName>
    <definedName name="hgfhty" localSheetId="1" hidden="1">{"via1",#N/A,TRUE,"general";"via2",#N/A,TRUE,"general";"via3",#N/A,TRUE,"general"}</definedName>
    <definedName name="hgfhty" localSheetId="14" hidden="1">{"via1",#N/A,TRUE,"general";"via2",#N/A,TRUE,"general";"via3",#N/A,TRUE,"general"}</definedName>
    <definedName name="hgfhty" localSheetId="16" hidden="1">{"via1",#N/A,TRUE,"general";"via2",#N/A,TRUE,"general";"via3",#N/A,TRUE,"general"}</definedName>
    <definedName name="hgfhty" localSheetId="18" hidden="1">{"via1",#N/A,TRUE,"general";"via2",#N/A,TRUE,"general";"via3",#N/A,TRUE,"general"}</definedName>
    <definedName name="hgfhty" hidden="1">{"via1",#N/A,TRUE,"general";"via2",#N/A,TRUE,"general";"via3",#N/A,TRUE,"general"}</definedName>
    <definedName name="HGGG" hidden="1">#REF!</definedName>
    <definedName name="HGHFH7" localSheetId="15"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8" hidden="1">{"TAB1",#N/A,TRUE,"GENERAL";"TAB2",#N/A,TRUE,"GENERAL";"TAB3",#N/A,TRUE,"GENERAL";"TAB4",#N/A,TRUE,"GENERAL";"TAB5",#N/A,TRUE,"GENERAL"}</definedName>
    <definedName name="HGHFH7"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8" hidden="1">{"TAB1",#N/A,TRUE,"GENERAL";"TAB2",#N/A,TRUE,"GENERAL";"TAB3",#N/A,TRUE,"GENERAL";"TAB4",#N/A,TRUE,"GENERAL";"TAB5",#N/A,TRUE,"GENERAL"}</definedName>
    <definedName name="hghhj" hidden="1">{"TAB1",#N/A,TRUE,"GENERAL";"TAB2",#N/A,TRUE,"GENERAL";"TAB3",#N/A,TRUE,"GENERAL";"TAB4",#N/A,TRUE,"GENERAL";"TAB5",#N/A,TRUE,"GENERAL"}</definedName>
    <definedName name="hghydj" localSheetId="15" hidden="1">{"via1",#N/A,TRUE,"general";"via2",#N/A,TRUE,"general";"via3",#N/A,TRUE,"general"}</definedName>
    <definedName name="hghydj" localSheetId="17" hidden="1">{"via1",#N/A,TRUE,"general";"via2",#N/A,TRUE,"general";"via3",#N/A,TRUE,"general"}</definedName>
    <definedName name="hghydj" localSheetId="19" hidden="1">{"via1",#N/A,TRUE,"general";"via2",#N/A,TRUE,"general";"via3",#N/A,TRUE,"general"}</definedName>
    <definedName name="hghydj" localSheetId="12"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4" hidden="1">{"via1",#N/A,TRUE,"general";"via2",#N/A,TRUE,"general";"via3",#N/A,TRUE,"general"}</definedName>
    <definedName name="hghydj" localSheetId="1" hidden="1">{"via1",#N/A,TRUE,"general";"via2",#N/A,TRUE,"general";"via3",#N/A,TRUE,"general"}</definedName>
    <definedName name="hghydj" localSheetId="14" hidden="1">{"via1",#N/A,TRUE,"general";"via2",#N/A,TRUE,"general";"via3",#N/A,TRUE,"general"}</definedName>
    <definedName name="hghydj" localSheetId="16" hidden="1">{"via1",#N/A,TRUE,"general";"via2",#N/A,TRUE,"general";"via3",#N/A,TRUE,"general"}</definedName>
    <definedName name="hghydj" localSheetId="18" hidden="1">{"via1",#N/A,TRUE,"general";"via2",#N/A,TRUE,"general";"via3",#N/A,TRUE,"general"}</definedName>
    <definedName name="hghydj" hidden="1">{"via1",#N/A,TRUE,"general";"via2",#N/A,TRUE,"general";"via3",#N/A,TRUE,"general"}</definedName>
    <definedName name="hgjfjw" localSheetId="15" hidden="1">{"via1",#N/A,TRUE,"general";"via2",#N/A,TRUE,"general";"via3",#N/A,TRUE,"general"}</definedName>
    <definedName name="hgjfjw" localSheetId="17" hidden="1">{"via1",#N/A,TRUE,"general";"via2",#N/A,TRUE,"general";"via3",#N/A,TRUE,"general"}</definedName>
    <definedName name="hgjfjw" localSheetId="19" hidden="1">{"via1",#N/A,TRUE,"general";"via2",#N/A,TRUE,"general";"via3",#N/A,TRUE,"general"}</definedName>
    <definedName name="hgjfjw" localSheetId="12"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4" hidden="1">{"via1",#N/A,TRUE,"general";"via2",#N/A,TRUE,"general";"via3",#N/A,TRUE,"general"}</definedName>
    <definedName name="hgjfjw" localSheetId="1" hidden="1">{"via1",#N/A,TRUE,"general";"via2",#N/A,TRUE,"general";"via3",#N/A,TRUE,"general"}</definedName>
    <definedName name="hgjfjw" localSheetId="14" hidden="1">{"via1",#N/A,TRUE,"general";"via2",#N/A,TRUE,"general";"via3",#N/A,TRUE,"general"}</definedName>
    <definedName name="hgjfjw" localSheetId="16" hidden="1">{"via1",#N/A,TRUE,"general";"via2",#N/A,TRUE,"general";"via3",#N/A,TRUE,"general"}</definedName>
    <definedName name="hgjfjw" localSheetId="18" hidden="1">{"via1",#N/A,TRUE,"general";"via2",#N/A,TRUE,"general";"via3",#N/A,TRUE,"general"}</definedName>
    <definedName name="hgjfjw" hidden="1">{"via1",#N/A,TRUE,"general";"via2",#N/A,TRUE,"general";"via3",#N/A,TRUE,"general"}</definedName>
    <definedName name="HGJG" localSheetId="15" hidden="1">{"TAB1",#N/A,TRUE,"GENERAL";"TAB2",#N/A,TRUE,"GENERAL";"TAB3",#N/A,TRUE,"GENERAL";"TAB4",#N/A,TRUE,"GENERAL";"TAB5",#N/A,TRUE,"GENERAL"}</definedName>
    <definedName name="HGJG" localSheetId="17" hidden="1">{"TAB1",#N/A,TRUE,"GENERAL";"TAB2",#N/A,TRUE,"GENERAL";"TAB3",#N/A,TRUE,"GENERAL";"TAB4",#N/A,TRUE,"GENERAL";"TAB5",#N/A,TRUE,"GENERAL"}</definedName>
    <definedName name="HGJG" localSheetId="19" hidden="1">{"TAB1",#N/A,TRUE,"GENERAL";"TAB2",#N/A,TRUE,"GENERAL";"TAB3",#N/A,TRUE,"GENERAL";"TAB4",#N/A,TRUE,"GENERAL";"TAB5",#N/A,TRUE,"GENERAL"}</definedName>
    <definedName name="HGJG" localSheetId="12"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4" hidden="1">{"TAB1",#N/A,TRUE,"GENERAL";"TAB2",#N/A,TRUE,"GENERAL";"TAB3",#N/A,TRUE,"GENERAL";"TAB4",#N/A,TRUE,"GENERAL";"TAB5",#N/A,TRUE,"GENERAL"}</definedName>
    <definedName name="HGJG" localSheetId="1" hidden="1">{"TAB1",#N/A,TRUE,"GENERAL";"TAB2",#N/A,TRUE,"GENERAL";"TAB3",#N/A,TRUE,"GENERAL";"TAB4",#N/A,TRUE,"GENERAL";"TAB5",#N/A,TRUE,"GENERAL"}</definedName>
    <definedName name="HGJG" localSheetId="14" hidden="1">{"TAB1",#N/A,TRUE,"GENERAL";"TAB2",#N/A,TRUE,"GENERAL";"TAB3",#N/A,TRUE,"GENERAL";"TAB4",#N/A,TRUE,"GENERAL";"TAB5",#N/A,TRUE,"GENERAL"}</definedName>
    <definedName name="HGJG" localSheetId="16" hidden="1">{"TAB1",#N/A,TRUE,"GENERAL";"TAB2",#N/A,TRUE,"GENERAL";"TAB3",#N/A,TRUE,"GENERAL";"TAB4",#N/A,TRUE,"GENERAL";"TAB5",#N/A,TRUE,"GENERAL"}</definedName>
    <definedName name="HGJG" localSheetId="18" hidden="1">{"TAB1",#N/A,TRUE,"GENERAL";"TAB2",#N/A,TRUE,"GENERAL";"TAB3",#N/A,TRUE,"GENERAL";"TAB4",#N/A,TRUE,"GENERAL";"TAB5",#N/A,TRUE,"GENERAL"}</definedName>
    <definedName name="HGJG" hidden="1">{"TAB1",#N/A,TRUE,"GENERAL";"TAB2",#N/A,TRUE,"GENERAL";"TAB3",#N/A,TRUE,"GENERAL";"TAB4",#N/A,TRUE,"GENERAL";"TAB5",#N/A,TRUE,"GENERAL"}</definedName>
    <definedName name="hh" localSheetId="11" hidden="1">#REF!</definedName>
    <definedName name="hh" hidden="1">#REF!</definedName>
    <definedName name="hhg" localSheetId="12" hidden="1">{#N/A,#N/A,TRUE,"1842CWN0"}</definedName>
    <definedName name="hhg" localSheetId="8" hidden="1">{#N/A,#N/A,TRUE,"1842CWN0"}</definedName>
    <definedName name="hhg" localSheetId="9" hidden="1">{#N/A,#N/A,TRUE,"1842CWN0"}</definedName>
    <definedName name="hhg" localSheetId="7" hidden="1">{#N/A,#N/A,TRUE,"1842CWN0"}</definedName>
    <definedName name="hhg" localSheetId="10" hidden="1">{#N/A,#N/A,TRUE,"1842CWN0"}</definedName>
    <definedName name="hhg" localSheetId="1" hidden="1">{#N/A,#N/A,TRUE,"1842CWN0"}</definedName>
    <definedName name="hhg" hidden="1">{#N/A,#N/A,TRUE,"1842CWN0"}</definedName>
    <definedName name="hhh" localSheetId="15" hidden="1">{"TAB1",#N/A,TRUE,"GENERAL";"TAB2",#N/A,TRUE,"GENERAL";"TAB3",#N/A,TRUE,"GENERAL";"TAB4",#N/A,TRUE,"GENERAL";"TAB5",#N/A,TRUE,"GENERAL"}</definedName>
    <definedName name="hhh" localSheetId="17" hidden="1">{"TAB1",#N/A,TRUE,"GENERAL";"TAB2",#N/A,TRUE,"GENERAL";"TAB3",#N/A,TRUE,"GENERAL";"TAB4",#N/A,TRUE,"GENERAL";"TAB5",#N/A,TRUE,"GENERAL"}</definedName>
    <definedName name="hhh" localSheetId="19" hidden="1">{"TAB1",#N/A,TRUE,"GENERAL";"TAB2",#N/A,TRUE,"GENERAL";"TAB3",#N/A,TRUE,"GENERAL";"TAB4",#N/A,TRUE,"GENERAL";"TAB5",#N/A,TRUE,"GENERAL"}</definedName>
    <definedName name="hhh" localSheetId="12"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7"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4" hidden="1">{"TAB1",#N/A,TRUE,"GENERAL";"TAB2",#N/A,TRUE,"GENERAL";"TAB3",#N/A,TRUE,"GENERAL";"TAB4",#N/A,TRUE,"GENERAL";"TAB5",#N/A,TRUE,"GENERAL"}</definedName>
    <definedName name="hhh" localSheetId="1" hidden="1">{"TAB1",#N/A,TRUE,"GENERAL";"TAB2",#N/A,TRUE,"GENERAL";"TAB3",#N/A,TRUE,"GENERAL";"TAB4",#N/A,TRUE,"GENERAL";"TAB5",#N/A,TRUE,"GENERAL"}</definedName>
    <definedName name="hhh" localSheetId="14" hidden="1">{"TAB1",#N/A,TRUE,"GENERAL";"TAB2",#N/A,TRUE,"GENERAL";"TAB3",#N/A,TRUE,"GENERAL";"TAB4",#N/A,TRUE,"GENERAL";"TAB5",#N/A,TRUE,"GENERAL"}</definedName>
    <definedName name="hhh" localSheetId="16" hidden="1">{"TAB1",#N/A,TRUE,"GENERAL";"TAB2",#N/A,TRUE,"GENERAL";"TAB3",#N/A,TRUE,"GENERAL";"TAB4",#N/A,TRUE,"GENERAL";"TAB5",#N/A,TRUE,"GENERAL"}</definedName>
    <definedName name="hhh" localSheetId="18" hidden="1">{"TAB1",#N/A,TRUE,"GENERAL";"TAB2",#N/A,TRUE,"GENERAL";"TAB3",#N/A,TRUE,"GENERAL";"TAB4",#N/A,TRUE,"GENERAL";"TAB5",#N/A,TRUE,"GENERAL"}</definedName>
    <definedName name="hhh" hidden="1">{"TAB1",#N/A,TRUE,"GENERAL";"TAB2",#N/A,TRUE,"GENERAL";"TAB3",#N/A,TRUE,"GENERAL";"TAB4",#N/A,TRUE,"GENERAL";"TAB5",#N/A,TRUE,"GENERAL"}</definedName>
    <definedName name="hhhhhh" localSheetId="15" hidden="1">{"via1",#N/A,TRUE,"general";"via2",#N/A,TRUE,"general";"via3",#N/A,TRUE,"general"}</definedName>
    <definedName name="hhhhhh" localSheetId="17" hidden="1">{"via1",#N/A,TRUE,"general";"via2",#N/A,TRUE,"general";"via3",#N/A,TRUE,"general"}</definedName>
    <definedName name="hhhhhh" localSheetId="19" hidden="1">{"via1",#N/A,TRUE,"general";"via2",#N/A,TRUE,"general";"via3",#N/A,TRUE,"general"}</definedName>
    <definedName name="hhhhhh" localSheetId="12"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4" hidden="1">{"via1",#N/A,TRUE,"general";"via2",#N/A,TRUE,"general";"via3",#N/A,TRUE,"general"}</definedName>
    <definedName name="hhhhhh" localSheetId="1" hidden="1">{"via1",#N/A,TRUE,"general";"via2",#N/A,TRUE,"general";"via3",#N/A,TRUE,"general"}</definedName>
    <definedName name="hhhhhh" localSheetId="14" hidden="1">{"via1",#N/A,TRUE,"general";"via2",#N/A,TRUE,"general";"via3",#N/A,TRUE,"general"}</definedName>
    <definedName name="hhhhhh" localSheetId="16" hidden="1">{"via1",#N/A,TRUE,"general";"via2",#N/A,TRUE,"general";"via3",#N/A,TRUE,"general"}</definedName>
    <definedName name="hhhhhh" localSheetId="18" hidden="1">{"via1",#N/A,TRUE,"general";"via2",#N/A,TRUE,"general";"via3",#N/A,TRUE,"general"}</definedName>
    <definedName name="hhhhhh" hidden="1">{"via1",#N/A,TRUE,"general";"via2",#N/A,TRUE,"general";"via3",#N/A,TRUE,"general"}</definedName>
    <definedName name="hhhhhho" localSheetId="15"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8" hidden="1">{"TAB1",#N/A,TRUE,"GENERAL";"TAB2",#N/A,TRUE,"GENERAL";"TAB3",#N/A,TRUE,"GENERAL";"TAB4",#N/A,TRUE,"GENERAL";"TAB5",#N/A,TRUE,"GENERAL"}</definedName>
    <definedName name="hhhhhho"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8" hidden="1">{"TAB1",#N/A,TRUE,"GENERAL";"TAB2",#N/A,TRUE,"GENERAL";"TAB3",#N/A,TRUE,"GENERAL";"TAB4",#N/A,TRUE,"GENERAL";"TAB5",#N/A,TRUE,"GENERAL"}</definedName>
    <definedName name="hhhhhpy" hidden="1">{"TAB1",#N/A,TRUE,"GENERAL";"TAB2",#N/A,TRUE,"GENERAL";"TAB3",#N/A,TRUE,"GENERAL";"TAB4",#N/A,TRUE,"GENERAL";"TAB5",#N/A,TRUE,"GENERAL"}</definedName>
    <definedName name="hhhhth" localSheetId="15" hidden="1">{"via1",#N/A,TRUE,"general";"via2",#N/A,TRUE,"general";"via3",#N/A,TRUE,"general"}</definedName>
    <definedName name="hhhhth" localSheetId="17" hidden="1">{"via1",#N/A,TRUE,"general";"via2",#N/A,TRUE,"general";"via3",#N/A,TRUE,"general"}</definedName>
    <definedName name="hhhhth" localSheetId="19" hidden="1">{"via1",#N/A,TRUE,"general";"via2",#N/A,TRUE,"general";"via3",#N/A,TRUE,"general"}</definedName>
    <definedName name="hhhhth" localSheetId="12"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4" hidden="1">{"via1",#N/A,TRUE,"general";"via2",#N/A,TRUE,"general";"via3",#N/A,TRUE,"general"}</definedName>
    <definedName name="hhhhth" localSheetId="1" hidden="1">{"via1",#N/A,TRUE,"general";"via2",#N/A,TRUE,"general";"via3",#N/A,TRUE,"general"}</definedName>
    <definedName name="hhhhth" localSheetId="14" hidden="1">{"via1",#N/A,TRUE,"general";"via2",#N/A,TRUE,"general";"via3",#N/A,TRUE,"general"}</definedName>
    <definedName name="hhhhth" localSheetId="16" hidden="1">{"via1",#N/A,TRUE,"general";"via2",#N/A,TRUE,"general";"via3",#N/A,TRUE,"general"}</definedName>
    <definedName name="hhhhth" localSheetId="18" hidden="1">{"via1",#N/A,TRUE,"general";"via2",#N/A,TRUE,"general";"via3",#N/A,TRUE,"general"}</definedName>
    <definedName name="hhhhth" hidden="1">{"via1",#N/A,TRUE,"general";"via2",#N/A,TRUE,"general";"via3",#N/A,TRUE,"general"}</definedName>
    <definedName name="hhhyhyh" localSheetId="15"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8" hidden="1">{"TAB1",#N/A,TRUE,"GENERAL";"TAB2",#N/A,TRUE,"GENERAL";"TAB3",#N/A,TRUE,"GENERAL";"TAB4",#N/A,TRUE,"GENERAL";"TAB5",#N/A,TRUE,"GENERAL"}</definedName>
    <definedName name="hhhyhyh" hidden="1">{"TAB1",#N/A,TRUE,"GENERAL";"TAB2",#N/A,TRUE,"GENERAL";"TAB3",#N/A,TRUE,"GENERAL";"TAB4",#N/A,TRUE,"GENERAL";"TAB5",#N/A,TRUE,"GENERAL"}</definedName>
    <definedName name="hhtrhreh" localSheetId="15" hidden="1">{"via1",#N/A,TRUE,"general";"via2",#N/A,TRUE,"general";"via3",#N/A,TRUE,"general"}</definedName>
    <definedName name="hhtrhreh" localSheetId="17" hidden="1">{"via1",#N/A,TRUE,"general";"via2",#N/A,TRUE,"general";"via3",#N/A,TRUE,"general"}</definedName>
    <definedName name="hhtrhreh" localSheetId="19" hidden="1">{"via1",#N/A,TRUE,"general";"via2",#N/A,TRUE,"general";"via3",#N/A,TRUE,"general"}</definedName>
    <definedName name="hhtrhreh" localSheetId="12"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4" hidden="1">{"via1",#N/A,TRUE,"general";"via2",#N/A,TRUE,"general";"via3",#N/A,TRUE,"general"}</definedName>
    <definedName name="hhtrhreh" localSheetId="1" hidden="1">{"via1",#N/A,TRUE,"general";"via2",#N/A,TRUE,"general";"via3",#N/A,TRUE,"general"}</definedName>
    <definedName name="hhtrhreh" localSheetId="14" hidden="1">{"via1",#N/A,TRUE,"general";"via2",#N/A,TRUE,"general";"via3",#N/A,TRUE,"general"}</definedName>
    <definedName name="hhtrhreh" localSheetId="16" hidden="1">{"via1",#N/A,TRUE,"general";"via2",#N/A,TRUE,"general";"via3",#N/A,TRUE,"general"}</definedName>
    <definedName name="hhtrhreh" localSheetId="18" hidden="1">{"via1",#N/A,TRUE,"general";"via2",#N/A,TRUE,"general";"via3",#N/A,TRUE,"general"}</definedName>
    <definedName name="hhtrhreh" hidden="1">{"via1",#N/A,TRUE,"general";"via2",#N/A,TRUE,"general";"via3",#N/A,TRUE,"general"}</definedName>
    <definedName name="hjfg" localSheetId="15" hidden="1">{"via1",#N/A,TRUE,"general";"via2",#N/A,TRUE,"general";"via3",#N/A,TRUE,"general"}</definedName>
    <definedName name="hjfg" localSheetId="17" hidden="1">{"via1",#N/A,TRUE,"general";"via2",#N/A,TRUE,"general";"via3",#N/A,TRUE,"general"}</definedName>
    <definedName name="hjfg" localSheetId="19" hidden="1">{"via1",#N/A,TRUE,"general";"via2",#N/A,TRUE,"general";"via3",#N/A,TRUE,"general"}</definedName>
    <definedName name="hjfg" localSheetId="12"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4" hidden="1">{"via1",#N/A,TRUE,"general";"via2",#N/A,TRUE,"general";"via3",#N/A,TRUE,"general"}</definedName>
    <definedName name="hjfg" localSheetId="1" hidden="1">{"via1",#N/A,TRUE,"general";"via2",#N/A,TRUE,"general";"via3",#N/A,TRUE,"general"}</definedName>
    <definedName name="hjfg" localSheetId="14" hidden="1">{"via1",#N/A,TRUE,"general";"via2",#N/A,TRUE,"general";"via3",#N/A,TRUE,"general"}</definedName>
    <definedName name="hjfg" localSheetId="16" hidden="1">{"via1",#N/A,TRUE,"general";"via2",#N/A,TRUE,"general";"via3",#N/A,TRUE,"general"}</definedName>
    <definedName name="hjfg" localSheetId="18" hidden="1">{"via1",#N/A,TRUE,"general";"via2",#N/A,TRUE,"general";"via3",#N/A,TRUE,"general"}</definedName>
    <definedName name="hjfg" hidden="1">{"via1",#N/A,TRUE,"general";"via2",#N/A,TRUE,"general";"via3",#N/A,TRUE,"general"}</definedName>
    <definedName name="hjgh" localSheetId="15" hidden="1">{"TAB1",#N/A,TRUE,"GENERAL";"TAB2",#N/A,TRUE,"GENERAL";"TAB3",#N/A,TRUE,"GENERAL";"TAB4",#N/A,TRUE,"GENERAL";"TAB5",#N/A,TRUE,"GENERAL"}</definedName>
    <definedName name="hjgh" localSheetId="17" hidden="1">{"TAB1",#N/A,TRUE,"GENERAL";"TAB2",#N/A,TRUE,"GENERAL";"TAB3",#N/A,TRUE,"GENERAL";"TAB4",#N/A,TRUE,"GENERAL";"TAB5",#N/A,TRUE,"GENERAL"}</definedName>
    <definedName name="hjgh" localSheetId="19" hidden="1">{"TAB1",#N/A,TRUE,"GENERAL";"TAB2",#N/A,TRUE,"GENERAL";"TAB3",#N/A,TRUE,"GENERAL";"TAB4",#N/A,TRUE,"GENERAL";"TAB5",#N/A,TRUE,"GENERAL"}</definedName>
    <definedName name="hjgh" localSheetId="12"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4" hidden="1">{"TAB1",#N/A,TRUE,"GENERAL";"TAB2",#N/A,TRUE,"GENERAL";"TAB3",#N/A,TRUE,"GENERAL";"TAB4",#N/A,TRUE,"GENERAL";"TAB5",#N/A,TRUE,"GENERAL"}</definedName>
    <definedName name="hjgh" localSheetId="1" hidden="1">{"TAB1",#N/A,TRUE,"GENERAL";"TAB2",#N/A,TRUE,"GENERAL";"TAB3",#N/A,TRUE,"GENERAL";"TAB4",#N/A,TRUE,"GENERAL";"TAB5",#N/A,TRUE,"GENERAL"}</definedName>
    <definedName name="hjgh" localSheetId="14" hidden="1">{"TAB1",#N/A,TRUE,"GENERAL";"TAB2",#N/A,TRUE,"GENERAL";"TAB3",#N/A,TRUE,"GENERAL";"TAB4",#N/A,TRUE,"GENERAL";"TAB5",#N/A,TRUE,"GENERAL"}</definedName>
    <definedName name="hjgh" localSheetId="16" hidden="1">{"TAB1",#N/A,TRUE,"GENERAL";"TAB2",#N/A,TRUE,"GENERAL";"TAB3",#N/A,TRUE,"GENERAL";"TAB4",#N/A,TRUE,"GENERAL";"TAB5",#N/A,TRUE,"GENERAL"}</definedName>
    <definedName name="hjgh" localSheetId="18" hidden="1">{"TAB1",#N/A,TRUE,"GENERAL";"TAB2",#N/A,TRUE,"GENERAL";"TAB3",#N/A,TRUE,"GENERAL";"TAB4",#N/A,TRUE,"GENERAL";"TAB5",#N/A,TRUE,"GENERAL"}</definedName>
    <definedName name="hjgh"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8" hidden="1">{"TAB1",#N/A,TRUE,"GENERAL";"TAB2",#N/A,TRUE,"GENERAL";"TAB3",#N/A,TRUE,"GENERAL";"TAB4",#N/A,TRUE,"GENERAL";"TAB5",#N/A,TRUE,"GENERAL"}</definedName>
    <definedName name="hjghj"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8" hidden="1">{"TAB1",#N/A,TRUE,"GENERAL";"TAB2",#N/A,TRUE,"GENERAL";"TAB3",#N/A,TRUE,"GENERAL";"TAB4",#N/A,TRUE,"GENERAL";"TAB5",#N/A,TRUE,"GENERAL"}</definedName>
    <definedName name="hjhjhg" hidden="1">{"TAB1",#N/A,TRUE,"GENERAL";"TAB2",#N/A,TRUE,"GENERAL";"TAB3",#N/A,TRUE,"GENERAL";"TAB4",#N/A,TRUE,"GENERAL";"TAB5",#N/A,TRUE,"GENERAL"}</definedName>
    <definedName name="HJKH" localSheetId="15" hidden="1">{"via1",#N/A,TRUE,"general";"via2",#N/A,TRUE,"general";"via3",#N/A,TRUE,"general"}</definedName>
    <definedName name="HJKH" localSheetId="17" hidden="1">{"via1",#N/A,TRUE,"general";"via2",#N/A,TRUE,"general";"via3",#N/A,TRUE,"general"}</definedName>
    <definedName name="HJKH" localSheetId="19" hidden="1">{"via1",#N/A,TRUE,"general";"via2",#N/A,TRUE,"general";"via3",#N/A,TRUE,"general"}</definedName>
    <definedName name="HJKH" localSheetId="12"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4" hidden="1">{"via1",#N/A,TRUE,"general";"via2",#N/A,TRUE,"general";"via3",#N/A,TRUE,"general"}</definedName>
    <definedName name="HJKH" localSheetId="1" hidden="1">{"via1",#N/A,TRUE,"general";"via2",#N/A,TRUE,"general";"via3",#N/A,TRUE,"general"}</definedName>
    <definedName name="HJKH" localSheetId="14" hidden="1">{"via1",#N/A,TRUE,"general";"via2",#N/A,TRUE,"general";"via3",#N/A,TRUE,"general"}</definedName>
    <definedName name="HJKH" localSheetId="16" hidden="1">{"via1",#N/A,TRUE,"general";"via2",#N/A,TRUE,"general";"via3",#N/A,TRUE,"general"}</definedName>
    <definedName name="HJKH" localSheetId="18" hidden="1">{"via1",#N/A,TRUE,"general";"via2",#N/A,TRUE,"general";"via3",#N/A,TRUE,"general"}</definedName>
    <definedName name="HJKH" hidden="1">{"via1",#N/A,TRUE,"general";"via2",#N/A,TRUE,"general";"via3",#N/A,TRUE,"general"}</definedName>
    <definedName name="hjkjk" localSheetId="15" hidden="1">{"via1",#N/A,TRUE,"general";"via2",#N/A,TRUE,"general";"via3",#N/A,TRUE,"general"}</definedName>
    <definedName name="hjkjk" localSheetId="17" hidden="1">{"via1",#N/A,TRUE,"general";"via2",#N/A,TRUE,"general";"via3",#N/A,TRUE,"general"}</definedName>
    <definedName name="hjkjk" localSheetId="19" hidden="1">{"via1",#N/A,TRUE,"general";"via2",#N/A,TRUE,"general";"via3",#N/A,TRUE,"general"}</definedName>
    <definedName name="hjkjk" localSheetId="12"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4" hidden="1">{"via1",#N/A,TRUE,"general";"via2",#N/A,TRUE,"general";"via3",#N/A,TRUE,"general"}</definedName>
    <definedName name="hjkjk" localSheetId="1" hidden="1">{"via1",#N/A,TRUE,"general";"via2",#N/A,TRUE,"general";"via3",#N/A,TRUE,"general"}</definedName>
    <definedName name="hjkjk" localSheetId="14" hidden="1">{"via1",#N/A,TRUE,"general";"via2",#N/A,TRUE,"general";"via3",#N/A,TRUE,"general"}</definedName>
    <definedName name="hjkjk" localSheetId="16" hidden="1">{"via1",#N/A,TRUE,"general";"via2",#N/A,TRUE,"general";"via3",#N/A,TRUE,"general"}</definedName>
    <definedName name="hjkjk" localSheetId="18" hidden="1">{"via1",#N/A,TRUE,"general";"via2",#N/A,TRUE,"general";"via3",#N/A,TRUE,"general"}</definedName>
    <definedName name="hjkjk" hidden="1">{"via1",#N/A,TRUE,"general";"via2",#N/A,TRUE,"general";"via3",#N/A,TRUE,"general"}</definedName>
    <definedName name="hn" localSheetId="15" hidden="1">{"TAB1",#N/A,TRUE,"GENERAL";"TAB2",#N/A,TRUE,"GENERAL";"TAB3",#N/A,TRUE,"GENERAL";"TAB4",#N/A,TRUE,"GENERAL";"TAB5",#N/A,TRUE,"GENERAL"}</definedName>
    <definedName name="hn" localSheetId="17" hidden="1">{"TAB1",#N/A,TRUE,"GENERAL";"TAB2",#N/A,TRUE,"GENERAL";"TAB3",#N/A,TRUE,"GENERAL";"TAB4",#N/A,TRUE,"GENERAL";"TAB5",#N/A,TRUE,"GENERAL"}</definedName>
    <definedName name="hn" localSheetId="19" hidden="1">{"TAB1",#N/A,TRUE,"GENERAL";"TAB2",#N/A,TRUE,"GENERAL";"TAB3",#N/A,TRUE,"GENERAL";"TAB4",#N/A,TRUE,"GENERAL";"TAB5",#N/A,TRUE,"GENERAL"}</definedName>
    <definedName name="hn" localSheetId="12"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4" hidden="1">{"TAB1",#N/A,TRUE,"GENERAL";"TAB2",#N/A,TRUE,"GENERAL";"TAB3",#N/A,TRUE,"GENERAL";"TAB4",#N/A,TRUE,"GENERAL";"TAB5",#N/A,TRUE,"GENERAL"}</definedName>
    <definedName name="hn" localSheetId="1" hidden="1">{"TAB1",#N/A,TRUE,"GENERAL";"TAB2",#N/A,TRUE,"GENERAL";"TAB3",#N/A,TRUE,"GENERAL";"TAB4",#N/A,TRUE,"GENERAL";"TAB5",#N/A,TRUE,"GENERAL"}</definedName>
    <definedName name="hn" localSheetId="14" hidden="1">{"TAB1",#N/A,TRUE,"GENERAL";"TAB2",#N/A,TRUE,"GENERAL";"TAB3",#N/A,TRUE,"GENERAL";"TAB4",#N/A,TRUE,"GENERAL";"TAB5",#N/A,TRUE,"GENERAL"}</definedName>
    <definedName name="hn" localSheetId="16" hidden="1">{"TAB1",#N/A,TRUE,"GENERAL";"TAB2",#N/A,TRUE,"GENERAL";"TAB3",#N/A,TRUE,"GENERAL";"TAB4",#N/A,TRUE,"GENERAL";"TAB5",#N/A,TRUE,"GENERAL"}</definedName>
    <definedName name="hn" localSheetId="18" hidden="1">{"TAB1",#N/A,TRUE,"GENERAL";"TAB2",#N/A,TRUE,"GENERAL";"TAB3",#N/A,TRUE,"GENERAL";"TAB4",#N/A,TRUE,"GENERAL";"TAB5",#N/A,TRUE,"GENERAL"}</definedName>
    <definedName name="hn" hidden="1">{"TAB1",#N/A,TRUE,"GENERAL";"TAB2",#N/A,TRUE,"GENERAL";"TAB3",#N/A,TRUE,"GENERAL";"TAB4",#N/A,TRUE,"GENERAL";"TAB5",#N/A,TRUE,"GENERAL"}</definedName>
    <definedName name="hoha" localSheetId="15" hidden="1">{"PYGT",#N/A,FALSE,"PYG";"ACTIT",#N/A,FALSE,"BCE_GRAL-ACTIVO";"PASIT",#N/A,FALSE,"BCE_GRAL-PASIVO-PATRIM";"CAJAT",#N/A,FALSE,"CAJA"}</definedName>
    <definedName name="hoha" localSheetId="17" hidden="1">{"PYGT",#N/A,FALSE,"PYG";"ACTIT",#N/A,FALSE,"BCE_GRAL-ACTIVO";"PASIT",#N/A,FALSE,"BCE_GRAL-PASIVO-PATRIM";"CAJAT",#N/A,FALSE,"CAJA"}</definedName>
    <definedName name="hoha" localSheetId="19" hidden="1">{"PYGT",#N/A,FALSE,"PYG";"ACTIT",#N/A,FALSE,"BCE_GRAL-ACTIVO";"PASIT",#N/A,FALSE,"BCE_GRAL-PASIVO-PATRIM";"CAJAT",#N/A,FALSE,"CAJA"}</definedName>
    <definedName name="hoha" localSheetId="11" hidden="1">{"PYGT",#N/A,FALSE,"PYG";"ACTIT",#N/A,FALSE,"BCE_GRAL-ACTIVO";"PASIT",#N/A,FALSE,"BCE_GRAL-PASIVO-PATRIM";"CAJAT",#N/A,FALSE,"CAJA"}</definedName>
    <definedName name="hoha" localSheetId="14" hidden="1">{"PYGT",#N/A,FALSE,"PYG";"ACTIT",#N/A,FALSE,"BCE_GRAL-ACTIVO";"PASIT",#N/A,FALSE,"BCE_GRAL-PASIVO-PATRIM";"CAJAT",#N/A,FALSE,"CAJA"}</definedName>
    <definedName name="hoha" localSheetId="16" hidden="1">{"PYGT",#N/A,FALSE,"PYG";"ACTIT",#N/A,FALSE,"BCE_GRAL-ACTIVO";"PASIT",#N/A,FALSE,"BCE_GRAL-PASIVO-PATRIM";"CAJAT",#N/A,FALSE,"CAJA"}</definedName>
    <definedName name="hoha" localSheetId="18" hidden="1">{"PYGT",#N/A,FALSE,"PYG";"ACTIT",#N/A,FALSE,"BCE_GRAL-ACTIVO";"PASIT",#N/A,FALSE,"BCE_GRAL-PASIVO-PATRIM";"CAJAT",#N/A,FALSE,"CAJA"}</definedName>
    <definedName name="hoha" hidden="1">{"PYGT",#N/A,FALSE,"PYG";"ACTIT",#N/A,FALSE,"BCE_GRAL-ACTIVO";"PASIT",#N/A,FALSE,"BCE_GRAL-PASIVO-PATRIM";"CAJAT",#N/A,FALSE,"CAJA"}</definedName>
    <definedName name="hreer" localSheetId="15"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4" hidden="1">{"TAB1",#N/A,TRUE,"GENERAL";"TAB2",#N/A,TRUE,"GENERAL";"TAB3",#N/A,TRUE,"GENERAL";"TAB4",#N/A,TRUE,"GENERAL";"TAB5",#N/A,TRUE,"GENERAL"}</definedName>
    <definedName name="hreer" localSheetId="1"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8" hidden="1">{"TAB1",#N/A,TRUE,"GENERAL";"TAB2",#N/A,TRUE,"GENERAL";"TAB3",#N/A,TRUE,"GENERAL";"TAB4",#N/A,TRUE,"GENERAL";"TAB5",#N/A,TRUE,"GENERAL"}</definedName>
    <definedName name="hreer"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8" hidden="1">{"TAB1",#N/A,TRUE,"GENERAL";"TAB2",#N/A,TRUE,"GENERAL";"TAB3",#N/A,TRUE,"GENERAL";"TAB4",#N/A,TRUE,"GENERAL";"TAB5",#N/A,TRUE,"GENERAL"}</definedName>
    <definedName name="hrhth"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8" hidden="1">{"TAB1",#N/A,TRUE,"GENERAL";"TAB2",#N/A,TRUE,"GENERAL";"TAB3",#N/A,TRUE,"GENERAL";"TAB4",#N/A,TRUE,"GENERAL";"TAB5",#N/A,TRUE,"GENERAL"}</definedName>
    <definedName name="hrthtrh" hidden="1">{"TAB1",#N/A,TRUE,"GENERAL";"TAB2",#N/A,TRUE,"GENERAL";"TAB3",#N/A,TRUE,"GENERAL";"TAB4",#N/A,TRUE,"GENERAL";"TAB5",#N/A,TRUE,"GENERAL"}</definedName>
    <definedName name="hsfg" localSheetId="15" hidden="1">{"via1",#N/A,TRUE,"general";"via2",#N/A,TRUE,"general";"via3",#N/A,TRUE,"general"}</definedName>
    <definedName name="hsfg" localSheetId="17" hidden="1">{"via1",#N/A,TRUE,"general";"via2",#N/A,TRUE,"general";"via3",#N/A,TRUE,"general"}</definedName>
    <definedName name="hsfg" localSheetId="19" hidden="1">{"via1",#N/A,TRUE,"general";"via2",#N/A,TRUE,"general";"via3",#N/A,TRUE,"general"}</definedName>
    <definedName name="hsfg" localSheetId="12"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4" hidden="1">{"via1",#N/A,TRUE,"general";"via2",#N/A,TRUE,"general";"via3",#N/A,TRUE,"general"}</definedName>
    <definedName name="hsfg" localSheetId="1" hidden="1">{"via1",#N/A,TRUE,"general";"via2",#N/A,TRUE,"general";"via3",#N/A,TRUE,"general"}</definedName>
    <definedName name="hsfg" localSheetId="14" hidden="1">{"via1",#N/A,TRUE,"general";"via2",#N/A,TRUE,"general";"via3",#N/A,TRUE,"general"}</definedName>
    <definedName name="hsfg" localSheetId="16" hidden="1">{"via1",#N/A,TRUE,"general";"via2",#N/A,TRUE,"general";"via3",#N/A,TRUE,"general"}</definedName>
    <definedName name="hsfg" localSheetId="18" hidden="1">{"via1",#N/A,TRUE,"general";"via2",#N/A,TRUE,"general";"via3",#N/A,TRUE,"general"}</definedName>
    <definedName name="hsfg" hidden="1">{"via1",#N/A,TRUE,"general";"via2",#N/A,TRUE,"general";"via3",#N/A,TRUE,"general"}</definedName>
    <definedName name="hthdrf" localSheetId="15"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8"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5" hidden="1">{"'PACÍFICO12'!$A$1:$E$6"}</definedName>
    <definedName name="HTML_Control" localSheetId="17" hidden="1">{"'PACÍFICO12'!$A$1:$E$6"}</definedName>
    <definedName name="HTML_Control" localSheetId="19" hidden="1">{"'PACÍFICO12'!$A$1:$E$6"}</definedName>
    <definedName name="HTML_Control" localSheetId="11" hidden="1">{"'PACÍFICO12'!$A$1:$E$6"}</definedName>
    <definedName name="HTML_Control" localSheetId="14" hidden="1">{"'PACÍFICO12'!$A$1:$E$6"}</definedName>
    <definedName name="HTML_Control" localSheetId="16" hidden="1">{"'PACÍFICO12'!$A$1:$E$6"}</definedName>
    <definedName name="HTML_Control" localSheetId="18"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5" hidden="1">{"via1",#N/A,TRUE,"general";"via2",#N/A,TRUE,"general";"via3",#N/A,TRUE,"general"}</definedName>
    <definedName name="htryrt7" localSheetId="17" hidden="1">{"via1",#N/A,TRUE,"general";"via2",#N/A,TRUE,"general";"via3",#N/A,TRUE,"general"}</definedName>
    <definedName name="htryrt7" localSheetId="19" hidden="1">{"via1",#N/A,TRUE,"general";"via2",#N/A,TRUE,"general";"via3",#N/A,TRUE,"general"}</definedName>
    <definedName name="htryrt7" localSheetId="12"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4" hidden="1">{"via1",#N/A,TRUE,"general";"via2",#N/A,TRUE,"general";"via3",#N/A,TRUE,"general"}</definedName>
    <definedName name="htryrt7" localSheetId="1" hidden="1">{"via1",#N/A,TRUE,"general";"via2",#N/A,TRUE,"general";"via3",#N/A,TRUE,"general"}</definedName>
    <definedName name="htryrt7" localSheetId="14" hidden="1">{"via1",#N/A,TRUE,"general";"via2",#N/A,TRUE,"general";"via3",#N/A,TRUE,"general"}</definedName>
    <definedName name="htryrt7" localSheetId="16" hidden="1">{"via1",#N/A,TRUE,"general";"via2",#N/A,TRUE,"general";"via3",#N/A,TRUE,"general"}</definedName>
    <definedName name="htryrt7" localSheetId="18" hidden="1">{"via1",#N/A,TRUE,"general";"via2",#N/A,TRUE,"general";"via3",#N/A,TRUE,"general"}</definedName>
    <definedName name="htryrt7" hidden="1">{"via1",#N/A,TRUE,"general";"via2",#N/A,TRUE,"general";"via3",#N/A,TRUE,"general"}</definedName>
    <definedName name="hyhjop" localSheetId="15"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8" hidden="1">{"TAB1",#N/A,TRUE,"GENERAL";"TAB2",#N/A,TRUE,"GENERAL";"TAB3",#N/A,TRUE,"GENERAL";"TAB4",#N/A,TRUE,"GENERAL";"TAB5",#N/A,TRUE,"GENERAL"}</definedName>
    <definedName name="hyhjop"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8" hidden="1">{"TAB1",#N/A,TRUE,"GENERAL";"TAB2",#N/A,TRUE,"GENERAL";"TAB3",#N/A,TRUE,"GENERAL";"TAB4",#N/A,TRUE,"GENERAL";"TAB5",#N/A,TRUE,"GENERAL"}</definedName>
    <definedName name="hyhyh" hidden="1">{"TAB1",#N/A,TRUE,"GENERAL";"TAB2",#N/A,TRUE,"GENERAL";"TAB3",#N/A,TRUE,"GENERAL";"TAB4",#N/A,TRUE,"GENERAL";"TAB5",#N/A,TRUE,"GENERAL"}</definedName>
    <definedName name="hytirs" localSheetId="15" hidden="1">{"via1",#N/A,TRUE,"general";"via2",#N/A,TRUE,"general";"via3",#N/A,TRUE,"general"}</definedName>
    <definedName name="hytirs" localSheetId="17" hidden="1">{"via1",#N/A,TRUE,"general";"via2",#N/A,TRUE,"general";"via3",#N/A,TRUE,"general"}</definedName>
    <definedName name="hytirs" localSheetId="19" hidden="1">{"via1",#N/A,TRUE,"general";"via2",#N/A,TRUE,"general";"via3",#N/A,TRUE,"general"}</definedName>
    <definedName name="hytirs" localSheetId="12"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4" hidden="1">{"via1",#N/A,TRUE,"general";"via2",#N/A,TRUE,"general";"via3",#N/A,TRUE,"general"}</definedName>
    <definedName name="hytirs" localSheetId="1" hidden="1">{"via1",#N/A,TRUE,"general";"via2",#N/A,TRUE,"general";"via3",#N/A,TRUE,"general"}</definedName>
    <definedName name="hytirs" localSheetId="14" hidden="1">{"via1",#N/A,TRUE,"general";"via2",#N/A,TRUE,"general";"via3",#N/A,TRUE,"general"}</definedName>
    <definedName name="hytirs" localSheetId="16" hidden="1">{"via1",#N/A,TRUE,"general";"via2",#N/A,TRUE,"general";"via3",#N/A,TRUE,"general"}</definedName>
    <definedName name="hytirs" localSheetId="18" hidden="1">{"via1",#N/A,TRUE,"general";"via2",#N/A,TRUE,"general";"via3",#N/A,TRUE,"general"}</definedName>
    <definedName name="hytirs" hidden="1">{"via1",#N/A,TRUE,"general";"via2",#N/A,TRUE,"general";"via3",#N/A,TRUE,"general"}</definedName>
    <definedName name="i8i" localSheetId="15" hidden="1">{"TAB1",#N/A,TRUE,"GENERAL";"TAB2",#N/A,TRUE,"GENERAL";"TAB3",#N/A,TRUE,"GENERAL";"TAB4",#N/A,TRUE,"GENERAL";"TAB5",#N/A,TRUE,"GENERAL"}</definedName>
    <definedName name="i8i" localSheetId="17" hidden="1">{"TAB1",#N/A,TRUE,"GENERAL";"TAB2",#N/A,TRUE,"GENERAL";"TAB3",#N/A,TRUE,"GENERAL";"TAB4",#N/A,TRUE,"GENERAL";"TAB5",#N/A,TRUE,"GENERAL"}</definedName>
    <definedName name="i8i" localSheetId="19" hidden="1">{"TAB1",#N/A,TRUE,"GENERAL";"TAB2",#N/A,TRUE,"GENERAL";"TAB3",#N/A,TRUE,"GENERAL";"TAB4",#N/A,TRUE,"GENERAL";"TAB5",#N/A,TRUE,"GENERAL"}</definedName>
    <definedName name="i8i" localSheetId="12"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4" hidden="1">{"TAB1",#N/A,TRUE,"GENERAL";"TAB2",#N/A,TRUE,"GENERAL";"TAB3",#N/A,TRUE,"GENERAL";"TAB4",#N/A,TRUE,"GENERAL";"TAB5",#N/A,TRUE,"GENERAL"}</definedName>
    <definedName name="i8i" localSheetId="1" hidden="1">{"TAB1",#N/A,TRUE,"GENERAL";"TAB2",#N/A,TRUE,"GENERAL";"TAB3",#N/A,TRUE,"GENERAL";"TAB4",#N/A,TRUE,"GENERAL";"TAB5",#N/A,TRUE,"GENERAL"}</definedName>
    <definedName name="i8i" localSheetId="14" hidden="1">{"TAB1",#N/A,TRUE,"GENERAL";"TAB2",#N/A,TRUE,"GENERAL";"TAB3",#N/A,TRUE,"GENERAL";"TAB4",#N/A,TRUE,"GENERAL";"TAB5",#N/A,TRUE,"GENERAL"}</definedName>
    <definedName name="i8i" localSheetId="16" hidden="1">{"TAB1",#N/A,TRUE,"GENERAL";"TAB2",#N/A,TRUE,"GENERAL";"TAB3",#N/A,TRUE,"GENERAL";"TAB4",#N/A,TRUE,"GENERAL";"TAB5",#N/A,TRUE,"GENERAL"}</definedName>
    <definedName name="i8i" localSheetId="18" hidden="1">{"TAB1",#N/A,TRUE,"GENERAL";"TAB2",#N/A,TRUE,"GENERAL";"TAB3",#N/A,TRUE,"GENERAL";"TAB4",#N/A,TRUE,"GENERAL";"TAB5",#N/A,TRUE,"GENERAL"}</definedName>
    <definedName name="i8i" hidden="1">{"TAB1",#N/A,TRUE,"GENERAL";"TAB2",#N/A,TRUE,"GENERAL";"TAB3",#N/A,TRUE,"GENERAL";"TAB4",#N/A,TRUE,"GENERAL";"TAB5",#N/A,TRUE,"GENERAL"}</definedName>
    <definedName name="ii" localSheetId="15" hidden="1">{"TAB1",#N/A,TRUE,"GENERAL";"TAB2",#N/A,TRUE,"GENERAL";"TAB3",#N/A,TRUE,"GENERAL";"TAB4",#N/A,TRUE,"GENERAL";"TAB5",#N/A,TRUE,"GENERAL"}</definedName>
    <definedName name="ii" localSheetId="17" hidden="1">{"TAB1",#N/A,TRUE,"GENERAL";"TAB2",#N/A,TRUE,"GENERAL";"TAB3",#N/A,TRUE,"GENERAL";"TAB4",#N/A,TRUE,"GENERAL";"TAB5",#N/A,TRUE,"GENERAL"}</definedName>
    <definedName name="ii" localSheetId="19" hidden="1">{"TAB1",#N/A,TRUE,"GENERAL";"TAB2",#N/A,TRUE,"GENERAL";"TAB3",#N/A,TRUE,"GENERAL";"TAB4",#N/A,TRUE,"GENERAL";"TAB5",#N/A,TRUE,"GENERAL"}</definedName>
    <definedName name="ii" localSheetId="12"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4" hidden="1">{"TAB1",#N/A,TRUE,"GENERAL";"TAB2",#N/A,TRUE,"GENERAL";"TAB3",#N/A,TRUE,"GENERAL";"TAB4",#N/A,TRUE,"GENERAL";"TAB5",#N/A,TRUE,"GENERAL"}</definedName>
    <definedName name="ii" localSheetId="1" hidden="1">{"TAB1",#N/A,TRUE,"GENERAL";"TAB2",#N/A,TRUE,"GENERAL";"TAB3",#N/A,TRUE,"GENERAL";"TAB4",#N/A,TRUE,"GENERAL";"TAB5",#N/A,TRUE,"GENERAL"}</definedName>
    <definedName name="ii" localSheetId="14" hidden="1">{"TAB1",#N/A,TRUE,"GENERAL";"TAB2",#N/A,TRUE,"GENERAL";"TAB3",#N/A,TRUE,"GENERAL";"TAB4",#N/A,TRUE,"GENERAL";"TAB5",#N/A,TRUE,"GENERAL"}</definedName>
    <definedName name="ii" localSheetId="16" hidden="1">{"TAB1",#N/A,TRUE,"GENERAL";"TAB2",#N/A,TRUE,"GENERAL";"TAB3",#N/A,TRUE,"GENERAL";"TAB4",#N/A,TRUE,"GENERAL";"TAB5",#N/A,TRUE,"GENERAL"}</definedName>
    <definedName name="ii" localSheetId="18" hidden="1">{"TAB1",#N/A,TRUE,"GENERAL";"TAB2",#N/A,TRUE,"GENERAL";"TAB3",#N/A,TRUE,"GENERAL";"TAB4",#N/A,TRUE,"GENERAL";"TAB5",#N/A,TRUE,"GENERAL"}</definedName>
    <definedName name="ii" hidden="1">{"TAB1",#N/A,TRUE,"GENERAL";"TAB2",#N/A,TRUE,"GENERAL";"TAB3",#N/A,TRUE,"GENERAL";"TAB4",#N/A,TRUE,"GENERAL";"TAB5",#N/A,TRUE,"GENERAL"}</definedName>
    <definedName name="iii" localSheetId="15" hidden="1">{"via1",#N/A,TRUE,"general";"via2",#N/A,TRUE,"general";"via3",#N/A,TRUE,"general"}</definedName>
    <definedName name="iii" localSheetId="17" hidden="1">{"via1",#N/A,TRUE,"general";"via2",#N/A,TRUE,"general";"via3",#N/A,TRUE,"general"}</definedName>
    <definedName name="iii" localSheetId="19" hidden="1">{"via1",#N/A,TRUE,"general";"via2",#N/A,TRUE,"general";"via3",#N/A,TRUE,"general"}</definedName>
    <definedName name="iii" localSheetId="12"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4" hidden="1">{"via1",#N/A,TRUE,"general";"via2",#N/A,TRUE,"general";"via3",#N/A,TRUE,"general"}</definedName>
    <definedName name="iii" localSheetId="1" hidden="1">{"via1",#N/A,TRUE,"general";"via2",#N/A,TRUE,"general";"via3",#N/A,TRUE,"general"}</definedName>
    <definedName name="iii" localSheetId="14" hidden="1">{"via1",#N/A,TRUE,"general";"via2",#N/A,TRUE,"general";"via3",#N/A,TRUE,"general"}</definedName>
    <definedName name="iii" localSheetId="16" hidden="1">{"via1",#N/A,TRUE,"general";"via2",#N/A,TRUE,"general";"via3",#N/A,TRUE,"general"}</definedName>
    <definedName name="iii" localSheetId="18" hidden="1">{"via1",#N/A,TRUE,"general";"via2",#N/A,TRUE,"general";"via3",#N/A,TRUE,"general"}</definedName>
    <definedName name="iii" hidden="1">{"via1",#N/A,TRUE,"general";"via2",#N/A,TRUE,"general";"via3",#N/A,TRUE,"general"}</definedName>
    <definedName name="iiii" localSheetId="15" hidden="1">{"via1",#N/A,TRUE,"general";"via2",#N/A,TRUE,"general";"via3",#N/A,TRUE,"general"}</definedName>
    <definedName name="iiii" localSheetId="17" hidden="1">{"via1",#N/A,TRUE,"general";"via2",#N/A,TRUE,"general";"via3",#N/A,TRUE,"general"}</definedName>
    <definedName name="iiii" localSheetId="19" hidden="1">{"via1",#N/A,TRUE,"general";"via2",#N/A,TRUE,"general";"via3",#N/A,TRUE,"general"}</definedName>
    <definedName name="iiii" localSheetId="12"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4" hidden="1">{"via1",#N/A,TRUE,"general";"via2",#N/A,TRUE,"general";"via3",#N/A,TRUE,"general"}</definedName>
    <definedName name="iiii" localSheetId="1" hidden="1">{"via1",#N/A,TRUE,"general";"via2",#N/A,TRUE,"general";"via3",#N/A,TRUE,"general"}</definedName>
    <definedName name="iiii" localSheetId="14" hidden="1">{"via1",#N/A,TRUE,"general";"via2",#N/A,TRUE,"general";"via3",#N/A,TRUE,"general"}</definedName>
    <definedName name="iiii" localSheetId="16" hidden="1">{"via1",#N/A,TRUE,"general";"via2",#N/A,TRUE,"general";"via3",#N/A,TRUE,"general"}</definedName>
    <definedName name="iiii" localSheetId="18" hidden="1">{"via1",#N/A,TRUE,"general";"via2",#N/A,TRUE,"general";"via3",#N/A,TRUE,"general"}</definedName>
    <definedName name="iiii" hidden="1">{"via1",#N/A,TRUE,"general";"via2",#N/A,TRUE,"general";"via3",#N/A,TRUE,"general"}</definedName>
    <definedName name="iiiiiiik" localSheetId="15" hidden="1">{"via1",#N/A,TRUE,"general";"via2",#N/A,TRUE,"general";"via3",#N/A,TRUE,"general"}</definedName>
    <definedName name="iiiiiiik" localSheetId="17" hidden="1">{"via1",#N/A,TRUE,"general";"via2",#N/A,TRUE,"general";"via3",#N/A,TRUE,"general"}</definedName>
    <definedName name="iiiiiiik" localSheetId="19" hidden="1">{"via1",#N/A,TRUE,"general";"via2",#N/A,TRUE,"general";"via3",#N/A,TRUE,"general"}</definedName>
    <definedName name="iiiiiiik" localSheetId="12"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4" hidden="1">{"via1",#N/A,TRUE,"general";"via2",#N/A,TRUE,"general";"via3",#N/A,TRUE,"general"}</definedName>
    <definedName name="iiiiiiik" localSheetId="1" hidden="1">{"via1",#N/A,TRUE,"general";"via2",#N/A,TRUE,"general";"via3",#N/A,TRUE,"general"}</definedName>
    <definedName name="iiiiiiik" localSheetId="14" hidden="1">{"via1",#N/A,TRUE,"general";"via2",#N/A,TRUE,"general";"via3",#N/A,TRUE,"general"}</definedName>
    <definedName name="iiiiiiik" localSheetId="16" hidden="1">{"via1",#N/A,TRUE,"general";"via2",#N/A,TRUE,"general";"via3",#N/A,TRUE,"general"}</definedName>
    <definedName name="iiiiiiik" localSheetId="18" hidden="1">{"via1",#N/A,TRUE,"general";"via2",#N/A,TRUE,"general";"via3",#N/A,TRUE,"general"}</definedName>
    <definedName name="iiiiiiik" hidden="1">{"via1",#N/A,TRUE,"general";"via2",#N/A,TRUE,"general";"via3",#N/A,TRUE,"general"}</definedName>
    <definedName name="iiiiuh" localSheetId="15"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8" hidden="1">{"TAB1",#N/A,TRUE,"GENERAL";"TAB2",#N/A,TRUE,"GENERAL";"TAB3",#N/A,TRUE,"GENERAL";"TAB4",#N/A,TRUE,"GENERAL";"TAB5",#N/A,TRUE,"GENERAL"}</definedName>
    <definedName name="iiiiuh"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8"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TERVENTORIA" localSheetId="11" hidden="1">#REF!</definedName>
    <definedName name="INTERVENTORIA" hidden="1">#REF!</definedName>
    <definedName name="irng" localSheetId="8" hidden="1">#REF!</definedName>
    <definedName name="irng" localSheetId="9" hidden="1">#REF!</definedName>
    <definedName name="irng" localSheetId="7" hidden="1">#REF!</definedName>
    <definedName name="irng" localSheetId="10" hidden="1">#REF!</definedName>
    <definedName name="irng" localSheetId="1" hidden="1">#REF!</definedName>
    <definedName name="irng" hidden="1">#REF!</definedName>
    <definedName name="IUI" localSheetId="15" hidden="1">{"TAB1",#N/A,TRUE,"GENERAL";"TAB2",#N/A,TRUE,"GENERAL";"TAB3",#N/A,TRUE,"GENERAL";"TAB4",#N/A,TRUE,"GENERAL";"TAB5",#N/A,TRUE,"GENERAL"}</definedName>
    <definedName name="IUI" localSheetId="17" hidden="1">{"TAB1",#N/A,TRUE,"GENERAL";"TAB2",#N/A,TRUE,"GENERAL";"TAB3",#N/A,TRUE,"GENERAL";"TAB4",#N/A,TRUE,"GENERAL";"TAB5",#N/A,TRUE,"GENERAL"}</definedName>
    <definedName name="IUI" localSheetId="19" hidden="1">{"TAB1",#N/A,TRUE,"GENERAL";"TAB2",#N/A,TRUE,"GENERAL";"TAB3",#N/A,TRUE,"GENERAL";"TAB4",#N/A,TRUE,"GENERAL";"TAB5",#N/A,TRUE,"GENERAL"}</definedName>
    <definedName name="IUI" localSheetId="12"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4" hidden="1">{"TAB1",#N/A,TRUE,"GENERAL";"TAB2",#N/A,TRUE,"GENERAL";"TAB3",#N/A,TRUE,"GENERAL";"TAB4",#N/A,TRUE,"GENERAL";"TAB5",#N/A,TRUE,"GENERAL"}</definedName>
    <definedName name="IUI" localSheetId="1" hidden="1">{"TAB1",#N/A,TRUE,"GENERAL";"TAB2",#N/A,TRUE,"GENERAL";"TAB3",#N/A,TRUE,"GENERAL";"TAB4",#N/A,TRUE,"GENERAL";"TAB5",#N/A,TRUE,"GENERAL"}</definedName>
    <definedName name="IUI" localSheetId="14" hidden="1">{"TAB1",#N/A,TRUE,"GENERAL";"TAB2",#N/A,TRUE,"GENERAL";"TAB3",#N/A,TRUE,"GENERAL";"TAB4",#N/A,TRUE,"GENERAL";"TAB5",#N/A,TRUE,"GENERAL"}</definedName>
    <definedName name="IUI" localSheetId="16" hidden="1">{"TAB1",#N/A,TRUE,"GENERAL";"TAB2",#N/A,TRUE,"GENERAL";"TAB3",#N/A,TRUE,"GENERAL";"TAB4",#N/A,TRUE,"GENERAL";"TAB5",#N/A,TRUE,"GENERAL"}</definedName>
    <definedName name="IUI" localSheetId="18" hidden="1">{"TAB1",#N/A,TRUE,"GENERAL";"TAB2",#N/A,TRUE,"GENERAL";"TAB3",#N/A,TRUE,"GENERAL";"TAB4",#N/A,TRUE,"GENERAL";"TAB5",#N/A,TRUE,"GENERAL"}</definedName>
    <definedName name="IUI"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8" hidden="1">{"TAB1",#N/A,TRUE,"GENERAL";"TAB2",#N/A,TRUE,"GENERAL";"TAB3",#N/A,TRUE,"GENERAL";"TAB4",#N/A,TRUE,"GENERAL";"TAB5",#N/A,TRUE,"GENERAL"}</definedName>
    <definedName name="iuit7" hidden="1">{"TAB1",#N/A,TRUE,"GENERAL";"TAB2",#N/A,TRUE,"GENERAL";"TAB3",#N/A,TRUE,"GENERAL";"TAB4",#N/A,TRUE,"GENERAL";"TAB5",#N/A,TRUE,"GENERAL"}</definedName>
    <definedName name="iul" localSheetId="15" hidden="1">{"via1",#N/A,TRUE,"general";"via2",#N/A,TRUE,"general";"via3",#N/A,TRUE,"general"}</definedName>
    <definedName name="iul" localSheetId="17" hidden="1">{"via1",#N/A,TRUE,"general";"via2",#N/A,TRUE,"general";"via3",#N/A,TRUE,"general"}</definedName>
    <definedName name="iul" localSheetId="19" hidden="1">{"via1",#N/A,TRUE,"general";"via2",#N/A,TRUE,"general";"via3",#N/A,TRUE,"general"}</definedName>
    <definedName name="iul" localSheetId="12"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4" hidden="1">{"via1",#N/A,TRUE,"general";"via2",#N/A,TRUE,"general";"via3",#N/A,TRUE,"general"}</definedName>
    <definedName name="iul" localSheetId="1" hidden="1">{"via1",#N/A,TRUE,"general";"via2",#N/A,TRUE,"general";"via3",#N/A,TRUE,"general"}</definedName>
    <definedName name="iul" localSheetId="14" hidden="1">{"via1",#N/A,TRUE,"general";"via2",#N/A,TRUE,"general";"via3",#N/A,TRUE,"general"}</definedName>
    <definedName name="iul" localSheetId="16" hidden="1">{"via1",#N/A,TRUE,"general";"via2",#N/A,TRUE,"general";"via3",#N/A,TRUE,"general"}</definedName>
    <definedName name="iul" localSheetId="18" hidden="1">{"via1",#N/A,TRUE,"general";"via2",#N/A,TRUE,"general";"via3",#N/A,TRUE,"general"}</definedName>
    <definedName name="iul" hidden="1">{"via1",#N/A,TRUE,"general";"via2",#N/A,TRUE,"general";"via3",#N/A,TRUE,"general"}</definedName>
    <definedName name="iuouio" localSheetId="15" hidden="1">{"via1",#N/A,TRUE,"general";"via2",#N/A,TRUE,"general";"via3",#N/A,TRUE,"general"}</definedName>
    <definedName name="iuouio" localSheetId="17" hidden="1">{"via1",#N/A,TRUE,"general";"via2",#N/A,TRUE,"general";"via3",#N/A,TRUE,"general"}</definedName>
    <definedName name="iuouio" localSheetId="19" hidden="1">{"via1",#N/A,TRUE,"general";"via2",#N/A,TRUE,"general";"via3",#N/A,TRUE,"general"}</definedName>
    <definedName name="iuouio" localSheetId="12"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4" hidden="1">{"via1",#N/A,TRUE,"general";"via2",#N/A,TRUE,"general";"via3",#N/A,TRUE,"general"}</definedName>
    <definedName name="iuouio" localSheetId="1" hidden="1">{"via1",#N/A,TRUE,"general";"via2",#N/A,TRUE,"general";"via3",#N/A,TRUE,"general"}</definedName>
    <definedName name="iuouio" localSheetId="14" hidden="1">{"via1",#N/A,TRUE,"general";"via2",#N/A,TRUE,"general";"via3",#N/A,TRUE,"general"}</definedName>
    <definedName name="iuouio" localSheetId="16" hidden="1">{"via1",#N/A,TRUE,"general";"via2",#N/A,TRUE,"general";"via3",#N/A,TRUE,"general"}</definedName>
    <definedName name="iuouio" localSheetId="18" hidden="1">{"via1",#N/A,TRUE,"general";"via2",#N/A,TRUE,"general";"via3",#N/A,TRUE,"general"}</definedName>
    <definedName name="iuouio" hidden="1">{"via1",#N/A,TRUE,"general";"via2",#N/A,TRUE,"general";"via3",#N/A,TRUE,"general"}</definedName>
    <definedName name="iuyi9" localSheetId="15"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4" hidden="1">{"TAB1",#N/A,TRUE,"GENERAL";"TAB2",#N/A,TRUE,"GENERAL";"TAB3",#N/A,TRUE,"GENERAL";"TAB4",#N/A,TRUE,"GENERAL";"TAB5",#N/A,TRUE,"GENERAL"}</definedName>
    <definedName name="iuyi9" localSheetId="1"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8" hidden="1">{"TAB1",#N/A,TRUE,"GENERAL";"TAB2",#N/A,TRUE,"GENERAL";"TAB3",#N/A,TRUE,"GENERAL";"TAB4",#N/A,TRUE,"GENERAL";"TAB5",#N/A,TRUE,"GENERAL"}</definedName>
    <definedName name="iuyi9" hidden="1">{"TAB1",#N/A,TRUE,"GENERAL";"TAB2",#N/A,TRUE,"GENERAL";"TAB3",#N/A,TRUE,"GENERAL";"TAB4",#N/A,TRUE,"GENERAL";"TAB5",#N/A,TRUE,"GENERAL"}</definedName>
    <definedName name="iyuiuyi" localSheetId="15" hidden="1">{"via1",#N/A,TRUE,"general";"via2",#N/A,TRUE,"general";"via3",#N/A,TRUE,"general"}</definedName>
    <definedName name="iyuiuyi" localSheetId="17" hidden="1">{"via1",#N/A,TRUE,"general";"via2",#N/A,TRUE,"general";"via3",#N/A,TRUE,"general"}</definedName>
    <definedName name="iyuiuyi" localSheetId="19" hidden="1">{"via1",#N/A,TRUE,"general";"via2",#N/A,TRUE,"general";"via3",#N/A,TRUE,"general"}</definedName>
    <definedName name="iyuiuyi" localSheetId="12"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4" hidden="1">{"via1",#N/A,TRUE,"general";"via2",#N/A,TRUE,"general";"via3",#N/A,TRUE,"general"}</definedName>
    <definedName name="iyuiuyi" localSheetId="1" hidden="1">{"via1",#N/A,TRUE,"general";"via2",#N/A,TRUE,"general";"via3",#N/A,TRUE,"general"}</definedName>
    <definedName name="iyuiuyi" localSheetId="14" hidden="1">{"via1",#N/A,TRUE,"general";"via2",#N/A,TRUE,"general";"via3",#N/A,TRUE,"general"}</definedName>
    <definedName name="iyuiuyi" localSheetId="16" hidden="1">{"via1",#N/A,TRUE,"general";"via2",#N/A,TRUE,"general";"via3",#N/A,TRUE,"general"}</definedName>
    <definedName name="iyuiuyi" localSheetId="18" hidden="1">{"via1",#N/A,TRUE,"general";"via2",#N/A,TRUE,"general";"via3",#N/A,TRUE,"general"}</definedName>
    <definedName name="iyuiuyi" hidden="1">{"via1",#N/A,TRUE,"general";"via2",#N/A,TRUE,"general";"via3",#N/A,TRUE,"general"}</definedName>
    <definedName name="j" localSheetId="15" hidden="1">{"TAB1",#N/A,TRUE,"GENERAL";"TAB2",#N/A,TRUE,"GENERAL";"TAB3",#N/A,TRUE,"GENERAL";"TAB4",#N/A,TRUE,"GENERAL";"TAB5",#N/A,TRUE,"GENERAL"}</definedName>
    <definedName name="j" localSheetId="17" hidden="1">{"TAB1",#N/A,TRUE,"GENERAL";"TAB2",#N/A,TRUE,"GENERAL";"TAB3",#N/A,TRUE,"GENERAL";"TAB4",#N/A,TRUE,"GENERAL";"TAB5",#N/A,TRUE,"GENERAL"}</definedName>
    <definedName name="j" localSheetId="19" hidden="1">{"TAB1",#N/A,TRUE,"GENERAL";"TAB2",#N/A,TRUE,"GENERAL";"TAB3",#N/A,TRUE,"GENERAL";"TAB4",#N/A,TRUE,"GENERAL";"TAB5",#N/A,TRUE,"GENERAL"}</definedName>
    <definedName name="j" localSheetId="12"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4" hidden="1">{"TAB1",#N/A,TRUE,"GENERAL";"TAB2",#N/A,TRUE,"GENERAL";"TAB3",#N/A,TRUE,"GENERAL";"TAB4",#N/A,TRUE,"GENERAL";"TAB5",#N/A,TRUE,"GENERAL"}</definedName>
    <definedName name="j" localSheetId="1" hidden="1">{"TAB1",#N/A,TRUE,"GENERAL";"TAB2",#N/A,TRUE,"GENERAL";"TAB3",#N/A,TRUE,"GENERAL";"TAB4",#N/A,TRUE,"GENERAL";"TAB5",#N/A,TRUE,"GENERAL"}</definedName>
    <definedName name="j" localSheetId="14" hidden="1">{"TAB1",#N/A,TRUE,"GENERAL";"TAB2",#N/A,TRUE,"GENERAL";"TAB3",#N/A,TRUE,"GENERAL";"TAB4",#N/A,TRUE,"GENERAL";"TAB5",#N/A,TRUE,"GENERAL"}</definedName>
    <definedName name="j" localSheetId="16" hidden="1">{"TAB1",#N/A,TRUE,"GENERAL";"TAB2",#N/A,TRUE,"GENERAL";"TAB3",#N/A,TRUE,"GENERAL";"TAB4",#N/A,TRUE,"GENERAL";"TAB5",#N/A,TRUE,"GENERAL"}</definedName>
    <definedName name="j" localSheetId="18" hidden="1">{"TAB1",#N/A,TRUE,"GENERAL";"TAB2",#N/A,TRUE,"GENERAL";"TAB3",#N/A,TRUE,"GENERAL";"TAB4",#N/A,TRUE,"GENERAL";"TAB5",#N/A,TRUE,"GENERAL"}</definedName>
    <definedName name="j" hidden="1">{"TAB1",#N/A,TRUE,"GENERAL";"TAB2",#N/A,TRUE,"GENERAL";"TAB3",#N/A,TRUE,"GENERAL";"TAB4",#N/A,TRUE,"GENERAL";"TAB5",#N/A,TRUE,"GENERAL"}</definedName>
    <definedName name="jd" localSheetId="15" hidden="1">{"via1",#N/A,TRUE,"general";"via2",#N/A,TRUE,"general";"via3",#N/A,TRUE,"general"}</definedName>
    <definedName name="jd" localSheetId="17" hidden="1">{"via1",#N/A,TRUE,"general";"via2",#N/A,TRUE,"general";"via3",#N/A,TRUE,"general"}</definedName>
    <definedName name="jd" localSheetId="19" hidden="1">{"via1",#N/A,TRUE,"general";"via2",#N/A,TRUE,"general";"via3",#N/A,TRUE,"general"}</definedName>
    <definedName name="jd" localSheetId="12"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7"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4" hidden="1">{"via1",#N/A,TRUE,"general";"via2",#N/A,TRUE,"general";"via3",#N/A,TRUE,"general"}</definedName>
    <definedName name="jd" localSheetId="1" hidden="1">{"via1",#N/A,TRUE,"general";"via2",#N/A,TRUE,"general";"via3",#N/A,TRUE,"general"}</definedName>
    <definedName name="jd" localSheetId="14" hidden="1">{"via1",#N/A,TRUE,"general";"via2",#N/A,TRUE,"general";"via3",#N/A,TRUE,"general"}</definedName>
    <definedName name="jd" localSheetId="16" hidden="1">{"via1",#N/A,TRUE,"general";"via2",#N/A,TRUE,"general";"via3",#N/A,TRUE,"general"}</definedName>
    <definedName name="jd" localSheetId="18" hidden="1">{"via1",#N/A,TRUE,"general";"via2",#N/A,TRUE,"general";"via3",#N/A,TRUE,"general"}</definedName>
    <definedName name="jd" hidden="1">{"via1",#N/A,TRUE,"general";"via2",#N/A,TRUE,"general";"via3",#N/A,TRUE,"general"}</definedName>
    <definedName name="jdh" localSheetId="15" hidden="1">{"TAB1",#N/A,TRUE,"GENERAL";"TAB2",#N/A,TRUE,"GENERAL";"TAB3",#N/A,TRUE,"GENERAL";"TAB4",#N/A,TRUE,"GENERAL";"TAB5",#N/A,TRUE,"GENERAL"}</definedName>
    <definedName name="jdh" localSheetId="17" hidden="1">{"TAB1",#N/A,TRUE,"GENERAL";"TAB2",#N/A,TRUE,"GENERAL";"TAB3",#N/A,TRUE,"GENERAL";"TAB4",#N/A,TRUE,"GENERAL";"TAB5",#N/A,TRUE,"GENERAL"}</definedName>
    <definedName name="jdh" localSheetId="19" hidden="1">{"TAB1",#N/A,TRUE,"GENERAL";"TAB2",#N/A,TRUE,"GENERAL";"TAB3",#N/A,TRUE,"GENERAL";"TAB4",#N/A,TRUE,"GENERAL";"TAB5",#N/A,TRUE,"GENERAL"}</definedName>
    <definedName name="jdh" localSheetId="12"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4" hidden="1">{"TAB1",#N/A,TRUE,"GENERAL";"TAB2",#N/A,TRUE,"GENERAL";"TAB3",#N/A,TRUE,"GENERAL";"TAB4",#N/A,TRUE,"GENERAL";"TAB5",#N/A,TRUE,"GENERAL"}</definedName>
    <definedName name="jdh" localSheetId="1" hidden="1">{"TAB1",#N/A,TRUE,"GENERAL";"TAB2",#N/A,TRUE,"GENERAL";"TAB3",#N/A,TRUE,"GENERAL";"TAB4",#N/A,TRUE,"GENERAL";"TAB5",#N/A,TRUE,"GENERAL"}</definedName>
    <definedName name="jdh" localSheetId="14" hidden="1">{"TAB1",#N/A,TRUE,"GENERAL";"TAB2",#N/A,TRUE,"GENERAL";"TAB3",#N/A,TRUE,"GENERAL";"TAB4",#N/A,TRUE,"GENERAL";"TAB5",#N/A,TRUE,"GENERAL"}</definedName>
    <definedName name="jdh" localSheetId="16" hidden="1">{"TAB1",#N/A,TRUE,"GENERAL";"TAB2",#N/A,TRUE,"GENERAL";"TAB3",#N/A,TRUE,"GENERAL";"TAB4",#N/A,TRUE,"GENERAL";"TAB5",#N/A,TRUE,"GENERAL"}</definedName>
    <definedName name="jdh" localSheetId="18" hidden="1">{"TAB1",#N/A,TRUE,"GENERAL";"TAB2",#N/A,TRUE,"GENERAL";"TAB3",#N/A,TRUE,"GENERAL";"TAB4",#N/A,TRUE,"GENERAL";"TAB5",#N/A,TRUE,"GENERAL"}</definedName>
    <definedName name="jdh"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4" hidden="1">{"TAB1",#N/A,TRUE,"GENERAL";"TAB2",#N/A,TRUE,"GENERAL";"TAB3",#N/A,TRUE,"GENERAL";"TAB4",#N/A,TRUE,"GENERAL";"TAB5",#N/A,TRUE,"GENERAL"}</definedName>
    <definedName name="jeytj" localSheetId="1"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8"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5"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8" hidden="1">{"TAB1",#N/A,TRUE,"GENERAL";"TAB2",#N/A,TRUE,"GENERAL";"TAB3",#N/A,TRUE,"GENERAL";"TAB4",#N/A,TRUE,"GENERAL";"TAB5",#N/A,TRUE,"GENERAL"}</definedName>
    <definedName name="jfhjfrt" hidden="1">{"TAB1",#N/A,TRUE,"GENERAL";"TAB2",#N/A,TRUE,"GENERAL";"TAB3",#N/A,TRUE,"GENERAL";"TAB4",#N/A,TRUE,"GENERAL";"TAB5",#N/A,TRUE,"GENERAL"}</definedName>
    <definedName name="jgfj" localSheetId="15" hidden="1">{"via1",#N/A,TRUE,"general";"via2",#N/A,TRUE,"general";"via3",#N/A,TRUE,"general"}</definedName>
    <definedName name="jgfj" localSheetId="17" hidden="1">{"via1",#N/A,TRUE,"general";"via2",#N/A,TRUE,"general";"via3",#N/A,TRUE,"general"}</definedName>
    <definedName name="jgfj" localSheetId="19" hidden="1">{"via1",#N/A,TRUE,"general";"via2",#N/A,TRUE,"general";"via3",#N/A,TRUE,"general"}</definedName>
    <definedName name="jgfj" localSheetId="12"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4" hidden="1">{"via1",#N/A,TRUE,"general";"via2",#N/A,TRUE,"general";"via3",#N/A,TRUE,"general"}</definedName>
    <definedName name="jgfj" localSheetId="1" hidden="1">{"via1",#N/A,TRUE,"general";"via2",#N/A,TRUE,"general";"via3",#N/A,TRUE,"general"}</definedName>
    <definedName name="jgfj" localSheetId="14" hidden="1">{"via1",#N/A,TRUE,"general";"via2",#N/A,TRUE,"general";"via3",#N/A,TRUE,"general"}</definedName>
    <definedName name="jgfj" localSheetId="16" hidden="1">{"via1",#N/A,TRUE,"general";"via2",#N/A,TRUE,"general";"via3",#N/A,TRUE,"general"}</definedName>
    <definedName name="jgfj" localSheetId="18" hidden="1">{"via1",#N/A,TRUE,"general";"via2",#N/A,TRUE,"general";"via3",#N/A,TRUE,"general"}</definedName>
    <definedName name="jgfj" hidden="1">{"via1",#N/A,TRUE,"general";"via2",#N/A,TRUE,"general";"via3",#N/A,TRUE,"general"}</definedName>
    <definedName name="jghj" localSheetId="15" hidden="1">{"TAB1",#N/A,TRUE,"GENERAL";"TAB2",#N/A,TRUE,"GENERAL";"TAB3",#N/A,TRUE,"GENERAL";"TAB4",#N/A,TRUE,"GENERAL";"TAB5",#N/A,TRUE,"GENERAL"}</definedName>
    <definedName name="jghj" localSheetId="17" hidden="1">{"TAB1",#N/A,TRUE,"GENERAL";"TAB2",#N/A,TRUE,"GENERAL";"TAB3",#N/A,TRUE,"GENERAL";"TAB4",#N/A,TRUE,"GENERAL";"TAB5",#N/A,TRUE,"GENERAL"}</definedName>
    <definedName name="jghj" localSheetId="19" hidden="1">{"TAB1",#N/A,TRUE,"GENERAL";"TAB2",#N/A,TRUE,"GENERAL";"TAB3",#N/A,TRUE,"GENERAL";"TAB4",#N/A,TRUE,"GENERAL";"TAB5",#N/A,TRUE,"GENERAL"}</definedName>
    <definedName name="jghj" localSheetId="12"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4" hidden="1">{"TAB1",#N/A,TRUE,"GENERAL";"TAB2",#N/A,TRUE,"GENERAL";"TAB3",#N/A,TRUE,"GENERAL";"TAB4",#N/A,TRUE,"GENERAL";"TAB5",#N/A,TRUE,"GENERAL"}</definedName>
    <definedName name="jghj" localSheetId="1" hidden="1">{"TAB1",#N/A,TRUE,"GENERAL";"TAB2",#N/A,TRUE,"GENERAL";"TAB3",#N/A,TRUE,"GENERAL";"TAB4",#N/A,TRUE,"GENERAL";"TAB5",#N/A,TRUE,"GENERAL"}</definedName>
    <definedName name="jghj" localSheetId="14" hidden="1">{"TAB1",#N/A,TRUE,"GENERAL";"TAB2",#N/A,TRUE,"GENERAL";"TAB3",#N/A,TRUE,"GENERAL";"TAB4",#N/A,TRUE,"GENERAL";"TAB5",#N/A,TRUE,"GENERAL"}</definedName>
    <definedName name="jghj" localSheetId="16" hidden="1">{"TAB1",#N/A,TRUE,"GENERAL";"TAB2",#N/A,TRUE,"GENERAL";"TAB3",#N/A,TRUE,"GENERAL";"TAB4",#N/A,TRUE,"GENERAL";"TAB5",#N/A,TRUE,"GENERAL"}</definedName>
    <definedName name="jghj" localSheetId="18" hidden="1">{"TAB1",#N/A,TRUE,"GENERAL";"TAB2",#N/A,TRUE,"GENERAL";"TAB3",#N/A,TRUE,"GENERAL";"TAB4",#N/A,TRUE,"GENERAL";"TAB5",#N/A,TRUE,"GENERAL"}</definedName>
    <definedName name="jghj" hidden="1">{"TAB1",#N/A,TRUE,"GENERAL";"TAB2",#N/A,TRUE,"GENERAL";"TAB3",#N/A,TRUE,"GENERAL";"TAB4",#N/A,TRUE,"GENERAL";"TAB5",#N/A,TRUE,"GENERAL"}</definedName>
    <definedName name="jgj" localSheetId="15" hidden="1">{"TAB1",#N/A,TRUE,"GENERAL";"TAB2",#N/A,TRUE,"GENERAL";"TAB3",#N/A,TRUE,"GENERAL";"TAB4",#N/A,TRUE,"GENERAL";"TAB5",#N/A,TRUE,"GENERAL"}</definedName>
    <definedName name="jgj" localSheetId="17" hidden="1">{"TAB1",#N/A,TRUE,"GENERAL";"TAB2",#N/A,TRUE,"GENERAL";"TAB3",#N/A,TRUE,"GENERAL";"TAB4",#N/A,TRUE,"GENERAL";"TAB5",#N/A,TRUE,"GENERAL"}</definedName>
    <definedName name="jgj" localSheetId="19" hidden="1">{"TAB1",#N/A,TRUE,"GENERAL";"TAB2",#N/A,TRUE,"GENERAL";"TAB3",#N/A,TRUE,"GENERAL";"TAB4",#N/A,TRUE,"GENERAL";"TAB5",#N/A,TRUE,"GENERAL"}</definedName>
    <definedName name="jgj" localSheetId="12"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4" hidden="1">{"TAB1",#N/A,TRUE,"GENERAL";"TAB2",#N/A,TRUE,"GENERAL";"TAB3",#N/A,TRUE,"GENERAL";"TAB4",#N/A,TRUE,"GENERAL";"TAB5",#N/A,TRUE,"GENERAL"}</definedName>
    <definedName name="jgj" localSheetId="1" hidden="1">{"TAB1",#N/A,TRUE,"GENERAL";"TAB2",#N/A,TRUE,"GENERAL";"TAB3",#N/A,TRUE,"GENERAL";"TAB4",#N/A,TRUE,"GENERAL";"TAB5",#N/A,TRUE,"GENERAL"}</definedName>
    <definedName name="jgj" localSheetId="14" hidden="1">{"TAB1",#N/A,TRUE,"GENERAL";"TAB2",#N/A,TRUE,"GENERAL";"TAB3",#N/A,TRUE,"GENERAL";"TAB4",#N/A,TRUE,"GENERAL";"TAB5",#N/A,TRUE,"GENERAL"}</definedName>
    <definedName name="jgj" localSheetId="16" hidden="1">{"TAB1",#N/A,TRUE,"GENERAL";"TAB2",#N/A,TRUE,"GENERAL";"TAB3",#N/A,TRUE,"GENERAL";"TAB4",#N/A,TRUE,"GENERAL";"TAB5",#N/A,TRUE,"GENERAL"}</definedName>
    <definedName name="jgj" localSheetId="18" hidden="1">{"TAB1",#N/A,TRUE,"GENERAL";"TAB2",#N/A,TRUE,"GENERAL";"TAB3",#N/A,TRUE,"GENERAL";"TAB4",#N/A,TRUE,"GENERAL";"TAB5",#N/A,TRUE,"GENERAL"}</definedName>
    <definedName name="jgj" hidden="1">{"TAB1",#N/A,TRUE,"GENERAL";"TAB2",#N/A,TRUE,"GENERAL";"TAB3",#N/A,TRUE,"GENERAL";"TAB4",#N/A,TRUE,"GENERAL";"TAB5",#N/A,TRUE,"GENERAL"}</definedName>
    <definedName name="jhg" localSheetId="15" hidden="1">{"TAB1",#N/A,TRUE,"GENERAL";"TAB2",#N/A,TRUE,"GENERAL";"TAB3",#N/A,TRUE,"GENERAL";"TAB4",#N/A,TRUE,"GENERAL";"TAB5",#N/A,TRUE,"GENERAL"}</definedName>
    <definedName name="jhg" localSheetId="17" hidden="1">{"TAB1",#N/A,TRUE,"GENERAL";"TAB2",#N/A,TRUE,"GENERAL";"TAB3",#N/A,TRUE,"GENERAL";"TAB4",#N/A,TRUE,"GENERAL";"TAB5",#N/A,TRUE,"GENERAL"}</definedName>
    <definedName name="jhg" localSheetId="19" hidden="1">{"TAB1",#N/A,TRUE,"GENERAL";"TAB2",#N/A,TRUE,"GENERAL";"TAB3",#N/A,TRUE,"GENERAL";"TAB4",#N/A,TRUE,"GENERAL";"TAB5",#N/A,TRUE,"GENERAL"}</definedName>
    <definedName name="jhg" localSheetId="12"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4" hidden="1">{"TAB1",#N/A,TRUE,"GENERAL";"TAB2",#N/A,TRUE,"GENERAL";"TAB3",#N/A,TRUE,"GENERAL";"TAB4",#N/A,TRUE,"GENERAL";"TAB5",#N/A,TRUE,"GENERAL"}</definedName>
    <definedName name="jhg" localSheetId="1" hidden="1">{"TAB1",#N/A,TRUE,"GENERAL";"TAB2",#N/A,TRUE,"GENERAL";"TAB3",#N/A,TRUE,"GENERAL";"TAB4",#N/A,TRUE,"GENERAL";"TAB5",#N/A,TRUE,"GENERAL"}</definedName>
    <definedName name="jhg" localSheetId="14" hidden="1">{"TAB1",#N/A,TRUE,"GENERAL";"TAB2",#N/A,TRUE,"GENERAL";"TAB3",#N/A,TRUE,"GENERAL";"TAB4",#N/A,TRUE,"GENERAL";"TAB5",#N/A,TRUE,"GENERAL"}</definedName>
    <definedName name="jhg" localSheetId="16" hidden="1">{"TAB1",#N/A,TRUE,"GENERAL";"TAB2",#N/A,TRUE,"GENERAL";"TAB3",#N/A,TRUE,"GENERAL";"TAB4",#N/A,TRUE,"GENERAL";"TAB5",#N/A,TRUE,"GENERAL"}</definedName>
    <definedName name="jhg" localSheetId="18" hidden="1">{"TAB1",#N/A,TRUE,"GENERAL";"TAB2",#N/A,TRUE,"GENERAL";"TAB3",#N/A,TRUE,"GENERAL";"TAB4",#N/A,TRUE,"GENERAL";"TAB5",#N/A,TRUE,"GENERAL"}</definedName>
    <definedName name="jhg" hidden="1">{"TAB1",#N/A,TRUE,"GENERAL";"TAB2",#N/A,TRUE,"GENERAL";"TAB3",#N/A,TRUE,"GENERAL";"TAB4",#N/A,TRUE,"GENERAL";"TAB5",#N/A,TRUE,"GENERAL"}</definedName>
    <definedName name="jhjyj" localSheetId="15" hidden="1">{"via1",#N/A,TRUE,"general";"via2",#N/A,TRUE,"general";"via3",#N/A,TRUE,"general"}</definedName>
    <definedName name="jhjyj" localSheetId="17" hidden="1">{"via1",#N/A,TRUE,"general";"via2",#N/A,TRUE,"general";"via3",#N/A,TRUE,"general"}</definedName>
    <definedName name="jhjyj" localSheetId="19" hidden="1">{"via1",#N/A,TRUE,"general";"via2",#N/A,TRUE,"general";"via3",#N/A,TRUE,"general"}</definedName>
    <definedName name="jhjyj" localSheetId="12"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4" hidden="1">{"via1",#N/A,TRUE,"general";"via2",#N/A,TRUE,"general";"via3",#N/A,TRUE,"general"}</definedName>
    <definedName name="jhjyj" localSheetId="1" hidden="1">{"via1",#N/A,TRUE,"general";"via2",#N/A,TRUE,"general";"via3",#N/A,TRUE,"general"}</definedName>
    <definedName name="jhjyj" localSheetId="14" hidden="1">{"via1",#N/A,TRUE,"general";"via2",#N/A,TRUE,"general";"via3",#N/A,TRUE,"general"}</definedName>
    <definedName name="jhjyj" localSheetId="16" hidden="1">{"via1",#N/A,TRUE,"general";"via2",#N/A,TRUE,"general";"via3",#N/A,TRUE,"general"}</definedName>
    <definedName name="jhjyj" localSheetId="18" hidden="1">{"via1",#N/A,TRUE,"general";"via2",#N/A,TRUE,"general";"via3",#N/A,TRUE,"general"}</definedName>
    <definedName name="jhjyj" hidden="1">{"via1",#N/A,TRUE,"general";"via2",#N/A,TRUE,"general";"via3",#N/A,TRUE,"general"}</definedName>
    <definedName name="JHK" localSheetId="15" hidden="1">{"TAB1",#N/A,TRUE,"GENERAL";"TAB2",#N/A,TRUE,"GENERAL";"TAB3",#N/A,TRUE,"GENERAL";"TAB4",#N/A,TRUE,"GENERAL";"TAB5",#N/A,TRUE,"GENERAL"}</definedName>
    <definedName name="JHK" localSheetId="17" hidden="1">{"TAB1",#N/A,TRUE,"GENERAL";"TAB2",#N/A,TRUE,"GENERAL";"TAB3",#N/A,TRUE,"GENERAL";"TAB4",#N/A,TRUE,"GENERAL";"TAB5",#N/A,TRUE,"GENERAL"}</definedName>
    <definedName name="JHK" localSheetId="19" hidden="1">{"TAB1",#N/A,TRUE,"GENERAL";"TAB2",#N/A,TRUE,"GENERAL";"TAB3",#N/A,TRUE,"GENERAL";"TAB4",#N/A,TRUE,"GENERAL";"TAB5",#N/A,TRUE,"GENERAL"}</definedName>
    <definedName name="JHK" localSheetId="12"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4" hidden="1">{"TAB1",#N/A,TRUE,"GENERAL";"TAB2",#N/A,TRUE,"GENERAL";"TAB3",#N/A,TRUE,"GENERAL";"TAB4",#N/A,TRUE,"GENERAL";"TAB5",#N/A,TRUE,"GENERAL"}</definedName>
    <definedName name="JHK" localSheetId="1" hidden="1">{"TAB1",#N/A,TRUE,"GENERAL";"TAB2",#N/A,TRUE,"GENERAL";"TAB3",#N/A,TRUE,"GENERAL";"TAB4",#N/A,TRUE,"GENERAL";"TAB5",#N/A,TRUE,"GENERAL"}</definedName>
    <definedName name="JHK" localSheetId="14" hidden="1">{"TAB1",#N/A,TRUE,"GENERAL";"TAB2",#N/A,TRUE,"GENERAL";"TAB3",#N/A,TRUE,"GENERAL";"TAB4",#N/A,TRUE,"GENERAL";"TAB5",#N/A,TRUE,"GENERAL"}</definedName>
    <definedName name="JHK" localSheetId="16" hidden="1">{"TAB1",#N/A,TRUE,"GENERAL";"TAB2",#N/A,TRUE,"GENERAL";"TAB3",#N/A,TRUE,"GENERAL";"TAB4",#N/A,TRUE,"GENERAL";"TAB5",#N/A,TRUE,"GENERAL"}</definedName>
    <definedName name="JHK" localSheetId="18" hidden="1">{"TAB1",#N/A,TRUE,"GENERAL";"TAB2",#N/A,TRUE,"GENERAL";"TAB3",#N/A,TRUE,"GENERAL";"TAB4",#N/A,TRUE,"GENERAL";"TAB5",#N/A,TRUE,"GENERAL"}</definedName>
    <definedName name="JHK"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8" hidden="1">{"TAB1",#N/A,TRUE,"GENERAL";"TAB2",#N/A,TRUE,"GENERAL";"TAB3",#N/A,TRUE,"GENERAL";"TAB4",#N/A,TRUE,"GENERAL";"TAB5",#N/A,TRUE,"GENERAL"}</definedName>
    <definedName name="jhkgjkvf" hidden="1">{"TAB1",#N/A,TRUE,"GENERAL";"TAB2",#N/A,TRUE,"GENERAL";"TAB3",#N/A,TRUE,"GENERAL";"TAB4",#N/A,TRUE,"GENERAL";"TAB5",#N/A,TRUE,"GENERAL"}</definedName>
    <definedName name="jj" localSheetId="15" hidden="1">{"via1",#N/A,TRUE,"general";"via2",#N/A,TRUE,"general";"via3",#N/A,TRUE,"general"}</definedName>
    <definedName name="jj" localSheetId="17" hidden="1">{"via1",#N/A,TRUE,"general";"via2",#N/A,TRUE,"general";"via3",#N/A,TRUE,"general"}</definedName>
    <definedName name="jj" localSheetId="19" hidden="1">{"via1",#N/A,TRUE,"general";"via2",#N/A,TRUE,"general";"via3",#N/A,TRUE,"general"}</definedName>
    <definedName name="jj" localSheetId="12"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7" hidden="1">{"via1",#N/A,TRUE,"general";"via2",#N/A,TRUE,"general";"via3",#N/A,TRUE,"general"}</definedName>
    <definedName name="jj" localSheetId="10" hidden="1">{"via1",#N/A,TRUE,"general";"via2",#N/A,TRUE,"general";"via3",#N/A,TRUE,"general"}</definedName>
    <definedName name="jj" localSheetId="11" hidden="1">{"via1",#N/A,TRUE,"general";"via2",#N/A,TRUE,"general";"via3",#N/A,TRUE,"general"}</definedName>
    <definedName name="jj" localSheetId="4" hidden="1">{"via1",#N/A,TRUE,"general";"via2",#N/A,TRUE,"general";"via3",#N/A,TRUE,"general"}</definedName>
    <definedName name="jj" localSheetId="1" hidden="1">{"via1",#N/A,TRUE,"general";"via2",#N/A,TRUE,"general";"via3",#N/A,TRUE,"general"}</definedName>
    <definedName name="jj" localSheetId="14" hidden="1">{"via1",#N/A,TRUE,"general";"via2",#N/A,TRUE,"general";"via3",#N/A,TRUE,"general"}</definedName>
    <definedName name="jj" localSheetId="16" hidden="1">{"via1",#N/A,TRUE,"general";"via2",#N/A,TRUE,"general";"via3",#N/A,TRUE,"general"}</definedName>
    <definedName name="jj" localSheetId="18" hidden="1">{"via1",#N/A,TRUE,"general";"via2",#N/A,TRUE,"general";"via3",#N/A,TRUE,"general"}</definedName>
    <definedName name="jj" hidden="1">{"via1",#N/A,TRUE,"general";"via2",#N/A,TRUE,"general";"via3",#N/A,TRUE,"general"}</definedName>
    <definedName name="jjfq" localSheetId="15" hidden="1">{"via1",#N/A,TRUE,"general";"via2",#N/A,TRUE,"general";"via3",#N/A,TRUE,"general"}</definedName>
    <definedName name="jjfq" localSheetId="17" hidden="1">{"via1",#N/A,TRUE,"general";"via2",#N/A,TRUE,"general";"via3",#N/A,TRUE,"general"}</definedName>
    <definedName name="jjfq" localSheetId="19" hidden="1">{"via1",#N/A,TRUE,"general";"via2",#N/A,TRUE,"general";"via3",#N/A,TRUE,"general"}</definedName>
    <definedName name="jjfq" localSheetId="12"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4" hidden="1">{"via1",#N/A,TRUE,"general";"via2",#N/A,TRUE,"general";"via3",#N/A,TRUE,"general"}</definedName>
    <definedName name="jjfq" localSheetId="1" hidden="1">{"via1",#N/A,TRUE,"general";"via2",#N/A,TRUE,"general";"via3",#N/A,TRUE,"general"}</definedName>
    <definedName name="jjfq" localSheetId="14" hidden="1">{"via1",#N/A,TRUE,"general";"via2",#N/A,TRUE,"general";"via3",#N/A,TRUE,"general"}</definedName>
    <definedName name="jjfq" localSheetId="16" hidden="1">{"via1",#N/A,TRUE,"general";"via2",#N/A,TRUE,"general";"via3",#N/A,TRUE,"general"}</definedName>
    <definedName name="jjfq" localSheetId="18" hidden="1">{"via1",#N/A,TRUE,"general";"via2",#N/A,TRUE,"general";"via3",#N/A,TRUE,"general"}</definedName>
    <definedName name="jjfq" hidden="1">{"via1",#N/A,TRUE,"general";"via2",#N/A,TRUE,"general";"via3",#N/A,TRUE,"general"}</definedName>
    <definedName name="JJJ" localSheetId="12" hidden="1">{#N/A,#N/A,FALSE,"Hoja1";#N/A,#N/A,FALSE,"Hoja2"}</definedName>
    <definedName name="JJJ" localSheetId="8" hidden="1">{#N/A,#N/A,FALSE,"Hoja1";#N/A,#N/A,FALSE,"Hoja2"}</definedName>
    <definedName name="JJJ" localSheetId="9" hidden="1">{#N/A,#N/A,FALSE,"Hoja1";#N/A,#N/A,FALSE,"Hoja2"}</definedName>
    <definedName name="JJJ" localSheetId="7" hidden="1">{#N/A,#N/A,FALSE,"Hoja1";#N/A,#N/A,FALSE,"Hoja2"}</definedName>
    <definedName name="JJJ" localSheetId="10" hidden="1">{#N/A,#N/A,FALSE,"Hoja1";#N/A,#N/A,FALSE,"Hoja2"}</definedName>
    <definedName name="JJJ" localSheetId="1" hidden="1">{#N/A,#N/A,FALSE,"Hoja1";#N/A,#N/A,FALSE,"Hoja2"}</definedName>
    <definedName name="JJJ" hidden="1">{#N/A,#N/A,FALSE,"Hoja1";#N/A,#N/A,FALSE,"Hoja2"}</definedName>
    <definedName name="jjjhjddfg" localSheetId="15" hidden="1">{"via1",#N/A,TRUE,"general";"via2",#N/A,TRUE,"general";"via3",#N/A,TRUE,"general"}</definedName>
    <definedName name="jjjhjddfg" localSheetId="17" hidden="1">{"via1",#N/A,TRUE,"general";"via2",#N/A,TRUE,"general";"via3",#N/A,TRUE,"general"}</definedName>
    <definedName name="jjjhjddfg" localSheetId="19" hidden="1">{"via1",#N/A,TRUE,"general";"via2",#N/A,TRUE,"general";"via3",#N/A,TRUE,"general"}</definedName>
    <definedName name="jjjhjddfg" localSheetId="12"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4" hidden="1">{"via1",#N/A,TRUE,"general";"via2",#N/A,TRUE,"general";"via3",#N/A,TRUE,"general"}</definedName>
    <definedName name="jjjhjddfg" localSheetId="1" hidden="1">{"via1",#N/A,TRUE,"general";"via2",#N/A,TRUE,"general";"via3",#N/A,TRUE,"general"}</definedName>
    <definedName name="jjjhjddfg" localSheetId="14" hidden="1">{"via1",#N/A,TRUE,"general";"via2",#N/A,TRUE,"general";"via3",#N/A,TRUE,"general"}</definedName>
    <definedName name="jjjhjddfg" localSheetId="16" hidden="1">{"via1",#N/A,TRUE,"general";"via2",#N/A,TRUE,"general";"via3",#N/A,TRUE,"general"}</definedName>
    <definedName name="jjjhjddfg" localSheetId="18" hidden="1">{"via1",#N/A,TRUE,"general";"via2",#N/A,TRUE,"general";"via3",#N/A,TRUE,"general"}</definedName>
    <definedName name="jjjhjddfg" hidden="1">{"via1",#N/A,TRUE,"general";"via2",#N/A,TRUE,"general";"via3",#N/A,TRUE,"general"}</definedName>
    <definedName name="jjjjju" localSheetId="15" hidden="1">{"via1",#N/A,TRUE,"general";"via2",#N/A,TRUE,"general";"via3",#N/A,TRUE,"general"}</definedName>
    <definedName name="jjjjju" localSheetId="17" hidden="1">{"via1",#N/A,TRUE,"general";"via2",#N/A,TRUE,"general";"via3",#N/A,TRUE,"general"}</definedName>
    <definedName name="jjjjju" localSheetId="19" hidden="1">{"via1",#N/A,TRUE,"general";"via2",#N/A,TRUE,"general";"via3",#N/A,TRUE,"general"}</definedName>
    <definedName name="jjjjju" localSheetId="12"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4" hidden="1">{"via1",#N/A,TRUE,"general";"via2",#N/A,TRUE,"general";"via3",#N/A,TRUE,"general"}</definedName>
    <definedName name="jjjjju" localSheetId="1" hidden="1">{"via1",#N/A,TRUE,"general";"via2",#N/A,TRUE,"general";"via3",#N/A,TRUE,"general"}</definedName>
    <definedName name="jjjjju" localSheetId="14" hidden="1">{"via1",#N/A,TRUE,"general";"via2",#N/A,TRUE,"general";"via3",#N/A,TRUE,"general"}</definedName>
    <definedName name="jjjjju" localSheetId="16" hidden="1">{"via1",#N/A,TRUE,"general";"via2",#N/A,TRUE,"general";"via3",#N/A,TRUE,"general"}</definedName>
    <definedName name="jjjjju" localSheetId="18" hidden="1">{"via1",#N/A,TRUE,"general";"via2",#N/A,TRUE,"general";"via3",#N/A,TRUE,"general"}</definedName>
    <definedName name="jjjjju" hidden="1">{"via1",#N/A,TRUE,"general";"via2",#N/A,TRUE,"general";"via3",#N/A,TRUE,"general"}</definedName>
    <definedName name="JJKJKJK" hidden="1">#REF!</definedName>
    <definedName name="jjujujty" localSheetId="15"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8" hidden="1">{"TAB1",#N/A,TRUE,"GENERAL";"TAB2",#N/A,TRUE,"GENERAL";"TAB3",#N/A,TRUE,"GENERAL";"TAB4",#N/A,TRUE,"GENERAL";"TAB5",#N/A,TRUE,"GENERAL"}</definedName>
    <definedName name="jjujujty" hidden="1">{"TAB1",#N/A,TRUE,"GENERAL";"TAB2",#N/A,TRUE,"GENERAL";"TAB3",#N/A,TRUE,"GENERAL";"TAB4",#N/A,TRUE,"GENERAL";"TAB5",#N/A,TRUE,"GENERAL"}</definedName>
    <definedName name="jjyjy" localSheetId="15" hidden="1">{"via1",#N/A,TRUE,"general";"via2",#N/A,TRUE,"general";"via3",#N/A,TRUE,"general"}</definedName>
    <definedName name="jjyjy" localSheetId="17" hidden="1">{"via1",#N/A,TRUE,"general";"via2",#N/A,TRUE,"general";"via3",#N/A,TRUE,"general"}</definedName>
    <definedName name="jjyjy" localSheetId="19" hidden="1">{"via1",#N/A,TRUE,"general";"via2",#N/A,TRUE,"general";"via3",#N/A,TRUE,"general"}</definedName>
    <definedName name="jjyjy" localSheetId="12"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4" hidden="1">{"via1",#N/A,TRUE,"general";"via2",#N/A,TRUE,"general";"via3",#N/A,TRUE,"general"}</definedName>
    <definedName name="jjyjy" localSheetId="1" hidden="1">{"via1",#N/A,TRUE,"general";"via2",#N/A,TRUE,"general";"via3",#N/A,TRUE,"general"}</definedName>
    <definedName name="jjyjy" localSheetId="14" hidden="1">{"via1",#N/A,TRUE,"general";"via2",#N/A,TRUE,"general";"via3",#N/A,TRUE,"general"}</definedName>
    <definedName name="jjyjy" localSheetId="16" hidden="1">{"via1",#N/A,TRUE,"general";"via2",#N/A,TRUE,"general";"via3",#N/A,TRUE,"general"}</definedName>
    <definedName name="jjyjy" localSheetId="18" hidden="1">{"via1",#N/A,TRUE,"general";"via2",#N/A,TRUE,"general";"via3",#N/A,TRUE,"general"}</definedName>
    <definedName name="jjyjy" hidden="1">{"via1",#N/A,TRUE,"general";"via2",#N/A,TRUE,"general";"via3",#N/A,TRUE,"general"}</definedName>
    <definedName name="JKJKJKJK" hidden="1">#REF!</definedName>
    <definedName name="jkk" localSheetId="15" hidden="1">{"TAB1",#N/A,TRUE,"GENERAL";"TAB2",#N/A,TRUE,"GENERAL";"TAB3",#N/A,TRUE,"GENERAL";"TAB4",#N/A,TRUE,"GENERAL";"TAB5",#N/A,TRUE,"GENERAL"}</definedName>
    <definedName name="jkk" localSheetId="17" hidden="1">{"TAB1",#N/A,TRUE,"GENERAL";"TAB2",#N/A,TRUE,"GENERAL";"TAB3",#N/A,TRUE,"GENERAL";"TAB4",#N/A,TRUE,"GENERAL";"TAB5",#N/A,TRUE,"GENERAL"}</definedName>
    <definedName name="jkk" localSheetId="19" hidden="1">{"TAB1",#N/A,TRUE,"GENERAL";"TAB2",#N/A,TRUE,"GENERAL";"TAB3",#N/A,TRUE,"GENERAL";"TAB4",#N/A,TRUE,"GENERAL";"TAB5",#N/A,TRUE,"GENERAL"}</definedName>
    <definedName name="jkk" localSheetId="12"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4" hidden="1">{"TAB1",#N/A,TRUE,"GENERAL";"TAB2",#N/A,TRUE,"GENERAL";"TAB3",#N/A,TRUE,"GENERAL";"TAB4",#N/A,TRUE,"GENERAL";"TAB5",#N/A,TRUE,"GENERAL"}</definedName>
    <definedName name="jkk" localSheetId="1" hidden="1">{"TAB1",#N/A,TRUE,"GENERAL";"TAB2",#N/A,TRUE,"GENERAL";"TAB3",#N/A,TRUE,"GENERAL";"TAB4",#N/A,TRUE,"GENERAL";"TAB5",#N/A,TRUE,"GENERAL"}</definedName>
    <definedName name="jkk" localSheetId="14" hidden="1">{"TAB1",#N/A,TRUE,"GENERAL";"TAB2",#N/A,TRUE,"GENERAL";"TAB3",#N/A,TRUE,"GENERAL";"TAB4",#N/A,TRUE,"GENERAL";"TAB5",#N/A,TRUE,"GENERAL"}</definedName>
    <definedName name="jkk" localSheetId="16" hidden="1">{"TAB1",#N/A,TRUE,"GENERAL";"TAB2",#N/A,TRUE,"GENERAL";"TAB3",#N/A,TRUE,"GENERAL";"TAB4",#N/A,TRUE,"GENERAL";"TAB5",#N/A,TRUE,"GENERAL"}</definedName>
    <definedName name="jkk" localSheetId="18" hidden="1">{"TAB1",#N/A,TRUE,"GENERAL";"TAB2",#N/A,TRUE,"GENERAL";"TAB3",#N/A,TRUE,"GENERAL";"TAB4",#N/A,TRUE,"GENERAL";"TAB5",#N/A,TRUE,"GENERAL"}</definedName>
    <definedName name="jkk" hidden="1">{"TAB1",#N/A,TRUE,"GENERAL";"TAB2",#N/A,TRUE,"GENERAL";"TAB3",#N/A,TRUE,"GENERAL";"TAB4",#N/A,TRUE,"GENERAL";"TAB5",#N/A,TRUE,"GENERAL"}</definedName>
    <definedName name="jkl" localSheetId="15" hidden="1">{"TAB1",#N/A,TRUE,"GENERAL";"TAB2",#N/A,TRUE,"GENERAL";"TAB3",#N/A,TRUE,"GENERAL";"TAB4",#N/A,TRUE,"GENERAL";"TAB5",#N/A,TRUE,"GENERAL"}</definedName>
    <definedName name="jkl" localSheetId="17" hidden="1">{"TAB1",#N/A,TRUE,"GENERAL";"TAB2",#N/A,TRUE,"GENERAL";"TAB3",#N/A,TRUE,"GENERAL";"TAB4",#N/A,TRUE,"GENERAL";"TAB5",#N/A,TRUE,"GENERAL"}</definedName>
    <definedName name="jkl" localSheetId="19" hidden="1">{"TAB1",#N/A,TRUE,"GENERAL";"TAB2",#N/A,TRUE,"GENERAL";"TAB3",#N/A,TRUE,"GENERAL";"TAB4",#N/A,TRUE,"GENERAL";"TAB5",#N/A,TRUE,"GENERAL"}</definedName>
    <definedName name="jkl" localSheetId="12"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7" hidden="1">{"TAB1",#N/A,TRUE,"GENERAL";"TAB2",#N/A,TRUE,"GENERAL";"TAB3",#N/A,TRUE,"GENERAL";"TAB4",#N/A,TRUE,"GENERAL";"TAB5",#N/A,TRUE,"GENERAL"}</definedName>
    <definedName name="jkl" localSheetId="10" hidden="1">{"TAB1",#N/A,TRUE,"GENERAL";"TAB2",#N/A,TRUE,"GENERAL";"TAB3",#N/A,TRUE,"GENERAL";"TAB4",#N/A,TRUE,"GENERAL";"TAB5",#N/A,TRUE,"GENERAL"}</definedName>
    <definedName name="jkl" localSheetId="11" hidden="1">{"TAB1",#N/A,TRUE,"GENERAL";"TAB2",#N/A,TRUE,"GENERAL";"TAB3",#N/A,TRUE,"GENERAL";"TAB4",#N/A,TRUE,"GENERAL";"TAB5",#N/A,TRUE,"GENERAL"}</definedName>
    <definedName name="jkl" localSheetId="4" hidden="1">{"TAB1",#N/A,TRUE,"GENERAL";"TAB2",#N/A,TRUE,"GENERAL";"TAB3",#N/A,TRUE,"GENERAL";"TAB4",#N/A,TRUE,"GENERAL";"TAB5",#N/A,TRUE,"GENERAL"}</definedName>
    <definedName name="jkl" localSheetId="1" hidden="1">{"TAB1",#N/A,TRUE,"GENERAL";"TAB2",#N/A,TRUE,"GENERAL";"TAB3",#N/A,TRUE,"GENERAL";"TAB4",#N/A,TRUE,"GENERAL";"TAB5",#N/A,TRUE,"GENERAL"}</definedName>
    <definedName name="jkl" localSheetId="14" hidden="1">{"TAB1",#N/A,TRUE,"GENERAL";"TAB2",#N/A,TRUE,"GENERAL";"TAB3",#N/A,TRUE,"GENERAL";"TAB4",#N/A,TRUE,"GENERAL";"TAB5",#N/A,TRUE,"GENERAL"}</definedName>
    <definedName name="jkl" localSheetId="16" hidden="1">{"TAB1",#N/A,TRUE,"GENERAL";"TAB2",#N/A,TRUE,"GENERAL";"TAB3",#N/A,TRUE,"GENERAL";"TAB4",#N/A,TRUE,"GENERAL";"TAB5",#N/A,TRUE,"GENERAL"}</definedName>
    <definedName name="jkl" localSheetId="18" hidden="1">{"TAB1",#N/A,TRUE,"GENERAL";"TAB2",#N/A,TRUE,"GENERAL";"TAB3",#N/A,TRUE,"GENERAL";"TAB4",#N/A,TRUE,"GENERAL";"TAB5",#N/A,TRUE,"GENERAL"}</definedName>
    <definedName name="jkl" hidden="1">{"TAB1",#N/A,TRUE,"GENERAL";"TAB2",#N/A,TRUE,"GENERAL";"TAB3",#N/A,TRUE,"GENERAL";"TAB4",#N/A,TRUE,"GENERAL";"TAB5",#N/A,TRUE,"GENERAL"}</definedName>
    <definedName name="JRYJ" localSheetId="15" hidden="1">{"via1",#N/A,TRUE,"general";"via2",#N/A,TRUE,"general";"via3",#N/A,TRUE,"general"}</definedName>
    <definedName name="JRYJ" localSheetId="17" hidden="1">{"via1",#N/A,TRUE,"general";"via2",#N/A,TRUE,"general";"via3",#N/A,TRUE,"general"}</definedName>
    <definedName name="JRYJ" localSheetId="19" hidden="1">{"via1",#N/A,TRUE,"general";"via2",#N/A,TRUE,"general";"via3",#N/A,TRUE,"general"}</definedName>
    <definedName name="JRYJ" localSheetId="12"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4" hidden="1">{"via1",#N/A,TRUE,"general";"via2",#N/A,TRUE,"general";"via3",#N/A,TRUE,"general"}</definedName>
    <definedName name="JRYJ" localSheetId="1" hidden="1">{"via1",#N/A,TRUE,"general";"via2",#N/A,TRUE,"general";"via3",#N/A,TRUE,"general"}</definedName>
    <definedName name="JRYJ" localSheetId="14" hidden="1">{"via1",#N/A,TRUE,"general";"via2",#N/A,TRUE,"general";"via3",#N/A,TRUE,"general"}</definedName>
    <definedName name="JRYJ" localSheetId="16" hidden="1">{"via1",#N/A,TRUE,"general";"via2",#N/A,TRUE,"general";"via3",#N/A,TRUE,"general"}</definedName>
    <definedName name="JRYJ" localSheetId="18" hidden="1">{"via1",#N/A,TRUE,"general";"via2",#N/A,TRUE,"general";"via3",#N/A,TRUE,"general"}</definedName>
    <definedName name="JRYJ" hidden="1">{"via1",#N/A,TRUE,"general";"via2",#N/A,TRUE,"general";"via3",#N/A,TRUE,"general"}</definedName>
    <definedName name="jtyj" localSheetId="15" hidden="1">{"TAB1",#N/A,TRUE,"GENERAL";"TAB2",#N/A,TRUE,"GENERAL";"TAB3",#N/A,TRUE,"GENERAL";"TAB4",#N/A,TRUE,"GENERAL";"TAB5",#N/A,TRUE,"GENERAL"}</definedName>
    <definedName name="jtyj" localSheetId="17" hidden="1">{"TAB1",#N/A,TRUE,"GENERAL";"TAB2",#N/A,TRUE,"GENERAL";"TAB3",#N/A,TRUE,"GENERAL";"TAB4",#N/A,TRUE,"GENERAL";"TAB5",#N/A,TRUE,"GENERAL"}</definedName>
    <definedName name="jtyj" localSheetId="19" hidden="1">{"TAB1",#N/A,TRUE,"GENERAL";"TAB2",#N/A,TRUE,"GENERAL";"TAB3",#N/A,TRUE,"GENERAL";"TAB4",#N/A,TRUE,"GENERAL";"TAB5",#N/A,TRUE,"GENERAL"}</definedName>
    <definedName name="jtyj" localSheetId="12"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4" hidden="1">{"TAB1",#N/A,TRUE,"GENERAL";"TAB2",#N/A,TRUE,"GENERAL";"TAB3",#N/A,TRUE,"GENERAL";"TAB4",#N/A,TRUE,"GENERAL";"TAB5",#N/A,TRUE,"GENERAL"}</definedName>
    <definedName name="jtyj" localSheetId="1" hidden="1">{"TAB1",#N/A,TRUE,"GENERAL";"TAB2",#N/A,TRUE,"GENERAL";"TAB3",#N/A,TRUE,"GENERAL";"TAB4",#N/A,TRUE,"GENERAL";"TAB5",#N/A,TRUE,"GENERAL"}</definedName>
    <definedName name="jtyj" localSheetId="14" hidden="1">{"TAB1",#N/A,TRUE,"GENERAL";"TAB2",#N/A,TRUE,"GENERAL";"TAB3",#N/A,TRUE,"GENERAL";"TAB4",#N/A,TRUE,"GENERAL";"TAB5",#N/A,TRUE,"GENERAL"}</definedName>
    <definedName name="jtyj" localSheetId="16" hidden="1">{"TAB1",#N/A,TRUE,"GENERAL";"TAB2",#N/A,TRUE,"GENERAL";"TAB3",#N/A,TRUE,"GENERAL";"TAB4",#N/A,TRUE,"GENERAL";"TAB5",#N/A,TRUE,"GENERAL"}</definedName>
    <definedName name="jtyj" localSheetId="18" hidden="1">{"TAB1",#N/A,TRUE,"GENERAL";"TAB2",#N/A,TRUE,"GENERAL";"TAB3",#N/A,TRUE,"GENERAL";"TAB4",#N/A,TRUE,"GENERAL";"TAB5",#N/A,TRUE,"GENERAL"}</definedName>
    <definedName name="jtyj"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8" hidden="1">{"TAB1",#N/A,TRUE,"GENERAL";"TAB2",#N/A,TRUE,"GENERAL";"TAB3",#N/A,TRUE,"GENERAL";"TAB4",#N/A,TRUE,"GENERAL";"TAB5",#N/A,TRUE,"GENERAL"}</definedName>
    <definedName name="jtyry" hidden="1">{"TAB1",#N/A,TRUE,"GENERAL";"TAB2",#N/A,TRUE,"GENERAL";"TAB3",#N/A,TRUE,"GENERAL";"TAB4",#N/A,TRUE,"GENERAL";"TAB5",#N/A,TRUE,"GENERAL"}</definedName>
    <definedName name="juj" localSheetId="15" hidden="1">{"via1",#N/A,TRUE,"general";"via2",#N/A,TRUE,"general";"via3",#N/A,TRUE,"general"}</definedName>
    <definedName name="juj" localSheetId="17" hidden="1">{"via1",#N/A,TRUE,"general";"via2",#N/A,TRUE,"general";"via3",#N/A,TRUE,"general"}</definedName>
    <definedName name="juj" localSheetId="19" hidden="1">{"via1",#N/A,TRUE,"general";"via2",#N/A,TRUE,"general";"via3",#N/A,TRUE,"general"}</definedName>
    <definedName name="juj" localSheetId="12"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4" hidden="1">{"via1",#N/A,TRUE,"general";"via2",#N/A,TRUE,"general";"via3",#N/A,TRUE,"general"}</definedName>
    <definedName name="juj" localSheetId="1" hidden="1">{"via1",#N/A,TRUE,"general";"via2",#N/A,TRUE,"general";"via3",#N/A,TRUE,"general"}</definedName>
    <definedName name="juj" localSheetId="14" hidden="1">{"via1",#N/A,TRUE,"general";"via2",#N/A,TRUE,"general";"via3",#N/A,TRUE,"general"}</definedName>
    <definedName name="juj" localSheetId="16" hidden="1">{"via1",#N/A,TRUE,"general";"via2",#N/A,TRUE,"general";"via3",#N/A,TRUE,"general"}</definedName>
    <definedName name="juj" localSheetId="18" hidden="1">{"via1",#N/A,TRUE,"general";"via2",#N/A,TRUE,"general";"via3",#N/A,TRUE,"general"}</definedName>
    <definedName name="juj" hidden="1">{"via1",#N/A,TRUE,"general";"via2",#N/A,TRUE,"general";"via3",#N/A,TRUE,"general"}</definedName>
    <definedName name="jujcx" localSheetId="15" hidden="1">{"via1",#N/A,TRUE,"general";"via2",#N/A,TRUE,"general";"via3",#N/A,TRUE,"general"}</definedName>
    <definedName name="jujcx" localSheetId="17" hidden="1">{"via1",#N/A,TRUE,"general";"via2",#N/A,TRUE,"general";"via3",#N/A,TRUE,"general"}</definedName>
    <definedName name="jujcx" localSheetId="19" hidden="1">{"via1",#N/A,TRUE,"general";"via2",#N/A,TRUE,"general";"via3",#N/A,TRUE,"general"}</definedName>
    <definedName name="jujcx" localSheetId="12"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4" hidden="1">{"via1",#N/A,TRUE,"general";"via2",#N/A,TRUE,"general";"via3",#N/A,TRUE,"general"}</definedName>
    <definedName name="jujcx" localSheetId="1" hidden="1">{"via1",#N/A,TRUE,"general";"via2",#N/A,TRUE,"general";"via3",#N/A,TRUE,"general"}</definedName>
    <definedName name="jujcx" localSheetId="14" hidden="1">{"via1",#N/A,TRUE,"general";"via2",#N/A,TRUE,"general";"via3",#N/A,TRUE,"general"}</definedName>
    <definedName name="jujcx" localSheetId="16" hidden="1">{"via1",#N/A,TRUE,"general";"via2",#N/A,TRUE,"general";"via3",#N/A,TRUE,"general"}</definedName>
    <definedName name="jujcx" localSheetId="18" hidden="1">{"via1",#N/A,TRUE,"general";"via2",#N/A,TRUE,"general";"via3",#N/A,TRUE,"general"}</definedName>
    <definedName name="jujcx" hidden="1">{"via1",#N/A,TRUE,"general";"via2",#N/A,TRUE,"general";"via3",#N/A,TRUE,"general"}</definedName>
    <definedName name="jujuj" localSheetId="15" hidden="1">{"via1",#N/A,TRUE,"general";"via2",#N/A,TRUE,"general";"via3",#N/A,TRUE,"general"}</definedName>
    <definedName name="jujuj" localSheetId="17" hidden="1">{"via1",#N/A,TRUE,"general";"via2",#N/A,TRUE,"general";"via3",#N/A,TRUE,"general"}</definedName>
    <definedName name="jujuj" localSheetId="19" hidden="1">{"via1",#N/A,TRUE,"general";"via2",#N/A,TRUE,"general";"via3",#N/A,TRUE,"general"}</definedName>
    <definedName name="jujuj" localSheetId="12"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4" hidden="1">{"via1",#N/A,TRUE,"general";"via2",#N/A,TRUE,"general";"via3",#N/A,TRUE,"general"}</definedName>
    <definedName name="jujuj" localSheetId="1" hidden="1">{"via1",#N/A,TRUE,"general";"via2",#N/A,TRUE,"general";"via3",#N/A,TRUE,"general"}</definedName>
    <definedName name="jujuj" localSheetId="14" hidden="1">{"via1",#N/A,TRUE,"general";"via2",#N/A,TRUE,"general";"via3",#N/A,TRUE,"general"}</definedName>
    <definedName name="jujuj" localSheetId="16" hidden="1">{"via1",#N/A,TRUE,"general";"via2",#N/A,TRUE,"general";"via3",#N/A,TRUE,"general"}</definedName>
    <definedName name="jujuj" localSheetId="18" hidden="1">{"via1",#N/A,TRUE,"general";"via2",#N/A,TRUE,"general";"via3",#N/A,TRUE,"general"}</definedName>
    <definedName name="jujuj" hidden="1">{"via1",#N/A,TRUE,"general";"via2",#N/A,TRUE,"general";"via3",#N/A,TRUE,"general"}</definedName>
    <definedName name="jujujuju" localSheetId="15"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8" hidden="1">{"TAB1",#N/A,TRUE,"GENERAL";"TAB2",#N/A,TRUE,"GENERAL";"TAB3",#N/A,TRUE,"GENERAL";"TAB4",#N/A,TRUE,"GENERAL";"TAB5",#N/A,TRUE,"GENERAL"}</definedName>
    <definedName name="jujujuju"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8" hidden="1">{"TAB1",#N/A,TRUE,"GENERAL";"TAB2",#N/A,TRUE,"GENERAL";"TAB3",#N/A,TRUE,"GENERAL";"TAB4",#N/A,TRUE,"GENERAL";"TAB5",#N/A,TRUE,"GENERAL"}</definedName>
    <definedName name="juuuhb" hidden="1">{"TAB1",#N/A,TRUE,"GENERAL";"TAB2",#N/A,TRUE,"GENERAL";"TAB3",#N/A,TRUE,"GENERAL";"TAB4",#N/A,TRUE,"GENERAL";"TAB5",#N/A,TRUE,"GENERAL"}</definedName>
    <definedName name="jyjt7" localSheetId="15" hidden="1">{"via1",#N/A,TRUE,"general";"via2",#N/A,TRUE,"general";"via3",#N/A,TRUE,"general"}</definedName>
    <definedName name="jyjt7" localSheetId="17" hidden="1">{"via1",#N/A,TRUE,"general";"via2",#N/A,TRUE,"general";"via3",#N/A,TRUE,"general"}</definedName>
    <definedName name="jyjt7" localSheetId="19" hidden="1">{"via1",#N/A,TRUE,"general";"via2",#N/A,TRUE,"general";"via3",#N/A,TRUE,"general"}</definedName>
    <definedName name="jyjt7" localSheetId="12"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4" hidden="1">{"via1",#N/A,TRUE,"general";"via2",#N/A,TRUE,"general";"via3",#N/A,TRUE,"general"}</definedName>
    <definedName name="jyjt7" localSheetId="1" hidden="1">{"via1",#N/A,TRUE,"general";"via2",#N/A,TRUE,"general";"via3",#N/A,TRUE,"general"}</definedName>
    <definedName name="jyjt7" localSheetId="14" hidden="1">{"via1",#N/A,TRUE,"general";"via2",#N/A,TRUE,"general";"via3",#N/A,TRUE,"general"}</definedName>
    <definedName name="jyjt7" localSheetId="16" hidden="1">{"via1",#N/A,TRUE,"general";"via2",#N/A,TRUE,"general";"via3",#N/A,TRUE,"general"}</definedName>
    <definedName name="jyjt7" localSheetId="18" hidden="1">{"via1",#N/A,TRUE,"general";"via2",#N/A,TRUE,"general";"via3",#N/A,TRUE,"general"}</definedName>
    <definedName name="jyjt7" hidden="1">{"via1",#N/A,TRUE,"general";"via2",#N/A,TRUE,"general";"via3",#N/A,TRUE,"general"}</definedName>
    <definedName name="jyt" localSheetId="15" hidden="1">{"via1",#N/A,TRUE,"general";"via2",#N/A,TRUE,"general";"via3",#N/A,TRUE,"general"}</definedName>
    <definedName name="jyt" localSheetId="17" hidden="1">{"via1",#N/A,TRUE,"general";"via2",#N/A,TRUE,"general";"via3",#N/A,TRUE,"general"}</definedName>
    <definedName name="jyt" localSheetId="19" hidden="1">{"via1",#N/A,TRUE,"general";"via2",#N/A,TRUE,"general";"via3",#N/A,TRUE,"general"}</definedName>
    <definedName name="jyt" localSheetId="12"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4" hidden="1">{"via1",#N/A,TRUE,"general";"via2",#N/A,TRUE,"general";"via3",#N/A,TRUE,"general"}</definedName>
    <definedName name="jyt" localSheetId="1" hidden="1">{"via1",#N/A,TRUE,"general";"via2",#N/A,TRUE,"general";"via3",#N/A,TRUE,"general"}</definedName>
    <definedName name="jyt" localSheetId="14" hidden="1">{"via1",#N/A,TRUE,"general";"via2",#N/A,TRUE,"general";"via3",#N/A,TRUE,"general"}</definedName>
    <definedName name="jyt" localSheetId="16" hidden="1">{"via1",#N/A,TRUE,"general";"via2",#N/A,TRUE,"general";"via3",#N/A,TRUE,"general"}</definedName>
    <definedName name="jyt" localSheetId="18" hidden="1">{"via1",#N/A,TRUE,"general";"via2",#N/A,TRUE,"general";"via3",#N/A,TRUE,"general"}</definedName>
    <definedName name="jyt" hidden="1">{"via1",#N/A,TRUE,"general";"via2",#N/A,TRUE,"general";"via3",#N/A,TRUE,"general"}</definedName>
    <definedName name="jytj" localSheetId="15" hidden="1">{"via1",#N/A,TRUE,"general";"via2",#N/A,TRUE,"general";"via3",#N/A,TRUE,"general"}</definedName>
    <definedName name="jytj" localSheetId="17" hidden="1">{"via1",#N/A,TRUE,"general";"via2",#N/A,TRUE,"general";"via3",#N/A,TRUE,"general"}</definedName>
    <definedName name="jytj" localSheetId="19" hidden="1">{"via1",#N/A,TRUE,"general";"via2",#N/A,TRUE,"general";"via3",#N/A,TRUE,"general"}</definedName>
    <definedName name="jytj" localSheetId="12"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4" hidden="1">{"via1",#N/A,TRUE,"general";"via2",#N/A,TRUE,"general";"via3",#N/A,TRUE,"general"}</definedName>
    <definedName name="jytj" localSheetId="1" hidden="1">{"via1",#N/A,TRUE,"general";"via2",#N/A,TRUE,"general";"via3",#N/A,TRUE,"general"}</definedName>
    <definedName name="jytj" localSheetId="14" hidden="1">{"via1",#N/A,TRUE,"general";"via2",#N/A,TRUE,"general";"via3",#N/A,TRUE,"general"}</definedName>
    <definedName name="jytj" localSheetId="16" hidden="1">{"via1",#N/A,TRUE,"general";"via2",#N/A,TRUE,"general";"via3",#N/A,TRUE,"general"}</definedName>
    <definedName name="jytj" localSheetId="18" hidden="1">{"via1",#N/A,TRUE,"general";"via2",#N/A,TRUE,"general";"via3",#N/A,TRUE,"general"}</definedName>
    <definedName name="jytj" hidden="1">{"via1",#N/A,TRUE,"general";"via2",#N/A,TRUE,"general";"via3",#N/A,TRUE,"general"}</definedName>
    <definedName name="jyuju" localSheetId="15" hidden="1">{"via1",#N/A,TRUE,"general";"via2",#N/A,TRUE,"general";"via3",#N/A,TRUE,"general"}</definedName>
    <definedName name="jyuju" localSheetId="17" hidden="1">{"via1",#N/A,TRUE,"general";"via2",#N/A,TRUE,"general";"via3",#N/A,TRUE,"general"}</definedName>
    <definedName name="jyuju" localSheetId="19" hidden="1">{"via1",#N/A,TRUE,"general";"via2",#N/A,TRUE,"general";"via3",#N/A,TRUE,"general"}</definedName>
    <definedName name="jyuju" localSheetId="12"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4" hidden="1">{"via1",#N/A,TRUE,"general";"via2",#N/A,TRUE,"general";"via3",#N/A,TRUE,"general"}</definedName>
    <definedName name="jyuju" localSheetId="1" hidden="1">{"via1",#N/A,TRUE,"general";"via2",#N/A,TRUE,"general";"via3",#N/A,TRUE,"general"}</definedName>
    <definedName name="jyuju" localSheetId="14" hidden="1">{"via1",#N/A,TRUE,"general";"via2",#N/A,TRUE,"general";"via3",#N/A,TRUE,"general"}</definedName>
    <definedName name="jyuju" localSheetId="16" hidden="1">{"via1",#N/A,TRUE,"general";"via2",#N/A,TRUE,"general";"via3",#N/A,TRUE,"general"}</definedName>
    <definedName name="jyuju" localSheetId="18" hidden="1">{"via1",#N/A,TRUE,"general";"via2",#N/A,TRUE,"general";"via3",#N/A,TRUE,"general"}</definedName>
    <definedName name="jyuju" hidden="1">{"via1",#N/A,TRUE,"general";"via2",#N/A,TRUE,"general";"via3",#N/A,TRUE,"general"}</definedName>
    <definedName name="jyujyuj" localSheetId="15" hidden="1">{"via1",#N/A,TRUE,"general";"via2",#N/A,TRUE,"general";"via3",#N/A,TRUE,"general"}</definedName>
    <definedName name="jyujyuj" localSheetId="17" hidden="1">{"via1",#N/A,TRUE,"general";"via2",#N/A,TRUE,"general";"via3",#N/A,TRUE,"general"}</definedName>
    <definedName name="jyujyuj" localSheetId="19" hidden="1">{"via1",#N/A,TRUE,"general";"via2",#N/A,TRUE,"general";"via3",#N/A,TRUE,"general"}</definedName>
    <definedName name="jyujyuj" localSheetId="12"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4" hidden="1">{"via1",#N/A,TRUE,"general";"via2",#N/A,TRUE,"general";"via3",#N/A,TRUE,"general"}</definedName>
    <definedName name="jyujyuj" localSheetId="1" hidden="1">{"via1",#N/A,TRUE,"general";"via2",#N/A,TRUE,"general";"via3",#N/A,TRUE,"general"}</definedName>
    <definedName name="jyujyuj" localSheetId="14" hidden="1">{"via1",#N/A,TRUE,"general";"via2",#N/A,TRUE,"general";"via3",#N/A,TRUE,"general"}</definedName>
    <definedName name="jyujyuj" localSheetId="16" hidden="1">{"via1",#N/A,TRUE,"general";"via2",#N/A,TRUE,"general";"via3",#N/A,TRUE,"general"}</definedName>
    <definedName name="jyujyuj" localSheetId="18" hidden="1">{"via1",#N/A,TRUE,"general";"via2",#N/A,TRUE,"general";"via3",#N/A,TRUE,"general"}</definedName>
    <definedName name="jyujyuj" hidden="1">{"via1",#N/A,TRUE,"general";"via2",#N/A,TRUE,"general";"via3",#N/A,TRUE,"general"}</definedName>
    <definedName name="K" localSheetId="15" hidden="1">{"PYGT",#N/A,FALSE,"PYG";"ACTIT",#N/A,FALSE,"BCE_GRAL-ACTIVO";"PASIT",#N/A,FALSE,"BCE_GRAL-PASIVO-PATRIM";"CAJAT",#N/A,FALSE,"CAJA"}</definedName>
    <definedName name="K" localSheetId="17" hidden="1">{"PYGT",#N/A,FALSE,"PYG";"ACTIT",#N/A,FALSE,"BCE_GRAL-ACTIVO";"PASIT",#N/A,FALSE,"BCE_GRAL-PASIVO-PATRIM";"CAJAT",#N/A,FALSE,"CAJA"}</definedName>
    <definedName name="K" localSheetId="19" hidden="1">{"PYGT",#N/A,FALSE,"PYG";"ACTIT",#N/A,FALSE,"BCE_GRAL-ACTIVO";"PASIT",#N/A,FALSE,"BCE_GRAL-PASIVO-PATRIM";"CAJAT",#N/A,FALSE,"CAJA"}</definedName>
    <definedName name="K" localSheetId="11" hidden="1">{"PYGT",#N/A,FALSE,"PYG";"ACTIT",#N/A,FALSE,"BCE_GRAL-ACTIVO";"PASIT",#N/A,FALSE,"BCE_GRAL-PASIVO-PATRIM";"CAJAT",#N/A,FALSE,"CAJA"}</definedName>
    <definedName name="K" localSheetId="14" hidden="1">{"PYGT",#N/A,FALSE,"PYG";"ACTIT",#N/A,FALSE,"BCE_GRAL-ACTIVO";"PASIT",#N/A,FALSE,"BCE_GRAL-PASIVO-PATRIM";"CAJAT",#N/A,FALSE,"CAJA"}</definedName>
    <definedName name="K" localSheetId="16" hidden="1">{"PYGT",#N/A,FALSE,"PYG";"ACTIT",#N/A,FALSE,"BCE_GRAL-ACTIVO";"PASIT",#N/A,FALSE,"BCE_GRAL-PASIVO-PATRIM";"CAJAT",#N/A,FALSE,"CAJA"}</definedName>
    <definedName name="K" localSheetId="18" hidden="1">{"PYGT",#N/A,FALSE,"PYG";"ACTIT",#N/A,FALSE,"BCE_GRAL-ACTIVO";"PASIT",#N/A,FALSE,"BCE_GRAL-PASIVO-PATRIM";"CAJAT",#N/A,FALSE,"CAJA"}</definedName>
    <definedName name="K" hidden="1">{"PYGT",#N/A,FALSE,"PYG";"ACTIT",#N/A,FALSE,"BCE_GRAL-ACTIVO";"PASIT",#N/A,FALSE,"BCE_GRAL-PASIVO-PATRIM";"CAJAT",#N/A,FALSE,"CAJA"}</definedName>
    <definedName name="KDL" localSheetId="13" hidden="1">{#N/A,#N/A,TRUE,"1842CWN0"}</definedName>
    <definedName name="KDL" localSheetId="15" hidden="1">{#N/A,#N/A,TRUE,"1842CWN0"}</definedName>
    <definedName name="KDL" localSheetId="17" hidden="1">{#N/A,#N/A,TRUE,"1842CWN0"}</definedName>
    <definedName name="KDL" localSheetId="19" hidden="1">{#N/A,#N/A,TRUE,"1842CWN0"}</definedName>
    <definedName name="KDL" localSheetId="12" hidden="1">{#N/A,#N/A,TRUE,"1842CWN0"}</definedName>
    <definedName name="KDL" localSheetId="8" hidden="1">{#N/A,#N/A,TRUE,"1842CWN0"}</definedName>
    <definedName name="KDL" localSheetId="9" hidden="1">{#N/A,#N/A,TRUE,"1842CWN0"}</definedName>
    <definedName name="KDL" localSheetId="7" hidden="1">{#N/A,#N/A,TRUE,"1842CWN0"}</definedName>
    <definedName name="KDL" localSheetId="10" hidden="1">{#N/A,#N/A,TRUE,"1842CWN0"}</definedName>
    <definedName name="KDL" localSheetId="0" hidden="1">{#N/A,#N/A,TRUE,"1842CWN0"}</definedName>
    <definedName name="KDL" localSheetId="11" hidden="1">{#N/A,#N/A,TRUE,"1842CWN0"}</definedName>
    <definedName name="KDL" localSheetId="6" hidden="1">{#N/A,#N/A,TRUE,"1842CWN0"}</definedName>
    <definedName name="KDL" localSheetId="4" hidden="1">{#N/A,#N/A,TRUE,"1842CWN0"}</definedName>
    <definedName name="KDL" localSheetId="1" hidden="1">{#N/A,#N/A,TRUE,"1842CWN0"}</definedName>
    <definedName name="KDL" localSheetId="14" hidden="1">{#N/A,#N/A,TRUE,"1842CWN0"}</definedName>
    <definedName name="KDL" localSheetId="16" hidden="1">{#N/A,#N/A,TRUE,"1842CWN0"}</definedName>
    <definedName name="KDL" localSheetId="18" hidden="1">{#N/A,#N/A,TRUE,"1842CWN0"}</definedName>
    <definedName name="KDL" localSheetId="5" hidden="1">{#N/A,#N/A,TRUE,"1842CWN0"}</definedName>
    <definedName name="KDL" hidden="1">{#N/A,#N/A,TRUE,"1842CWN0"}</definedName>
    <definedName name="KDL_1" localSheetId="15" hidden="1">{#N/A,#N/A,TRUE,"1842CWN0"}</definedName>
    <definedName name="KDL_1" localSheetId="17" hidden="1">{#N/A,#N/A,TRUE,"1842CWN0"}</definedName>
    <definedName name="KDL_1" localSheetId="19" hidden="1">{#N/A,#N/A,TRUE,"1842CWN0"}</definedName>
    <definedName name="KDL_1" localSheetId="11" hidden="1">{#N/A,#N/A,TRUE,"1842CWN0"}</definedName>
    <definedName name="KDL_1" localSheetId="14" hidden="1">{#N/A,#N/A,TRUE,"1842CWN0"}</definedName>
    <definedName name="KDL_1" localSheetId="16" hidden="1">{#N/A,#N/A,TRUE,"1842CWN0"}</definedName>
    <definedName name="KDL_1" localSheetId="18" hidden="1">{#N/A,#N/A,TRUE,"1842CWN0"}</definedName>
    <definedName name="KDL_1" hidden="1">{#N/A,#N/A,TRUE,"1842CWN0"}</definedName>
    <definedName name="KDL_2" localSheetId="15" hidden="1">{#N/A,#N/A,TRUE,"1842CWN0"}</definedName>
    <definedName name="KDL_2" localSheetId="17" hidden="1">{#N/A,#N/A,TRUE,"1842CWN0"}</definedName>
    <definedName name="KDL_2" localSheetId="19" hidden="1">{#N/A,#N/A,TRUE,"1842CWN0"}</definedName>
    <definedName name="KDL_2" localSheetId="11" hidden="1">{#N/A,#N/A,TRUE,"1842CWN0"}</definedName>
    <definedName name="KDL_2" localSheetId="14" hidden="1">{#N/A,#N/A,TRUE,"1842CWN0"}</definedName>
    <definedName name="KDL_2" localSheetId="16" hidden="1">{#N/A,#N/A,TRUE,"1842CWN0"}</definedName>
    <definedName name="KDL_2" localSheetId="18" hidden="1">{#N/A,#N/A,TRUE,"1842CWN0"}</definedName>
    <definedName name="KDL_2" hidden="1">{#N/A,#N/A,TRUE,"1842CWN0"}</definedName>
    <definedName name="kdmfm" hidden="1">#REF!</definedName>
    <definedName name="KHGGH" localSheetId="15" hidden="1">{"via1",#N/A,TRUE,"general";"via2",#N/A,TRUE,"general";"via3",#N/A,TRUE,"general"}</definedName>
    <definedName name="KHGGH" localSheetId="17" hidden="1">{"via1",#N/A,TRUE,"general";"via2",#N/A,TRUE,"general";"via3",#N/A,TRUE,"general"}</definedName>
    <definedName name="KHGGH" localSheetId="19" hidden="1">{"via1",#N/A,TRUE,"general";"via2",#N/A,TRUE,"general";"via3",#N/A,TRUE,"general"}</definedName>
    <definedName name="KHGGH" localSheetId="12"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4" hidden="1">{"via1",#N/A,TRUE,"general";"via2",#N/A,TRUE,"general";"via3",#N/A,TRUE,"general"}</definedName>
    <definedName name="KHGGH" localSheetId="1" hidden="1">{"via1",#N/A,TRUE,"general";"via2",#N/A,TRUE,"general";"via3",#N/A,TRUE,"general"}</definedName>
    <definedName name="KHGGH" localSheetId="14" hidden="1">{"via1",#N/A,TRUE,"general";"via2",#N/A,TRUE,"general";"via3",#N/A,TRUE,"general"}</definedName>
    <definedName name="KHGGH" localSheetId="16" hidden="1">{"via1",#N/A,TRUE,"general";"via2",#N/A,TRUE,"general";"via3",#N/A,TRUE,"general"}</definedName>
    <definedName name="KHGGH" localSheetId="18" hidden="1">{"via1",#N/A,TRUE,"general";"via2",#N/A,TRUE,"general";"via3",#N/A,TRUE,"general"}</definedName>
    <definedName name="KHGGH" hidden="1">{"via1",#N/A,TRUE,"general";"via2",#N/A,TRUE,"general";"via3",#N/A,TRUE,"general"}</definedName>
    <definedName name="khjk7" localSheetId="15"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4" hidden="1">{"TAB1",#N/A,TRUE,"GENERAL";"TAB2",#N/A,TRUE,"GENERAL";"TAB3",#N/A,TRUE,"GENERAL";"TAB4",#N/A,TRUE,"GENERAL";"TAB5",#N/A,TRUE,"GENERAL"}</definedName>
    <definedName name="khjk7" localSheetId="1"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8" hidden="1">{"TAB1",#N/A,TRUE,"GENERAL";"TAB2",#N/A,TRUE,"GENERAL";"TAB3",#N/A,TRUE,"GENERAL";"TAB4",#N/A,TRUE,"GENERAL";"TAB5",#N/A,TRUE,"GENERAL"}</definedName>
    <definedName name="khjk7" hidden="1">{"TAB1",#N/A,TRUE,"GENERAL";"TAB2",#N/A,TRUE,"GENERAL";"TAB3",#N/A,TRUE,"GENERAL";"TAB4",#N/A,TRUE,"GENERAL";"TAB5",#N/A,TRUE,"GENERAL"}</definedName>
    <definedName name="kikik" localSheetId="15" hidden="1">{"via1",#N/A,TRUE,"general";"via2",#N/A,TRUE,"general";"via3",#N/A,TRUE,"general"}</definedName>
    <definedName name="kikik" localSheetId="17" hidden="1">{"via1",#N/A,TRUE,"general";"via2",#N/A,TRUE,"general";"via3",#N/A,TRUE,"general"}</definedName>
    <definedName name="kikik" localSheetId="19" hidden="1">{"via1",#N/A,TRUE,"general";"via2",#N/A,TRUE,"general";"via3",#N/A,TRUE,"general"}</definedName>
    <definedName name="kikik" localSheetId="12"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4" hidden="1">{"via1",#N/A,TRUE,"general";"via2",#N/A,TRUE,"general";"via3",#N/A,TRUE,"general"}</definedName>
    <definedName name="kikik" localSheetId="1" hidden="1">{"via1",#N/A,TRUE,"general";"via2",#N/A,TRUE,"general";"via3",#N/A,TRUE,"general"}</definedName>
    <definedName name="kikik" localSheetId="14" hidden="1">{"via1",#N/A,TRUE,"general";"via2",#N/A,TRUE,"general";"via3",#N/A,TRUE,"general"}</definedName>
    <definedName name="kikik" localSheetId="16" hidden="1">{"via1",#N/A,TRUE,"general";"via2",#N/A,TRUE,"general";"via3",#N/A,TRUE,"general"}</definedName>
    <definedName name="kikik" localSheetId="18" hidden="1">{"via1",#N/A,TRUE,"general";"via2",#N/A,TRUE,"general";"via3",#N/A,TRUE,"general"}</definedName>
    <definedName name="kikik" hidden="1">{"via1",#N/A,TRUE,"general";"via2",#N/A,TRUE,"general";"via3",#N/A,TRUE,"general"}</definedName>
    <definedName name="kjhkd" localSheetId="15" hidden="1">{"via1",#N/A,TRUE,"general";"via2",#N/A,TRUE,"general";"via3",#N/A,TRUE,"general"}</definedName>
    <definedName name="kjhkd" localSheetId="17" hidden="1">{"via1",#N/A,TRUE,"general";"via2",#N/A,TRUE,"general";"via3",#N/A,TRUE,"general"}</definedName>
    <definedName name="kjhkd" localSheetId="19" hidden="1">{"via1",#N/A,TRUE,"general";"via2",#N/A,TRUE,"general";"via3",#N/A,TRUE,"general"}</definedName>
    <definedName name="kjhkd" localSheetId="12"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4" hidden="1">{"via1",#N/A,TRUE,"general";"via2",#N/A,TRUE,"general";"via3",#N/A,TRUE,"general"}</definedName>
    <definedName name="kjhkd" localSheetId="1" hidden="1">{"via1",#N/A,TRUE,"general";"via2",#N/A,TRUE,"general";"via3",#N/A,TRUE,"general"}</definedName>
    <definedName name="kjhkd" localSheetId="14" hidden="1">{"via1",#N/A,TRUE,"general";"via2",#N/A,TRUE,"general";"via3",#N/A,TRUE,"general"}</definedName>
    <definedName name="kjhkd" localSheetId="16" hidden="1">{"via1",#N/A,TRUE,"general";"via2",#N/A,TRUE,"general";"via3",#N/A,TRUE,"general"}</definedName>
    <definedName name="kjhkd" localSheetId="18" hidden="1">{"via1",#N/A,TRUE,"general";"via2",#N/A,TRUE,"general";"via3",#N/A,TRUE,"general"}</definedName>
    <definedName name="kjhkd" hidden="1">{"via1",#N/A,TRUE,"general";"via2",#N/A,TRUE,"general";"via3",#N/A,TRUE,"general"}</definedName>
    <definedName name="kjk" localSheetId="15" hidden="1">{"via1",#N/A,TRUE,"general";"via2",#N/A,TRUE,"general";"via3",#N/A,TRUE,"general"}</definedName>
    <definedName name="kjk" localSheetId="17" hidden="1">{"via1",#N/A,TRUE,"general";"via2",#N/A,TRUE,"general";"via3",#N/A,TRUE,"general"}</definedName>
    <definedName name="kjk" localSheetId="19" hidden="1">{"via1",#N/A,TRUE,"general";"via2",#N/A,TRUE,"general";"via3",#N/A,TRUE,"general"}</definedName>
    <definedName name="kjk" localSheetId="12"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4" hidden="1">{"via1",#N/A,TRUE,"general";"via2",#N/A,TRUE,"general";"via3",#N/A,TRUE,"general"}</definedName>
    <definedName name="kjk" localSheetId="1" hidden="1">{"via1",#N/A,TRUE,"general";"via2",#N/A,TRUE,"general";"via3",#N/A,TRUE,"general"}</definedName>
    <definedName name="kjk" localSheetId="14" hidden="1">{"via1",#N/A,TRUE,"general";"via2",#N/A,TRUE,"general";"via3",#N/A,TRUE,"general"}</definedName>
    <definedName name="kjk" localSheetId="16" hidden="1">{"via1",#N/A,TRUE,"general";"via2",#N/A,TRUE,"general";"via3",#N/A,TRUE,"general"}</definedName>
    <definedName name="kjk" localSheetId="18" hidden="1">{"via1",#N/A,TRUE,"general";"via2",#N/A,TRUE,"general";"via3",#N/A,TRUE,"general"}</definedName>
    <definedName name="kjk" hidden="1">{"via1",#N/A,TRUE,"general";"via2",#N/A,TRUE,"general";"via3",#N/A,TRUE,"general"}</definedName>
    <definedName name="kjtrkjr" localSheetId="15" hidden="1">{"via1",#N/A,TRUE,"general";"via2",#N/A,TRUE,"general";"via3",#N/A,TRUE,"general"}</definedName>
    <definedName name="kjtrkjr" localSheetId="17" hidden="1">{"via1",#N/A,TRUE,"general";"via2",#N/A,TRUE,"general";"via3",#N/A,TRUE,"general"}</definedName>
    <definedName name="kjtrkjr" localSheetId="19" hidden="1">{"via1",#N/A,TRUE,"general";"via2",#N/A,TRUE,"general";"via3",#N/A,TRUE,"general"}</definedName>
    <definedName name="kjtrkjr" localSheetId="12"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4" hidden="1">{"via1",#N/A,TRUE,"general";"via2",#N/A,TRUE,"general";"via3",#N/A,TRUE,"general"}</definedName>
    <definedName name="kjtrkjr" localSheetId="1" hidden="1">{"via1",#N/A,TRUE,"general";"via2",#N/A,TRUE,"general";"via3",#N/A,TRUE,"general"}</definedName>
    <definedName name="kjtrkjr" localSheetId="14" hidden="1">{"via1",#N/A,TRUE,"general";"via2",#N/A,TRUE,"general";"via3",#N/A,TRUE,"general"}</definedName>
    <definedName name="kjtrkjr" localSheetId="16" hidden="1">{"via1",#N/A,TRUE,"general";"via2",#N/A,TRUE,"general";"via3",#N/A,TRUE,"general"}</definedName>
    <definedName name="kjtrkjr" localSheetId="18" hidden="1">{"via1",#N/A,TRUE,"general";"via2",#N/A,TRUE,"general";"via3",#N/A,TRUE,"general"}</definedName>
    <definedName name="kjtrkjr" hidden="1">{"via1",#N/A,TRUE,"general";"via2",#N/A,TRUE,"general";"via3",#N/A,TRUE,"general"}</definedName>
    <definedName name="kkkki" localSheetId="15" hidden="1">{"via1",#N/A,TRUE,"general";"via2",#N/A,TRUE,"general";"via3",#N/A,TRUE,"general"}</definedName>
    <definedName name="kkkki" localSheetId="17" hidden="1">{"via1",#N/A,TRUE,"general";"via2",#N/A,TRUE,"general";"via3",#N/A,TRUE,"general"}</definedName>
    <definedName name="kkkki" localSheetId="19" hidden="1">{"via1",#N/A,TRUE,"general";"via2",#N/A,TRUE,"general";"via3",#N/A,TRUE,"general"}</definedName>
    <definedName name="kkkki" localSheetId="12"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4" hidden="1">{"via1",#N/A,TRUE,"general";"via2",#N/A,TRUE,"general";"via3",#N/A,TRUE,"general"}</definedName>
    <definedName name="kkkki" localSheetId="1" hidden="1">{"via1",#N/A,TRUE,"general";"via2",#N/A,TRUE,"general";"via3",#N/A,TRUE,"general"}</definedName>
    <definedName name="kkkki" localSheetId="14" hidden="1">{"via1",#N/A,TRUE,"general";"via2",#N/A,TRUE,"general";"via3",#N/A,TRUE,"general"}</definedName>
    <definedName name="kkkki" localSheetId="16" hidden="1">{"via1",#N/A,TRUE,"general";"via2",#N/A,TRUE,"general";"via3",#N/A,TRUE,"general"}</definedName>
    <definedName name="kkkki" localSheetId="18" hidden="1">{"via1",#N/A,TRUE,"general";"via2",#N/A,TRUE,"general";"via3",#N/A,TRUE,"general"}</definedName>
    <definedName name="kkkki" hidden="1">{"via1",#N/A,TRUE,"general";"via2",#N/A,TRUE,"general";"via3",#N/A,TRUE,"general"}</definedName>
    <definedName name="kkkkkki" localSheetId="15"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8"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15" hidden="1">{"via1",#N/A,TRUE,"general";"via2",#N/A,TRUE,"general";"via3",#N/A,TRUE,"general"}</definedName>
    <definedName name="krtrk" localSheetId="17" hidden="1">{"via1",#N/A,TRUE,"general";"via2",#N/A,TRUE,"general";"via3",#N/A,TRUE,"general"}</definedName>
    <definedName name="krtrk" localSheetId="19" hidden="1">{"via1",#N/A,TRUE,"general";"via2",#N/A,TRUE,"general";"via3",#N/A,TRUE,"general"}</definedName>
    <definedName name="krtrk" localSheetId="12"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4" hidden="1">{"via1",#N/A,TRUE,"general";"via2",#N/A,TRUE,"general";"via3",#N/A,TRUE,"general"}</definedName>
    <definedName name="krtrk" localSheetId="1" hidden="1">{"via1",#N/A,TRUE,"general";"via2",#N/A,TRUE,"general";"via3",#N/A,TRUE,"general"}</definedName>
    <definedName name="krtrk" localSheetId="14" hidden="1">{"via1",#N/A,TRUE,"general";"via2",#N/A,TRUE,"general";"via3",#N/A,TRUE,"general"}</definedName>
    <definedName name="krtrk" localSheetId="16" hidden="1">{"via1",#N/A,TRUE,"general";"via2",#N/A,TRUE,"general";"via3",#N/A,TRUE,"general"}</definedName>
    <definedName name="krtrk" localSheetId="18" hidden="1">{"via1",#N/A,TRUE,"general";"via2",#N/A,TRUE,"general";"via3",#N/A,TRUE,"general"}</definedName>
    <definedName name="krtrk" hidden="1">{"via1",#N/A,TRUE,"general";"via2",#N/A,TRUE,"general";"via3",#N/A,TRUE,"general"}</definedName>
    <definedName name="kyr" localSheetId="15" hidden="1">{"TAB1",#N/A,TRUE,"GENERAL";"TAB2",#N/A,TRUE,"GENERAL";"TAB3",#N/A,TRUE,"GENERAL";"TAB4",#N/A,TRUE,"GENERAL";"TAB5",#N/A,TRUE,"GENERAL"}</definedName>
    <definedName name="kyr" localSheetId="17" hidden="1">{"TAB1",#N/A,TRUE,"GENERAL";"TAB2",#N/A,TRUE,"GENERAL";"TAB3",#N/A,TRUE,"GENERAL";"TAB4",#N/A,TRUE,"GENERAL";"TAB5",#N/A,TRUE,"GENERAL"}</definedName>
    <definedName name="kyr" localSheetId="19" hidden="1">{"TAB1",#N/A,TRUE,"GENERAL";"TAB2",#N/A,TRUE,"GENERAL";"TAB3",#N/A,TRUE,"GENERAL";"TAB4",#N/A,TRUE,"GENERAL";"TAB5",#N/A,TRUE,"GENERAL"}</definedName>
    <definedName name="kyr" localSheetId="12"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4" hidden="1">{"TAB1",#N/A,TRUE,"GENERAL";"TAB2",#N/A,TRUE,"GENERAL";"TAB3",#N/A,TRUE,"GENERAL";"TAB4",#N/A,TRUE,"GENERAL";"TAB5",#N/A,TRUE,"GENERAL"}</definedName>
    <definedName name="kyr" localSheetId="1" hidden="1">{"TAB1",#N/A,TRUE,"GENERAL";"TAB2",#N/A,TRUE,"GENERAL";"TAB3",#N/A,TRUE,"GENERAL";"TAB4",#N/A,TRUE,"GENERAL";"TAB5",#N/A,TRUE,"GENERAL"}</definedName>
    <definedName name="kyr" localSheetId="14" hidden="1">{"TAB1",#N/A,TRUE,"GENERAL";"TAB2",#N/A,TRUE,"GENERAL";"TAB3",#N/A,TRUE,"GENERAL";"TAB4",#N/A,TRUE,"GENERAL";"TAB5",#N/A,TRUE,"GENERAL"}</definedName>
    <definedName name="kyr" localSheetId="16" hidden="1">{"TAB1",#N/A,TRUE,"GENERAL";"TAB2",#N/A,TRUE,"GENERAL";"TAB3",#N/A,TRUE,"GENERAL";"TAB4",#N/A,TRUE,"GENERAL";"TAB5",#N/A,TRUE,"GENERAL"}</definedName>
    <definedName name="kyr" localSheetId="18"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15"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4" hidden="1">{"TAB1",#N/A,TRUE,"GENERAL";"TAB2",#N/A,TRUE,"GENERAL";"TAB3",#N/A,TRUE,"GENERAL";"TAB4",#N/A,TRUE,"GENERAL";"TAB5",#N/A,TRUE,"GENERAL"}</definedName>
    <definedName name="liuoo" localSheetId="1"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8" hidden="1">{"TAB1",#N/A,TRUE,"GENERAL";"TAB2",#N/A,TRUE,"GENERAL";"TAB3",#N/A,TRUE,"GENERAL";"TAB4",#N/A,TRUE,"GENERAL";"TAB5",#N/A,TRUE,"GENERAL"}</definedName>
    <definedName name="liuoo" hidden="1">{"TAB1",#N/A,TRUE,"GENERAL";"TAB2",#N/A,TRUE,"GENERAL";"TAB3",#N/A,TRUE,"GENERAL";"TAB4",#N/A,TRUE,"GENERAL";"TAB5",#N/A,TRUE,"GENERAL"}</definedName>
    <definedName name="lkj" localSheetId="15" hidden="1">{"via1",#N/A,TRUE,"general";"via2",#N/A,TRUE,"general";"via3",#N/A,TRUE,"general"}</definedName>
    <definedName name="lkj" localSheetId="17" hidden="1">{"via1",#N/A,TRUE,"general";"via2",#N/A,TRUE,"general";"via3",#N/A,TRUE,"general"}</definedName>
    <definedName name="lkj" localSheetId="19" hidden="1">{"via1",#N/A,TRUE,"general";"via2",#N/A,TRUE,"general";"via3",#N/A,TRUE,"general"}</definedName>
    <definedName name="lkj" localSheetId="12"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4" hidden="1">{"via1",#N/A,TRUE,"general";"via2",#N/A,TRUE,"general";"via3",#N/A,TRUE,"general"}</definedName>
    <definedName name="lkj" localSheetId="1" hidden="1">{"via1",#N/A,TRUE,"general";"via2",#N/A,TRUE,"general";"via3",#N/A,TRUE,"general"}</definedName>
    <definedName name="lkj" localSheetId="14" hidden="1">{"via1",#N/A,TRUE,"general";"via2",#N/A,TRUE,"general";"via3",#N/A,TRUE,"general"}</definedName>
    <definedName name="lkj" localSheetId="16" hidden="1">{"via1",#N/A,TRUE,"general";"via2",#N/A,TRUE,"general";"via3",#N/A,TRUE,"general"}</definedName>
    <definedName name="lkj" localSheetId="18" hidden="1">{"via1",#N/A,TRUE,"general";"via2",#N/A,TRUE,"general";"via3",#N/A,TRUE,"general"}</definedName>
    <definedName name="lkj" hidden="1">{"via1",#N/A,TRUE,"general";"via2",#N/A,TRUE,"general";"via3",#N/A,TRUE,"general"}</definedName>
    <definedName name="LKJLJK" localSheetId="15"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8" hidden="1">{"TAB1",#N/A,TRUE,"GENERAL";"TAB2",#N/A,TRUE,"GENERAL";"TAB3",#N/A,TRUE,"GENERAL";"TAB4",#N/A,TRUE,"GENERAL";"TAB5",#N/A,TRUE,"GENERAL"}</definedName>
    <definedName name="LKJLJK" hidden="1">{"TAB1",#N/A,TRUE,"GENERAL";"TAB2",#N/A,TRUE,"GENERAL";"TAB3",#N/A,TRUE,"GENERAL";"TAB4",#N/A,TRUE,"GENERAL";"TAB5",#N/A,TRUE,"GENERAL"}</definedName>
    <definedName name="LL" localSheetId="12"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15" hidden="1">{"via1",#N/A,TRUE,"general";"via2",#N/A,TRUE,"general";"via3",#N/A,TRUE,"general"}</definedName>
    <definedName name="lllllh" localSheetId="17" hidden="1">{"via1",#N/A,TRUE,"general";"via2",#N/A,TRUE,"general";"via3",#N/A,TRUE,"general"}</definedName>
    <definedName name="lllllh" localSheetId="19" hidden="1">{"via1",#N/A,TRUE,"general";"via2",#N/A,TRUE,"general";"via3",#N/A,TRUE,"general"}</definedName>
    <definedName name="lllllh" localSheetId="12"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4" hidden="1">{"via1",#N/A,TRUE,"general";"via2",#N/A,TRUE,"general";"via3",#N/A,TRUE,"general"}</definedName>
    <definedName name="lllllh" localSheetId="1" hidden="1">{"via1",#N/A,TRUE,"general";"via2",#N/A,TRUE,"general";"via3",#N/A,TRUE,"general"}</definedName>
    <definedName name="lllllh" localSheetId="14" hidden="1">{"via1",#N/A,TRUE,"general";"via2",#N/A,TRUE,"general";"via3",#N/A,TRUE,"general"}</definedName>
    <definedName name="lllllh" localSheetId="16" hidden="1">{"via1",#N/A,TRUE,"general";"via2",#N/A,TRUE,"general";"via3",#N/A,TRUE,"general"}</definedName>
    <definedName name="lllllh" localSheetId="18" hidden="1">{"via1",#N/A,TRUE,"general";"via2",#N/A,TRUE,"general";"via3",#N/A,TRUE,"general"}</definedName>
    <definedName name="lllllh" hidden="1">{"via1",#N/A,TRUE,"general";"via2",#N/A,TRUE,"general";"via3",#N/A,TRUE,"general"}</definedName>
    <definedName name="lllllllo" localSheetId="15" hidden="1">{"via1",#N/A,TRUE,"general";"via2",#N/A,TRUE,"general";"via3",#N/A,TRUE,"general"}</definedName>
    <definedName name="lllllllo" localSheetId="17" hidden="1">{"via1",#N/A,TRUE,"general";"via2",#N/A,TRUE,"general";"via3",#N/A,TRUE,"general"}</definedName>
    <definedName name="lllllllo" localSheetId="19" hidden="1">{"via1",#N/A,TRUE,"general";"via2",#N/A,TRUE,"general";"via3",#N/A,TRUE,"general"}</definedName>
    <definedName name="lllllllo" localSheetId="12"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4" hidden="1">{"via1",#N/A,TRUE,"general";"via2",#N/A,TRUE,"general";"via3",#N/A,TRUE,"general"}</definedName>
    <definedName name="lllllllo" localSheetId="1" hidden="1">{"via1",#N/A,TRUE,"general";"via2",#N/A,TRUE,"general";"via3",#N/A,TRUE,"general"}</definedName>
    <definedName name="lllllllo" localSheetId="14" hidden="1">{"via1",#N/A,TRUE,"general";"via2",#N/A,TRUE,"general";"via3",#N/A,TRUE,"general"}</definedName>
    <definedName name="lllllllo" localSheetId="16" hidden="1">{"via1",#N/A,TRUE,"general";"via2",#N/A,TRUE,"general";"via3",#N/A,TRUE,"general"}</definedName>
    <definedName name="lllllllo" localSheetId="18" hidden="1">{"via1",#N/A,TRUE,"general";"via2",#N/A,TRUE,"general";"via3",#N/A,TRUE,"general"}</definedName>
    <definedName name="lllllllo" hidden="1">{"via1",#N/A,TRUE,"general";"via2",#N/A,TRUE,"general";"via3",#N/A,TRUE,"general"}</definedName>
    <definedName name="lo" localSheetId="15" hidden="1">{#N/A,#N/A,FALSE,"GRAFICO";#N/A,#N/A,FALSE,"CAJA (2)";#N/A,#N/A,FALSE,"TERCEROS-PROMEDIO";#N/A,#N/A,FALSE,"CAJA";#N/A,#N/A,FALSE,"INGRESOS1995-2003";#N/A,#N/A,FALSE,"GASTOS1995-2003"}</definedName>
    <definedName name="lo" localSheetId="17" hidden="1">{#N/A,#N/A,FALSE,"GRAFICO";#N/A,#N/A,FALSE,"CAJA (2)";#N/A,#N/A,FALSE,"TERCEROS-PROMEDIO";#N/A,#N/A,FALSE,"CAJA";#N/A,#N/A,FALSE,"INGRESOS1995-2003";#N/A,#N/A,FALSE,"GASTOS1995-2003"}</definedName>
    <definedName name="lo" localSheetId="19" hidden="1">{#N/A,#N/A,FALSE,"GRAFICO";#N/A,#N/A,FALSE,"CAJA (2)";#N/A,#N/A,FALSE,"TERCEROS-PROMEDIO";#N/A,#N/A,FALSE,"CAJA";#N/A,#N/A,FALSE,"INGRESOS1995-2003";#N/A,#N/A,FALSE,"GASTOS1995-2003"}</definedName>
    <definedName name="lo" localSheetId="11" hidden="1">{#N/A,#N/A,FALSE,"GRAFICO";#N/A,#N/A,FALSE,"CAJA (2)";#N/A,#N/A,FALSE,"TERCEROS-PROMEDIO";#N/A,#N/A,FALSE,"CAJA";#N/A,#N/A,FALSE,"INGRESOS1995-2003";#N/A,#N/A,FALSE,"GASTOS1995-2003"}</definedName>
    <definedName name="lo" localSheetId="14" hidden="1">{#N/A,#N/A,FALSE,"GRAFICO";#N/A,#N/A,FALSE,"CAJA (2)";#N/A,#N/A,FALSE,"TERCEROS-PROMEDIO";#N/A,#N/A,FALSE,"CAJA";#N/A,#N/A,FALSE,"INGRESOS1995-2003";#N/A,#N/A,FALSE,"GASTOS1995-2003"}</definedName>
    <definedName name="lo" localSheetId="16" hidden="1">{#N/A,#N/A,FALSE,"GRAFICO";#N/A,#N/A,FALSE,"CAJA (2)";#N/A,#N/A,FALSE,"TERCEROS-PROMEDIO";#N/A,#N/A,FALSE,"CAJA";#N/A,#N/A,FALSE,"INGRESOS1995-2003";#N/A,#N/A,FALSE,"GASTOS1995-2003"}</definedName>
    <definedName name="lo" localSheetId="18"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15"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4" hidden="1">{"TAB1",#N/A,TRUE,"GENERAL";"TAB2",#N/A,TRUE,"GENERAL";"TAB3",#N/A,TRUE,"GENERAL";"TAB4",#N/A,TRUE,"GENERAL";"TAB5",#N/A,TRUE,"GENERAL"}</definedName>
    <definedName name="lolol" localSheetId="1"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8" hidden="1">{"TAB1",#N/A,TRUE,"GENERAL";"TAB2",#N/A,TRUE,"GENERAL";"TAB3",#N/A,TRUE,"GENERAL";"TAB4",#N/A,TRUE,"GENERAL";"TAB5",#N/A,TRUE,"GENERAL"}</definedName>
    <definedName name="lolol" hidden="1">{"TAB1",#N/A,TRUE,"GENERAL";"TAB2",#N/A,TRUE,"GENERAL";"TAB3",#N/A,TRUE,"GENERAL";"TAB4",#N/A,TRUE,"GENERAL";"TAB5",#N/A,TRUE,"GENERAL"}</definedName>
    <definedName name="lplpl" localSheetId="15" hidden="1">{"via1",#N/A,TRUE,"general";"via2",#N/A,TRUE,"general";"via3",#N/A,TRUE,"general"}</definedName>
    <definedName name="lplpl" localSheetId="17" hidden="1">{"via1",#N/A,TRUE,"general";"via2",#N/A,TRUE,"general";"via3",#N/A,TRUE,"general"}</definedName>
    <definedName name="lplpl" localSheetId="19" hidden="1">{"via1",#N/A,TRUE,"general";"via2",#N/A,TRUE,"general";"via3",#N/A,TRUE,"general"}</definedName>
    <definedName name="lplpl" localSheetId="12"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4" hidden="1">{"via1",#N/A,TRUE,"general";"via2",#N/A,TRUE,"general";"via3",#N/A,TRUE,"general"}</definedName>
    <definedName name="lplpl" localSheetId="1" hidden="1">{"via1",#N/A,TRUE,"general";"via2",#N/A,TRUE,"general";"via3",#N/A,TRUE,"general"}</definedName>
    <definedName name="lplpl" localSheetId="14" hidden="1">{"via1",#N/A,TRUE,"general";"via2",#N/A,TRUE,"general";"via3",#N/A,TRUE,"general"}</definedName>
    <definedName name="lplpl" localSheetId="16" hidden="1">{"via1",#N/A,TRUE,"general";"via2",#N/A,TRUE,"general";"via3",#N/A,TRUE,"general"}</definedName>
    <definedName name="lplpl" localSheetId="18" hidden="1">{"via1",#N/A,TRUE,"general";"via2",#N/A,TRUE,"general";"via3",#N/A,TRUE,"general"}</definedName>
    <definedName name="lplpl" hidden="1">{"via1",#N/A,TRUE,"general";"via2",#N/A,TRUE,"general";"via3",#N/A,TRUE,"general"}</definedName>
    <definedName name="lucy" localSheetId="12" hidden="1">{"TAB1",#N/A,TRUE,"GENERAL";"TAB2",#N/A,TRUE,"GENERAL";"TAB3",#N/A,TRUE,"GENERAL";"TAB4",#N/A,TRUE,"GENERAL";"TAB5",#N/A,TRUE,"GENERAL"}</definedName>
    <definedName name="lucy" localSheetId="8" hidden="1">{"TAB1",#N/A,TRUE,"GENERAL";"TAB2",#N/A,TRUE,"GENERAL";"TAB3",#N/A,TRUE,"GENERAL";"TAB4",#N/A,TRUE,"GENERAL";"TAB5",#N/A,TRUE,"GENERAL"}</definedName>
    <definedName name="lucy" localSheetId="9" hidden="1">{"TAB1",#N/A,TRUE,"GENERAL";"TAB2",#N/A,TRUE,"GENERAL";"TAB3",#N/A,TRUE,"GENERAL";"TAB4",#N/A,TRUE,"GENERAL";"TAB5",#N/A,TRUE,"GENERAL"}</definedName>
    <definedName name="lucy" localSheetId="7" hidden="1">{"TAB1",#N/A,TRUE,"GENERAL";"TAB2",#N/A,TRUE,"GENERAL";"TAB3",#N/A,TRUE,"GENERAL";"TAB4",#N/A,TRUE,"GENERAL";"TAB5",#N/A,TRUE,"GENERAL"}</definedName>
    <definedName name="lucy" localSheetId="1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5" hidden="1">{"via1",#N/A,TRUE,"general";"via2",#N/A,TRUE,"general";"via3",#N/A,TRUE,"general"}</definedName>
    <definedName name="mafdsf" localSheetId="17" hidden="1">{"via1",#N/A,TRUE,"general";"via2",#N/A,TRUE,"general";"via3",#N/A,TRUE,"general"}</definedName>
    <definedName name="mafdsf" localSheetId="19" hidden="1">{"via1",#N/A,TRUE,"general";"via2",#N/A,TRUE,"general";"via3",#N/A,TRUE,"general"}</definedName>
    <definedName name="mafdsf" localSheetId="12"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4" hidden="1">{"via1",#N/A,TRUE,"general";"via2",#N/A,TRUE,"general";"via3",#N/A,TRUE,"general"}</definedName>
    <definedName name="mafdsf" localSheetId="1" hidden="1">{"via1",#N/A,TRUE,"general";"via2",#N/A,TRUE,"general";"via3",#N/A,TRUE,"general"}</definedName>
    <definedName name="mafdsf" localSheetId="14" hidden="1">{"via1",#N/A,TRUE,"general";"via2",#N/A,TRUE,"general";"via3",#N/A,TRUE,"general"}</definedName>
    <definedName name="mafdsf" localSheetId="16" hidden="1">{"via1",#N/A,TRUE,"general";"via2",#N/A,TRUE,"general";"via3",#N/A,TRUE,"general"}</definedName>
    <definedName name="mafdsf" localSheetId="18" hidden="1">{"via1",#N/A,TRUE,"general";"via2",#N/A,TRUE,"general";"via3",#N/A,TRUE,"general"}</definedName>
    <definedName name="mafdsf" hidden="1">{"via1",#N/A,TRUE,"general";"via2",#N/A,TRUE,"general";"via3",#N/A,TRUE,"general"}</definedName>
    <definedName name="mao" localSheetId="15" hidden="1">{"TAB1",#N/A,TRUE,"GENERAL";"TAB2",#N/A,TRUE,"GENERAL";"TAB3",#N/A,TRUE,"GENERAL";"TAB4",#N/A,TRUE,"GENERAL";"TAB5",#N/A,TRUE,"GENERAL"}</definedName>
    <definedName name="mao" localSheetId="17" hidden="1">{"TAB1",#N/A,TRUE,"GENERAL";"TAB2",#N/A,TRUE,"GENERAL";"TAB3",#N/A,TRUE,"GENERAL";"TAB4",#N/A,TRUE,"GENERAL";"TAB5",#N/A,TRUE,"GENERAL"}</definedName>
    <definedName name="mao" localSheetId="19" hidden="1">{"TAB1",#N/A,TRUE,"GENERAL";"TAB2",#N/A,TRUE,"GENERAL";"TAB3",#N/A,TRUE,"GENERAL";"TAB4",#N/A,TRUE,"GENERAL";"TAB5",#N/A,TRUE,"GENERAL"}</definedName>
    <definedName name="mao" localSheetId="12"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4" hidden="1">{"TAB1",#N/A,TRUE,"GENERAL";"TAB2",#N/A,TRUE,"GENERAL";"TAB3",#N/A,TRUE,"GENERAL";"TAB4",#N/A,TRUE,"GENERAL";"TAB5",#N/A,TRUE,"GENERAL"}</definedName>
    <definedName name="mao" localSheetId="1" hidden="1">{"TAB1",#N/A,TRUE,"GENERAL";"TAB2",#N/A,TRUE,"GENERAL";"TAB3",#N/A,TRUE,"GENERAL";"TAB4",#N/A,TRUE,"GENERAL";"TAB5",#N/A,TRUE,"GENERAL"}</definedName>
    <definedName name="mao" localSheetId="14" hidden="1">{"TAB1",#N/A,TRUE,"GENERAL";"TAB2",#N/A,TRUE,"GENERAL";"TAB3",#N/A,TRUE,"GENERAL";"TAB4",#N/A,TRUE,"GENERAL";"TAB5",#N/A,TRUE,"GENERAL"}</definedName>
    <definedName name="mao" localSheetId="16" hidden="1">{"TAB1",#N/A,TRUE,"GENERAL";"TAB2",#N/A,TRUE,"GENERAL";"TAB3",#N/A,TRUE,"GENERAL";"TAB4",#N/A,TRUE,"GENERAL";"TAB5",#N/A,TRUE,"GENERAL"}</definedName>
    <definedName name="mao" localSheetId="18" hidden="1">{"TAB1",#N/A,TRUE,"GENERAL";"TAB2",#N/A,TRUE,"GENERAL";"TAB3",#N/A,TRUE,"GENERAL";"TAB4",#N/A,TRUE,"GENERAL";"TAB5",#N/A,TRUE,"GENERAL"}</definedName>
    <definedName name="mao" hidden="1">{"TAB1",#N/A,TRUE,"GENERAL";"TAB2",#N/A,TRUE,"GENERAL";"TAB3",#N/A,TRUE,"GENERAL";"TAB4",#N/A,TRUE,"GENERAL";"TAB5",#N/A,TRUE,"GENERAL"}</definedName>
    <definedName name="maow" localSheetId="15" hidden="1">{"via1",#N/A,TRUE,"general";"via2",#N/A,TRUE,"general";"via3",#N/A,TRUE,"general"}</definedName>
    <definedName name="maow" localSheetId="17" hidden="1">{"via1",#N/A,TRUE,"general";"via2",#N/A,TRUE,"general";"via3",#N/A,TRUE,"general"}</definedName>
    <definedName name="maow" localSheetId="19" hidden="1">{"via1",#N/A,TRUE,"general";"via2",#N/A,TRUE,"general";"via3",#N/A,TRUE,"general"}</definedName>
    <definedName name="maow" localSheetId="12"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4" hidden="1">{"via1",#N/A,TRUE,"general";"via2",#N/A,TRUE,"general";"via3",#N/A,TRUE,"general"}</definedName>
    <definedName name="maow" localSheetId="1" hidden="1">{"via1",#N/A,TRUE,"general";"via2",#N/A,TRUE,"general";"via3",#N/A,TRUE,"general"}</definedName>
    <definedName name="maow" localSheetId="14" hidden="1">{"via1",#N/A,TRUE,"general";"via2",#N/A,TRUE,"general";"via3",#N/A,TRUE,"general"}</definedName>
    <definedName name="maow" localSheetId="16" hidden="1">{"via1",#N/A,TRUE,"general";"via2",#N/A,TRUE,"general";"via3",#N/A,TRUE,"general"}</definedName>
    <definedName name="maow" localSheetId="18" hidden="1">{"via1",#N/A,TRUE,"general";"via2",#N/A,TRUE,"general";"via3",#N/A,TRUE,"general"}</definedName>
    <definedName name="maow" hidden="1">{"via1",#N/A,TRUE,"general";"via2",#N/A,TRUE,"general";"via3",#N/A,TRUE,"general"}</definedName>
    <definedName name="MARAVILLA" localSheetId="12" hidden="1">{"PRES REHAB ARM-PER POR ITEMS  KM A KM",#N/A,TRUE,"Rehabilitacion Arm-Per"}</definedName>
    <definedName name="MARAVILLA" localSheetId="8" hidden="1">{"PRES REHAB ARM-PER POR ITEMS  KM A KM",#N/A,TRUE,"Rehabilitacion Arm-Per"}</definedName>
    <definedName name="MARAVILLA" localSheetId="9" hidden="1">{"PRES REHAB ARM-PER POR ITEMS  KM A KM",#N/A,TRUE,"Rehabilitacion Arm-Per"}</definedName>
    <definedName name="MARAVILLA" localSheetId="7" hidden="1">{"PRES REHAB ARM-PER POR ITEMS  KM A KM",#N/A,TRUE,"Rehabilitacion Arm-Per"}</definedName>
    <definedName name="MARAVILLA" localSheetId="1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kP" localSheetId="15" hidden="1">{#N/A,#N/A,FALSE,"GRAFICO";#N/A,#N/A,FALSE,"CAJA (2)";#N/A,#N/A,FALSE,"TERCEROS-PROMEDIO";#N/A,#N/A,FALSE,"CAJA";#N/A,#N/A,FALSE,"INGRESOS1995-2003";#N/A,#N/A,FALSE,"GASTOS1995-2003"}</definedName>
    <definedName name="MarkP" localSheetId="17" hidden="1">{#N/A,#N/A,FALSE,"GRAFICO";#N/A,#N/A,FALSE,"CAJA (2)";#N/A,#N/A,FALSE,"TERCEROS-PROMEDIO";#N/A,#N/A,FALSE,"CAJA";#N/A,#N/A,FALSE,"INGRESOS1995-2003";#N/A,#N/A,FALSE,"GASTOS1995-2003"}</definedName>
    <definedName name="MarkP" localSheetId="19" hidden="1">{#N/A,#N/A,FALSE,"GRAFICO";#N/A,#N/A,FALSE,"CAJA (2)";#N/A,#N/A,FALSE,"TERCEROS-PROMEDIO";#N/A,#N/A,FALSE,"CAJA";#N/A,#N/A,FALSE,"INGRESOS1995-2003";#N/A,#N/A,FALSE,"GASTOS1995-2003"}</definedName>
    <definedName name="MarkP" localSheetId="11" hidden="1">{#N/A,#N/A,FALSE,"GRAFICO";#N/A,#N/A,FALSE,"CAJA (2)";#N/A,#N/A,FALSE,"TERCEROS-PROMEDIO";#N/A,#N/A,FALSE,"CAJA";#N/A,#N/A,FALSE,"INGRESOS1995-2003";#N/A,#N/A,FALSE,"GASTOS1995-2003"}</definedName>
    <definedName name="MarkP" localSheetId="14" hidden="1">{#N/A,#N/A,FALSE,"GRAFICO";#N/A,#N/A,FALSE,"CAJA (2)";#N/A,#N/A,FALSE,"TERCEROS-PROMEDIO";#N/A,#N/A,FALSE,"CAJA";#N/A,#N/A,FALSE,"INGRESOS1995-2003";#N/A,#N/A,FALSE,"GASTOS1995-2003"}</definedName>
    <definedName name="MarkP" localSheetId="16" hidden="1">{#N/A,#N/A,FALSE,"GRAFICO";#N/A,#N/A,FALSE,"CAJA (2)";#N/A,#N/A,FALSE,"TERCEROS-PROMEDIO";#N/A,#N/A,FALSE,"CAJA";#N/A,#N/A,FALSE,"INGRESOS1995-2003";#N/A,#N/A,FALSE,"GASTOS1995-2003"}</definedName>
    <definedName name="MarkP" localSheetId="18"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12" hidden="1">{"PRES REHAB ARM-PER POR ITEMS  KM A KM",#N/A,TRUE,"Rehabilitacion Arm-Per"}</definedName>
    <definedName name="MARYLUZ" localSheetId="8" hidden="1">{"PRES REHAB ARM-PER POR ITEMS  KM A KM",#N/A,TRUE,"Rehabilitacion Arm-Per"}</definedName>
    <definedName name="MARYLUZ" localSheetId="9" hidden="1">{"PRES REHAB ARM-PER POR ITEMS  KM A KM",#N/A,TRUE,"Rehabilitacion Arm-Per"}</definedName>
    <definedName name="MARYLUZ" localSheetId="7" hidden="1">{"PRES REHAB ARM-PER POR ITEMS  KM A KM",#N/A,TRUE,"Rehabilitacion Arm-Per"}</definedName>
    <definedName name="MARYLUZ" localSheetId="1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15" hidden="1">{"via1",#N/A,TRUE,"general";"via2",#N/A,TRUE,"general";"via3",#N/A,TRUE,"general"}</definedName>
    <definedName name="masor" localSheetId="17" hidden="1">{"via1",#N/A,TRUE,"general";"via2",#N/A,TRUE,"general";"via3",#N/A,TRUE,"general"}</definedName>
    <definedName name="masor" localSheetId="19" hidden="1">{"via1",#N/A,TRUE,"general";"via2",#N/A,TRUE,"general";"via3",#N/A,TRUE,"general"}</definedName>
    <definedName name="masor" localSheetId="12"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4" hidden="1">{"via1",#N/A,TRUE,"general";"via2",#N/A,TRUE,"general";"via3",#N/A,TRUE,"general"}</definedName>
    <definedName name="masor" localSheetId="1" hidden="1">{"via1",#N/A,TRUE,"general";"via2",#N/A,TRUE,"general";"via3",#N/A,TRUE,"general"}</definedName>
    <definedName name="masor" localSheetId="14" hidden="1">{"via1",#N/A,TRUE,"general";"via2",#N/A,TRUE,"general";"via3",#N/A,TRUE,"general"}</definedName>
    <definedName name="masor" localSheetId="16" hidden="1">{"via1",#N/A,TRUE,"general";"via2",#N/A,TRUE,"general";"via3",#N/A,TRUE,"general"}</definedName>
    <definedName name="masor" localSheetId="18" hidden="1">{"via1",#N/A,TRUE,"general";"via2",#N/A,TRUE,"general";"via3",#N/A,TRUE,"general"}</definedName>
    <definedName name="masor" hidden="1">{"via1",#N/A,TRUE,"general";"via2",#N/A,TRUE,"general";"via3",#N/A,TRUE,"general"}</definedName>
    <definedName name="mdd" localSheetId="15" hidden="1">{"via1",#N/A,TRUE,"general";"via2",#N/A,TRUE,"general";"via3",#N/A,TRUE,"general"}</definedName>
    <definedName name="mdd" localSheetId="17" hidden="1">{"via1",#N/A,TRUE,"general";"via2",#N/A,TRUE,"general";"via3",#N/A,TRUE,"general"}</definedName>
    <definedName name="mdd" localSheetId="19" hidden="1">{"via1",#N/A,TRUE,"general";"via2",#N/A,TRUE,"general";"via3",#N/A,TRUE,"general"}</definedName>
    <definedName name="mdd" localSheetId="12"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4" hidden="1">{"via1",#N/A,TRUE,"general";"via2",#N/A,TRUE,"general";"via3",#N/A,TRUE,"general"}</definedName>
    <definedName name="mdd" localSheetId="1" hidden="1">{"via1",#N/A,TRUE,"general";"via2",#N/A,TRUE,"general";"via3",#N/A,TRUE,"general"}</definedName>
    <definedName name="mdd" localSheetId="14" hidden="1">{"via1",#N/A,TRUE,"general";"via2",#N/A,TRUE,"general";"via3",#N/A,TRUE,"general"}</definedName>
    <definedName name="mdd" localSheetId="16" hidden="1">{"via1",#N/A,TRUE,"general";"via2",#N/A,TRUE,"general";"via3",#N/A,TRUE,"general"}</definedName>
    <definedName name="mdd" localSheetId="18" hidden="1">{"via1",#N/A,TRUE,"general";"via2",#N/A,TRUE,"general";"via3",#N/A,TRUE,"general"}</definedName>
    <definedName name="mdd" hidden="1">{"via1",#N/A,TRUE,"general";"via2",#N/A,TRUE,"general";"via3",#N/A,TRUE,"general"}</definedName>
    <definedName name="meg" localSheetId="15" hidden="1">{"TAB1",#N/A,TRUE,"GENERAL";"TAB2",#N/A,TRUE,"GENERAL";"TAB3",#N/A,TRUE,"GENERAL";"TAB4",#N/A,TRUE,"GENERAL";"TAB5",#N/A,TRUE,"GENERAL"}</definedName>
    <definedName name="meg" localSheetId="17" hidden="1">{"TAB1",#N/A,TRUE,"GENERAL";"TAB2",#N/A,TRUE,"GENERAL";"TAB3",#N/A,TRUE,"GENERAL";"TAB4",#N/A,TRUE,"GENERAL";"TAB5",#N/A,TRUE,"GENERAL"}</definedName>
    <definedName name="meg" localSheetId="19" hidden="1">{"TAB1",#N/A,TRUE,"GENERAL";"TAB2",#N/A,TRUE,"GENERAL";"TAB3",#N/A,TRUE,"GENERAL";"TAB4",#N/A,TRUE,"GENERAL";"TAB5",#N/A,TRUE,"GENERAL"}</definedName>
    <definedName name="meg" localSheetId="12"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4" hidden="1">{"TAB1",#N/A,TRUE,"GENERAL";"TAB2",#N/A,TRUE,"GENERAL";"TAB3",#N/A,TRUE,"GENERAL";"TAB4",#N/A,TRUE,"GENERAL";"TAB5",#N/A,TRUE,"GENERAL"}</definedName>
    <definedName name="meg" localSheetId="1" hidden="1">{"TAB1",#N/A,TRUE,"GENERAL";"TAB2",#N/A,TRUE,"GENERAL";"TAB3",#N/A,TRUE,"GENERAL";"TAB4",#N/A,TRUE,"GENERAL";"TAB5",#N/A,TRUE,"GENERAL"}</definedName>
    <definedName name="meg" localSheetId="14" hidden="1">{"TAB1",#N/A,TRUE,"GENERAL";"TAB2",#N/A,TRUE,"GENERAL";"TAB3",#N/A,TRUE,"GENERAL";"TAB4",#N/A,TRUE,"GENERAL";"TAB5",#N/A,TRUE,"GENERAL"}</definedName>
    <definedName name="meg" localSheetId="16" hidden="1">{"TAB1",#N/A,TRUE,"GENERAL";"TAB2",#N/A,TRUE,"GENERAL";"TAB3",#N/A,TRUE,"GENERAL";"TAB4",#N/A,TRUE,"GENERAL";"TAB5",#N/A,TRUE,"GENERAL"}</definedName>
    <definedName name="meg" localSheetId="18" hidden="1">{"TAB1",#N/A,TRUE,"GENERAL";"TAB2",#N/A,TRUE,"GENERAL";"TAB3",#N/A,TRUE,"GENERAL";"TAB4",#N/A,TRUE,"GENERAL";"TAB5",#N/A,TRUE,"GENERAL"}</definedName>
    <definedName name="meg" hidden="1">{"TAB1",#N/A,TRUE,"GENERAL";"TAB2",#N/A,TRUE,"GENERAL";"TAB3",#N/A,TRUE,"GENERAL";"TAB4",#N/A,TRUE,"GENERAL";"TAB5",#N/A,TRUE,"GENERAL"}</definedName>
    <definedName name="met" localSheetId="13" hidden="1">{#N/A,#N/A,TRUE,"1842CWN0"}</definedName>
    <definedName name="met" localSheetId="15" hidden="1">{#N/A,#N/A,TRUE,"1842CWN0"}</definedName>
    <definedName name="met" localSheetId="17" hidden="1">{#N/A,#N/A,TRUE,"1842CWN0"}</definedName>
    <definedName name="met" localSheetId="19" hidden="1">{#N/A,#N/A,TRUE,"1842CWN0"}</definedName>
    <definedName name="met" localSheetId="12" hidden="1">{#N/A,#N/A,TRUE,"1842CWN0"}</definedName>
    <definedName name="met" localSheetId="8" hidden="1">{#N/A,#N/A,TRUE,"1842CWN0"}</definedName>
    <definedName name="met" localSheetId="9" hidden="1">{#N/A,#N/A,TRUE,"1842CWN0"}</definedName>
    <definedName name="met" localSheetId="7" hidden="1">{#N/A,#N/A,TRUE,"1842CWN0"}</definedName>
    <definedName name="met" localSheetId="10" hidden="1">{#N/A,#N/A,TRUE,"1842CWN0"}</definedName>
    <definedName name="met" localSheetId="0" hidden="1">{#N/A,#N/A,TRUE,"1842CWN0"}</definedName>
    <definedName name="met" localSheetId="11" hidden="1">{#N/A,#N/A,TRUE,"1842CWN0"}</definedName>
    <definedName name="met" localSheetId="6" hidden="1">{#N/A,#N/A,TRUE,"1842CWN0"}</definedName>
    <definedName name="met" localSheetId="4" hidden="1">{#N/A,#N/A,TRUE,"1842CWN0"}</definedName>
    <definedName name="met" localSheetId="1" hidden="1">{#N/A,#N/A,TRUE,"1842CWN0"}</definedName>
    <definedName name="met" localSheetId="14" hidden="1">{#N/A,#N/A,TRUE,"1842CWN0"}</definedName>
    <definedName name="met" localSheetId="16" hidden="1">{#N/A,#N/A,TRUE,"1842CWN0"}</definedName>
    <definedName name="met" localSheetId="18" hidden="1">{#N/A,#N/A,TRUE,"1842CWN0"}</definedName>
    <definedName name="met" localSheetId="5" hidden="1">{#N/A,#N/A,TRUE,"1842CWN0"}</definedName>
    <definedName name="met" hidden="1">{#N/A,#N/A,TRUE,"1842CWN0"}</definedName>
    <definedName name="met_1" localSheetId="15" hidden="1">{#N/A,#N/A,TRUE,"1842CWN0"}</definedName>
    <definedName name="met_1" localSheetId="17" hidden="1">{#N/A,#N/A,TRUE,"1842CWN0"}</definedName>
    <definedName name="met_1" localSheetId="19" hidden="1">{#N/A,#N/A,TRUE,"1842CWN0"}</definedName>
    <definedName name="met_1" localSheetId="11" hidden="1">{#N/A,#N/A,TRUE,"1842CWN0"}</definedName>
    <definedName name="met_1" localSheetId="14" hidden="1">{#N/A,#N/A,TRUE,"1842CWN0"}</definedName>
    <definedName name="met_1" localSheetId="16" hidden="1">{#N/A,#N/A,TRUE,"1842CWN0"}</definedName>
    <definedName name="met_1" localSheetId="18" hidden="1">{#N/A,#N/A,TRUE,"1842CWN0"}</definedName>
    <definedName name="met_1" hidden="1">{#N/A,#N/A,TRUE,"1842CWN0"}</definedName>
    <definedName name="met_2" localSheetId="15" hidden="1">{#N/A,#N/A,TRUE,"1842CWN0"}</definedName>
    <definedName name="met_2" localSheetId="17" hidden="1">{#N/A,#N/A,TRUE,"1842CWN0"}</definedName>
    <definedName name="met_2" localSheetId="19" hidden="1">{#N/A,#N/A,TRUE,"1842CWN0"}</definedName>
    <definedName name="met_2" localSheetId="11" hidden="1">{#N/A,#N/A,TRUE,"1842CWN0"}</definedName>
    <definedName name="met_2" localSheetId="14" hidden="1">{#N/A,#N/A,TRUE,"1842CWN0"}</definedName>
    <definedName name="met_2" localSheetId="16" hidden="1">{#N/A,#N/A,TRUE,"1842CWN0"}</definedName>
    <definedName name="met_2" localSheetId="18" hidden="1">{#N/A,#N/A,TRUE,"1842CWN0"}</definedName>
    <definedName name="met_2" hidden="1">{#N/A,#N/A,TRUE,"1842CWN0"}</definedName>
    <definedName name="metal" localSheetId="13" hidden="1">{#N/A,#N/A,TRUE,"1842CWN0"}</definedName>
    <definedName name="metal" localSheetId="15" hidden="1">{#N/A,#N/A,TRUE,"1842CWN0"}</definedName>
    <definedName name="metal" localSheetId="17" hidden="1">{#N/A,#N/A,TRUE,"1842CWN0"}</definedName>
    <definedName name="metal" localSheetId="19" hidden="1">{#N/A,#N/A,TRUE,"1842CWN0"}</definedName>
    <definedName name="metal" localSheetId="12" hidden="1">{#N/A,#N/A,TRUE,"1842CWN0"}</definedName>
    <definedName name="metal" localSheetId="8" hidden="1">{#N/A,#N/A,TRUE,"1842CWN0"}</definedName>
    <definedName name="metal" localSheetId="9" hidden="1">{#N/A,#N/A,TRUE,"1842CWN0"}</definedName>
    <definedName name="metal" localSheetId="7" hidden="1">{#N/A,#N/A,TRUE,"1842CWN0"}</definedName>
    <definedName name="metal" localSheetId="10" hidden="1">{#N/A,#N/A,TRUE,"1842CWN0"}</definedName>
    <definedName name="metal" localSheetId="0" hidden="1">{#N/A,#N/A,TRUE,"1842CWN0"}</definedName>
    <definedName name="metal" localSheetId="11" hidden="1">{#N/A,#N/A,TRUE,"1842CWN0"}</definedName>
    <definedName name="metal" localSheetId="6" hidden="1">{#N/A,#N/A,TRUE,"1842CWN0"}</definedName>
    <definedName name="metal" localSheetId="4" hidden="1">{#N/A,#N/A,TRUE,"1842CWN0"}</definedName>
    <definedName name="metal" localSheetId="1" hidden="1">{#N/A,#N/A,TRUE,"1842CWN0"}</definedName>
    <definedName name="metal" localSheetId="14" hidden="1">{#N/A,#N/A,TRUE,"1842CWN0"}</definedName>
    <definedName name="metal" localSheetId="16" hidden="1">{#N/A,#N/A,TRUE,"1842CWN0"}</definedName>
    <definedName name="metal" localSheetId="18" hidden="1">{#N/A,#N/A,TRUE,"1842CWN0"}</definedName>
    <definedName name="metal" localSheetId="5" hidden="1">{#N/A,#N/A,TRUE,"1842CWN0"}</definedName>
    <definedName name="metal" hidden="1">{#N/A,#N/A,TRUE,"1842CWN0"}</definedName>
    <definedName name="metal_1" localSheetId="15" hidden="1">{#N/A,#N/A,TRUE,"1842CWN0"}</definedName>
    <definedName name="metal_1" localSheetId="17" hidden="1">{#N/A,#N/A,TRUE,"1842CWN0"}</definedName>
    <definedName name="metal_1" localSheetId="19" hidden="1">{#N/A,#N/A,TRUE,"1842CWN0"}</definedName>
    <definedName name="metal_1" localSheetId="11" hidden="1">{#N/A,#N/A,TRUE,"1842CWN0"}</definedName>
    <definedName name="metal_1" localSheetId="14" hidden="1">{#N/A,#N/A,TRUE,"1842CWN0"}</definedName>
    <definedName name="metal_1" localSheetId="16" hidden="1">{#N/A,#N/A,TRUE,"1842CWN0"}</definedName>
    <definedName name="metal_1" localSheetId="18" hidden="1">{#N/A,#N/A,TRUE,"1842CWN0"}</definedName>
    <definedName name="metal_1" hidden="1">{#N/A,#N/A,TRUE,"1842CWN0"}</definedName>
    <definedName name="metal_2" localSheetId="15" hidden="1">{#N/A,#N/A,TRUE,"1842CWN0"}</definedName>
    <definedName name="metal_2" localSheetId="17" hidden="1">{#N/A,#N/A,TRUE,"1842CWN0"}</definedName>
    <definedName name="metal_2" localSheetId="19" hidden="1">{#N/A,#N/A,TRUE,"1842CWN0"}</definedName>
    <definedName name="metal_2" localSheetId="11" hidden="1">{#N/A,#N/A,TRUE,"1842CWN0"}</definedName>
    <definedName name="metal_2" localSheetId="14" hidden="1">{#N/A,#N/A,TRUE,"1842CWN0"}</definedName>
    <definedName name="metal_2" localSheetId="16" hidden="1">{#N/A,#N/A,TRUE,"1842CWN0"}</definedName>
    <definedName name="metal_2" localSheetId="18" hidden="1">{#N/A,#N/A,TRUE,"1842CWN0"}</definedName>
    <definedName name="metal_2" hidden="1">{#N/A,#N/A,TRUE,"1842CWN0"}</definedName>
    <definedName name="mfgjrdt" localSheetId="15"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8" hidden="1">{"TAB1",#N/A,TRUE,"GENERAL";"TAB2",#N/A,TRUE,"GENERAL";"TAB3",#N/A,TRUE,"GENERAL";"TAB4",#N/A,TRUE,"GENERAL";"TAB5",#N/A,TRUE,"GENERAL"}</definedName>
    <definedName name="mfgjrdt" hidden="1">{"TAB1",#N/A,TRUE,"GENERAL";"TAB2",#N/A,TRUE,"GENERAL";"TAB3",#N/A,TRUE,"GENERAL";"TAB4",#N/A,TRUE,"GENERAL";"TAB5",#N/A,TRUE,"GENERAL"}</definedName>
    <definedName name="mghm" localSheetId="15" hidden="1">{"via1",#N/A,TRUE,"general";"via2",#N/A,TRUE,"general";"via3",#N/A,TRUE,"general"}</definedName>
    <definedName name="mghm" localSheetId="17" hidden="1">{"via1",#N/A,TRUE,"general";"via2",#N/A,TRUE,"general";"via3",#N/A,TRUE,"general"}</definedName>
    <definedName name="mghm" localSheetId="19" hidden="1">{"via1",#N/A,TRUE,"general";"via2",#N/A,TRUE,"general";"via3",#N/A,TRUE,"general"}</definedName>
    <definedName name="mghm" localSheetId="12"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4" hidden="1">{"via1",#N/A,TRUE,"general";"via2",#N/A,TRUE,"general";"via3",#N/A,TRUE,"general"}</definedName>
    <definedName name="mghm" localSheetId="1" hidden="1">{"via1",#N/A,TRUE,"general";"via2",#N/A,TRUE,"general";"via3",#N/A,TRUE,"general"}</definedName>
    <definedName name="mghm" localSheetId="14" hidden="1">{"via1",#N/A,TRUE,"general";"via2",#N/A,TRUE,"general";"via3",#N/A,TRUE,"general"}</definedName>
    <definedName name="mghm" localSheetId="16" hidden="1">{"via1",#N/A,TRUE,"general";"via2",#N/A,TRUE,"general";"via3",#N/A,TRUE,"general"}</definedName>
    <definedName name="mghm" localSheetId="18" hidden="1">{"via1",#N/A,TRUE,"general";"via2",#N/A,TRUE,"general";"via3",#N/A,TRUE,"general"}</definedName>
    <definedName name="mghm" hidden="1">{"via1",#N/A,TRUE,"general";"via2",#N/A,TRUE,"general";"via3",#N/A,TRUE,"general"}</definedName>
    <definedName name="mjmj" localSheetId="15" hidden="1">{"via1",#N/A,TRUE,"general";"via2",#N/A,TRUE,"general";"via3",#N/A,TRUE,"general"}</definedName>
    <definedName name="mjmj" localSheetId="17" hidden="1">{"via1",#N/A,TRUE,"general";"via2",#N/A,TRUE,"general";"via3",#N/A,TRUE,"general"}</definedName>
    <definedName name="mjmj" localSheetId="19" hidden="1">{"via1",#N/A,TRUE,"general";"via2",#N/A,TRUE,"general";"via3",#N/A,TRUE,"general"}</definedName>
    <definedName name="mjmj" localSheetId="12"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4" hidden="1">{"via1",#N/A,TRUE,"general";"via2",#N/A,TRUE,"general";"via3",#N/A,TRUE,"general"}</definedName>
    <definedName name="mjmj" localSheetId="1" hidden="1">{"via1",#N/A,TRUE,"general";"via2",#N/A,TRUE,"general";"via3",#N/A,TRUE,"general"}</definedName>
    <definedName name="mjmj" localSheetId="14" hidden="1">{"via1",#N/A,TRUE,"general";"via2",#N/A,TRUE,"general";"via3",#N/A,TRUE,"general"}</definedName>
    <definedName name="mjmj" localSheetId="16" hidden="1">{"via1",#N/A,TRUE,"general";"via2",#N/A,TRUE,"general";"via3",#N/A,TRUE,"general"}</definedName>
    <definedName name="mjmj" localSheetId="18" hidden="1">{"via1",#N/A,TRUE,"general";"via2",#N/A,TRUE,"general";"via3",#N/A,TRUE,"general"}</definedName>
    <definedName name="mjmj" hidden="1">{"via1",#N/A,TRUE,"general";"via2",#N/A,TRUE,"general";"via3",#N/A,TRUE,"general"}</definedName>
    <definedName name="mjmjmn" localSheetId="15" hidden="1">{"via1",#N/A,TRUE,"general";"via2",#N/A,TRUE,"general";"via3",#N/A,TRUE,"general"}</definedName>
    <definedName name="mjmjmn" localSheetId="17" hidden="1">{"via1",#N/A,TRUE,"general";"via2",#N/A,TRUE,"general";"via3",#N/A,TRUE,"general"}</definedName>
    <definedName name="mjmjmn" localSheetId="19" hidden="1">{"via1",#N/A,TRUE,"general";"via2",#N/A,TRUE,"general";"via3",#N/A,TRUE,"general"}</definedName>
    <definedName name="mjmjmn" localSheetId="12"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4" hidden="1">{"via1",#N/A,TRUE,"general";"via2",#N/A,TRUE,"general";"via3",#N/A,TRUE,"general"}</definedName>
    <definedName name="mjmjmn" localSheetId="1" hidden="1">{"via1",#N/A,TRUE,"general";"via2",#N/A,TRUE,"general";"via3",#N/A,TRUE,"general"}</definedName>
    <definedName name="mjmjmn" localSheetId="14" hidden="1">{"via1",#N/A,TRUE,"general";"via2",#N/A,TRUE,"general";"via3",#N/A,TRUE,"general"}</definedName>
    <definedName name="mjmjmn" localSheetId="16" hidden="1">{"via1",#N/A,TRUE,"general";"via2",#N/A,TRUE,"general";"via3",#N/A,TRUE,"general"}</definedName>
    <definedName name="mjmjmn" localSheetId="18" hidden="1">{"via1",#N/A,TRUE,"general";"via2",#N/A,TRUE,"general";"via3",#N/A,TRUE,"general"}</definedName>
    <definedName name="mjmjmn" hidden="1">{"via1",#N/A,TRUE,"general";"via2",#N/A,TRUE,"general";"via3",#N/A,TRUE,"general"}</definedName>
    <definedName name="mjnhgkio" localSheetId="15" hidden="1">{"via1",#N/A,TRUE,"general";"via2",#N/A,TRUE,"general";"via3",#N/A,TRUE,"general"}</definedName>
    <definedName name="mjnhgkio" localSheetId="17" hidden="1">{"via1",#N/A,TRUE,"general";"via2",#N/A,TRUE,"general";"via3",#N/A,TRUE,"general"}</definedName>
    <definedName name="mjnhgkio" localSheetId="19" hidden="1">{"via1",#N/A,TRUE,"general";"via2",#N/A,TRUE,"general";"via3",#N/A,TRUE,"general"}</definedName>
    <definedName name="mjnhgkio" localSheetId="12"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4" hidden="1">{"via1",#N/A,TRUE,"general";"via2",#N/A,TRUE,"general";"via3",#N/A,TRUE,"general"}</definedName>
    <definedName name="mjnhgkio" localSheetId="1" hidden="1">{"via1",#N/A,TRUE,"general";"via2",#N/A,TRUE,"general";"via3",#N/A,TRUE,"general"}</definedName>
    <definedName name="mjnhgkio" localSheetId="14" hidden="1">{"via1",#N/A,TRUE,"general";"via2",#N/A,TRUE,"general";"via3",#N/A,TRUE,"general"}</definedName>
    <definedName name="mjnhgkio" localSheetId="16" hidden="1">{"via1",#N/A,TRUE,"general";"via2",#N/A,TRUE,"general";"via3",#N/A,TRUE,"general"}</definedName>
    <definedName name="mjnhgkio" localSheetId="18" hidden="1">{"via1",#N/A,TRUE,"general";"via2",#N/A,TRUE,"general";"via3",#N/A,TRUE,"general"}</definedName>
    <definedName name="mjnhgkio" hidden="1">{"via1",#N/A,TRUE,"general";"via2",#N/A,TRUE,"general";"via3",#N/A,TRUE,"general"}</definedName>
    <definedName name="mmjmjh" localSheetId="15"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8" hidden="1">{"TAB1",#N/A,TRUE,"GENERAL";"TAB2",#N/A,TRUE,"GENERAL";"TAB3",#N/A,TRUE,"GENERAL";"TAB4",#N/A,TRUE,"GENERAL";"TAB5",#N/A,TRUE,"GENERAL"}</definedName>
    <definedName name="mmjmjh" hidden="1">{"TAB1",#N/A,TRUE,"GENERAL";"TAB2",#N/A,TRUE,"GENERAL";"TAB3",#N/A,TRUE,"GENERAL";"TAB4",#N/A,TRUE,"GENERAL";"TAB5",#N/A,TRUE,"GENERAL"}</definedName>
    <definedName name="mmm" localSheetId="15" hidden="1">{"TAB1",#N/A,TRUE,"GENERAL";"TAB2",#N/A,TRUE,"GENERAL";"TAB3",#N/A,TRUE,"GENERAL";"TAB4",#N/A,TRUE,"GENERAL";"TAB5",#N/A,TRUE,"GENERAL"}</definedName>
    <definedName name="mmm" localSheetId="17" hidden="1">{"TAB1",#N/A,TRUE,"GENERAL";"TAB2",#N/A,TRUE,"GENERAL";"TAB3",#N/A,TRUE,"GENERAL";"TAB4",#N/A,TRUE,"GENERAL";"TAB5",#N/A,TRUE,"GENERAL"}</definedName>
    <definedName name="mmm" localSheetId="19" hidden="1">{"TAB1",#N/A,TRUE,"GENERAL";"TAB2",#N/A,TRUE,"GENERAL";"TAB3",#N/A,TRUE,"GENERAL";"TAB4",#N/A,TRUE,"GENERAL";"TAB5",#N/A,TRUE,"GENERAL"}</definedName>
    <definedName name="mmm" localSheetId="12"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4" hidden="1">{"TAB1",#N/A,TRUE,"GENERAL";"TAB2",#N/A,TRUE,"GENERAL";"TAB3",#N/A,TRUE,"GENERAL";"TAB4",#N/A,TRUE,"GENERAL";"TAB5",#N/A,TRUE,"GENERAL"}</definedName>
    <definedName name="mmm" localSheetId="1" hidden="1">{"TAB1",#N/A,TRUE,"GENERAL";"TAB2",#N/A,TRUE,"GENERAL";"TAB3",#N/A,TRUE,"GENERAL";"TAB4",#N/A,TRUE,"GENERAL";"TAB5",#N/A,TRUE,"GENERAL"}</definedName>
    <definedName name="mmm" localSheetId="14" hidden="1">{"TAB1",#N/A,TRUE,"GENERAL";"TAB2",#N/A,TRUE,"GENERAL";"TAB3",#N/A,TRUE,"GENERAL";"TAB4",#N/A,TRUE,"GENERAL";"TAB5",#N/A,TRUE,"GENERAL"}</definedName>
    <definedName name="mmm" localSheetId="16" hidden="1">{"TAB1",#N/A,TRUE,"GENERAL";"TAB2",#N/A,TRUE,"GENERAL";"TAB3",#N/A,TRUE,"GENERAL";"TAB4",#N/A,TRUE,"GENERAL";"TAB5",#N/A,TRUE,"GENERAL"}</definedName>
    <definedName name="mmm" localSheetId="18" hidden="1">{"TAB1",#N/A,TRUE,"GENERAL";"TAB2",#N/A,TRUE,"GENERAL";"TAB3",#N/A,TRUE,"GENERAL";"TAB4",#N/A,TRUE,"GENERAL";"TAB5",#N/A,TRUE,"GENERAL"}</definedName>
    <definedName name="mmm" hidden="1">{"TAB1",#N/A,TRUE,"GENERAL";"TAB2",#N/A,TRUE,"GENERAL";"TAB3",#N/A,TRUE,"GENERAL";"TAB4",#N/A,TRUE,"GENERAL";"TAB5",#N/A,TRUE,"GENERAL"}</definedName>
    <definedName name="mmmh" localSheetId="15" hidden="1">{"via1",#N/A,TRUE,"general";"via2",#N/A,TRUE,"general";"via3",#N/A,TRUE,"general"}</definedName>
    <definedName name="mmmh" localSheetId="17" hidden="1">{"via1",#N/A,TRUE,"general";"via2",#N/A,TRUE,"general";"via3",#N/A,TRUE,"general"}</definedName>
    <definedName name="mmmh" localSheetId="19" hidden="1">{"via1",#N/A,TRUE,"general";"via2",#N/A,TRUE,"general";"via3",#N/A,TRUE,"general"}</definedName>
    <definedName name="mmmh" localSheetId="12"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4" hidden="1">{"via1",#N/A,TRUE,"general";"via2",#N/A,TRUE,"general";"via3",#N/A,TRUE,"general"}</definedName>
    <definedName name="mmmh" localSheetId="1" hidden="1">{"via1",#N/A,TRUE,"general";"via2",#N/A,TRUE,"general";"via3",#N/A,TRUE,"general"}</definedName>
    <definedName name="mmmh" localSheetId="14" hidden="1">{"via1",#N/A,TRUE,"general";"via2",#N/A,TRUE,"general";"via3",#N/A,TRUE,"general"}</definedName>
    <definedName name="mmmh" localSheetId="16" hidden="1">{"via1",#N/A,TRUE,"general";"via2",#N/A,TRUE,"general";"via3",#N/A,TRUE,"general"}</definedName>
    <definedName name="mmmh" localSheetId="18" hidden="1">{"via1",#N/A,TRUE,"general";"via2",#N/A,TRUE,"general";"via3",#N/A,TRUE,"general"}</definedName>
    <definedName name="mmmh" hidden="1">{"via1",#N/A,TRUE,"general";"via2",#N/A,TRUE,"general";"via3",#N/A,TRUE,"general"}</definedName>
    <definedName name="mmmmmjyt" localSheetId="15"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8" hidden="1">{"TAB1",#N/A,TRUE,"GENERAL";"TAB2",#N/A,TRUE,"GENERAL";"TAB3",#N/A,TRUE,"GENERAL";"TAB4",#N/A,TRUE,"GENERAL";"TAB5",#N/A,TRUE,"GENERAL"}</definedName>
    <definedName name="mmmmmjyt" hidden="1">{"TAB1",#N/A,TRUE,"GENERAL";"TAB2",#N/A,TRUE,"GENERAL";"TAB3",#N/A,TRUE,"GENERAL";"TAB4",#N/A,TRUE,"GENERAL";"TAB5",#N/A,TRUE,"GENERAL"}</definedName>
    <definedName name="mmmmmmg" localSheetId="15" hidden="1">{"via1",#N/A,TRUE,"general";"via2",#N/A,TRUE,"general";"via3",#N/A,TRUE,"general"}</definedName>
    <definedName name="mmmmmmg" localSheetId="17" hidden="1">{"via1",#N/A,TRUE,"general";"via2",#N/A,TRUE,"general";"via3",#N/A,TRUE,"general"}</definedName>
    <definedName name="mmmmmmg" localSheetId="19" hidden="1">{"via1",#N/A,TRUE,"general";"via2",#N/A,TRUE,"general";"via3",#N/A,TRUE,"general"}</definedName>
    <definedName name="mmmmmmg" localSheetId="12"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4" hidden="1">{"via1",#N/A,TRUE,"general";"via2",#N/A,TRUE,"general";"via3",#N/A,TRUE,"general"}</definedName>
    <definedName name="mmmmmmg" localSheetId="1" hidden="1">{"via1",#N/A,TRUE,"general";"via2",#N/A,TRUE,"general";"via3",#N/A,TRUE,"general"}</definedName>
    <definedName name="mmmmmmg" localSheetId="14" hidden="1">{"via1",#N/A,TRUE,"general";"via2",#N/A,TRUE,"general";"via3",#N/A,TRUE,"general"}</definedName>
    <definedName name="mmmmmmg" localSheetId="16" hidden="1">{"via1",#N/A,TRUE,"general";"via2",#N/A,TRUE,"general";"via3",#N/A,TRUE,"general"}</definedName>
    <definedName name="mmmmmmg" localSheetId="18" hidden="1">{"via1",#N/A,TRUE,"general";"via2",#N/A,TRUE,"general";"via3",#N/A,TRUE,"general"}</definedName>
    <definedName name="mmmmmmg" hidden="1">{"via1",#N/A,TRUE,"general";"via2",#N/A,TRUE,"general";"via3",#N/A,TRUE,"general"}</definedName>
    <definedName name="MN" localSheetId="15" hidden="1">{"via1",#N/A,TRUE,"general";"via2",#N/A,TRUE,"general";"via3",#N/A,TRUE,"general"}</definedName>
    <definedName name="MN" localSheetId="17" hidden="1">{"via1",#N/A,TRUE,"general";"via2",#N/A,TRUE,"general";"via3",#N/A,TRUE,"general"}</definedName>
    <definedName name="MN" localSheetId="19" hidden="1">{"via1",#N/A,TRUE,"general";"via2",#N/A,TRUE,"general";"via3",#N/A,TRUE,"general"}</definedName>
    <definedName name="MN" localSheetId="12"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4" hidden="1">{"via1",#N/A,TRUE,"general";"via2",#N/A,TRUE,"general";"via3",#N/A,TRUE,"general"}</definedName>
    <definedName name="MN" localSheetId="1" hidden="1">{"via1",#N/A,TRUE,"general";"via2",#N/A,TRUE,"general";"via3",#N/A,TRUE,"general"}</definedName>
    <definedName name="MN" localSheetId="14" hidden="1">{"via1",#N/A,TRUE,"general";"via2",#N/A,TRUE,"general";"via3",#N/A,TRUE,"general"}</definedName>
    <definedName name="MN" localSheetId="16" hidden="1">{"via1",#N/A,TRUE,"general";"via2",#N/A,TRUE,"general";"via3",#N/A,TRUE,"general"}</definedName>
    <definedName name="MN" localSheetId="18" hidden="1">{"via1",#N/A,TRUE,"general";"via2",#N/A,TRUE,"general";"via3",#N/A,TRUE,"general"}</definedName>
    <definedName name="MN" hidden="1">{"via1",#N/A,TRUE,"general";"via2",#N/A,TRUE,"general";"via3",#N/A,TRUE,"general"}</definedName>
    <definedName name="MOA" localSheetId="12" hidden="1">{#N/A,#N/A,FALSE,"Hoja1";#N/A,#N/A,FALSE,"Hoja2"}</definedName>
    <definedName name="MOA" localSheetId="8" hidden="1">{#N/A,#N/A,FALSE,"Hoja1";#N/A,#N/A,FALSE,"Hoja2"}</definedName>
    <definedName name="MOA" localSheetId="9" hidden="1">{#N/A,#N/A,FALSE,"Hoja1";#N/A,#N/A,FALSE,"Hoja2"}</definedName>
    <definedName name="MOA" localSheetId="7" hidden="1">{#N/A,#N/A,FALSE,"Hoja1";#N/A,#N/A,FALSE,"Hoja2"}</definedName>
    <definedName name="MOA" localSheetId="10" hidden="1">{#N/A,#N/A,FALSE,"Hoja1";#N/A,#N/A,FALSE,"Hoja2"}</definedName>
    <definedName name="MOA" localSheetId="1" hidden="1">{#N/A,#N/A,FALSE,"Hoja1";#N/A,#N/A,FALSE,"Hoja2"}</definedName>
    <definedName name="MOA" hidden="1">{#N/A,#N/A,FALSE,"Hoja1";#N/A,#N/A,FALSE,"Hoja2"}</definedName>
    <definedName name="MOdificad" localSheetId="15" hidden="1">#REF!</definedName>
    <definedName name="MOdificad" localSheetId="17" hidden="1">#REF!</definedName>
    <definedName name="MOdificad" localSheetId="19" hidden="1">#REF!</definedName>
    <definedName name="MOdificad" localSheetId="11" hidden="1">#REF!</definedName>
    <definedName name="MOdificad" localSheetId="14" hidden="1">#REF!</definedName>
    <definedName name="MOdificad" localSheetId="16" hidden="1">#REF!</definedName>
    <definedName name="MOdificad" localSheetId="18" hidden="1">#REF!</definedName>
    <definedName name="MOdificad" hidden="1">#REF!</definedName>
    <definedName name="MODIVejec" localSheetId="12" hidden="1">{#N/A,#N/A,FALSE,"Hoja1";#N/A,#N/A,FALSE,"Hoja2"}</definedName>
    <definedName name="MODIVejec" localSheetId="8" hidden="1">{#N/A,#N/A,FALSE,"Hoja1";#N/A,#N/A,FALSE,"Hoja2"}</definedName>
    <definedName name="MODIVejec" localSheetId="9" hidden="1">{#N/A,#N/A,FALSE,"Hoja1";#N/A,#N/A,FALSE,"Hoja2"}</definedName>
    <definedName name="MODIVejec" localSheetId="7" hidden="1">{#N/A,#N/A,FALSE,"Hoja1";#N/A,#N/A,FALSE,"Hoja2"}</definedName>
    <definedName name="MODIVejec" localSheetId="10" hidden="1">{#N/A,#N/A,FALSE,"Hoja1";#N/A,#N/A,FALSE,"Hoja2"}</definedName>
    <definedName name="MODIVejec" localSheetId="1" hidden="1">{#N/A,#N/A,FALSE,"Hoja1";#N/A,#N/A,FALSE,"Hoja2"}</definedName>
    <definedName name="MODIVejec" hidden="1">{#N/A,#N/A,FALSE,"Hoja1";#N/A,#N/A,FALSE,"Hoja2"}</definedName>
    <definedName name="MOE" localSheetId="12" hidden="1">{#N/A,#N/A,FALSE,"Hoja1";#N/A,#N/A,FALSE,"Hoja2"}</definedName>
    <definedName name="MOE" localSheetId="8" hidden="1">{#N/A,#N/A,FALSE,"Hoja1";#N/A,#N/A,FALSE,"Hoja2"}</definedName>
    <definedName name="MOE" localSheetId="9" hidden="1">{#N/A,#N/A,FALSE,"Hoja1";#N/A,#N/A,FALSE,"Hoja2"}</definedName>
    <definedName name="MOE" localSheetId="7" hidden="1">{#N/A,#N/A,FALSE,"Hoja1";#N/A,#N/A,FALSE,"Hoja2"}</definedName>
    <definedName name="MOE" localSheetId="10" hidden="1">{#N/A,#N/A,FALSE,"Hoja1";#N/A,#N/A,FALSE,"Hoja2"}</definedName>
    <definedName name="MOE" localSheetId="1" hidden="1">{#N/A,#N/A,FALSE,"Hoja1";#N/A,#N/A,FALSE,"Hoja2"}</definedName>
    <definedName name="MOE" hidden="1">{#N/A,#N/A,FALSE,"Hoja1";#N/A,#N/A,FALSE,"Hoja2"}</definedName>
    <definedName name="n" localSheetId="15" hidden="1">{"via1",#N/A,TRUE,"general";"via2",#N/A,TRUE,"general";"via3",#N/A,TRUE,"general"}</definedName>
    <definedName name="n" localSheetId="17" hidden="1">{"via1",#N/A,TRUE,"general";"via2",#N/A,TRUE,"general";"via3",#N/A,TRUE,"general"}</definedName>
    <definedName name="n" localSheetId="19" hidden="1">{"via1",#N/A,TRUE,"general";"via2",#N/A,TRUE,"general";"via3",#N/A,TRUE,"general"}</definedName>
    <definedName name="n" localSheetId="12"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7"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4" hidden="1">{"via1",#N/A,TRUE,"general";"via2",#N/A,TRUE,"general";"via3",#N/A,TRUE,"general"}</definedName>
    <definedName name="n" localSheetId="1" hidden="1">{"via1",#N/A,TRUE,"general";"via2",#N/A,TRUE,"general";"via3",#N/A,TRUE,"general"}</definedName>
    <definedName name="n" localSheetId="14" hidden="1">{"via1",#N/A,TRUE,"general";"via2",#N/A,TRUE,"general";"via3",#N/A,TRUE,"general"}</definedName>
    <definedName name="n" localSheetId="16" hidden="1">{"via1",#N/A,TRUE,"general";"via2",#N/A,TRUE,"general";"via3",#N/A,TRUE,"general"}</definedName>
    <definedName name="n" localSheetId="18" hidden="1">{"via1",#N/A,TRUE,"general";"via2",#N/A,TRUE,"general";"via3",#N/A,TRUE,"general"}</definedName>
    <definedName name="n" hidden="1">{"via1",#N/A,TRUE,"general";"via2",#N/A,TRUE,"general";"via3",#N/A,TRUE,"general"}</definedName>
    <definedName name="nbvnv" localSheetId="15" hidden="1">{"via1",#N/A,TRUE,"general";"via2",#N/A,TRUE,"general";"via3",#N/A,TRUE,"general"}</definedName>
    <definedName name="nbvnv" localSheetId="17" hidden="1">{"via1",#N/A,TRUE,"general";"via2",#N/A,TRUE,"general";"via3",#N/A,TRUE,"general"}</definedName>
    <definedName name="nbvnv" localSheetId="19" hidden="1">{"via1",#N/A,TRUE,"general";"via2",#N/A,TRUE,"general";"via3",#N/A,TRUE,"general"}</definedName>
    <definedName name="nbvnv" localSheetId="12"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4" hidden="1">{"via1",#N/A,TRUE,"general";"via2",#N/A,TRUE,"general";"via3",#N/A,TRUE,"general"}</definedName>
    <definedName name="nbvnv" localSheetId="1" hidden="1">{"via1",#N/A,TRUE,"general";"via2",#N/A,TRUE,"general";"via3",#N/A,TRUE,"general"}</definedName>
    <definedName name="nbvnv" localSheetId="14" hidden="1">{"via1",#N/A,TRUE,"general";"via2",#N/A,TRUE,"general";"via3",#N/A,TRUE,"general"}</definedName>
    <definedName name="nbvnv" localSheetId="16" hidden="1">{"via1",#N/A,TRUE,"general";"via2",#N/A,TRUE,"general";"via3",#N/A,TRUE,"general"}</definedName>
    <definedName name="nbvnv" localSheetId="18" hidden="1">{"via1",#N/A,TRUE,"general";"via2",#N/A,TRUE,"general";"via3",#N/A,TRUE,"general"}</definedName>
    <definedName name="nbvnv" hidden="1">{"via1",#N/A,TRUE,"general";"via2",#N/A,TRUE,"general";"via3",#N/A,TRUE,"general"}</definedName>
    <definedName name="NDHS" localSheetId="15" hidden="1">{"TAB1",#N/A,TRUE,"GENERAL";"TAB2",#N/A,TRUE,"GENERAL";"TAB3",#N/A,TRUE,"GENERAL";"TAB4",#N/A,TRUE,"GENERAL";"TAB5",#N/A,TRUE,"GENERAL"}</definedName>
    <definedName name="NDHS" localSheetId="17" hidden="1">{"TAB1",#N/A,TRUE,"GENERAL";"TAB2",#N/A,TRUE,"GENERAL";"TAB3",#N/A,TRUE,"GENERAL";"TAB4",#N/A,TRUE,"GENERAL";"TAB5",#N/A,TRUE,"GENERAL"}</definedName>
    <definedName name="NDHS" localSheetId="19" hidden="1">{"TAB1",#N/A,TRUE,"GENERAL";"TAB2",#N/A,TRUE,"GENERAL";"TAB3",#N/A,TRUE,"GENERAL";"TAB4",#N/A,TRUE,"GENERAL";"TAB5",#N/A,TRUE,"GENERAL"}</definedName>
    <definedName name="NDHS" localSheetId="12"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4" hidden="1">{"TAB1",#N/A,TRUE,"GENERAL";"TAB2",#N/A,TRUE,"GENERAL";"TAB3",#N/A,TRUE,"GENERAL";"TAB4",#N/A,TRUE,"GENERAL";"TAB5",#N/A,TRUE,"GENERAL"}</definedName>
    <definedName name="NDHS" localSheetId="1" hidden="1">{"TAB1",#N/A,TRUE,"GENERAL";"TAB2",#N/A,TRUE,"GENERAL";"TAB3",#N/A,TRUE,"GENERAL";"TAB4",#N/A,TRUE,"GENERAL";"TAB5",#N/A,TRUE,"GENERAL"}</definedName>
    <definedName name="NDHS" localSheetId="14" hidden="1">{"TAB1",#N/A,TRUE,"GENERAL";"TAB2",#N/A,TRUE,"GENERAL";"TAB3",#N/A,TRUE,"GENERAL";"TAB4",#N/A,TRUE,"GENERAL";"TAB5",#N/A,TRUE,"GENERAL"}</definedName>
    <definedName name="NDHS" localSheetId="16" hidden="1">{"TAB1",#N/A,TRUE,"GENERAL";"TAB2",#N/A,TRUE,"GENERAL";"TAB3",#N/A,TRUE,"GENERAL";"TAB4",#N/A,TRUE,"GENERAL";"TAB5",#N/A,TRUE,"GENERAL"}</definedName>
    <definedName name="NDHS" localSheetId="18" hidden="1">{"TAB1",#N/A,TRUE,"GENERAL";"TAB2",#N/A,TRUE,"GENERAL";"TAB3",#N/A,TRUE,"GENERAL";"TAB4",#N/A,TRUE,"GENERAL";"TAB5",#N/A,TRUE,"GENERAL"}</definedName>
    <definedName name="NDHS" hidden="1">{"TAB1",#N/A,TRUE,"GENERAL";"TAB2",#N/A,TRUE,"GENERAL";"TAB3",#N/A,TRUE,"GENERAL";"TAB4",#N/A,TRUE,"GENERAL";"TAB5",#N/A,TRUE,"GENERAL"}</definedName>
    <definedName name="nf" localSheetId="15" hidden="1">{"TAB1",#N/A,TRUE,"GENERAL";"TAB2",#N/A,TRUE,"GENERAL";"TAB3",#N/A,TRUE,"GENERAL";"TAB4",#N/A,TRUE,"GENERAL";"TAB5",#N/A,TRUE,"GENERAL"}</definedName>
    <definedName name="nf" localSheetId="17" hidden="1">{"TAB1",#N/A,TRUE,"GENERAL";"TAB2",#N/A,TRUE,"GENERAL";"TAB3",#N/A,TRUE,"GENERAL";"TAB4",#N/A,TRUE,"GENERAL";"TAB5",#N/A,TRUE,"GENERAL"}</definedName>
    <definedName name="nf" localSheetId="19" hidden="1">{"TAB1",#N/A,TRUE,"GENERAL";"TAB2",#N/A,TRUE,"GENERAL";"TAB3",#N/A,TRUE,"GENERAL";"TAB4",#N/A,TRUE,"GENERAL";"TAB5",#N/A,TRUE,"GENERAL"}</definedName>
    <definedName name="nf" localSheetId="12"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4" hidden="1">{"TAB1",#N/A,TRUE,"GENERAL";"TAB2",#N/A,TRUE,"GENERAL";"TAB3",#N/A,TRUE,"GENERAL";"TAB4",#N/A,TRUE,"GENERAL";"TAB5",#N/A,TRUE,"GENERAL"}</definedName>
    <definedName name="nf" localSheetId="1" hidden="1">{"TAB1",#N/A,TRUE,"GENERAL";"TAB2",#N/A,TRUE,"GENERAL";"TAB3",#N/A,TRUE,"GENERAL";"TAB4",#N/A,TRUE,"GENERAL";"TAB5",#N/A,TRUE,"GENERAL"}</definedName>
    <definedName name="nf" localSheetId="14" hidden="1">{"TAB1",#N/A,TRUE,"GENERAL";"TAB2",#N/A,TRUE,"GENERAL";"TAB3",#N/A,TRUE,"GENERAL";"TAB4",#N/A,TRUE,"GENERAL";"TAB5",#N/A,TRUE,"GENERAL"}</definedName>
    <definedName name="nf" localSheetId="16" hidden="1">{"TAB1",#N/A,TRUE,"GENERAL";"TAB2",#N/A,TRUE,"GENERAL";"TAB3",#N/A,TRUE,"GENERAL";"TAB4",#N/A,TRUE,"GENERAL";"TAB5",#N/A,TRUE,"GENERAL"}</definedName>
    <definedName name="nf" localSheetId="18" hidden="1">{"TAB1",#N/A,TRUE,"GENERAL";"TAB2",#N/A,TRUE,"GENERAL";"TAB3",#N/A,TRUE,"GENERAL";"TAB4",#N/A,TRUE,"GENERAL";"TAB5",#N/A,TRUE,"GENERAL"}</definedName>
    <definedName name="nf" hidden="1">{"TAB1",#N/A,TRUE,"GENERAL";"TAB2",#N/A,TRUE,"GENERAL";"TAB3",#N/A,TRUE,"GENERAL";"TAB4",#N/A,TRUE,"GENERAL";"TAB5",#N/A,TRUE,"GENERAL"}</definedName>
    <definedName name="nfg" localSheetId="15" hidden="1">{"via1",#N/A,TRUE,"general";"via2",#N/A,TRUE,"general";"via3",#N/A,TRUE,"general"}</definedName>
    <definedName name="nfg" localSheetId="17" hidden="1">{"via1",#N/A,TRUE,"general";"via2",#N/A,TRUE,"general";"via3",#N/A,TRUE,"general"}</definedName>
    <definedName name="nfg" localSheetId="19" hidden="1">{"via1",#N/A,TRUE,"general";"via2",#N/A,TRUE,"general";"via3",#N/A,TRUE,"general"}</definedName>
    <definedName name="nfg" localSheetId="12"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4" hidden="1">{"via1",#N/A,TRUE,"general";"via2",#N/A,TRUE,"general";"via3",#N/A,TRUE,"general"}</definedName>
    <definedName name="nfg" localSheetId="1" hidden="1">{"via1",#N/A,TRUE,"general";"via2",#N/A,TRUE,"general";"via3",#N/A,TRUE,"general"}</definedName>
    <definedName name="nfg" localSheetId="14" hidden="1">{"via1",#N/A,TRUE,"general";"via2",#N/A,TRUE,"general";"via3",#N/A,TRUE,"general"}</definedName>
    <definedName name="nfg" localSheetId="16" hidden="1">{"via1",#N/A,TRUE,"general";"via2",#N/A,TRUE,"general";"via3",#N/A,TRUE,"general"}</definedName>
    <definedName name="nfg" localSheetId="18" hidden="1">{"via1",#N/A,TRUE,"general";"via2",#N/A,TRUE,"general";"via3",#N/A,TRUE,"general"}</definedName>
    <definedName name="nfg" hidden="1">{"via1",#N/A,TRUE,"general";"via2",#N/A,TRUE,"general";"via3",#N/A,TRUE,"general"}</definedName>
    <definedName name="nfgn" localSheetId="15" hidden="1">{"via1",#N/A,TRUE,"general";"via2",#N/A,TRUE,"general";"via3",#N/A,TRUE,"general"}</definedName>
    <definedName name="nfgn" localSheetId="17" hidden="1">{"via1",#N/A,TRUE,"general";"via2",#N/A,TRUE,"general";"via3",#N/A,TRUE,"general"}</definedName>
    <definedName name="nfgn" localSheetId="19" hidden="1">{"via1",#N/A,TRUE,"general";"via2",#N/A,TRUE,"general";"via3",#N/A,TRUE,"general"}</definedName>
    <definedName name="nfgn" localSheetId="12"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4" hidden="1">{"via1",#N/A,TRUE,"general";"via2",#N/A,TRUE,"general";"via3",#N/A,TRUE,"general"}</definedName>
    <definedName name="nfgn" localSheetId="1" hidden="1">{"via1",#N/A,TRUE,"general";"via2",#N/A,TRUE,"general";"via3",#N/A,TRUE,"general"}</definedName>
    <definedName name="nfgn" localSheetId="14" hidden="1">{"via1",#N/A,TRUE,"general";"via2",#N/A,TRUE,"general";"via3",#N/A,TRUE,"general"}</definedName>
    <definedName name="nfgn" localSheetId="16" hidden="1">{"via1",#N/A,TRUE,"general";"via2",#N/A,TRUE,"general";"via3",#N/A,TRUE,"general"}</definedName>
    <definedName name="nfgn" localSheetId="18" hidden="1">{"via1",#N/A,TRUE,"general";"via2",#N/A,TRUE,"general";"via3",#N/A,TRUE,"general"}</definedName>
    <definedName name="nfgn" hidden="1">{"via1",#N/A,TRUE,"general";"via2",#N/A,TRUE,"general";"via3",#N/A,TRUE,"general"}</definedName>
    <definedName name="ngdn" localSheetId="15" hidden="1">{"TAB1",#N/A,TRUE,"GENERAL";"TAB2",#N/A,TRUE,"GENERAL";"TAB3",#N/A,TRUE,"GENERAL";"TAB4",#N/A,TRUE,"GENERAL";"TAB5",#N/A,TRUE,"GENERAL"}</definedName>
    <definedName name="ngdn" localSheetId="17" hidden="1">{"TAB1",#N/A,TRUE,"GENERAL";"TAB2",#N/A,TRUE,"GENERAL";"TAB3",#N/A,TRUE,"GENERAL";"TAB4",#N/A,TRUE,"GENERAL";"TAB5",#N/A,TRUE,"GENERAL"}</definedName>
    <definedName name="ngdn" localSheetId="19" hidden="1">{"TAB1",#N/A,TRUE,"GENERAL";"TAB2",#N/A,TRUE,"GENERAL";"TAB3",#N/A,TRUE,"GENERAL";"TAB4",#N/A,TRUE,"GENERAL";"TAB5",#N/A,TRUE,"GENERAL"}</definedName>
    <definedName name="ngdn" localSheetId="12"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4" hidden="1">{"TAB1",#N/A,TRUE,"GENERAL";"TAB2",#N/A,TRUE,"GENERAL";"TAB3",#N/A,TRUE,"GENERAL";"TAB4",#N/A,TRUE,"GENERAL";"TAB5",#N/A,TRUE,"GENERAL"}</definedName>
    <definedName name="ngdn" localSheetId="1" hidden="1">{"TAB1",#N/A,TRUE,"GENERAL";"TAB2",#N/A,TRUE,"GENERAL";"TAB3",#N/A,TRUE,"GENERAL";"TAB4",#N/A,TRUE,"GENERAL";"TAB5",#N/A,TRUE,"GENERAL"}</definedName>
    <definedName name="ngdn" localSheetId="14" hidden="1">{"TAB1",#N/A,TRUE,"GENERAL";"TAB2",#N/A,TRUE,"GENERAL";"TAB3",#N/A,TRUE,"GENERAL";"TAB4",#N/A,TRUE,"GENERAL";"TAB5",#N/A,TRUE,"GENERAL"}</definedName>
    <definedName name="ngdn" localSheetId="16" hidden="1">{"TAB1",#N/A,TRUE,"GENERAL";"TAB2",#N/A,TRUE,"GENERAL";"TAB3",#N/A,TRUE,"GENERAL";"TAB4",#N/A,TRUE,"GENERAL";"TAB5",#N/A,TRUE,"GENERAL"}</definedName>
    <definedName name="ngdn" localSheetId="18" hidden="1">{"TAB1",#N/A,TRUE,"GENERAL";"TAB2",#N/A,TRUE,"GENERAL";"TAB3",#N/A,TRUE,"GENERAL";"TAB4",#N/A,TRUE,"GENERAL";"TAB5",#N/A,TRUE,"GENERAL"}</definedName>
    <definedName name="ngdn" hidden="1">{"TAB1",#N/A,TRUE,"GENERAL";"TAB2",#N/A,TRUE,"GENERAL";"TAB3",#N/A,TRUE,"GENERAL";"TAB4",#N/A,TRUE,"GENERAL";"TAB5",#N/A,TRUE,"GENERAL"}</definedName>
    <definedName name="ngfh" localSheetId="15" hidden="1">{"via1",#N/A,TRUE,"general";"via2",#N/A,TRUE,"general";"via3",#N/A,TRUE,"general"}</definedName>
    <definedName name="ngfh" localSheetId="17" hidden="1">{"via1",#N/A,TRUE,"general";"via2",#N/A,TRUE,"general";"via3",#N/A,TRUE,"general"}</definedName>
    <definedName name="ngfh" localSheetId="19" hidden="1">{"via1",#N/A,TRUE,"general";"via2",#N/A,TRUE,"general";"via3",#N/A,TRUE,"general"}</definedName>
    <definedName name="ngfh" localSheetId="12"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4" hidden="1">{"via1",#N/A,TRUE,"general";"via2",#N/A,TRUE,"general";"via3",#N/A,TRUE,"general"}</definedName>
    <definedName name="ngfh" localSheetId="1" hidden="1">{"via1",#N/A,TRUE,"general";"via2",#N/A,TRUE,"general";"via3",#N/A,TRUE,"general"}</definedName>
    <definedName name="ngfh" localSheetId="14" hidden="1">{"via1",#N/A,TRUE,"general";"via2",#N/A,TRUE,"general";"via3",#N/A,TRUE,"general"}</definedName>
    <definedName name="ngfh" localSheetId="16" hidden="1">{"via1",#N/A,TRUE,"general";"via2",#N/A,TRUE,"general";"via3",#N/A,TRUE,"general"}</definedName>
    <definedName name="ngfh" localSheetId="18" hidden="1">{"via1",#N/A,TRUE,"general";"via2",#N/A,TRUE,"general";"via3",#N/A,TRUE,"general"}</definedName>
    <definedName name="ngfh" hidden="1">{"via1",#N/A,TRUE,"general";"via2",#N/A,TRUE,"general";"via3",#N/A,TRUE,"general"}</definedName>
    <definedName name="nhn" localSheetId="15" hidden="1">{"via1",#N/A,TRUE,"general";"via2",#N/A,TRUE,"general";"via3",#N/A,TRUE,"general"}</definedName>
    <definedName name="nhn" localSheetId="17" hidden="1">{"via1",#N/A,TRUE,"general";"via2",#N/A,TRUE,"general";"via3",#N/A,TRUE,"general"}</definedName>
    <definedName name="nhn" localSheetId="19" hidden="1">{"via1",#N/A,TRUE,"general";"via2",#N/A,TRUE,"general";"via3",#N/A,TRUE,"general"}</definedName>
    <definedName name="nhn" localSheetId="12"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4" hidden="1">{"via1",#N/A,TRUE,"general";"via2",#N/A,TRUE,"general";"via3",#N/A,TRUE,"general"}</definedName>
    <definedName name="nhn" localSheetId="1" hidden="1">{"via1",#N/A,TRUE,"general";"via2",#N/A,TRUE,"general";"via3",#N/A,TRUE,"general"}</definedName>
    <definedName name="nhn" localSheetId="14" hidden="1">{"via1",#N/A,TRUE,"general";"via2",#N/A,TRUE,"general";"via3",#N/A,TRUE,"general"}</definedName>
    <definedName name="nhn" localSheetId="16" hidden="1">{"via1",#N/A,TRUE,"general";"via2",#N/A,TRUE,"general";"via3",#N/A,TRUE,"general"}</definedName>
    <definedName name="nhn" localSheetId="18" hidden="1">{"via1",#N/A,TRUE,"general";"via2",#N/A,TRUE,"general";"via3",#N/A,TRUE,"general"}</definedName>
    <definedName name="nhn" hidden="1">{"via1",#N/A,TRUE,"general";"via2",#N/A,TRUE,"general";"via3",#N/A,TRUE,"general"}</definedName>
    <definedName name="nhncfgn" localSheetId="15"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8" hidden="1">{"TAB1",#N/A,TRUE,"GENERAL";"TAB2",#N/A,TRUE,"GENERAL";"TAB3",#N/A,TRUE,"GENERAL";"TAB4",#N/A,TRUE,"GENERAL";"TAB5",#N/A,TRUE,"GENERAL"}</definedName>
    <definedName name="nhncfgn" hidden="1">{"TAB1",#N/A,TRUE,"GENERAL";"TAB2",#N/A,TRUE,"GENERAL";"TAB3",#N/A,TRUE,"GENERAL";"TAB4",#N/A,TRUE,"GENERAL";"TAB5",#N/A,TRUE,"GENERAL"}</definedName>
    <definedName name="nhndr" localSheetId="15" hidden="1">{"via1",#N/A,TRUE,"general";"via2",#N/A,TRUE,"general";"via3",#N/A,TRUE,"general"}</definedName>
    <definedName name="nhndr" localSheetId="17" hidden="1">{"via1",#N/A,TRUE,"general";"via2",#N/A,TRUE,"general";"via3",#N/A,TRUE,"general"}</definedName>
    <definedName name="nhndr" localSheetId="19" hidden="1">{"via1",#N/A,TRUE,"general";"via2",#N/A,TRUE,"general";"via3",#N/A,TRUE,"general"}</definedName>
    <definedName name="nhndr" localSheetId="12"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4" hidden="1">{"via1",#N/A,TRUE,"general";"via2",#N/A,TRUE,"general";"via3",#N/A,TRUE,"general"}</definedName>
    <definedName name="nhndr" localSheetId="1" hidden="1">{"via1",#N/A,TRUE,"general";"via2",#N/A,TRUE,"general";"via3",#N/A,TRUE,"general"}</definedName>
    <definedName name="nhndr" localSheetId="14" hidden="1">{"via1",#N/A,TRUE,"general";"via2",#N/A,TRUE,"general";"via3",#N/A,TRUE,"general"}</definedName>
    <definedName name="nhndr" localSheetId="16" hidden="1">{"via1",#N/A,TRUE,"general";"via2",#N/A,TRUE,"general";"via3",#N/A,TRUE,"general"}</definedName>
    <definedName name="nhndr" localSheetId="18" hidden="1">{"via1",#N/A,TRUE,"general";"via2",#N/A,TRUE,"general";"via3",#N/A,TRUE,"general"}</definedName>
    <definedName name="nhndr" hidden="1">{"via1",#N/A,TRUE,"general";"via2",#N/A,TRUE,"general";"via3",#N/A,TRUE,"general"}</definedName>
    <definedName name="nmmmm" localSheetId="15" hidden="1">{"via1",#N/A,TRUE,"general";"via2",#N/A,TRUE,"general";"via3",#N/A,TRUE,"general"}</definedName>
    <definedName name="nmmmm" localSheetId="17" hidden="1">{"via1",#N/A,TRUE,"general";"via2",#N/A,TRUE,"general";"via3",#N/A,TRUE,"general"}</definedName>
    <definedName name="nmmmm" localSheetId="19" hidden="1">{"via1",#N/A,TRUE,"general";"via2",#N/A,TRUE,"general";"via3",#N/A,TRUE,"general"}</definedName>
    <definedName name="nmmmm" localSheetId="12"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4" hidden="1">{"via1",#N/A,TRUE,"general";"via2",#N/A,TRUE,"general";"via3",#N/A,TRUE,"general"}</definedName>
    <definedName name="nmmmm" localSheetId="1" hidden="1">{"via1",#N/A,TRUE,"general";"via2",#N/A,TRUE,"general";"via3",#N/A,TRUE,"general"}</definedName>
    <definedName name="nmmmm" localSheetId="14" hidden="1">{"via1",#N/A,TRUE,"general";"via2",#N/A,TRUE,"general";"via3",#N/A,TRUE,"general"}</definedName>
    <definedName name="nmmmm" localSheetId="16" hidden="1">{"via1",#N/A,TRUE,"general";"via2",#N/A,TRUE,"general";"via3",#N/A,TRUE,"general"}</definedName>
    <definedName name="nmmmm" localSheetId="18" hidden="1">{"via1",#N/A,TRUE,"general";"via2",#N/A,TRUE,"general";"via3",#N/A,TRUE,"general"}</definedName>
    <definedName name="nmmmm" hidden="1">{"via1",#N/A,TRUE,"general";"via2",#N/A,TRUE,"general";"via3",#N/A,TRUE,"general"}</definedName>
    <definedName name="NN" localSheetId="15" hidden="1">{"TAB1",#N/A,TRUE,"GENERAL";"TAB2",#N/A,TRUE,"GENERAL";"TAB3",#N/A,TRUE,"GENERAL";"TAB4",#N/A,TRUE,"GENERAL";"TAB5",#N/A,TRUE,"GENERAL"}</definedName>
    <definedName name="NN" localSheetId="17" hidden="1">{"TAB1",#N/A,TRUE,"GENERAL";"TAB2",#N/A,TRUE,"GENERAL";"TAB3",#N/A,TRUE,"GENERAL";"TAB4",#N/A,TRUE,"GENERAL";"TAB5",#N/A,TRUE,"GENERAL"}</definedName>
    <definedName name="NN" localSheetId="19" hidden="1">{"TAB1",#N/A,TRUE,"GENERAL";"TAB2",#N/A,TRUE,"GENERAL";"TAB3",#N/A,TRUE,"GENERAL";"TAB4",#N/A,TRUE,"GENERAL";"TAB5",#N/A,TRUE,"GENERAL"}</definedName>
    <definedName name="NN" localSheetId="12"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7"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4" hidden="1">{"TAB1",#N/A,TRUE,"GENERAL";"TAB2",#N/A,TRUE,"GENERAL";"TAB3",#N/A,TRUE,"GENERAL";"TAB4",#N/A,TRUE,"GENERAL";"TAB5",#N/A,TRUE,"GENERAL"}</definedName>
    <definedName name="NN" localSheetId="1" hidden="1">{"TAB1",#N/A,TRUE,"GENERAL";"TAB2",#N/A,TRUE,"GENERAL";"TAB3",#N/A,TRUE,"GENERAL";"TAB4",#N/A,TRUE,"GENERAL";"TAB5",#N/A,TRUE,"GENERAL"}</definedName>
    <definedName name="NN" localSheetId="14" hidden="1">{"TAB1",#N/A,TRUE,"GENERAL";"TAB2",#N/A,TRUE,"GENERAL";"TAB3",#N/A,TRUE,"GENERAL";"TAB4",#N/A,TRUE,"GENERAL";"TAB5",#N/A,TRUE,"GENERAL"}</definedName>
    <definedName name="NN" localSheetId="16" hidden="1">{"TAB1",#N/A,TRUE,"GENERAL";"TAB2",#N/A,TRUE,"GENERAL";"TAB3",#N/A,TRUE,"GENERAL";"TAB4",#N/A,TRUE,"GENERAL";"TAB5",#N/A,TRUE,"GENERAL"}</definedName>
    <definedName name="NN" localSheetId="18" hidden="1">{"TAB1",#N/A,TRUE,"GENERAL";"TAB2",#N/A,TRUE,"GENERAL";"TAB3",#N/A,TRUE,"GENERAL";"TAB4",#N/A,TRUE,"GENERAL";"TAB5",#N/A,TRUE,"GENERAL"}</definedName>
    <definedName name="NN"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8" hidden="1">{"TAB1",#N/A,TRUE,"GENERAL";"TAB2",#N/A,TRUE,"GENERAL";"TAB3",#N/A,TRUE,"GENERAL";"TAB4",#N/A,TRUE,"GENERAL";"TAB5",#N/A,TRUE,"GENERAL"}</definedName>
    <definedName name="nndng" hidden="1">{"TAB1",#N/A,TRUE,"GENERAL";"TAB2",#N/A,TRUE,"GENERAL";"TAB3",#N/A,TRUE,"GENERAL";"TAB4",#N/A,TRUE,"GENERAL";"TAB5",#N/A,TRUE,"GENERAL"}</definedName>
    <definedName name="nnn" localSheetId="15" hidden="1">{"TAB1",#N/A,TRUE,"GENERAL";"TAB2",#N/A,TRUE,"GENERAL";"TAB3",#N/A,TRUE,"GENERAL";"TAB4",#N/A,TRUE,"GENERAL";"TAB5",#N/A,TRUE,"GENERAL"}</definedName>
    <definedName name="nnn" localSheetId="17" hidden="1">{"TAB1",#N/A,TRUE,"GENERAL";"TAB2",#N/A,TRUE,"GENERAL";"TAB3",#N/A,TRUE,"GENERAL";"TAB4",#N/A,TRUE,"GENERAL";"TAB5",#N/A,TRUE,"GENERAL"}</definedName>
    <definedName name="nnn" localSheetId="19" hidden="1">{"TAB1",#N/A,TRUE,"GENERAL";"TAB2",#N/A,TRUE,"GENERAL";"TAB3",#N/A,TRUE,"GENERAL";"TAB4",#N/A,TRUE,"GENERAL";"TAB5",#N/A,TRUE,"GENERAL"}</definedName>
    <definedName name="nnn" localSheetId="12"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7"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4" hidden="1">{"TAB1",#N/A,TRUE,"GENERAL";"TAB2",#N/A,TRUE,"GENERAL";"TAB3",#N/A,TRUE,"GENERAL";"TAB4",#N/A,TRUE,"GENERAL";"TAB5",#N/A,TRUE,"GENERAL"}</definedName>
    <definedName name="nnn" localSheetId="1" hidden="1">{"TAB1",#N/A,TRUE,"GENERAL";"TAB2",#N/A,TRUE,"GENERAL";"TAB3",#N/A,TRUE,"GENERAL";"TAB4",#N/A,TRUE,"GENERAL";"TAB5",#N/A,TRUE,"GENERAL"}</definedName>
    <definedName name="nnn" localSheetId="14" hidden="1">{"TAB1",#N/A,TRUE,"GENERAL";"TAB2",#N/A,TRUE,"GENERAL";"TAB3",#N/A,TRUE,"GENERAL";"TAB4",#N/A,TRUE,"GENERAL";"TAB5",#N/A,TRUE,"GENERAL"}</definedName>
    <definedName name="nnn" localSheetId="16" hidden="1">{"TAB1",#N/A,TRUE,"GENERAL";"TAB2",#N/A,TRUE,"GENERAL";"TAB3",#N/A,TRUE,"GENERAL";"TAB4",#N/A,TRUE,"GENERAL";"TAB5",#N/A,TRUE,"GENERAL"}</definedName>
    <definedName name="nnn" localSheetId="18" hidden="1">{"TAB1",#N/A,TRUE,"GENERAL";"TAB2",#N/A,TRUE,"GENERAL";"TAB3",#N/A,TRUE,"GENERAL";"TAB4",#N/A,TRUE,"GENERAL";"TAB5",#N/A,TRUE,"GENERAL"}</definedName>
    <definedName name="nnn" hidden="1">{"TAB1",#N/A,TRUE,"GENERAL";"TAB2",#N/A,TRUE,"GENERAL";"TAB3",#N/A,TRUE,"GENERAL";"TAB4",#N/A,TRUE,"GENERAL";"TAB5",#N/A,TRUE,"GENERAL"}</definedName>
    <definedName name="nnnhd" localSheetId="15" hidden="1">{"via1",#N/A,TRUE,"general";"via2",#N/A,TRUE,"general";"via3",#N/A,TRUE,"general"}</definedName>
    <definedName name="nnnhd" localSheetId="17" hidden="1">{"via1",#N/A,TRUE,"general";"via2",#N/A,TRUE,"general";"via3",#N/A,TRUE,"general"}</definedName>
    <definedName name="nnnhd" localSheetId="19" hidden="1">{"via1",#N/A,TRUE,"general";"via2",#N/A,TRUE,"general";"via3",#N/A,TRUE,"general"}</definedName>
    <definedName name="nnnhd" localSheetId="12"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4" hidden="1">{"via1",#N/A,TRUE,"general";"via2",#N/A,TRUE,"general";"via3",#N/A,TRUE,"general"}</definedName>
    <definedName name="nnnhd" localSheetId="1" hidden="1">{"via1",#N/A,TRUE,"general";"via2",#N/A,TRUE,"general";"via3",#N/A,TRUE,"general"}</definedName>
    <definedName name="nnnhd" localSheetId="14" hidden="1">{"via1",#N/A,TRUE,"general";"via2",#N/A,TRUE,"general";"via3",#N/A,TRUE,"general"}</definedName>
    <definedName name="nnnhd" localSheetId="16" hidden="1">{"via1",#N/A,TRUE,"general";"via2",#N/A,TRUE,"general";"via3",#N/A,TRUE,"general"}</definedName>
    <definedName name="nnnhd" localSheetId="18" hidden="1">{"via1",#N/A,TRUE,"general";"via2",#N/A,TRUE,"general";"via3",#N/A,TRUE,"general"}</definedName>
    <definedName name="nnnhd" hidden="1">{"via1",#N/A,TRUE,"general";"via2",#N/A,TRUE,"general";"via3",#N/A,TRUE,"general"}</definedName>
    <definedName name="nnnnn" localSheetId="15" hidden="1">{"via1",#N/A,TRUE,"general";"via2",#N/A,TRUE,"general";"via3",#N/A,TRUE,"general"}</definedName>
    <definedName name="nnnnn" localSheetId="17" hidden="1">{"via1",#N/A,TRUE,"general";"via2",#N/A,TRUE,"general";"via3",#N/A,TRUE,"general"}</definedName>
    <definedName name="nnnnn" localSheetId="19" hidden="1">{"via1",#N/A,TRUE,"general";"via2",#N/A,TRUE,"general";"via3",#N/A,TRUE,"general"}</definedName>
    <definedName name="nnnnn" localSheetId="12"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4" hidden="1">{"via1",#N/A,TRUE,"general";"via2",#N/A,TRUE,"general";"via3",#N/A,TRUE,"general"}</definedName>
    <definedName name="nnnnn" localSheetId="1" hidden="1">{"via1",#N/A,TRUE,"general";"via2",#N/A,TRUE,"general";"via3",#N/A,TRUE,"general"}</definedName>
    <definedName name="nnnnn" localSheetId="14" hidden="1">{"via1",#N/A,TRUE,"general";"via2",#N/A,TRUE,"general";"via3",#N/A,TRUE,"general"}</definedName>
    <definedName name="nnnnn" localSheetId="16" hidden="1">{"via1",#N/A,TRUE,"general";"via2",#N/A,TRUE,"general";"via3",#N/A,TRUE,"general"}</definedName>
    <definedName name="nnnnn" localSheetId="18" hidden="1">{"via1",#N/A,TRUE,"general";"via2",#N/A,TRUE,"general";"via3",#N/A,TRUE,"general"}</definedName>
    <definedName name="nnnnn" hidden="1">{"via1",#N/A,TRUE,"general";"via2",#N/A,TRUE,"general";"via3",#N/A,TRUE,"general"}</definedName>
    <definedName name="nnnnnd" localSheetId="15"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8" hidden="1">{"TAB1",#N/A,TRUE,"GENERAL";"TAB2",#N/A,TRUE,"GENERAL";"TAB3",#N/A,TRUE,"GENERAL";"TAB4",#N/A,TRUE,"GENERAL";"TAB5",#N/A,TRUE,"GENERAL"}</definedName>
    <definedName name="nnnnnd"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8" hidden="1">{"TAB1",#N/A,TRUE,"GENERAL";"TAB2",#N/A,TRUE,"GENERAL";"TAB3",#N/A,TRUE,"GENERAL";"TAB4",#N/A,TRUE,"GENERAL";"TAB5",#N/A,TRUE,"GENERAL"}</definedName>
    <definedName name="nnnnnf" hidden="1">{"TAB1",#N/A,TRUE,"GENERAL";"TAB2",#N/A,TRUE,"GENERAL";"TAB3",#N/A,TRUE,"GENERAL";"TAB4",#N/A,TRUE,"GENERAL";"TAB5",#N/A,TRUE,"GENERAL"}</definedName>
    <definedName name="nnnnnh" localSheetId="15" hidden="1">{"via1",#N/A,TRUE,"general";"via2",#N/A,TRUE,"general";"via3",#N/A,TRUE,"general"}</definedName>
    <definedName name="nnnnnh" localSheetId="17" hidden="1">{"via1",#N/A,TRUE,"general";"via2",#N/A,TRUE,"general";"via3",#N/A,TRUE,"general"}</definedName>
    <definedName name="nnnnnh" localSheetId="19" hidden="1">{"via1",#N/A,TRUE,"general";"via2",#N/A,TRUE,"general";"via3",#N/A,TRUE,"general"}</definedName>
    <definedName name="nnnnnh" localSheetId="12"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4" hidden="1">{"via1",#N/A,TRUE,"general";"via2",#N/A,TRUE,"general";"via3",#N/A,TRUE,"general"}</definedName>
    <definedName name="nnnnnh" localSheetId="1" hidden="1">{"via1",#N/A,TRUE,"general";"via2",#N/A,TRUE,"general";"via3",#N/A,TRUE,"general"}</definedName>
    <definedName name="nnnnnh" localSheetId="14" hidden="1">{"via1",#N/A,TRUE,"general";"via2",#N/A,TRUE,"general";"via3",#N/A,TRUE,"general"}</definedName>
    <definedName name="nnnnnh" localSheetId="16" hidden="1">{"via1",#N/A,TRUE,"general";"via2",#N/A,TRUE,"general";"via3",#N/A,TRUE,"general"}</definedName>
    <definedName name="nnnnnh" localSheetId="18" hidden="1">{"via1",#N/A,TRUE,"general";"via2",#N/A,TRUE,"general";"via3",#N/A,TRUE,"general"}</definedName>
    <definedName name="nnnnnh" hidden="1">{"via1",#N/A,TRUE,"general";"via2",#N/A,TRUE,"general";"via3",#N/A,TRUE,"general"}</definedName>
    <definedName name="NO" localSheetId="15" hidden="1">{"PYGT",#N/A,FALSE,"PYG";"ACTIT",#N/A,FALSE,"BCE_GRAL-ACTIVO";"PASIT",#N/A,FALSE,"BCE_GRAL-PASIVO-PATRIM";"CAJAT",#N/A,FALSE,"CAJA"}</definedName>
    <definedName name="NO" localSheetId="17" hidden="1">{"PYGT",#N/A,FALSE,"PYG";"ACTIT",#N/A,FALSE,"BCE_GRAL-ACTIVO";"PASIT",#N/A,FALSE,"BCE_GRAL-PASIVO-PATRIM";"CAJAT",#N/A,FALSE,"CAJA"}</definedName>
    <definedName name="NO" localSheetId="19" hidden="1">{"PYGT",#N/A,FALSE,"PYG";"ACTIT",#N/A,FALSE,"BCE_GRAL-ACTIVO";"PASIT",#N/A,FALSE,"BCE_GRAL-PASIVO-PATRIM";"CAJAT",#N/A,FALSE,"CAJA"}</definedName>
    <definedName name="NO" localSheetId="11" hidden="1">{"PYGT",#N/A,FALSE,"PYG";"ACTIT",#N/A,FALSE,"BCE_GRAL-ACTIVO";"PASIT",#N/A,FALSE,"BCE_GRAL-PASIVO-PATRIM";"CAJAT",#N/A,FALSE,"CAJA"}</definedName>
    <definedName name="NO" localSheetId="14" hidden="1">{"PYGT",#N/A,FALSE,"PYG";"ACTIT",#N/A,FALSE,"BCE_GRAL-ACTIVO";"PASIT",#N/A,FALSE,"BCE_GRAL-PASIVO-PATRIM";"CAJAT",#N/A,FALSE,"CAJA"}</definedName>
    <definedName name="NO" localSheetId="16" hidden="1">{"PYGT",#N/A,FALSE,"PYG";"ACTIT",#N/A,FALSE,"BCE_GRAL-ACTIVO";"PASIT",#N/A,FALSE,"BCE_GRAL-PASIVO-PATRIM";"CAJAT",#N/A,FALSE,"CAJA"}</definedName>
    <definedName name="NO" localSheetId="18" hidden="1">{"PYGT",#N/A,FALSE,"PYG";"ACTIT",#N/A,FALSE,"BCE_GRAL-ACTIVO";"PASIT",#N/A,FALSE,"BCE_GRAL-PASIVO-PATRIM";"CAJAT",#N/A,FALSE,"CAJA"}</definedName>
    <definedName name="NO" hidden="1">{"PYGT",#N/A,FALSE,"PYG";"ACTIT",#N/A,FALSE,"BCE_GRAL-ACTIVO";"PASIT",#N/A,FALSE,"BCE_GRAL-PASIVO-PATRIM";"CAJAT",#N/A,FALSE,"CAJA"}</definedName>
    <definedName name="nxn" localSheetId="15" hidden="1">{"via1",#N/A,TRUE,"general";"via2",#N/A,TRUE,"general";"via3",#N/A,TRUE,"general"}</definedName>
    <definedName name="nxn" localSheetId="17" hidden="1">{"via1",#N/A,TRUE,"general";"via2",#N/A,TRUE,"general";"via3",#N/A,TRUE,"general"}</definedName>
    <definedName name="nxn" localSheetId="19" hidden="1">{"via1",#N/A,TRUE,"general";"via2",#N/A,TRUE,"general";"via3",#N/A,TRUE,"general"}</definedName>
    <definedName name="nxn" localSheetId="12"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4" hidden="1">{"via1",#N/A,TRUE,"general";"via2",#N/A,TRUE,"general";"via3",#N/A,TRUE,"general"}</definedName>
    <definedName name="nxn" localSheetId="1" hidden="1">{"via1",#N/A,TRUE,"general";"via2",#N/A,TRUE,"general";"via3",#N/A,TRUE,"general"}</definedName>
    <definedName name="nxn" localSheetId="14" hidden="1">{"via1",#N/A,TRUE,"general";"via2",#N/A,TRUE,"general";"via3",#N/A,TRUE,"general"}</definedName>
    <definedName name="nxn" localSheetId="16" hidden="1">{"via1",#N/A,TRUE,"general";"via2",#N/A,TRUE,"general";"via3",#N/A,TRUE,"general"}</definedName>
    <definedName name="nxn" localSheetId="18" hidden="1">{"via1",#N/A,TRUE,"general";"via2",#N/A,TRUE,"general";"via3",#N/A,TRUE,"general"}</definedName>
    <definedName name="nxn" hidden="1">{"via1",#N/A,TRUE,"general";"via2",#N/A,TRUE,"general";"via3",#N/A,TRUE,"general"}</definedName>
    <definedName name="ñpñpñ" localSheetId="15" hidden="1">{"via1",#N/A,TRUE,"general";"via2",#N/A,TRUE,"general";"via3",#N/A,TRUE,"general"}</definedName>
    <definedName name="ñpñpñ" localSheetId="17" hidden="1">{"via1",#N/A,TRUE,"general";"via2",#N/A,TRUE,"general";"via3",#N/A,TRUE,"general"}</definedName>
    <definedName name="ñpñpñ" localSheetId="19" hidden="1">{"via1",#N/A,TRUE,"general";"via2",#N/A,TRUE,"general";"via3",#N/A,TRUE,"general"}</definedName>
    <definedName name="ñpñpñ" localSheetId="12"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4" hidden="1">{"via1",#N/A,TRUE,"general";"via2",#N/A,TRUE,"general";"via3",#N/A,TRUE,"general"}</definedName>
    <definedName name="ñpñpñ" localSheetId="1" hidden="1">{"via1",#N/A,TRUE,"general";"via2",#N/A,TRUE,"general";"via3",#N/A,TRUE,"general"}</definedName>
    <definedName name="ñpñpñ" localSheetId="14" hidden="1">{"via1",#N/A,TRUE,"general";"via2",#N/A,TRUE,"general";"via3",#N/A,TRUE,"general"}</definedName>
    <definedName name="ñpñpñ" localSheetId="16" hidden="1">{"via1",#N/A,TRUE,"general";"via2",#N/A,TRUE,"general";"via3",#N/A,TRUE,"general"}</definedName>
    <definedName name="ñpñpñ" localSheetId="18" hidden="1">{"via1",#N/A,TRUE,"general";"via2",#N/A,TRUE,"general";"via3",#N/A,TRUE,"general"}</definedName>
    <definedName name="ñpñpñ" hidden="1">{"via1",#N/A,TRUE,"general";"via2",#N/A,TRUE,"general";"via3",#N/A,TRUE,"general"}</definedName>
    <definedName name="o9o9" localSheetId="15" hidden="1">{"via1",#N/A,TRUE,"general";"via2",#N/A,TRUE,"general";"via3",#N/A,TRUE,"general"}</definedName>
    <definedName name="o9o9" localSheetId="17" hidden="1">{"via1",#N/A,TRUE,"general";"via2",#N/A,TRUE,"general";"via3",#N/A,TRUE,"general"}</definedName>
    <definedName name="o9o9" localSheetId="19" hidden="1">{"via1",#N/A,TRUE,"general";"via2",#N/A,TRUE,"general";"via3",#N/A,TRUE,"general"}</definedName>
    <definedName name="o9o9" localSheetId="12"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4" hidden="1">{"via1",#N/A,TRUE,"general";"via2",#N/A,TRUE,"general";"via3",#N/A,TRUE,"general"}</definedName>
    <definedName name="o9o9" localSheetId="1" hidden="1">{"via1",#N/A,TRUE,"general";"via2",#N/A,TRUE,"general";"via3",#N/A,TRUE,"general"}</definedName>
    <definedName name="o9o9" localSheetId="14" hidden="1">{"via1",#N/A,TRUE,"general";"via2",#N/A,TRUE,"general";"via3",#N/A,TRUE,"general"}</definedName>
    <definedName name="o9o9" localSheetId="16" hidden="1">{"via1",#N/A,TRUE,"general";"via2",#N/A,TRUE,"general";"via3",#N/A,TRUE,"general"}</definedName>
    <definedName name="o9o9" localSheetId="18"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12"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15" hidden="1">{#N/A,#N/A,FALSE,"Aging Summary";#N/A,#N/A,FALSE,"Ratio Analysis";#N/A,#N/A,FALSE,"Test 120 Day Accts";#N/A,#N/A,FALSE,"Tickmarks"}</definedName>
    <definedName name="oera" localSheetId="17" hidden="1">{#N/A,#N/A,FALSE,"Aging Summary";#N/A,#N/A,FALSE,"Ratio Analysis";#N/A,#N/A,FALSE,"Test 120 Day Accts";#N/A,#N/A,FALSE,"Tickmarks"}</definedName>
    <definedName name="oera" localSheetId="19" hidden="1">{#N/A,#N/A,FALSE,"Aging Summary";#N/A,#N/A,FALSE,"Ratio Analysis";#N/A,#N/A,FALSE,"Test 120 Day Accts";#N/A,#N/A,FALSE,"Tickmarks"}</definedName>
    <definedName name="oera" localSheetId="11" hidden="1">{#N/A,#N/A,FALSE,"Aging Summary";#N/A,#N/A,FALSE,"Ratio Analysis";#N/A,#N/A,FALSE,"Test 120 Day Accts";#N/A,#N/A,FALSE,"Tickmarks"}</definedName>
    <definedName name="oera" localSheetId="14" hidden="1">{#N/A,#N/A,FALSE,"Aging Summary";#N/A,#N/A,FALSE,"Ratio Analysis";#N/A,#N/A,FALSE,"Test 120 Day Accts";#N/A,#N/A,FALSE,"Tickmarks"}</definedName>
    <definedName name="oera" localSheetId="16" hidden="1">{#N/A,#N/A,FALSE,"Aging Summary";#N/A,#N/A,FALSE,"Ratio Analysis";#N/A,#N/A,FALSE,"Test 120 Day Accts";#N/A,#N/A,FALSE,"Tickmarks"}</definedName>
    <definedName name="oera" localSheetId="18" hidden="1">{#N/A,#N/A,FALSE,"Aging Summary";#N/A,#N/A,FALSE,"Ratio Analysis";#N/A,#N/A,FALSE,"Test 120 Day Accts";#N/A,#N/A,FALSE,"Tickmarks"}</definedName>
    <definedName name="oera" hidden="1">{#N/A,#N/A,FALSE,"Aging Summary";#N/A,#N/A,FALSE,"Ratio Analysis";#N/A,#N/A,FALSE,"Test 120 Day Accts";#N/A,#N/A,FALSE,"Tickmarks"}</definedName>
    <definedName name="oiret" localSheetId="15"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4" hidden="1">{"TAB1",#N/A,TRUE,"GENERAL";"TAB2",#N/A,TRUE,"GENERAL";"TAB3",#N/A,TRUE,"GENERAL";"TAB4",#N/A,TRUE,"GENERAL";"TAB5",#N/A,TRUE,"GENERAL"}</definedName>
    <definedName name="oiret" localSheetId="1"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8" hidden="1">{"TAB1",#N/A,TRUE,"GENERAL";"TAB2",#N/A,TRUE,"GENERAL";"TAB3",#N/A,TRUE,"GENERAL";"TAB4",#N/A,TRUE,"GENERAL";"TAB5",#N/A,TRUE,"GENERAL"}</definedName>
    <definedName name="oiret"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8" hidden="1">{"TAB1",#N/A,TRUE,"GENERAL";"TAB2",#N/A,TRUE,"GENERAL";"TAB3",#N/A,TRUE,"GENERAL";"TAB4",#N/A,TRUE,"GENERAL";"TAB5",#N/A,TRUE,"GENERAL"}</definedName>
    <definedName name="oirgrth" hidden="1">{"TAB1",#N/A,TRUE,"GENERAL";"TAB2",#N/A,TRUE,"GENERAL";"TAB3",#N/A,TRUE,"GENERAL";"TAB4",#N/A,TRUE,"GENERAL";"TAB5",#N/A,TRUE,"GENERAL"}</definedName>
    <definedName name="OIUOIU" localSheetId="15" hidden="1">{"via1",#N/A,TRUE,"general";"via2",#N/A,TRUE,"general";"via3",#N/A,TRUE,"general"}</definedName>
    <definedName name="OIUOIU" localSheetId="17" hidden="1">{"via1",#N/A,TRUE,"general";"via2",#N/A,TRUE,"general";"via3",#N/A,TRUE,"general"}</definedName>
    <definedName name="OIUOIU" localSheetId="19" hidden="1">{"via1",#N/A,TRUE,"general";"via2",#N/A,TRUE,"general";"via3",#N/A,TRUE,"general"}</definedName>
    <definedName name="OIUOIU" localSheetId="12"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4" hidden="1">{"via1",#N/A,TRUE,"general";"via2",#N/A,TRUE,"general";"via3",#N/A,TRUE,"general"}</definedName>
    <definedName name="OIUOIU" localSheetId="1" hidden="1">{"via1",#N/A,TRUE,"general";"via2",#N/A,TRUE,"general";"via3",#N/A,TRUE,"general"}</definedName>
    <definedName name="OIUOIU" localSheetId="14" hidden="1">{"via1",#N/A,TRUE,"general";"via2",#N/A,TRUE,"general";"via3",#N/A,TRUE,"general"}</definedName>
    <definedName name="OIUOIU" localSheetId="16" hidden="1">{"via1",#N/A,TRUE,"general";"via2",#N/A,TRUE,"general";"via3",#N/A,TRUE,"general"}</definedName>
    <definedName name="OIUOIU" localSheetId="18" hidden="1">{"via1",#N/A,TRUE,"general";"via2",#N/A,TRUE,"general";"via3",#N/A,TRUE,"general"}</definedName>
    <definedName name="OIUOIU" hidden="1">{"via1",#N/A,TRUE,"general";"via2",#N/A,TRUE,"general";"via3",#N/A,TRUE,"general"}</definedName>
    <definedName name="OJO" hidden="1">#REF!</definedName>
    <definedName name="OO" hidden="1">{#N/A,#N/A,TRUE,"1842CWN0"}</definedName>
    <definedName name="ooo" localSheetId="15" hidden="1">{"via1",#N/A,TRUE,"general";"via2",#N/A,TRUE,"general";"via3",#N/A,TRUE,"general"}</definedName>
    <definedName name="ooo" localSheetId="17" hidden="1">{"via1",#N/A,TRUE,"general";"via2",#N/A,TRUE,"general";"via3",#N/A,TRUE,"general"}</definedName>
    <definedName name="ooo" localSheetId="19" hidden="1">{"via1",#N/A,TRUE,"general";"via2",#N/A,TRUE,"general";"via3",#N/A,TRUE,"general"}</definedName>
    <definedName name="ooo" localSheetId="12"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7"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4" hidden="1">{"via1",#N/A,TRUE,"general";"via2",#N/A,TRUE,"general";"via3",#N/A,TRUE,"general"}</definedName>
    <definedName name="ooo" localSheetId="1" hidden="1">{"via1",#N/A,TRUE,"general";"via2",#N/A,TRUE,"general";"via3",#N/A,TRUE,"general"}</definedName>
    <definedName name="ooo" localSheetId="14" hidden="1">{"via1",#N/A,TRUE,"general";"via2",#N/A,TRUE,"general";"via3",#N/A,TRUE,"general"}</definedName>
    <definedName name="ooo" localSheetId="16" hidden="1">{"via1",#N/A,TRUE,"general";"via2",#N/A,TRUE,"general";"via3",#N/A,TRUE,"general"}</definedName>
    <definedName name="ooo" localSheetId="18" hidden="1">{"via1",#N/A,TRUE,"general";"via2",#N/A,TRUE,"general";"via3",#N/A,TRUE,"general"}</definedName>
    <definedName name="ooo" hidden="1">{"via1",#N/A,TRUE,"general";"via2",#N/A,TRUE,"general";"via3",#N/A,TRUE,"general"}</definedName>
    <definedName name="ooooiii" localSheetId="15"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8" hidden="1">{"TAB1",#N/A,TRUE,"GENERAL";"TAB2",#N/A,TRUE,"GENERAL";"TAB3",#N/A,TRUE,"GENERAL";"TAB4",#N/A,TRUE,"GENERAL";"TAB5",#N/A,TRUE,"GENERAL"}</definedName>
    <definedName name="ooooiii" hidden="1">{"TAB1",#N/A,TRUE,"GENERAL";"TAB2",#N/A,TRUE,"GENERAL";"TAB3",#N/A,TRUE,"GENERAL";"TAB4",#N/A,TRUE,"GENERAL";"TAB5",#N/A,TRUE,"GENERAL"}</definedName>
    <definedName name="oooos" localSheetId="15" hidden="1">{"via1",#N/A,TRUE,"general";"via2",#N/A,TRUE,"general";"via3",#N/A,TRUE,"general"}</definedName>
    <definedName name="oooos" localSheetId="17" hidden="1">{"via1",#N/A,TRUE,"general";"via2",#N/A,TRUE,"general";"via3",#N/A,TRUE,"general"}</definedName>
    <definedName name="oooos" localSheetId="19" hidden="1">{"via1",#N/A,TRUE,"general";"via2",#N/A,TRUE,"general";"via3",#N/A,TRUE,"general"}</definedName>
    <definedName name="oooos" localSheetId="12"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4" hidden="1">{"via1",#N/A,TRUE,"general";"via2",#N/A,TRUE,"general";"via3",#N/A,TRUE,"general"}</definedName>
    <definedName name="oooos" localSheetId="1" hidden="1">{"via1",#N/A,TRUE,"general";"via2",#N/A,TRUE,"general";"via3",#N/A,TRUE,"general"}</definedName>
    <definedName name="oooos" localSheetId="14" hidden="1">{"via1",#N/A,TRUE,"general";"via2",#N/A,TRUE,"general";"via3",#N/A,TRUE,"general"}</definedName>
    <definedName name="oooos" localSheetId="16" hidden="1">{"via1",#N/A,TRUE,"general";"via2",#N/A,TRUE,"general";"via3",#N/A,TRUE,"general"}</definedName>
    <definedName name="oooos" localSheetId="18" hidden="1">{"via1",#N/A,TRUE,"general";"via2",#N/A,TRUE,"general";"via3",#N/A,TRUE,"general"}</definedName>
    <definedName name="oooos" hidden="1">{"via1",#N/A,TRUE,"general";"via2",#N/A,TRUE,"general";"via3",#N/A,TRUE,"general"}</definedName>
    <definedName name="ORIGINAL" localSheetId="12"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15" hidden="1">{"via1",#N/A,TRUE,"general";"via2",#N/A,TRUE,"general";"via3",#N/A,TRUE,"general"}</definedName>
    <definedName name="p0p0" localSheetId="17" hidden="1">{"via1",#N/A,TRUE,"general";"via2",#N/A,TRUE,"general";"via3",#N/A,TRUE,"general"}</definedName>
    <definedName name="p0p0" localSheetId="19" hidden="1">{"via1",#N/A,TRUE,"general";"via2",#N/A,TRUE,"general";"via3",#N/A,TRUE,"general"}</definedName>
    <definedName name="p0p0" localSheetId="12"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4" hidden="1">{"via1",#N/A,TRUE,"general";"via2",#N/A,TRUE,"general";"via3",#N/A,TRUE,"general"}</definedName>
    <definedName name="p0p0" localSheetId="1" hidden="1">{"via1",#N/A,TRUE,"general";"via2",#N/A,TRUE,"general";"via3",#N/A,TRUE,"general"}</definedName>
    <definedName name="p0p0" localSheetId="14" hidden="1">{"via1",#N/A,TRUE,"general";"via2",#N/A,TRUE,"general";"via3",#N/A,TRUE,"general"}</definedName>
    <definedName name="p0p0" localSheetId="16" hidden="1">{"via1",#N/A,TRUE,"general";"via2",#N/A,TRUE,"general";"via3",#N/A,TRUE,"general"}</definedName>
    <definedName name="p0p0" localSheetId="18" hidden="1">{"via1",#N/A,TRUE,"general";"via2",#N/A,TRUE,"general";"via3",#N/A,TRUE,"general"}</definedName>
    <definedName name="p0p0" hidden="1">{"via1",#N/A,TRUE,"general";"via2",#N/A,TRUE,"general";"via3",#N/A,TRUE,"general"}</definedName>
    <definedName name="particulares1" localSheetId="15" hidden="1">{#N/A,#N/A,FALSE,"Aging Summary";#N/A,#N/A,FALSE,"Ratio Analysis";#N/A,#N/A,FALSE,"Test 120 Day Accts";#N/A,#N/A,FALSE,"Tickmarks"}</definedName>
    <definedName name="particulares1" localSheetId="17" hidden="1">{#N/A,#N/A,FALSE,"Aging Summary";#N/A,#N/A,FALSE,"Ratio Analysis";#N/A,#N/A,FALSE,"Test 120 Day Accts";#N/A,#N/A,FALSE,"Tickmarks"}</definedName>
    <definedName name="particulares1" localSheetId="19" hidden="1">{#N/A,#N/A,FALSE,"Aging Summary";#N/A,#N/A,FALSE,"Ratio Analysis";#N/A,#N/A,FALSE,"Test 120 Day Accts";#N/A,#N/A,FALSE,"Tickmarks"}</definedName>
    <definedName name="particulares1" localSheetId="11" hidden="1">{#N/A,#N/A,FALSE,"Aging Summary";#N/A,#N/A,FALSE,"Ratio Analysis";#N/A,#N/A,FALSE,"Test 120 Day Accts";#N/A,#N/A,FALSE,"Tickmarks"}</definedName>
    <definedName name="particulares1" localSheetId="14" hidden="1">{#N/A,#N/A,FALSE,"Aging Summary";#N/A,#N/A,FALSE,"Ratio Analysis";#N/A,#N/A,FALSE,"Test 120 Day Accts";#N/A,#N/A,FALSE,"Tickmarks"}</definedName>
    <definedName name="particulares1" localSheetId="16" hidden="1">{#N/A,#N/A,FALSE,"Aging Summary";#N/A,#N/A,FALSE,"Ratio Analysis";#N/A,#N/A,FALSE,"Test 120 Day Accts";#N/A,#N/A,FALSE,"Tickmarks"}</definedName>
    <definedName name="particulares1" localSheetId="18"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15" hidden="1">{"TAB1",#N/A,TRUE,"GENERAL";"TAB2",#N/A,TRUE,"GENERAL";"TAB3",#N/A,TRUE,"GENERAL";"TAB4",#N/A,TRUE,"GENERAL";"TAB5",#N/A,TRUE,"GENERAL"}</definedName>
    <definedName name="PKHK" localSheetId="17" hidden="1">{"TAB1",#N/A,TRUE,"GENERAL";"TAB2",#N/A,TRUE,"GENERAL";"TAB3",#N/A,TRUE,"GENERAL";"TAB4",#N/A,TRUE,"GENERAL";"TAB5",#N/A,TRUE,"GENERAL"}</definedName>
    <definedName name="PKHK" localSheetId="19" hidden="1">{"TAB1",#N/A,TRUE,"GENERAL";"TAB2",#N/A,TRUE,"GENERAL";"TAB3",#N/A,TRUE,"GENERAL";"TAB4",#N/A,TRUE,"GENERAL";"TAB5",#N/A,TRUE,"GENERAL"}</definedName>
    <definedName name="PKHK" localSheetId="12"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4" hidden="1">{"TAB1",#N/A,TRUE,"GENERAL";"TAB2",#N/A,TRUE,"GENERAL";"TAB3",#N/A,TRUE,"GENERAL";"TAB4",#N/A,TRUE,"GENERAL";"TAB5",#N/A,TRUE,"GENERAL"}</definedName>
    <definedName name="PKHK" localSheetId="1" hidden="1">{"TAB1",#N/A,TRUE,"GENERAL";"TAB2",#N/A,TRUE,"GENERAL";"TAB3",#N/A,TRUE,"GENERAL";"TAB4",#N/A,TRUE,"GENERAL";"TAB5",#N/A,TRUE,"GENERAL"}</definedName>
    <definedName name="PKHK" localSheetId="14" hidden="1">{"TAB1",#N/A,TRUE,"GENERAL";"TAB2",#N/A,TRUE,"GENERAL";"TAB3",#N/A,TRUE,"GENERAL";"TAB4",#N/A,TRUE,"GENERAL";"TAB5",#N/A,TRUE,"GENERAL"}</definedName>
    <definedName name="PKHK" localSheetId="16" hidden="1">{"TAB1",#N/A,TRUE,"GENERAL";"TAB2",#N/A,TRUE,"GENERAL";"TAB3",#N/A,TRUE,"GENERAL";"TAB4",#N/A,TRUE,"GENERAL";"TAB5",#N/A,TRUE,"GENERAL"}</definedName>
    <definedName name="PKHK" localSheetId="18" hidden="1">{"TAB1",#N/A,TRUE,"GENERAL";"TAB2",#N/A,TRUE,"GENERAL";"TAB3",#N/A,TRUE,"GENERAL";"TAB4",#N/A,TRUE,"GENERAL";"TAB5",#N/A,TRUE,"GENERAL"}</definedName>
    <definedName name="PKHK" hidden="1">{"TAB1",#N/A,TRUE,"GENERAL";"TAB2",#N/A,TRUE,"GENERAL";"TAB3",#N/A,TRUE,"GENERAL";"TAB4",#N/A,TRUE,"GENERAL";"TAB5",#N/A,TRUE,"GENERAL"}</definedName>
    <definedName name="pkj" localSheetId="15" hidden="1">{"TAB1",#N/A,TRUE,"GENERAL";"TAB2",#N/A,TRUE,"GENERAL";"TAB3",#N/A,TRUE,"GENERAL";"TAB4",#N/A,TRUE,"GENERAL";"TAB5",#N/A,TRUE,"GENERAL"}</definedName>
    <definedName name="pkj" localSheetId="17" hidden="1">{"TAB1",#N/A,TRUE,"GENERAL";"TAB2",#N/A,TRUE,"GENERAL";"TAB3",#N/A,TRUE,"GENERAL";"TAB4",#N/A,TRUE,"GENERAL";"TAB5",#N/A,TRUE,"GENERAL"}</definedName>
    <definedName name="pkj" localSheetId="19" hidden="1">{"TAB1",#N/A,TRUE,"GENERAL";"TAB2",#N/A,TRUE,"GENERAL";"TAB3",#N/A,TRUE,"GENERAL";"TAB4",#N/A,TRUE,"GENERAL";"TAB5",#N/A,TRUE,"GENERAL"}</definedName>
    <definedName name="pkj" localSheetId="12"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4" hidden="1">{"TAB1",#N/A,TRUE,"GENERAL";"TAB2",#N/A,TRUE,"GENERAL";"TAB3",#N/A,TRUE,"GENERAL";"TAB4",#N/A,TRUE,"GENERAL";"TAB5",#N/A,TRUE,"GENERAL"}</definedName>
    <definedName name="pkj" localSheetId="1" hidden="1">{"TAB1",#N/A,TRUE,"GENERAL";"TAB2",#N/A,TRUE,"GENERAL";"TAB3",#N/A,TRUE,"GENERAL";"TAB4",#N/A,TRUE,"GENERAL";"TAB5",#N/A,TRUE,"GENERAL"}</definedName>
    <definedName name="pkj" localSheetId="14" hidden="1">{"TAB1",#N/A,TRUE,"GENERAL";"TAB2",#N/A,TRUE,"GENERAL";"TAB3",#N/A,TRUE,"GENERAL";"TAB4",#N/A,TRUE,"GENERAL";"TAB5",#N/A,TRUE,"GENERAL"}</definedName>
    <definedName name="pkj" localSheetId="16" hidden="1">{"TAB1",#N/A,TRUE,"GENERAL";"TAB2",#N/A,TRUE,"GENERAL";"TAB3",#N/A,TRUE,"GENERAL";"TAB4",#N/A,TRUE,"GENERAL";"TAB5",#N/A,TRUE,"GENERAL"}</definedName>
    <definedName name="pkj" localSheetId="18" hidden="1">{"TAB1",#N/A,TRUE,"GENERAL";"TAB2",#N/A,TRUE,"GENERAL";"TAB3",#N/A,TRUE,"GENERAL";"TAB4",#N/A,TRUE,"GENERAL";"TAB5",#N/A,TRUE,"GENERAL"}</definedName>
    <definedName name="pkj" hidden="1">{"TAB1",#N/A,TRUE,"GENERAL";"TAB2",#N/A,TRUE,"GENERAL";"TAB3",#N/A,TRUE,"GENERAL";"TAB4",#N/A,TRUE,"GENERAL";"TAB5",#N/A,TRUE,"GENERAL"}</definedName>
    <definedName name="PLAD" localSheetId="15" hidden="1">{"TAB1",#N/A,TRUE,"GENERAL";"TAB2",#N/A,TRUE,"GENERAL";"TAB3",#N/A,TRUE,"GENERAL";"TAB4",#N/A,TRUE,"GENERAL";"TAB5",#N/A,TRUE,"GENERAL"}</definedName>
    <definedName name="PLAD" localSheetId="17" hidden="1">{"TAB1",#N/A,TRUE,"GENERAL";"TAB2",#N/A,TRUE,"GENERAL";"TAB3",#N/A,TRUE,"GENERAL";"TAB4",#N/A,TRUE,"GENERAL";"TAB5",#N/A,TRUE,"GENERAL"}</definedName>
    <definedName name="PLAD" localSheetId="19" hidden="1">{"TAB1",#N/A,TRUE,"GENERAL";"TAB2",#N/A,TRUE,"GENERAL";"TAB3",#N/A,TRUE,"GENERAL";"TAB4",#N/A,TRUE,"GENERAL";"TAB5",#N/A,TRUE,"GENERAL"}</definedName>
    <definedName name="PLAD" localSheetId="12"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4" hidden="1">{"TAB1",#N/A,TRUE,"GENERAL";"TAB2",#N/A,TRUE,"GENERAL";"TAB3",#N/A,TRUE,"GENERAL";"TAB4",#N/A,TRUE,"GENERAL";"TAB5",#N/A,TRUE,"GENERAL"}</definedName>
    <definedName name="PLAD" localSheetId="1" hidden="1">{"TAB1",#N/A,TRUE,"GENERAL";"TAB2",#N/A,TRUE,"GENERAL";"TAB3",#N/A,TRUE,"GENERAL";"TAB4",#N/A,TRUE,"GENERAL";"TAB5",#N/A,TRUE,"GENERAL"}</definedName>
    <definedName name="PLAD" localSheetId="14" hidden="1">{"TAB1",#N/A,TRUE,"GENERAL";"TAB2",#N/A,TRUE,"GENERAL";"TAB3",#N/A,TRUE,"GENERAL";"TAB4",#N/A,TRUE,"GENERAL";"TAB5",#N/A,TRUE,"GENERAL"}</definedName>
    <definedName name="PLAD" localSheetId="16" hidden="1">{"TAB1",#N/A,TRUE,"GENERAL";"TAB2",#N/A,TRUE,"GENERAL";"TAB3",#N/A,TRUE,"GENERAL";"TAB4",#N/A,TRUE,"GENERAL";"TAB5",#N/A,TRUE,"GENERAL"}</definedName>
    <definedName name="PLAD" localSheetId="18" hidden="1">{"TAB1",#N/A,TRUE,"GENERAL";"TAB2",#N/A,TRUE,"GENERAL";"TAB3",#N/A,TRUE,"GENERAL";"TAB4",#N/A,TRUE,"GENERAL";"TAB5",#N/A,TRUE,"GENERAL"}</definedName>
    <definedName name="PLAD"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8" hidden="1">{"TAB1",#N/A,TRUE,"GENERAL";"TAB2",#N/A,TRUE,"GENERAL";"TAB3",#N/A,TRUE,"GENERAL";"TAB4",#N/A,TRUE,"GENERAL";"TAB5",#N/A,TRUE,"GENERAL"}</definedName>
    <definedName name="PLPLUNN" hidden="1">{"TAB1",#N/A,TRUE,"GENERAL";"TAB2",#N/A,TRUE,"GENERAL";"TAB3",#N/A,TRUE,"GENERAL";"TAB4",#N/A,TRUE,"GENERAL";"TAB5",#N/A,TRUE,"GENERAL"}</definedName>
    <definedName name="POIUP" localSheetId="15" hidden="1">{"via1",#N/A,TRUE,"general";"via2",#N/A,TRUE,"general";"via3",#N/A,TRUE,"general"}</definedName>
    <definedName name="POIUP" localSheetId="17" hidden="1">{"via1",#N/A,TRUE,"general";"via2",#N/A,TRUE,"general";"via3",#N/A,TRUE,"general"}</definedName>
    <definedName name="POIUP" localSheetId="19" hidden="1">{"via1",#N/A,TRUE,"general";"via2",#N/A,TRUE,"general";"via3",#N/A,TRUE,"general"}</definedName>
    <definedName name="POIUP" localSheetId="12"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4" hidden="1">{"via1",#N/A,TRUE,"general";"via2",#N/A,TRUE,"general";"via3",#N/A,TRUE,"general"}</definedName>
    <definedName name="POIUP" localSheetId="1" hidden="1">{"via1",#N/A,TRUE,"general";"via2",#N/A,TRUE,"general";"via3",#N/A,TRUE,"general"}</definedName>
    <definedName name="POIUP" localSheetId="14" hidden="1">{"via1",#N/A,TRUE,"general";"via2",#N/A,TRUE,"general";"via3",#N/A,TRUE,"general"}</definedName>
    <definedName name="POIUP" localSheetId="16" hidden="1">{"via1",#N/A,TRUE,"general";"via2",#N/A,TRUE,"general";"via3",#N/A,TRUE,"general"}</definedName>
    <definedName name="POIUP" localSheetId="18" hidden="1">{"via1",#N/A,TRUE,"general";"via2",#N/A,TRUE,"general";"via3",#N/A,TRUE,"general"}</definedName>
    <definedName name="POIUP" hidden="1">{"via1",#N/A,TRUE,"general";"via2",#N/A,TRUE,"general";"via3",#N/A,TRUE,"general"}</definedName>
    <definedName name="popop" localSheetId="15" hidden="1">{"via1",#N/A,TRUE,"general";"via2",#N/A,TRUE,"general";"via3",#N/A,TRUE,"general"}</definedName>
    <definedName name="popop" localSheetId="17" hidden="1">{"via1",#N/A,TRUE,"general";"via2",#N/A,TRUE,"general";"via3",#N/A,TRUE,"general"}</definedName>
    <definedName name="popop" localSheetId="19" hidden="1">{"via1",#N/A,TRUE,"general";"via2",#N/A,TRUE,"general";"via3",#N/A,TRUE,"general"}</definedName>
    <definedName name="popop" localSheetId="12"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4" hidden="1">{"via1",#N/A,TRUE,"general";"via2",#N/A,TRUE,"general";"via3",#N/A,TRUE,"general"}</definedName>
    <definedName name="popop" localSheetId="1" hidden="1">{"via1",#N/A,TRUE,"general";"via2",#N/A,TRUE,"general";"via3",#N/A,TRUE,"general"}</definedName>
    <definedName name="popop" localSheetId="14" hidden="1">{"via1",#N/A,TRUE,"general";"via2",#N/A,TRUE,"general";"via3",#N/A,TRUE,"general"}</definedName>
    <definedName name="popop" localSheetId="16" hidden="1">{"via1",#N/A,TRUE,"general";"via2",#N/A,TRUE,"general";"via3",#N/A,TRUE,"general"}</definedName>
    <definedName name="popop" localSheetId="18" hidden="1">{"via1",#N/A,TRUE,"general";"via2",#N/A,TRUE,"general";"via3",#N/A,TRUE,"general"}</definedName>
    <definedName name="popop" hidden="1">{"via1",#N/A,TRUE,"general";"via2",#N/A,TRUE,"general";"via3",#N/A,TRUE,"general"}</definedName>
    <definedName name="popp" localSheetId="15" hidden="1">{"via1",#N/A,TRUE,"general";"via2",#N/A,TRUE,"general";"via3",#N/A,TRUE,"general"}</definedName>
    <definedName name="popp" localSheetId="17" hidden="1">{"via1",#N/A,TRUE,"general";"via2",#N/A,TRUE,"general";"via3",#N/A,TRUE,"general"}</definedName>
    <definedName name="popp" localSheetId="19" hidden="1">{"via1",#N/A,TRUE,"general";"via2",#N/A,TRUE,"general";"via3",#N/A,TRUE,"general"}</definedName>
    <definedName name="popp" localSheetId="12"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4" hidden="1">{"via1",#N/A,TRUE,"general";"via2",#N/A,TRUE,"general";"via3",#N/A,TRUE,"general"}</definedName>
    <definedName name="popp" localSheetId="1" hidden="1">{"via1",#N/A,TRUE,"general";"via2",#N/A,TRUE,"general";"via3",#N/A,TRUE,"general"}</definedName>
    <definedName name="popp" localSheetId="14" hidden="1">{"via1",#N/A,TRUE,"general";"via2",#N/A,TRUE,"general";"via3",#N/A,TRUE,"general"}</definedName>
    <definedName name="popp" localSheetId="16" hidden="1">{"via1",#N/A,TRUE,"general";"via2",#N/A,TRUE,"general";"via3",#N/A,TRUE,"general"}</definedName>
    <definedName name="popp" localSheetId="18" hidden="1">{"via1",#N/A,TRUE,"general";"via2",#N/A,TRUE,"general";"via3",#N/A,TRUE,"general"}</definedName>
    <definedName name="popp" hidden="1">{"via1",#N/A,TRUE,"general";"via2",#N/A,TRUE,"general";"via3",#N/A,TRUE,"general"}</definedName>
    <definedName name="popvds" localSheetId="15"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8" hidden="1">{"TAB1",#N/A,TRUE,"GENERAL";"TAB2",#N/A,TRUE,"GENERAL";"TAB3",#N/A,TRUE,"GENERAL";"TAB4",#N/A,TRUE,"GENERAL";"TAB5",#N/A,TRUE,"GENERAL"}</definedName>
    <definedName name="popvds" hidden="1">{"TAB1",#N/A,TRUE,"GENERAL";"TAB2",#N/A,TRUE,"GENERAL";"TAB3",#N/A,TRUE,"GENERAL";"TAB4",#N/A,TRUE,"GENERAL";"TAB5",#N/A,TRUE,"GENERAL"}</definedName>
    <definedName name="pouig" localSheetId="15" hidden="1">{"via1",#N/A,TRUE,"general";"via2",#N/A,TRUE,"general";"via3",#N/A,TRUE,"general"}</definedName>
    <definedName name="pouig" localSheetId="17" hidden="1">{"via1",#N/A,TRUE,"general";"via2",#N/A,TRUE,"general";"via3",#N/A,TRUE,"general"}</definedName>
    <definedName name="pouig" localSheetId="19" hidden="1">{"via1",#N/A,TRUE,"general";"via2",#N/A,TRUE,"general";"via3",#N/A,TRUE,"general"}</definedName>
    <definedName name="pouig" localSheetId="12"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4" hidden="1">{"via1",#N/A,TRUE,"general";"via2",#N/A,TRUE,"general";"via3",#N/A,TRUE,"general"}</definedName>
    <definedName name="pouig" localSheetId="1" hidden="1">{"via1",#N/A,TRUE,"general";"via2",#N/A,TRUE,"general";"via3",#N/A,TRUE,"general"}</definedName>
    <definedName name="pouig" localSheetId="14" hidden="1">{"via1",#N/A,TRUE,"general";"via2",#N/A,TRUE,"general";"via3",#N/A,TRUE,"general"}</definedName>
    <definedName name="pouig" localSheetId="16" hidden="1">{"via1",#N/A,TRUE,"general";"via2",#N/A,TRUE,"general";"via3",#N/A,TRUE,"general"}</definedName>
    <definedName name="pouig" localSheetId="18" hidden="1">{"via1",#N/A,TRUE,"general";"via2",#N/A,TRUE,"general";"via3",#N/A,TRUE,"general"}</definedName>
    <definedName name="pouig" hidden="1">{"via1",#N/A,TRUE,"general";"via2",#N/A,TRUE,"general";"via3",#N/A,TRUE,"general"}</definedName>
    <definedName name="PPPP" localSheetId="12"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5" hidden="1">{"via1",#N/A,TRUE,"general";"via2",#N/A,TRUE,"general";"via3",#N/A,TRUE,"general"}</definedName>
    <definedName name="ppppp9" localSheetId="17" hidden="1">{"via1",#N/A,TRUE,"general";"via2",#N/A,TRUE,"general";"via3",#N/A,TRUE,"general"}</definedName>
    <definedName name="ppppp9" localSheetId="19" hidden="1">{"via1",#N/A,TRUE,"general";"via2",#N/A,TRUE,"general";"via3",#N/A,TRUE,"general"}</definedName>
    <definedName name="ppppp9" localSheetId="12"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4" hidden="1">{"via1",#N/A,TRUE,"general";"via2",#N/A,TRUE,"general";"via3",#N/A,TRUE,"general"}</definedName>
    <definedName name="ppppp9" localSheetId="1" hidden="1">{"via1",#N/A,TRUE,"general";"via2",#N/A,TRUE,"general";"via3",#N/A,TRUE,"general"}</definedName>
    <definedName name="ppppp9" localSheetId="14" hidden="1">{"via1",#N/A,TRUE,"general";"via2",#N/A,TRUE,"general";"via3",#N/A,TRUE,"general"}</definedName>
    <definedName name="ppppp9" localSheetId="16" hidden="1">{"via1",#N/A,TRUE,"general";"via2",#N/A,TRUE,"general";"via3",#N/A,TRUE,"general"}</definedName>
    <definedName name="ppppp9" localSheetId="18" hidden="1">{"via1",#N/A,TRUE,"general";"via2",#N/A,TRUE,"general";"via3",#N/A,TRUE,"general"}</definedName>
    <definedName name="ppppp9" hidden="1">{"via1",#N/A,TRUE,"general";"via2",#N/A,TRUE,"general";"via3",#N/A,TRUE,"general"}</definedName>
    <definedName name="pppppd" localSheetId="15"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8" hidden="1">{"TAB1",#N/A,TRUE,"GENERAL";"TAB2",#N/A,TRUE,"GENERAL";"TAB3",#N/A,TRUE,"GENERAL";"TAB4",#N/A,TRUE,"GENERAL";"TAB5",#N/A,TRUE,"GENERAL"}</definedName>
    <definedName name="pppppd" hidden="1">{"TAB1",#N/A,TRUE,"GENERAL";"TAB2",#N/A,TRUE,"GENERAL";"TAB3",#N/A,TRUE,"GENERAL";"TAB4",#N/A,TRUE,"GENERAL";"TAB5",#N/A,TRUE,"GENERAL"}</definedName>
    <definedName name="pqroj" localSheetId="15" hidden="1">{"via1",#N/A,TRUE,"general";"via2",#N/A,TRUE,"general";"via3",#N/A,TRUE,"general"}</definedName>
    <definedName name="pqroj" localSheetId="17" hidden="1">{"via1",#N/A,TRUE,"general";"via2",#N/A,TRUE,"general";"via3",#N/A,TRUE,"general"}</definedName>
    <definedName name="pqroj" localSheetId="19" hidden="1">{"via1",#N/A,TRUE,"general";"via2",#N/A,TRUE,"general";"via3",#N/A,TRUE,"general"}</definedName>
    <definedName name="pqroj" localSheetId="12"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4" hidden="1">{"via1",#N/A,TRUE,"general";"via2",#N/A,TRUE,"general";"via3",#N/A,TRUE,"general"}</definedName>
    <definedName name="pqroj" localSheetId="1" hidden="1">{"via1",#N/A,TRUE,"general";"via2",#N/A,TRUE,"general";"via3",#N/A,TRUE,"general"}</definedName>
    <definedName name="pqroj" localSheetId="14" hidden="1">{"via1",#N/A,TRUE,"general";"via2",#N/A,TRUE,"general";"via3",#N/A,TRUE,"general"}</definedName>
    <definedName name="pqroj" localSheetId="16" hidden="1">{"via1",#N/A,TRUE,"general";"via2",#N/A,TRUE,"general";"via3",#N/A,TRUE,"general"}</definedName>
    <definedName name="pqroj" localSheetId="18" hidden="1">{"via1",#N/A,TRUE,"general";"via2",#N/A,TRUE,"general";"via3",#N/A,TRUE,"general"}</definedName>
    <definedName name="pqroj" hidden="1">{"via1",#N/A,TRUE,"general";"via2",#N/A,TRUE,"general";"via3",#N/A,TRUE,"general"}</definedName>
    <definedName name="PresuDerivGuatDef" localSheetId="15" hidden="1">{"via1",#N/A,TRUE,"general";"via2",#N/A,TRUE,"general";"via3",#N/A,TRUE,"general"}</definedName>
    <definedName name="PresuDerivGuatDef" localSheetId="17" hidden="1">{"via1",#N/A,TRUE,"general";"via2",#N/A,TRUE,"general";"via3",#N/A,TRUE,"general"}</definedName>
    <definedName name="PresuDerivGuatDef" localSheetId="19" hidden="1">{"via1",#N/A,TRUE,"general";"via2",#N/A,TRUE,"general";"via3",#N/A,TRUE,"general"}</definedName>
    <definedName name="PresuDerivGuatDef" localSheetId="11" hidden="1">{"via1",#N/A,TRUE,"general";"via2",#N/A,TRUE,"general";"via3",#N/A,TRUE,"general"}</definedName>
    <definedName name="PresuDerivGuatDef" localSheetId="14" hidden="1">{"via1",#N/A,TRUE,"general";"via2",#N/A,TRUE,"general";"via3",#N/A,TRUE,"general"}</definedName>
    <definedName name="PresuDerivGuatDef" localSheetId="16" hidden="1">{"via1",#N/A,TRUE,"general";"via2",#N/A,TRUE,"general";"via3",#N/A,TRUE,"general"}</definedName>
    <definedName name="PresuDerivGuatDef" localSheetId="18" hidden="1">{"via1",#N/A,TRUE,"general";"via2",#N/A,TRUE,"general";"via3",#N/A,TRUE,"general"}</definedName>
    <definedName name="PresuDerivGuatDef" hidden="1">{"via1",#N/A,TRUE,"general";"via2",#N/A,TRUE,"general";"via3",#N/A,TRUE,"general"}</definedName>
    <definedName name="PresuPresaDef" localSheetId="15" hidden="1">{"via1",#N/A,TRUE,"general";"via2",#N/A,TRUE,"general";"via3",#N/A,TRUE,"general"}</definedName>
    <definedName name="PresuPresaDef" localSheetId="17" hidden="1">{"via1",#N/A,TRUE,"general";"via2",#N/A,TRUE,"general";"via3",#N/A,TRUE,"general"}</definedName>
    <definedName name="PresuPresaDef" localSheetId="19" hidden="1">{"via1",#N/A,TRUE,"general";"via2",#N/A,TRUE,"general";"via3",#N/A,TRUE,"general"}</definedName>
    <definedName name="PresuPresaDef" localSheetId="11" hidden="1">{"via1",#N/A,TRUE,"general";"via2",#N/A,TRUE,"general";"via3",#N/A,TRUE,"general"}</definedName>
    <definedName name="PresuPresaDef" localSheetId="14" hidden="1">{"via1",#N/A,TRUE,"general";"via2",#N/A,TRUE,"general";"via3",#N/A,TRUE,"general"}</definedName>
    <definedName name="PresuPresaDef" localSheetId="16" hidden="1">{"via1",#N/A,TRUE,"general";"via2",#N/A,TRUE,"general";"via3",#N/A,TRUE,"general"}</definedName>
    <definedName name="PresuPresaDef" localSheetId="18" hidden="1">{"via1",#N/A,TRUE,"general";"via2",#N/A,TRUE,"general";"via3",#N/A,TRUE,"general"}</definedName>
    <definedName name="PresuPresaDef" hidden="1">{"via1",#N/A,TRUE,"general";"via2",#N/A,TRUE,"general";"via3",#N/A,TRUE,"general"}</definedName>
    <definedName name="Presupuesto" localSheetId="11" hidden="1">#REF!</definedName>
    <definedName name="Presupuesto" hidden="1">#REF!</definedName>
    <definedName name="PRIMER" localSheetId="15" hidden="1">{"via1",#N/A,TRUE,"general";"via2",#N/A,TRUE,"general";"via3",#N/A,TRUE,"general"}</definedName>
    <definedName name="PRIMER" localSheetId="17" hidden="1">{"via1",#N/A,TRUE,"general";"via2",#N/A,TRUE,"general";"via3",#N/A,TRUE,"general"}</definedName>
    <definedName name="PRIMER" localSheetId="19" hidden="1">{"via1",#N/A,TRUE,"general";"via2",#N/A,TRUE,"general";"via3",#N/A,TRUE,"general"}</definedName>
    <definedName name="PRIMER" localSheetId="12"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4" hidden="1">{"via1",#N/A,TRUE,"general";"via2",#N/A,TRUE,"general";"via3",#N/A,TRUE,"general"}</definedName>
    <definedName name="PRIMER" localSheetId="1" hidden="1">{"via1",#N/A,TRUE,"general";"via2",#N/A,TRUE,"general";"via3",#N/A,TRUE,"general"}</definedName>
    <definedName name="PRIMER" localSheetId="14" hidden="1">{"via1",#N/A,TRUE,"general";"via2",#N/A,TRUE,"general";"via3",#N/A,TRUE,"general"}</definedName>
    <definedName name="PRIMER" localSheetId="16" hidden="1">{"via1",#N/A,TRUE,"general";"via2",#N/A,TRUE,"general";"via3",#N/A,TRUE,"general"}</definedName>
    <definedName name="PRIMER" localSheetId="18" hidden="1">{"via1",#N/A,TRUE,"general";"via2",#N/A,TRUE,"general";"via3",#N/A,TRUE,"general"}</definedName>
    <definedName name="PRIMER" hidden="1">{"via1",#N/A,TRUE,"general";"via2",#N/A,TRUE,"general";"via3",#N/A,TRUE,"general"}</definedName>
    <definedName name="PRIMET" localSheetId="15"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8"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3" hidden="1">#REF!</definedName>
    <definedName name="PROVISIONALES" localSheetId="15" hidden="1">#REF!</definedName>
    <definedName name="PROVISIONALES" localSheetId="17" hidden="1">#REF!</definedName>
    <definedName name="PROVISIONALES" localSheetId="19" hidden="1">#REF!</definedName>
    <definedName name="PROVISIONALES" localSheetId="12" hidden="1">#REF!</definedName>
    <definedName name="PROVISIONALES" localSheetId="8" hidden="1">#REF!</definedName>
    <definedName name="PROVISIONALES" localSheetId="9" hidden="1">#REF!</definedName>
    <definedName name="PROVISIONALES" localSheetId="7" hidden="1">#REF!</definedName>
    <definedName name="PROVISIONALES" localSheetId="10" hidden="1">#REF!</definedName>
    <definedName name="PROVISIONALES" localSheetId="0" hidden="1">#REF!</definedName>
    <definedName name="PROVISIONALES" localSheetId="6" hidden="1">#REF!</definedName>
    <definedName name="PROVISIONALES" localSheetId="4" hidden="1">#REF!</definedName>
    <definedName name="PROVISIONALES" localSheetId="1" hidden="1">#REF!</definedName>
    <definedName name="PROVISIONALES" localSheetId="14" hidden="1">#REF!</definedName>
    <definedName name="PROVISIONALES" localSheetId="16" hidden="1">#REF!</definedName>
    <definedName name="PROVISIONALES" localSheetId="18" hidden="1">#REF!</definedName>
    <definedName name="PROVISIONALES" localSheetId="5" hidden="1">#REF!</definedName>
    <definedName name="PROVISIONALES" hidden="1">#REF!</definedName>
    <definedName name="PTAR" localSheetId="12"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5"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4" hidden="1">{"TAB1",#N/A,TRUE,"GENERAL";"TAB2",#N/A,TRUE,"GENERAL";"TAB3",#N/A,TRUE,"GENERAL";"TAB4",#N/A,TRUE,"GENERAL";"TAB5",#N/A,TRUE,"GENERAL"}</definedName>
    <definedName name="ptope" localSheetId="1"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8" hidden="1">{"TAB1",#N/A,TRUE,"GENERAL";"TAB2",#N/A,TRUE,"GENERAL";"TAB3",#N/A,TRUE,"GENERAL";"TAB4",#N/A,TRUE,"GENERAL";"TAB5",#N/A,TRUE,"GENERAL"}</definedName>
    <definedName name="ptope" hidden="1">{"TAB1",#N/A,TRUE,"GENERAL";"TAB2",#N/A,TRUE,"GENERAL";"TAB3",#N/A,TRUE,"GENERAL";"TAB4",#N/A,TRUE,"GENERAL";"TAB5",#N/A,TRUE,"GENERAL"}</definedName>
    <definedName name="ptopes" localSheetId="15" hidden="1">{"via1",#N/A,TRUE,"general";"via2",#N/A,TRUE,"general";"via3",#N/A,TRUE,"general"}</definedName>
    <definedName name="ptopes" localSheetId="17" hidden="1">{"via1",#N/A,TRUE,"general";"via2",#N/A,TRUE,"general";"via3",#N/A,TRUE,"general"}</definedName>
    <definedName name="ptopes" localSheetId="19" hidden="1">{"via1",#N/A,TRUE,"general";"via2",#N/A,TRUE,"general";"via3",#N/A,TRUE,"general"}</definedName>
    <definedName name="ptopes" localSheetId="12"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4" hidden="1">{"via1",#N/A,TRUE,"general";"via2",#N/A,TRUE,"general";"via3",#N/A,TRUE,"general"}</definedName>
    <definedName name="ptopes" localSheetId="1" hidden="1">{"via1",#N/A,TRUE,"general";"via2",#N/A,TRUE,"general";"via3",#N/A,TRUE,"general"}</definedName>
    <definedName name="ptopes" localSheetId="14" hidden="1">{"via1",#N/A,TRUE,"general";"via2",#N/A,TRUE,"general";"via3",#N/A,TRUE,"general"}</definedName>
    <definedName name="ptopes" localSheetId="16" hidden="1">{"via1",#N/A,TRUE,"general";"via2",#N/A,TRUE,"general";"via3",#N/A,TRUE,"general"}</definedName>
    <definedName name="ptopes" localSheetId="18" hidden="1">{"via1",#N/A,TRUE,"general";"via2",#N/A,TRUE,"general";"via3",#N/A,TRUE,"general"}</definedName>
    <definedName name="ptopes"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7" hidden="1">{"via1",#N/A,TRUE,"general";"via2",#N/A,TRUE,"general";"via3",#N/A,TRUE,"general"}</definedName>
    <definedName name="q" localSheetId="10" hidden="1">{"via1",#N/A,TRUE,"general";"via2",#N/A,TRUE,"general";"via3",#N/A,TRUE,"general"}</definedName>
    <definedName name="q" localSheetId="4" hidden="1">{"via1",#N/A,TRUE,"general";"via2",#N/A,TRUE,"general";"via3",#N/A,TRUE,"general"}</definedName>
    <definedName name="q" localSheetId="1" hidden="1">{"via1",#N/A,TRUE,"general";"via2",#N/A,TRUE,"general";"via3",#N/A,TRUE,"general"}</definedName>
    <definedName name="q1q1q" localSheetId="15" hidden="1">{"via1",#N/A,TRUE,"general";"via2",#N/A,TRUE,"general";"via3",#N/A,TRUE,"general"}</definedName>
    <definedName name="q1q1q" localSheetId="17" hidden="1">{"via1",#N/A,TRUE,"general";"via2",#N/A,TRUE,"general";"via3",#N/A,TRUE,"general"}</definedName>
    <definedName name="q1q1q" localSheetId="19" hidden="1">{"via1",#N/A,TRUE,"general";"via2",#N/A,TRUE,"general";"via3",#N/A,TRUE,"general"}</definedName>
    <definedName name="q1q1q" localSheetId="12"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4" hidden="1">{"via1",#N/A,TRUE,"general";"via2",#N/A,TRUE,"general";"via3",#N/A,TRUE,"general"}</definedName>
    <definedName name="q1q1q" localSheetId="1" hidden="1">{"via1",#N/A,TRUE,"general";"via2",#N/A,TRUE,"general";"via3",#N/A,TRUE,"general"}</definedName>
    <definedName name="q1q1q" localSheetId="14" hidden="1">{"via1",#N/A,TRUE,"general";"via2",#N/A,TRUE,"general";"via3",#N/A,TRUE,"general"}</definedName>
    <definedName name="q1q1q" localSheetId="16" hidden="1">{"via1",#N/A,TRUE,"general";"via2",#N/A,TRUE,"general";"via3",#N/A,TRUE,"general"}</definedName>
    <definedName name="q1q1q" localSheetId="18" hidden="1">{"via1",#N/A,TRUE,"general";"via2",#N/A,TRUE,"general";"via3",#N/A,TRUE,"general"}</definedName>
    <definedName name="q1q1q" hidden="1">{"via1",#N/A,TRUE,"general";"via2",#N/A,TRUE,"general";"via3",#N/A,TRUE,"general"}</definedName>
    <definedName name="qaedtguj" localSheetId="15" hidden="1">{"via1",#N/A,TRUE,"general";"via2",#N/A,TRUE,"general";"via3",#N/A,TRUE,"general"}</definedName>
    <definedName name="qaedtguj" localSheetId="17" hidden="1">{"via1",#N/A,TRUE,"general";"via2",#N/A,TRUE,"general";"via3",#N/A,TRUE,"general"}</definedName>
    <definedName name="qaedtguj" localSheetId="19" hidden="1">{"via1",#N/A,TRUE,"general";"via2",#N/A,TRUE,"general";"via3",#N/A,TRUE,"general"}</definedName>
    <definedName name="qaedtguj" localSheetId="12"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4" hidden="1">{"via1",#N/A,TRUE,"general";"via2",#N/A,TRUE,"general";"via3",#N/A,TRUE,"general"}</definedName>
    <definedName name="qaedtguj" localSheetId="1" hidden="1">{"via1",#N/A,TRUE,"general";"via2",#N/A,TRUE,"general";"via3",#N/A,TRUE,"general"}</definedName>
    <definedName name="qaedtguj" localSheetId="14" hidden="1">{"via1",#N/A,TRUE,"general";"via2",#N/A,TRUE,"general";"via3",#N/A,TRUE,"general"}</definedName>
    <definedName name="qaedtguj" localSheetId="16" hidden="1">{"via1",#N/A,TRUE,"general";"via2",#N/A,TRUE,"general";"via3",#N/A,TRUE,"general"}</definedName>
    <definedName name="qaedtguj" localSheetId="18" hidden="1">{"via1",#N/A,TRUE,"general";"via2",#N/A,TRUE,"general";"via3",#N/A,TRUE,"general"}</definedName>
    <definedName name="qaedtguj" hidden="1">{"via1",#N/A,TRUE,"general";"via2",#N/A,TRUE,"general";"via3",#N/A,TRUE,"general"}</definedName>
    <definedName name="QAQSWS" localSheetId="15" hidden="1">{"via1",#N/A,TRUE,"general";"via2",#N/A,TRUE,"general";"via3",#N/A,TRUE,"general"}</definedName>
    <definedName name="QAQSWS" localSheetId="17" hidden="1">{"via1",#N/A,TRUE,"general";"via2",#N/A,TRUE,"general";"via3",#N/A,TRUE,"general"}</definedName>
    <definedName name="QAQSWS" localSheetId="19" hidden="1">{"via1",#N/A,TRUE,"general";"via2",#N/A,TRUE,"general";"via3",#N/A,TRUE,"general"}</definedName>
    <definedName name="QAQSWS" localSheetId="12"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4" hidden="1">{"via1",#N/A,TRUE,"general";"via2",#N/A,TRUE,"general";"via3",#N/A,TRUE,"general"}</definedName>
    <definedName name="QAQSWS" localSheetId="1" hidden="1">{"via1",#N/A,TRUE,"general";"via2",#N/A,TRUE,"general";"via3",#N/A,TRUE,"general"}</definedName>
    <definedName name="QAQSWS" localSheetId="14" hidden="1">{"via1",#N/A,TRUE,"general";"via2",#N/A,TRUE,"general";"via3",#N/A,TRUE,"general"}</definedName>
    <definedName name="QAQSWS" localSheetId="16" hidden="1">{"via1",#N/A,TRUE,"general";"via2",#N/A,TRUE,"general";"via3",#N/A,TRUE,"general"}</definedName>
    <definedName name="QAQSWS" localSheetId="18" hidden="1">{"via1",#N/A,TRUE,"general";"via2",#N/A,TRUE,"general";"via3",#N/A,TRUE,"general"}</definedName>
    <definedName name="QAQSWS" hidden="1">{"via1",#N/A,TRUE,"general";"via2",#N/A,TRUE,"general";"via3",#N/A,TRUE,"general"}</definedName>
    <definedName name="qaqwwxcr" localSheetId="15" hidden="1">{"via1",#N/A,TRUE,"general";"via2",#N/A,TRUE,"general";"via3",#N/A,TRUE,"general"}</definedName>
    <definedName name="qaqwwxcr" localSheetId="17" hidden="1">{"via1",#N/A,TRUE,"general";"via2",#N/A,TRUE,"general";"via3",#N/A,TRUE,"general"}</definedName>
    <definedName name="qaqwwxcr" localSheetId="19" hidden="1">{"via1",#N/A,TRUE,"general";"via2",#N/A,TRUE,"general";"via3",#N/A,TRUE,"general"}</definedName>
    <definedName name="qaqwwxcr" localSheetId="12"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4" hidden="1">{"via1",#N/A,TRUE,"general";"via2",#N/A,TRUE,"general";"via3",#N/A,TRUE,"general"}</definedName>
    <definedName name="qaqwwxcr" localSheetId="1" hidden="1">{"via1",#N/A,TRUE,"general";"via2",#N/A,TRUE,"general";"via3",#N/A,TRUE,"general"}</definedName>
    <definedName name="qaqwwxcr" localSheetId="14" hidden="1">{"via1",#N/A,TRUE,"general";"via2",#N/A,TRUE,"general";"via3",#N/A,TRUE,"general"}</definedName>
    <definedName name="qaqwwxcr" localSheetId="16" hidden="1">{"via1",#N/A,TRUE,"general";"via2",#N/A,TRUE,"general";"via3",#N/A,TRUE,"general"}</definedName>
    <definedName name="qaqwwxcr" localSheetId="18" hidden="1">{"via1",#N/A,TRUE,"general";"via2",#N/A,TRUE,"general";"via3",#N/A,TRUE,"general"}</definedName>
    <definedName name="qaqwwxcr" hidden="1">{"via1",#N/A,TRUE,"general";"via2",#N/A,TRUE,"general";"via3",#N/A,TRUE,"general"}</definedName>
    <definedName name="qedcd" localSheetId="15" hidden="1">{"via1",#N/A,TRUE,"general";"via2",#N/A,TRUE,"general";"via3",#N/A,TRUE,"general"}</definedName>
    <definedName name="qedcd" localSheetId="17" hidden="1">{"via1",#N/A,TRUE,"general";"via2",#N/A,TRUE,"general";"via3",#N/A,TRUE,"general"}</definedName>
    <definedName name="qedcd" localSheetId="19" hidden="1">{"via1",#N/A,TRUE,"general";"via2",#N/A,TRUE,"general";"via3",#N/A,TRUE,"general"}</definedName>
    <definedName name="qedcd" localSheetId="12"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4" hidden="1">{"via1",#N/A,TRUE,"general";"via2",#N/A,TRUE,"general";"via3",#N/A,TRUE,"general"}</definedName>
    <definedName name="qedcd" localSheetId="1" hidden="1">{"via1",#N/A,TRUE,"general";"via2",#N/A,TRUE,"general";"via3",#N/A,TRUE,"general"}</definedName>
    <definedName name="qedcd" localSheetId="14" hidden="1">{"via1",#N/A,TRUE,"general";"via2",#N/A,TRUE,"general";"via3",#N/A,TRUE,"general"}</definedName>
    <definedName name="qedcd" localSheetId="16" hidden="1">{"via1",#N/A,TRUE,"general";"via2",#N/A,TRUE,"general";"via3",#N/A,TRUE,"general"}</definedName>
    <definedName name="qedcd" localSheetId="18" hidden="1">{"via1",#N/A,TRUE,"general";"via2",#N/A,TRUE,"general";"via3",#N/A,TRUE,"general"}</definedName>
    <definedName name="qedcd" hidden="1">{"via1",#N/A,TRUE,"general";"via2",#N/A,TRUE,"general";"via3",#N/A,TRUE,"general"}</definedName>
    <definedName name="qeqewe" localSheetId="15"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8" hidden="1">{"TAB1",#N/A,TRUE,"GENERAL";"TAB2",#N/A,TRUE,"GENERAL";"TAB3",#N/A,TRUE,"GENERAL";"TAB4",#N/A,TRUE,"GENERAL";"TAB5",#N/A,TRUE,"GENERAL"}</definedName>
    <definedName name="qeqewe" hidden="1">{"TAB1",#N/A,TRUE,"GENERAL";"TAB2",#N/A,TRUE,"GENERAL";"TAB3",#N/A,TRUE,"GENERAL";"TAB4",#N/A,TRUE,"GENERAL";"TAB5",#N/A,TRUE,"GENERAL"}</definedName>
    <definedName name="qewj" localSheetId="15" hidden="1">{"via1",#N/A,TRUE,"general";"via2",#N/A,TRUE,"general";"via3",#N/A,TRUE,"general"}</definedName>
    <definedName name="qewj" localSheetId="17" hidden="1">{"via1",#N/A,TRUE,"general";"via2",#N/A,TRUE,"general";"via3",#N/A,TRUE,"general"}</definedName>
    <definedName name="qewj" localSheetId="19" hidden="1">{"via1",#N/A,TRUE,"general";"via2",#N/A,TRUE,"general";"via3",#N/A,TRUE,"general"}</definedName>
    <definedName name="qewj" localSheetId="12"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4" hidden="1">{"via1",#N/A,TRUE,"general";"via2",#N/A,TRUE,"general";"via3",#N/A,TRUE,"general"}</definedName>
    <definedName name="qewj" localSheetId="1" hidden="1">{"via1",#N/A,TRUE,"general";"via2",#N/A,TRUE,"general";"via3",#N/A,TRUE,"general"}</definedName>
    <definedName name="qewj" localSheetId="14" hidden="1">{"via1",#N/A,TRUE,"general";"via2",#N/A,TRUE,"general";"via3",#N/A,TRUE,"general"}</definedName>
    <definedName name="qewj" localSheetId="16" hidden="1">{"via1",#N/A,TRUE,"general";"via2",#N/A,TRUE,"general";"via3",#N/A,TRUE,"general"}</definedName>
    <definedName name="qewj" localSheetId="18" hidden="1">{"via1",#N/A,TRUE,"general";"via2",#N/A,TRUE,"general";"via3",#N/A,TRUE,"general"}</definedName>
    <definedName name="qewj" hidden="1">{"via1",#N/A,TRUE,"general";"via2",#N/A,TRUE,"general";"via3",#N/A,TRUE,"general"}</definedName>
    <definedName name="qqqqqw" localSheetId="15" hidden="1">{"via1",#N/A,TRUE,"general";"via2",#N/A,TRUE,"general";"via3",#N/A,TRUE,"general"}</definedName>
    <definedName name="qqqqqw" localSheetId="17" hidden="1">{"via1",#N/A,TRUE,"general";"via2",#N/A,TRUE,"general";"via3",#N/A,TRUE,"general"}</definedName>
    <definedName name="qqqqqw" localSheetId="19" hidden="1">{"via1",#N/A,TRUE,"general";"via2",#N/A,TRUE,"general";"via3",#N/A,TRUE,"general"}</definedName>
    <definedName name="qqqqqw" localSheetId="12"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4" hidden="1">{"via1",#N/A,TRUE,"general";"via2",#N/A,TRUE,"general";"via3",#N/A,TRUE,"general"}</definedName>
    <definedName name="qqqqqw" localSheetId="1" hidden="1">{"via1",#N/A,TRUE,"general";"via2",#N/A,TRUE,"general";"via3",#N/A,TRUE,"general"}</definedName>
    <definedName name="qqqqqw" localSheetId="14" hidden="1">{"via1",#N/A,TRUE,"general";"via2",#N/A,TRUE,"general";"via3",#N/A,TRUE,"general"}</definedName>
    <definedName name="qqqqqw" localSheetId="16" hidden="1">{"via1",#N/A,TRUE,"general";"via2",#N/A,TRUE,"general";"via3",#N/A,TRUE,"general"}</definedName>
    <definedName name="qqqqqw" localSheetId="18" hidden="1">{"via1",#N/A,TRUE,"general";"via2",#N/A,TRUE,"general";"via3",#N/A,TRUE,"general"}</definedName>
    <definedName name="qqqqqw" hidden="1">{"via1",#N/A,TRUE,"general";"via2",#N/A,TRUE,"general";"via3",#N/A,TRUE,"general"}</definedName>
    <definedName name="qw" localSheetId="15" hidden="1">{"via1",#N/A,TRUE,"general";"via2",#N/A,TRUE,"general";"via3",#N/A,TRUE,"general"}</definedName>
    <definedName name="qw" localSheetId="17" hidden="1">{"via1",#N/A,TRUE,"general";"via2",#N/A,TRUE,"general";"via3",#N/A,TRUE,"general"}</definedName>
    <definedName name="qw" localSheetId="19" hidden="1">{"via1",#N/A,TRUE,"general";"via2",#N/A,TRUE,"general";"via3",#N/A,TRUE,"general"}</definedName>
    <definedName name="qw" localSheetId="12"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4" hidden="1">{"via1",#N/A,TRUE,"general";"via2",#N/A,TRUE,"general";"via3",#N/A,TRUE,"general"}</definedName>
    <definedName name="qw" localSheetId="1" hidden="1">{"via1",#N/A,TRUE,"general";"via2",#N/A,TRUE,"general";"via3",#N/A,TRUE,"general"}</definedName>
    <definedName name="qw" localSheetId="14" hidden="1">{"via1",#N/A,TRUE,"general";"via2",#N/A,TRUE,"general";"via3",#N/A,TRUE,"general"}</definedName>
    <definedName name="qw" localSheetId="16" hidden="1">{"via1",#N/A,TRUE,"general";"via2",#N/A,TRUE,"general";"via3",#N/A,TRUE,"general"}</definedName>
    <definedName name="qw" localSheetId="18" hidden="1">{"via1",#N/A,TRUE,"general";"via2",#N/A,TRUE,"general";"via3",#N/A,TRUE,"general"}</definedName>
    <definedName name="qw" hidden="1">{"via1",#N/A,TRUE,"general";"via2",#N/A,TRUE,"general";"via3",#N/A,TRUE,"general"}</definedName>
    <definedName name="qwdas2" localSheetId="15" hidden="1">{"via1",#N/A,TRUE,"general";"via2",#N/A,TRUE,"general";"via3",#N/A,TRUE,"general"}</definedName>
    <definedName name="qwdas2" localSheetId="17" hidden="1">{"via1",#N/A,TRUE,"general";"via2",#N/A,TRUE,"general";"via3",#N/A,TRUE,"general"}</definedName>
    <definedName name="qwdas2" localSheetId="19" hidden="1">{"via1",#N/A,TRUE,"general";"via2",#N/A,TRUE,"general";"via3",#N/A,TRUE,"general"}</definedName>
    <definedName name="qwdas2" localSheetId="12"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4" hidden="1">{"via1",#N/A,TRUE,"general";"via2",#N/A,TRUE,"general";"via3",#N/A,TRUE,"general"}</definedName>
    <definedName name="qwdas2" localSheetId="1" hidden="1">{"via1",#N/A,TRUE,"general";"via2",#N/A,TRUE,"general";"via3",#N/A,TRUE,"general"}</definedName>
    <definedName name="qwdas2" localSheetId="14" hidden="1">{"via1",#N/A,TRUE,"general";"via2",#N/A,TRUE,"general";"via3",#N/A,TRUE,"general"}</definedName>
    <definedName name="qwdas2" localSheetId="16" hidden="1">{"via1",#N/A,TRUE,"general";"via2",#N/A,TRUE,"general";"via3",#N/A,TRUE,"general"}</definedName>
    <definedName name="qwdas2" localSheetId="18" hidden="1">{"via1",#N/A,TRUE,"general";"via2",#N/A,TRUE,"general";"via3",#N/A,TRUE,"general"}</definedName>
    <definedName name="qwdas2" hidden="1">{"via1",#N/A,TRUE,"general";"via2",#N/A,TRUE,"general";"via3",#N/A,TRUE,"general"}</definedName>
    <definedName name="qweqe" localSheetId="15"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4" hidden="1">{"TAB1",#N/A,TRUE,"GENERAL";"TAB2",#N/A,TRUE,"GENERAL";"TAB3",#N/A,TRUE,"GENERAL";"TAB4",#N/A,TRUE,"GENERAL";"TAB5",#N/A,TRUE,"GENERAL"}</definedName>
    <definedName name="qweqe" localSheetId="1"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8" hidden="1">{"TAB1",#N/A,TRUE,"GENERAL";"TAB2",#N/A,TRUE,"GENERAL";"TAB3",#N/A,TRUE,"GENERAL";"TAB4",#N/A,TRUE,"GENERAL";"TAB5",#N/A,TRUE,"GENERAL"}</definedName>
    <definedName name="qweqe" hidden="1">{"TAB1",#N/A,TRUE,"GENERAL";"TAB2",#N/A,TRUE,"GENERAL";"TAB3",#N/A,TRUE,"GENERAL";"TAB4",#N/A,TRUE,"GENERAL";"TAB5",#N/A,TRUE,"GENERAL"}</definedName>
    <definedName name="qwewertet" localSheetId="12" hidden="1">{#N/A,#N/A,TRUE,"1842CWN0"}</definedName>
    <definedName name="qwewertet" localSheetId="8" hidden="1">{#N/A,#N/A,TRUE,"1842CWN0"}</definedName>
    <definedName name="qwewertet" localSheetId="9" hidden="1">{#N/A,#N/A,TRUE,"1842CWN0"}</definedName>
    <definedName name="qwewertet" localSheetId="7" hidden="1">{#N/A,#N/A,TRUE,"1842CWN0"}</definedName>
    <definedName name="qwewertet" localSheetId="10" hidden="1">{#N/A,#N/A,TRUE,"1842CWN0"}</definedName>
    <definedName name="qwewertet" localSheetId="1" hidden="1">{#N/A,#N/A,TRUE,"1842CWN0"}</definedName>
    <definedName name="qwewertet" hidden="1">{#N/A,#N/A,TRUE,"1842CWN0"}</definedName>
    <definedName name="qwqwqwj" localSheetId="15"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8" hidden="1">{"TAB1",#N/A,TRUE,"GENERAL";"TAB2",#N/A,TRUE,"GENERAL";"TAB3",#N/A,TRUE,"GENERAL";"TAB4",#N/A,TRUE,"GENERAL";"TAB5",#N/A,TRUE,"GENERAL"}</definedName>
    <definedName name="qwqwqwj" hidden="1">{"TAB1",#N/A,TRUE,"GENERAL";"TAB2",#N/A,TRUE,"GENERAL";"TAB3",#N/A,TRUE,"GENERAL";"TAB4",#N/A,TRUE,"GENERAL";"TAB5",#N/A,TRUE,"GENERAL"}</definedName>
    <definedName name="rege" localSheetId="15" hidden="1">{"TAB1",#N/A,TRUE,"GENERAL";"TAB2",#N/A,TRUE,"GENERAL";"TAB3",#N/A,TRUE,"GENERAL";"TAB4",#N/A,TRUE,"GENERAL";"TAB5",#N/A,TRUE,"GENERAL"}</definedName>
    <definedName name="rege" localSheetId="17" hidden="1">{"TAB1",#N/A,TRUE,"GENERAL";"TAB2",#N/A,TRUE,"GENERAL";"TAB3",#N/A,TRUE,"GENERAL";"TAB4",#N/A,TRUE,"GENERAL";"TAB5",#N/A,TRUE,"GENERAL"}</definedName>
    <definedName name="rege" localSheetId="19" hidden="1">{"TAB1",#N/A,TRUE,"GENERAL";"TAB2",#N/A,TRUE,"GENERAL";"TAB3",#N/A,TRUE,"GENERAL";"TAB4",#N/A,TRUE,"GENERAL";"TAB5",#N/A,TRUE,"GENERAL"}</definedName>
    <definedName name="rege" localSheetId="12"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4" hidden="1">{"TAB1",#N/A,TRUE,"GENERAL";"TAB2",#N/A,TRUE,"GENERAL";"TAB3",#N/A,TRUE,"GENERAL";"TAB4",#N/A,TRUE,"GENERAL";"TAB5",#N/A,TRUE,"GENERAL"}</definedName>
    <definedName name="rege" localSheetId="1" hidden="1">{"TAB1",#N/A,TRUE,"GENERAL";"TAB2",#N/A,TRUE,"GENERAL";"TAB3",#N/A,TRUE,"GENERAL";"TAB4",#N/A,TRUE,"GENERAL";"TAB5",#N/A,TRUE,"GENERAL"}</definedName>
    <definedName name="rege" localSheetId="14" hidden="1">{"TAB1",#N/A,TRUE,"GENERAL";"TAB2",#N/A,TRUE,"GENERAL";"TAB3",#N/A,TRUE,"GENERAL";"TAB4",#N/A,TRUE,"GENERAL";"TAB5",#N/A,TRUE,"GENERAL"}</definedName>
    <definedName name="rege" localSheetId="16" hidden="1">{"TAB1",#N/A,TRUE,"GENERAL";"TAB2",#N/A,TRUE,"GENERAL";"TAB3",#N/A,TRUE,"GENERAL";"TAB4",#N/A,TRUE,"GENERAL";"TAB5",#N/A,TRUE,"GENERAL"}</definedName>
    <definedName name="rege" localSheetId="18" hidden="1">{"TAB1",#N/A,TRUE,"GENERAL";"TAB2",#N/A,TRUE,"GENERAL";"TAB3",#N/A,TRUE,"GENERAL";"TAB4",#N/A,TRUE,"GENERAL";"TAB5",#N/A,TRUE,"GENERAL"}</definedName>
    <definedName name="rege"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8" hidden="1">{"TAB1",#N/A,TRUE,"GENERAL";"TAB2",#N/A,TRUE,"GENERAL";"TAB3",#N/A,TRUE,"GENERAL";"TAB4",#N/A,TRUE,"GENERAL";"TAB5",#N/A,TRUE,"GENERAL"}</definedName>
    <definedName name="regresd"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8" hidden="1">{"TAB1",#N/A,TRUE,"GENERAL";"TAB2",#N/A,TRUE,"GENERAL";"TAB3",#N/A,TRUE,"GENERAL";"TAB4",#N/A,TRUE,"GENERAL";"TAB5",#N/A,TRUE,"GENERAL"}</definedName>
    <definedName name="regthio" hidden="1">{"TAB1",#N/A,TRUE,"GENERAL";"TAB2",#N/A,TRUE,"GENERAL";"TAB3",#N/A,TRUE,"GENERAL";"TAB4",#N/A,TRUE,"GENERAL";"TAB5",#N/A,TRUE,"GENERAL"}</definedName>
    <definedName name="REJHE" localSheetId="15" hidden="1">{"via1",#N/A,TRUE,"general";"via2",#N/A,TRUE,"general";"via3",#N/A,TRUE,"general"}</definedName>
    <definedName name="REJHE" localSheetId="17" hidden="1">{"via1",#N/A,TRUE,"general";"via2",#N/A,TRUE,"general";"via3",#N/A,TRUE,"general"}</definedName>
    <definedName name="REJHE" localSheetId="19" hidden="1">{"via1",#N/A,TRUE,"general";"via2",#N/A,TRUE,"general";"via3",#N/A,TRUE,"general"}</definedName>
    <definedName name="REJHE" localSheetId="12"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4" hidden="1">{"via1",#N/A,TRUE,"general";"via2",#N/A,TRUE,"general";"via3",#N/A,TRUE,"general"}</definedName>
    <definedName name="REJHE" localSheetId="1" hidden="1">{"via1",#N/A,TRUE,"general";"via2",#N/A,TRUE,"general";"via3",#N/A,TRUE,"general"}</definedName>
    <definedName name="REJHE" localSheetId="14" hidden="1">{"via1",#N/A,TRUE,"general";"via2",#N/A,TRUE,"general";"via3",#N/A,TRUE,"general"}</definedName>
    <definedName name="REJHE" localSheetId="16" hidden="1">{"via1",#N/A,TRUE,"general";"via2",#N/A,TRUE,"general";"via3",#N/A,TRUE,"general"}</definedName>
    <definedName name="REJHE" localSheetId="18" hidden="1">{"via1",#N/A,TRUE,"general";"via2",#N/A,TRUE,"general";"via3",#N/A,TRUE,"general"}</definedName>
    <definedName name="REJHE" hidden="1">{"via1",#N/A,TRUE,"general";"via2",#N/A,TRUE,"general";"via3",#N/A,TRUE,"general"}</definedName>
    <definedName name="rer" localSheetId="15" hidden="1">{"via1",#N/A,TRUE,"general";"via2",#N/A,TRUE,"general";"via3",#N/A,TRUE,"general"}</definedName>
    <definedName name="rer" localSheetId="17" hidden="1">{"via1",#N/A,TRUE,"general";"via2",#N/A,TRUE,"general";"via3",#N/A,TRUE,"general"}</definedName>
    <definedName name="rer" localSheetId="19" hidden="1">{"via1",#N/A,TRUE,"general";"via2",#N/A,TRUE,"general";"via3",#N/A,TRUE,"general"}</definedName>
    <definedName name="rer" localSheetId="12"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4" hidden="1">{"via1",#N/A,TRUE,"general";"via2",#N/A,TRUE,"general";"via3",#N/A,TRUE,"general"}</definedName>
    <definedName name="rer" localSheetId="1" hidden="1">{"via1",#N/A,TRUE,"general";"via2",#N/A,TRUE,"general";"via3",#N/A,TRUE,"general"}</definedName>
    <definedName name="rer" localSheetId="14" hidden="1">{"via1",#N/A,TRUE,"general";"via2",#N/A,TRUE,"general";"via3",#N/A,TRUE,"general"}</definedName>
    <definedName name="rer" localSheetId="16" hidden="1">{"via1",#N/A,TRUE,"general";"via2",#N/A,TRUE,"general";"via3",#N/A,TRUE,"general"}</definedName>
    <definedName name="rer" localSheetId="18" hidden="1">{"via1",#N/A,TRUE,"general";"via2",#N/A,TRUE,"general";"via3",#N/A,TRUE,"general"}</definedName>
    <definedName name="rer" hidden="1">{"via1",#N/A,TRUE,"general";"via2",#N/A,TRUE,"general";"via3",#N/A,TRUE,"general"}</definedName>
    <definedName name="rererw" localSheetId="15"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8" hidden="1">{"TAB1",#N/A,TRUE,"GENERAL";"TAB2",#N/A,TRUE,"GENERAL";"TAB3",#N/A,TRUE,"GENERAL";"TAB4",#N/A,TRUE,"GENERAL";"TAB5",#N/A,TRUE,"GENERAL"}</definedName>
    <definedName name="rererw" hidden="1">{"TAB1",#N/A,TRUE,"GENERAL";"TAB2",#N/A,TRUE,"GENERAL";"TAB3",#N/A,TRUE,"GENERAL";"TAB4",#N/A,TRUE,"GENERAL";"TAB5",#N/A,TRUE,"GENERAL"}</definedName>
    <definedName name="rerg" localSheetId="15" hidden="1">{"TAB1",#N/A,TRUE,"GENERAL";"TAB2",#N/A,TRUE,"GENERAL";"TAB3",#N/A,TRUE,"GENERAL";"TAB4",#N/A,TRUE,"GENERAL";"TAB5",#N/A,TRUE,"GENERAL"}</definedName>
    <definedName name="rerg" localSheetId="17" hidden="1">{"TAB1",#N/A,TRUE,"GENERAL";"TAB2",#N/A,TRUE,"GENERAL";"TAB3",#N/A,TRUE,"GENERAL";"TAB4",#N/A,TRUE,"GENERAL";"TAB5",#N/A,TRUE,"GENERAL"}</definedName>
    <definedName name="rerg" localSheetId="19" hidden="1">{"TAB1",#N/A,TRUE,"GENERAL";"TAB2",#N/A,TRUE,"GENERAL";"TAB3",#N/A,TRUE,"GENERAL";"TAB4",#N/A,TRUE,"GENERAL";"TAB5",#N/A,TRUE,"GENERAL"}</definedName>
    <definedName name="rerg" localSheetId="12"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4" hidden="1">{"TAB1",#N/A,TRUE,"GENERAL";"TAB2",#N/A,TRUE,"GENERAL";"TAB3",#N/A,TRUE,"GENERAL";"TAB4",#N/A,TRUE,"GENERAL";"TAB5",#N/A,TRUE,"GENERAL"}</definedName>
    <definedName name="rerg" localSheetId="1" hidden="1">{"TAB1",#N/A,TRUE,"GENERAL";"TAB2",#N/A,TRUE,"GENERAL";"TAB3",#N/A,TRUE,"GENERAL";"TAB4",#N/A,TRUE,"GENERAL";"TAB5",#N/A,TRUE,"GENERAL"}</definedName>
    <definedName name="rerg" localSheetId="14" hidden="1">{"TAB1",#N/A,TRUE,"GENERAL";"TAB2",#N/A,TRUE,"GENERAL";"TAB3",#N/A,TRUE,"GENERAL";"TAB4",#N/A,TRUE,"GENERAL";"TAB5",#N/A,TRUE,"GENERAL"}</definedName>
    <definedName name="rerg" localSheetId="16" hidden="1">{"TAB1",#N/A,TRUE,"GENERAL";"TAB2",#N/A,TRUE,"GENERAL";"TAB3",#N/A,TRUE,"GENERAL";"TAB4",#N/A,TRUE,"GENERAL";"TAB5",#N/A,TRUE,"GENERAL"}</definedName>
    <definedName name="rerg" localSheetId="18" hidden="1">{"TAB1",#N/A,TRUE,"GENERAL";"TAB2",#N/A,TRUE,"GENERAL";"TAB3",#N/A,TRUE,"GENERAL";"TAB4",#N/A,TRUE,"GENERAL";"TAB5",#N/A,TRUE,"GENERAL"}</definedName>
    <definedName name="rerg"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8" hidden="1">{"TAB1",#N/A,TRUE,"GENERAL";"TAB2",#N/A,TRUE,"GENERAL";"TAB3",#N/A,TRUE,"GENERAL";"TAB4",#N/A,TRUE,"GENERAL";"TAB5",#N/A,TRUE,"GENERAL"}</definedName>
    <definedName name="rerrrrw" hidden="1">{"TAB1",#N/A,TRUE,"GENERAL";"TAB2",#N/A,TRUE,"GENERAL";"TAB3",#N/A,TRUE,"GENERAL";"TAB4",#N/A,TRUE,"GENERAL";"TAB5",#N/A,TRUE,"GENERAL"}</definedName>
    <definedName name="res" localSheetId="15" hidden="1">{#N/A,#N/A,FALSE,"GRAFICO";#N/A,#N/A,FALSE,"CAJA (2)";#N/A,#N/A,FALSE,"TERCEROS-PROMEDIO";#N/A,#N/A,FALSE,"CAJA";#N/A,#N/A,FALSE,"INGRESOS1995-2003";#N/A,#N/A,FALSE,"GASTOS1995-2003"}</definedName>
    <definedName name="res" localSheetId="17" hidden="1">{#N/A,#N/A,FALSE,"GRAFICO";#N/A,#N/A,FALSE,"CAJA (2)";#N/A,#N/A,FALSE,"TERCEROS-PROMEDIO";#N/A,#N/A,FALSE,"CAJA";#N/A,#N/A,FALSE,"INGRESOS1995-2003";#N/A,#N/A,FALSE,"GASTOS1995-2003"}</definedName>
    <definedName name="res" localSheetId="19" hidden="1">{#N/A,#N/A,FALSE,"GRAFICO";#N/A,#N/A,FALSE,"CAJA (2)";#N/A,#N/A,FALSE,"TERCEROS-PROMEDIO";#N/A,#N/A,FALSE,"CAJA";#N/A,#N/A,FALSE,"INGRESOS1995-2003";#N/A,#N/A,FALSE,"GASTOS1995-2003"}</definedName>
    <definedName name="res" localSheetId="11" hidden="1">{#N/A,#N/A,FALSE,"GRAFICO";#N/A,#N/A,FALSE,"CAJA (2)";#N/A,#N/A,FALSE,"TERCEROS-PROMEDIO";#N/A,#N/A,FALSE,"CAJA";#N/A,#N/A,FALSE,"INGRESOS1995-2003";#N/A,#N/A,FALSE,"GASTOS1995-2003"}</definedName>
    <definedName name="res" localSheetId="14" hidden="1">{#N/A,#N/A,FALSE,"GRAFICO";#N/A,#N/A,FALSE,"CAJA (2)";#N/A,#N/A,FALSE,"TERCEROS-PROMEDIO";#N/A,#N/A,FALSE,"CAJA";#N/A,#N/A,FALSE,"INGRESOS1995-2003";#N/A,#N/A,FALSE,"GASTOS1995-2003"}</definedName>
    <definedName name="res" localSheetId="16" hidden="1">{#N/A,#N/A,FALSE,"GRAFICO";#N/A,#N/A,FALSE,"CAJA (2)";#N/A,#N/A,FALSE,"TERCEROS-PROMEDIO";#N/A,#N/A,FALSE,"CAJA";#N/A,#N/A,FALSE,"INGRESOS1995-2003";#N/A,#N/A,FALSE,"GASTOS1995-2003"}</definedName>
    <definedName name="res" localSheetId="18"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15" hidden="1">{"via1",#N/A,TRUE,"general";"via2",#N/A,TRUE,"general";"via3",#N/A,TRUE,"general"}</definedName>
    <definedName name="RETTRE" localSheetId="17" hidden="1">{"via1",#N/A,TRUE,"general";"via2",#N/A,TRUE,"general";"via3",#N/A,TRUE,"general"}</definedName>
    <definedName name="RETTRE" localSheetId="19" hidden="1">{"via1",#N/A,TRUE,"general";"via2",#N/A,TRUE,"general";"via3",#N/A,TRUE,"general"}</definedName>
    <definedName name="RETTRE" localSheetId="12"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4" hidden="1">{"via1",#N/A,TRUE,"general";"via2",#N/A,TRUE,"general";"via3",#N/A,TRUE,"general"}</definedName>
    <definedName name="RETTRE" localSheetId="1" hidden="1">{"via1",#N/A,TRUE,"general";"via2",#N/A,TRUE,"general";"via3",#N/A,TRUE,"general"}</definedName>
    <definedName name="RETTRE" localSheetId="14" hidden="1">{"via1",#N/A,TRUE,"general";"via2",#N/A,TRUE,"general";"via3",#N/A,TRUE,"general"}</definedName>
    <definedName name="RETTRE" localSheetId="16" hidden="1">{"via1",#N/A,TRUE,"general";"via2",#N/A,TRUE,"general";"via3",#N/A,TRUE,"general"}</definedName>
    <definedName name="RETTRE" localSheetId="18" hidden="1">{"via1",#N/A,TRUE,"general";"via2",#N/A,TRUE,"general";"via3",#N/A,TRUE,"general"}</definedName>
    <definedName name="RETTRE" hidden="1">{"via1",#N/A,TRUE,"general";"via2",#N/A,TRUE,"general";"via3",#N/A,TRUE,"general"}</definedName>
    <definedName name="rety" localSheetId="15" hidden="1">{"TAB1",#N/A,TRUE,"GENERAL";"TAB2",#N/A,TRUE,"GENERAL";"TAB3",#N/A,TRUE,"GENERAL";"TAB4",#N/A,TRUE,"GENERAL";"TAB5",#N/A,TRUE,"GENERAL"}</definedName>
    <definedName name="rety" localSheetId="17" hidden="1">{"TAB1",#N/A,TRUE,"GENERAL";"TAB2",#N/A,TRUE,"GENERAL";"TAB3",#N/A,TRUE,"GENERAL";"TAB4",#N/A,TRUE,"GENERAL";"TAB5",#N/A,TRUE,"GENERAL"}</definedName>
    <definedName name="rety" localSheetId="19" hidden="1">{"TAB1",#N/A,TRUE,"GENERAL";"TAB2",#N/A,TRUE,"GENERAL";"TAB3",#N/A,TRUE,"GENERAL";"TAB4",#N/A,TRUE,"GENERAL";"TAB5",#N/A,TRUE,"GENERAL"}</definedName>
    <definedName name="rety" localSheetId="12"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4" hidden="1">{"TAB1",#N/A,TRUE,"GENERAL";"TAB2",#N/A,TRUE,"GENERAL";"TAB3",#N/A,TRUE,"GENERAL";"TAB4",#N/A,TRUE,"GENERAL";"TAB5",#N/A,TRUE,"GENERAL"}</definedName>
    <definedName name="rety" localSheetId="1" hidden="1">{"TAB1",#N/A,TRUE,"GENERAL";"TAB2",#N/A,TRUE,"GENERAL";"TAB3",#N/A,TRUE,"GENERAL";"TAB4",#N/A,TRUE,"GENERAL";"TAB5",#N/A,TRUE,"GENERAL"}</definedName>
    <definedName name="rety" localSheetId="14" hidden="1">{"TAB1",#N/A,TRUE,"GENERAL";"TAB2",#N/A,TRUE,"GENERAL";"TAB3",#N/A,TRUE,"GENERAL";"TAB4",#N/A,TRUE,"GENERAL";"TAB5",#N/A,TRUE,"GENERAL"}</definedName>
    <definedName name="rety" localSheetId="16" hidden="1">{"TAB1",#N/A,TRUE,"GENERAL";"TAB2",#N/A,TRUE,"GENERAL";"TAB3",#N/A,TRUE,"GENERAL";"TAB4",#N/A,TRUE,"GENERAL";"TAB5",#N/A,TRUE,"GENERAL"}</definedName>
    <definedName name="rety" localSheetId="18" hidden="1">{"TAB1",#N/A,TRUE,"GENERAL";"TAB2",#N/A,TRUE,"GENERAL";"TAB3",#N/A,TRUE,"GENERAL";"TAB4",#N/A,TRUE,"GENERAL";"TAB5",#N/A,TRUE,"GENERAL"}</definedName>
    <definedName name="rety" hidden="1">{"TAB1",#N/A,TRUE,"GENERAL";"TAB2",#N/A,TRUE,"GENERAL";"TAB3",#N/A,TRUE,"GENERAL";"TAB4",#N/A,TRUE,"GENERAL";"TAB5",#N/A,TRUE,"GENERAL"}</definedName>
    <definedName name="rewfreg" localSheetId="15" hidden="1">{"via1",#N/A,TRUE,"general";"via2",#N/A,TRUE,"general";"via3",#N/A,TRUE,"general"}</definedName>
    <definedName name="rewfreg" localSheetId="17" hidden="1">{"via1",#N/A,TRUE,"general";"via2",#N/A,TRUE,"general";"via3",#N/A,TRUE,"general"}</definedName>
    <definedName name="rewfreg" localSheetId="19" hidden="1">{"via1",#N/A,TRUE,"general";"via2",#N/A,TRUE,"general";"via3",#N/A,TRUE,"general"}</definedName>
    <definedName name="rewfreg" localSheetId="12"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4" hidden="1">{"via1",#N/A,TRUE,"general";"via2",#N/A,TRUE,"general";"via3",#N/A,TRUE,"general"}</definedName>
    <definedName name="rewfreg" localSheetId="1" hidden="1">{"via1",#N/A,TRUE,"general";"via2",#N/A,TRUE,"general";"via3",#N/A,TRUE,"general"}</definedName>
    <definedName name="rewfreg" localSheetId="14" hidden="1">{"via1",#N/A,TRUE,"general";"via2",#N/A,TRUE,"general";"via3",#N/A,TRUE,"general"}</definedName>
    <definedName name="rewfreg" localSheetId="16" hidden="1">{"via1",#N/A,TRUE,"general";"via2",#N/A,TRUE,"general";"via3",#N/A,TRUE,"general"}</definedName>
    <definedName name="rewfreg" localSheetId="18" hidden="1">{"via1",#N/A,TRUE,"general";"via2",#N/A,TRUE,"general";"via3",#N/A,TRUE,"general"}</definedName>
    <definedName name="rewfreg" hidden="1">{"via1",#N/A,TRUE,"general";"via2",#N/A,TRUE,"general";"via3",#N/A,TRUE,"general"}</definedName>
    <definedName name="rewr" localSheetId="15" hidden="1">{"via1",#N/A,TRUE,"general";"via2",#N/A,TRUE,"general";"via3",#N/A,TRUE,"general"}</definedName>
    <definedName name="rewr" localSheetId="17" hidden="1">{"via1",#N/A,TRUE,"general";"via2",#N/A,TRUE,"general";"via3",#N/A,TRUE,"general"}</definedName>
    <definedName name="rewr" localSheetId="19" hidden="1">{"via1",#N/A,TRUE,"general";"via2",#N/A,TRUE,"general";"via3",#N/A,TRUE,"general"}</definedName>
    <definedName name="rewr" localSheetId="12"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4" hidden="1">{"via1",#N/A,TRUE,"general";"via2",#N/A,TRUE,"general";"via3",#N/A,TRUE,"general"}</definedName>
    <definedName name="rewr" localSheetId="1" hidden="1">{"via1",#N/A,TRUE,"general";"via2",#N/A,TRUE,"general";"via3",#N/A,TRUE,"general"}</definedName>
    <definedName name="rewr" localSheetId="14" hidden="1">{"via1",#N/A,TRUE,"general";"via2",#N/A,TRUE,"general";"via3",#N/A,TRUE,"general"}</definedName>
    <definedName name="rewr" localSheetId="16" hidden="1">{"via1",#N/A,TRUE,"general";"via2",#N/A,TRUE,"general";"via3",#N/A,TRUE,"general"}</definedName>
    <definedName name="rewr" localSheetId="18" hidden="1">{"via1",#N/A,TRUE,"general";"via2",#N/A,TRUE,"general";"via3",#N/A,TRUE,"general"}</definedName>
    <definedName name="rewr" hidden="1">{"via1",#N/A,TRUE,"general";"via2",#N/A,TRUE,"general";"via3",#N/A,TRUE,"general"}</definedName>
    <definedName name="REWWER" localSheetId="15"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8" hidden="1">{"TAB1",#N/A,TRUE,"GENERAL";"TAB2",#N/A,TRUE,"GENERAL";"TAB3",#N/A,TRUE,"GENERAL";"TAB4",#N/A,TRUE,"GENERAL";"TAB5",#N/A,TRUE,"GENERAL"}</definedName>
    <definedName name="REWWER"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8" hidden="1">{"TAB1",#N/A,TRUE,"GENERAL";"TAB2",#N/A,TRUE,"GENERAL";"TAB3",#N/A,TRUE,"GENERAL";"TAB4",#N/A,TRUE,"GENERAL";"TAB5",#N/A,TRUE,"GENERAL"}</definedName>
    <definedName name="reyepoi" hidden="1">{"TAB1",#N/A,TRUE,"GENERAL";"TAB2",#N/A,TRUE,"GENERAL";"TAB3",#N/A,TRUE,"GENERAL";"TAB4",#N/A,TRUE,"GENERAL";"TAB5",#N/A,TRUE,"GENERAL"}</definedName>
    <definedName name="reyety" localSheetId="15" hidden="1">{"via1",#N/A,TRUE,"general";"via2",#N/A,TRUE,"general";"via3",#N/A,TRUE,"general"}</definedName>
    <definedName name="reyety" localSheetId="17" hidden="1">{"via1",#N/A,TRUE,"general";"via2",#N/A,TRUE,"general";"via3",#N/A,TRUE,"general"}</definedName>
    <definedName name="reyety" localSheetId="19" hidden="1">{"via1",#N/A,TRUE,"general";"via2",#N/A,TRUE,"general";"via3",#N/A,TRUE,"general"}</definedName>
    <definedName name="reyety" localSheetId="12"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4" hidden="1">{"via1",#N/A,TRUE,"general";"via2",#N/A,TRUE,"general";"via3",#N/A,TRUE,"general"}</definedName>
    <definedName name="reyety" localSheetId="1" hidden="1">{"via1",#N/A,TRUE,"general";"via2",#N/A,TRUE,"general";"via3",#N/A,TRUE,"general"}</definedName>
    <definedName name="reyety" localSheetId="14" hidden="1">{"via1",#N/A,TRUE,"general";"via2",#N/A,TRUE,"general";"via3",#N/A,TRUE,"general"}</definedName>
    <definedName name="reyety" localSheetId="16" hidden="1">{"via1",#N/A,TRUE,"general";"via2",#N/A,TRUE,"general";"via3",#N/A,TRUE,"general"}</definedName>
    <definedName name="reyety" localSheetId="18" hidden="1">{"via1",#N/A,TRUE,"general";"via2",#N/A,TRUE,"general";"via3",#N/A,TRUE,"general"}</definedName>
    <definedName name="reyety" hidden="1">{"via1",#N/A,TRUE,"general";"via2",#N/A,TRUE,"general";"via3",#N/A,TRUE,"general"}</definedName>
    <definedName name="reyty" localSheetId="15" hidden="1">{"via1",#N/A,TRUE,"general";"via2",#N/A,TRUE,"general";"via3",#N/A,TRUE,"general"}</definedName>
    <definedName name="reyty" localSheetId="17" hidden="1">{"via1",#N/A,TRUE,"general";"via2",#N/A,TRUE,"general";"via3",#N/A,TRUE,"general"}</definedName>
    <definedName name="reyty" localSheetId="19" hidden="1">{"via1",#N/A,TRUE,"general";"via2",#N/A,TRUE,"general";"via3",#N/A,TRUE,"general"}</definedName>
    <definedName name="reyty" localSheetId="12"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4" hidden="1">{"via1",#N/A,TRUE,"general";"via2",#N/A,TRUE,"general";"via3",#N/A,TRUE,"general"}</definedName>
    <definedName name="reyty" localSheetId="1" hidden="1">{"via1",#N/A,TRUE,"general";"via2",#N/A,TRUE,"general";"via3",#N/A,TRUE,"general"}</definedName>
    <definedName name="reyty" localSheetId="14" hidden="1">{"via1",#N/A,TRUE,"general";"via2",#N/A,TRUE,"general";"via3",#N/A,TRUE,"general"}</definedName>
    <definedName name="reyty" localSheetId="16" hidden="1">{"via1",#N/A,TRUE,"general";"via2",#N/A,TRUE,"general";"via3",#N/A,TRUE,"general"}</definedName>
    <definedName name="reyty" localSheetId="18" hidden="1">{"via1",#N/A,TRUE,"general";"via2",#N/A,TRUE,"general";"via3",#N/A,TRUE,"general"}</definedName>
    <definedName name="reyty" hidden="1">{"via1",#N/A,TRUE,"general";"via2",#N/A,TRUE,"general";"via3",#N/A,TRUE,"general"}</definedName>
    <definedName name="reyyt" localSheetId="15" hidden="1">{"via1",#N/A,TRUE,"general";"via2",#N/A,TRUE,"general";"via3",#N/A,TRUE,"general"}</definedName>
    <definedName name="reyyt" localSheetId="17" hidden="1">{"via1",#N/A,TRUE,"general";"via2",#N/A,TRUE,"general";"via3",#N/A,TRUE,"general"}</definedName>
    <definedName name="reyyt" localSheetId="19" hidden="1">{"via1",#N/A,TRUE,"general";"via2",#N/A,TRUE,"general";"via3",#N/A,TRUE,"general"}</definedName>
    <definedName name="reyyt" localSheetId="12"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4" hidden="1">{"via1",#N/A,TRUE,"general";"via2",#N/A,TRUE,"general";"via3",#N/A,TRUE,"general"}</definedName>
    <definedName name="reyyt" localSheetId="1" hidden="1">{"via1",#N/A,TRUE,"general";"via2",#N/A,TRUE,"general";"via3",#N/A,TRUE,"general"}</definedName>
    <definedName name="reyyt" localSheetId="14" hidden="1">{"via1",#N/A,TRUE,"general";"via2",#N/A,TRUE,"general";"via3",#N/A,TRUE,"general"}</definedName>
    <definedName name="reyyt" localSheetId="16" hidden="1">{"via1",#N/A,TRUE,"general";"via2",#N/A,TRUE,"general";"via3",#N/A,TRUE,"general"}</definedName>
    <definedName name="reyyt" localSheetId="18" hidden="1">{"via1",#N/A,TRUE,"general";"via2",#N/A,TRUE,"general";"via3",#N/A,TRUE,"general"}</definedName>
    <definedName name="reyyt" hidden="1">{"via1",#N/A,TRUE,"general";"via2",#N/A,TRUE,"general";"via3",#N/A,TRUE,"general"}</definedName>
    <definedName name="rfhnhjyu" localSheetId="15"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8" hidden="1">{"TAB1",#N/A,TRUE,"GENERAL";"TAB2",#N/A,TRUE,"GENERAL";"TAB3",#N/A,TRUE,"GENERAL";"TAB4",#N/A,TRUE,"GENERAL";"TAB5",#N/A,TRUE,"GENERAL"}</definedName>
    <definedName name="rfhnhjyu" hidden="1">{"TAB1",#N/A,TRUE,"GENERAL";"TAB2",#N/A,TRUE,"GENERAL";"TAB3",#N/A,TRUE,"GENERAL";"TAB4",#N/A,TRUE,"GENERAL";"TAB5",#N/A,TRUE,"GENERAL"}</definedName>
    <definedName name="rfrf" localSheetId="15" hidden="1">{"via1",#N/A,TRUE,"general";"via2",#N/A,TRUE,"general";"via3",#N/A,TRUE,"general"}</definedName>
    <definedName name="rfrf" localSheetId="17" hidden="1">{"via1",#N/A,TRUE,"general";"via2",#N/A,TRUE,"general";"via3",#N/A,TRUE,"general"}</definedName>
    <definedName name="rfrf" localSheetId="19" hidden="1">{"via1",#N/A,TRUE,"general";"via2",#N/A,TRUE,"general";"via3",#N/A,TRUE,"general"}</definedName>
    <definedName name="rfrf" localSheetId="12"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4" hidden="1">{"via1",#N/A,TRUE,"general";"via2",#N/A,TRUE,"general";"via3",#N/A,TRUE,"general"}</definedName>
    <definedName name="rfrf" localSheetId="1" hidden="1">{"via1",#N/A,TRUE,"general";"via2",#N/A,TRUE,"general";"via3",#N/A,TRUE,"general"}</definedName>
    <definedName name="rfrf" localSheetId="14" hidden="1">{"via1",#N/A,TRUE,"general";"via2",#N/A,TRUE,"general";"via3",#N/A,TRUE,"general"}</definedName>
    <definedName name="rfrf" localSheetId="16" hidden="1">{"via1",#N/A,TRUE,"general";"via2",#N/A,TRUE,"general";"via3",#N/A,TRUE,"general"}</definedName>
    <definedName name="rfrf" localSheetId="18" hidden="1">{"via1",#N/A,TRUE,"general";"via2",#N/A,TRUE,"general";"via3",#N/A,TRUE,"general"}</definedName>
    <definedName name="rfrf" hidden="1">{"via1",#N/A,TRUE,"general";"via2",#N/A,TRUE,"general";"via3",#N/A,TRUE,"general"}</definedName>
    <definedName name="rge" localSheetId="15" hidden="1">{"via1",#N/A,TRUE,"general";"via2",#N/A,TRUE,"general";"via3",#N/A,TRUE,"general"}</definedName>
    <definedName name="rge" localSheetId="17" hidden="1">{"via1",#N/A,TRUE,"general";"via2",#N/A,TRUE,"general";"via3",#N/A,TRUE,"general"}</definedName>
    <definedName name="rge" localSheetId="19" hidden="1">{"via1",#N/A,TRUE,"general";"via2",#N/A,TRUE,"general";"via3",#N/A,TRUE,"general"}</definedName>
    <definedName name="rge" localSheetId="12"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4" hidden="1">{"via1",#N/A,TRUE,"general";"via2",#N/A,TRUE,"general";"via3",#N/A,TRUE,"general"}</definedName>
    <definedName name="rge" localSheetId="1" hidden="1">{"via1",#N/A,TRUE,"general";"via2",#N/A,TRUE,"general";"via3",#N/A,TRUE,"general"}</definedName>
    <definedName name="rge" localSheetId="14" hidden="1">{"via1",#N/A,TRUE,"general";"via2",#N/A,TRUE,"general";"via3",#N/A,TRUE,"general"}</definedName>
    <definedName name="rge" localSheetId="16" hidden="1">{"via1",#N/A,TRUE,"general";"via2",#N/A,TRUE,"general";"via3",#N/A,TRUE,"general"}</definedName>
    <definedName name="rge" localSheetId="18" hidden="1">{"via1",#N/A,TRUE,"general";"via2",#N/A,TRUE,"general";"via3",#N/A,TRUE,"general"}</definedName>
    <definedName name="rge" hidden="1">{"via1",#N/A,TRUE,"general";"via2",#N/A,TRUE,"general";"via3",#N/A,TRUE,"general"}</definedName>
    <definedName name="rgegg" localSheetId="15" hidden="1">{"via1",#N/A,TRUE,"general";"via2",#N/A,TRUE,"general";"via3",#N/A,TRUE,"general"}</definedName>
    <definedName name="rgegg" localSheetId="17" hidden="1">{"via1",#N/A,TRUE,"general";"via2",#N/A,TRUE,"general";"via3",#N/A,TRUE,"general"}</definedName>
    <definedName name="rgegg" localSheetId="19" hidden="1">{"via1",#N/A,TRUE,"general";"via2",#N/A,TRUE,"general";"via3",#N/A,TRUE,"general"}</definedName>
    <definedName name="rgegg" localSheetId="12"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4" hidden="1">{"via1",#N/A,TRUE,"general";"via2",#N/A,TRUE,"general";"via3",#N/A,TRUE,"general"}</definedName>
    <definedName name="rgegg" localSheetId="1" hidden="1">{"via1",#N/A,TRUE,"general";"via2",#N/A,TRUE,"general";"via3",#N/A,TRUE,"general"}</definedName>
    <definedName name="rgegg" localSheetId="14" hidden="1">{"via1",#N/A,TRUE,"general";"via2",#N/A,TRUE,"general";"via3",#N/A,TRUE,"general"}</definedName>
    <definedName name="rgegg" localSheetId="16" hidden="1">{"via1",#N/A,TRUE,"general";"via2",#N/A,TRUE,"general";"via3",#N/A,TRUE,"general"}</definedName>
    <definedName name="rgegg" localSheetId="18" hidden="1">{"via1",#N/A,TRUE,"general";"via2",#N/A,TRUE,"general";"via3",#N/A,TRUE,"general"}</definedName>
    <definedName name="rgegg" hidden="1">{"via1",#N/A,TRUE,"general";"via2",#N/A,TRUE,"general";"via3",#N/A,TRUE,"general"}</definedName>
    <definedName name="rhh" localSheetId="15" hidden="1">{"TAB1",#N/A,TRUE,"GENERAL";"TAB2",#N/A,TRUE,"GENERAL";"TAB3",#N/A,TRUE,"GENERAL";"TAB4",#N/A,TRUE,"GENERAL";"TAB5",#N/A,TRUE,"GENERAL"}</definedName>
    <definedName name="rhh" localSheetId="17" hidden="1">{"TAB1",#N/A,TRUE,"GENERAL";"TAB2",#N/A,TRUE,"GENERAL";"TAB3",#N/A,TRUE,"GENERAL";"TAB4",#N/A,TRUE,"GENERAL";"TAB5",#N/A,TRUE,"GENERAL"}</definedName>
    <definedName name="rhh" localSheetId="19" hidden="1">{"TAB1",#N/A,TRUE,"GENERAL";"TAB2",#N/A,TRUE,"GENERAL";"TAB3",#N/A,TRUE,"GENERAL";"TAB4",#N/A,TRUE,"GENERAL";"TAB5",#N/A,TRUE,"GENERAL"}</definedName>
    <definedName name="rhh" localSheetId="12"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4" hidden="1">{"TAB1",#N/A,TRUE,"GENERAL";"TAB2",#N/A,TRUE,"GENERAL";"TAB3",#N/A,TRUE,"GENERAL";"TAB4",#N/A,TRUE,"GENERAL";"TAB5",#N/A,TRUE,"GENERAL"}</definedName>
    <definedName name="rhh" localSheetId="1" hidden="1">{"TAB1",#N/A,TRUE,"GENERAL";"TAB2",#N/A,TRUE,"GENERAL";"TAB3",#N/A,TRUE,"GENERAL";"TAB4",#N/A,TRUE,"GENERAL";"TAB5",#N/A,TRUE,"GENERAL"}</definedName>
    <definedName name="rhh" localSheetId="14" hidden="1">{"TAB1",#N/A,TRUE,"GENERAL";"TAB2",#N/A,TRUE,"GENERAL";"TAB3",#N/A,TRUE,"GENERAL";"TAB4",#N/A,TRUE,"GENERAL";"TAB5",#N/A,TRUE,"GENERAL"}</definedName>
    <definedName name="rhh" localSheetId="16" hidden="1">{"TAB1",#N/A,TRUE,"GENERAL";"TAB2",#N/A,TRUE,"GENERAL";"TAB3",#N/A,TRUE,"GENERAL";"TAB4",#N/A,TRUE,"GENERAL";"TAB5",#N/A,TRUE,"GENERAL"}</definedName>
    <definedName name="rhh" localSheetId="18" hidden="1">{"TAB1",#N/A,TRUE,"GENERAL";"TAB2",#N/A,TRUE,"GENERAL";"TAB3",#N/A,TRUE,"GENERAL";"TAB4",#N/A,TRUE,"GENERAL";"TAB5",#N/A,TRUE,"GENERAL"}</definedName>
    <definedName name="rhh"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8" hidden="1">{"TAB1",#N/A,TRUE,"GENERAL";"TAB2",#N/A,TRUE,"GENERAL";"TAB3",#N/A,TRUE,"GENERAL";"TAB4",#N/A,TRUE,"GENERAL";"TAB5",#N/A,TRUE,"GENERAL"}</definedName>
    <definedName name="rhrtd"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8"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5" hidden="1">{"TAB1",#N/A,TRUE,"GENERAL";"TAB2",#N/A,TRUE,"GENERAL";"TAB3",#N/A,TRUE,"GENERAL";"TAB4",#N/A,TRUE,"GENERAL";"TAB5",#N/A,TRUE,"GENERAL"}</definedName>
    <definedName name="rj" localSheetId="17" hidden="1">{"TAB1",#N/A,TRUE,"GENERAL";"TAB2",#N/A,TRUE,"GENERAL";"TAB3",#N/A,TRUE,"GENERAL";"TAB4",#N/A,TRUE,"GENERAL";"TAB5",#N/A,TRUE,"GENERAL"}</definedName>
    <definedName name="rj" localSheetId="19" hidden="1">{"TAB1",#N/A,TRUE,"GENERAL";"TAB2",#N/A,TRUE,"GENERAL";"TAB3",#N/A,TRUE,"GENERAL";"TAB4",#N/A,TRUE,"GENERAL";"TAB5",#N/A,TRUE,"GENERAL"}</definedName>
    <definedName name="rj" localSheetId="12"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4" hidden="1">{"TAB1",#N/A,TRUE,"GENERAL";"TAB2",#N/A,TRUE,"GENERAL";"TAB3",#N/A,TRUE,"GENERAL";"TAB4",#N/A,TRUE,"GENERAL";"TAB5",#N/A,TRUE,"GENERAL"}</definedName>
    <definedName name="rj" localSheetId="1" hidden="1">{"TAB1",#N/A,TRUE,"GENERAL";"TAB2",#N/A,TRUE,"GENERAL";"TAB3",#N/A,TRUE,"GENERAL";"TAB4",#N/A,TRUE,"GENERAL";"TAB5",#N/A,TRUE,"GENERAL"}</definedName>
    <definedName name="rj" localSheetId="14" hidden="1">{"TAB1",#N/A,TRUE,"GENERAL";"TAB2",#N/A,TRUE,"GENERAL";"TAB3",#N/A,TRUE,"GENERAL";"TAB4",#N/A,TRUE,"GENERAL";"TAB5",#N/A,TRUE,"GENERAL"}</definedName>
    <definedName name="rj" localSheetId="16" hidden="1">{"TAB1",#N/A,TRUE,"GENERAL";"TAB2",#N/A,TRUE,"GENERAL";"TAB3",#N/A,TRUE,"GENERAL";"TAB4",#N/A,TRUE,"GENERAL";"TAB5",#N/A,TRUE,"GENERAL"}</definedName>
    <definedName name="rj" localSheetId="18" hidden="1">{"TAB1",#N/A,TRUE,"GENERAL";"TAB2",#N/A,TRUE,"GENERAL";"TAB3",#N/A,TRUE,"GENERAL";"TAB4",#N/A,TRUE,"GENERAL";"TAB5",#N/A,TRUE,"GENERAL"}</definedName>
    <definedName name="rj"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8" hidden="1">{"TAB1",#N/A,TRUE,"GENERAL";"TAB2",#N/A,TRUE,"GENERAL";"TAB3",#N/A,TRUE,"GENERAL";"TAB4",#N/A,TRUE,"GENERAL";"TAB5",#N/A,TRUE,"GENERAL"}</definedName>
    <definedName name="rjjth" hidden="1">{"TAB1",#N/A,TRUE,"GENERAL";"TAB2",#N/A,TRUE,"GENERAL";"TAB3",#N/A,TRUE,"GENERAL";"TAB4",#N/A,TRUE,"GENERAL";"TAB5",#N/A,TRUE,"GENERAL"}</definedName>
    <definedName name="rjy" localSheetId="15" hidden="1">{"via1",#N/A,TRUE,"general";"via2",#N/A,TRUE,"general";"via3",#N/A,TRUE,"general"}</definedName>
    <definedName name="rjy" localSheetId="17" hidden="1">{"via1",#N/A,TRUE,"general";"via2",#N/A,TRUE,"general";"via3",#N/A,TRUE,"general"}</definedName>
    <definedName name="rjy" localSheetId="19" hidden="1">{"via1",#N/A,TRUE,"general";"via2",#N/A,TRUE,"general";"via3",#N/A,TRUE,"general"}</definedName>
    <definedName name="rjy" localSheetId="12"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4" hidden="1">{"via1",#N/A,TRUE,"general";"via2",#N/A,TRUE,"general";"via3",#N/A,TRUE,"general"}</definedName>
    <definedName name="rjy" localSheetId="1" hidden="1">{"via1",#N/A,TRUE,"general";"via2",#N/A,TRUE,"general";"via3",#N/A,TRUE,"general"}</definedName>
    <definedName name="rjy" localSheetId="14" hidden="1">{"via1",#N/A,TRUE,"general";"via2",#N/A,TRUE,"general";"via3",#N/A,TRUE,"general"}</definedName>
    <definedName name="rjy" localSheetId="16" hidden="1">{"via1",#N/A,TRUE,"general";"via2",#N/A,TRUE,"general";"via3",#N/A,TRUE,"general"}</definedName>
    <definedName name="rjy" localSheetId="18" hidden="1">{"via1",#N/A,TRUE,"general";"via2",#N/A,TRUE,"general";"via3",#N/A,TRUE,"general"}</definedName>
    <definedName name="rjy" hidden="1">{"via1",#N/A,TRUE,"general";"via2",#N/A,TRUE,"general";"via3",#N/A,TRUE,"general"}</definedName>
    <definedName name="rkjyk" localSheetId="15"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4" hidden="1">{"TAB1",#N/A,TRUE,"GENERAL";"TAB2",#N/A,TRUE,"GENERAL";"TAB3",#N/A,TRUE,"GENERAL";"TAB4",#N/A,TRUE,"GENERAL";"TAB5",#N/A,TRUE,"GENERAL"}</definedName>
    <definedName name="rkjyk" localSheetId="1"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8" hidden="1">{"TAB1",#N/A,TRUE,"GENERAL";"TAB2",#N/A,TRUE,"GENERAL";"TAB3",#N/A,TRUE,"GENERAL";"TAB4",#N/A,TRUE,"GENERAL";"TAB5",#N/A,TRUE,"GENERAL"}</definedName>
    <definedName name="rkjyk" hidden="1">{"TAB1",#N/A,TRUE,"GENERAL";"TAB2",#N/A,TRUE,"GENERAL";"TAB3",#N/A,TRUE,"GENERAL";"TAB4",#N/A,TRUE,"GENERAL";"TAB5",#N/A,TRUE,"GENERAL"}</definedName>
    <definedName name="rkru" localSheetId="15" hidden="1">{"via1",#N/A,TRUE,"general";"via2",#N/A,TRUE,"general";"via3",#N/A,TRUE,"general"}</definedName>
    <definedName name="rkru" localSheetId="17" hidden="1">{"via1",#N/A,TRUE,"general";"via2",#N/A,TRUE,"general";"via3",#N/A,TRUE,"general"}</definedName>
    <definedName name="rkru" localSheetId="19" hidden="1">{"via1",#N/A,TRUE,"general";"via2",#N/A,TRUE,"general";"via3",#N/A,TRUE,"general"}</definedName>
    <definedName name="rkru" localSheetId="12"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4" hidden="1">{"via1",#N/A,TRUE,"general";"via2",#N/A,TRUE,"general";"via3",#N/A,TRUE,"general"}</definedName>
    <definedName name="rkru" localSheetId="1" hidden="1">{"via1",#N/A,TRUE,"general";"via2",#N/A,TRUE,"general";"via3",#N/A,TRUE,"general"}</definedName>
    <definedName name="rkru" localSheetId="14" hidden="1">{"via1",#N/A,TRUE,"general";"via2",#N/A,TRUE,"general";"via3",#N/A,TRUE,"general"}</definedName>
    <definedName name="rkru" localSheetId="16" hidden="1">{"via1",#N/A,TRUE,"general";"via2",#N/A,TRUE,"general";"via3",#N/A,TRUE,"general"}</definedName>
    <definedName name="rkru" localSheetId="18" hidden="1">{"via1",#N/A,TRUE,"general";"via2",#N/A,TRUE,"general";"via3",#N/A,TRUE,"general"}</definedName>
    <definedName name="rkru" hidden="1">{"via1",#N/A,TRUE,"general";"via2",#N/A,TRUE,"general";"via3",#N/A,TRUE,"general"}</definedName>
    <definedName name="rky" localSheetId="15" hidden="1">{"TAB1",#N/A,TRUE,"GENERAL";"TAB2",#N/A,TRUE,"GENERAL";"TAB3",#N/A,TRUE,"GENERAL";"TAB4",#N/A,TRUE,"GENERAL";"TAB5",#N/A,TRUE,"GENERAL"}</definedName>
    <definedName name="rky" localSheetId="17" hidden="1">{"TAB1",#N/A,TRUE,"GENERAL";"TAB2",#N/A,TRUE,"GENERAL";"TAB3",#N/A,TRUE,"GENERAL";"TAB4",#N/A,TRUE,"GENERAL";"TAB5",#N/A,TRUE,"GENERAL"}</definedName>
    <definedName name="rky" localSheetId="19" hidden="1">{"TAB1",#N/A,TRUE,"GENERAL";"TAB2",#N/A,TRUE,"GENERAL";"TAB3",#N/A,TRUE,"GENERAL";"TAB4",#N/A,TRUE,"GENERAL";"TAB5",#N/A,TRUE,"GENERAL"}</definedName>
    <definedName name="rky" localSheetId="12"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4" hidden="1">{"TAB1",#N/A,TRUE,"GENERAL";"TAB2",#N/A,TRUE,"GENERAL";"TAB3",#N/A,TRUE,"GENERAL";"TAB4",#N/A,TRUE,"GENERAL";"TAB5",#N/A,TRUE,"GENERAL"}</definedName>
    <definedName name="rky" localSheetId="1" hidden="1">{"TAB1",#N/A,TRUE,"GENERAL";"TAB2",#N/A,TRUE,"GENERAL";"TAB3",#N/A,TRUE,"GENERAL";"TAB4",#N/A,TRUE,"GENERAL";"TAB5",#N/A,TRUE,"GENERAL"}</definedName>
    <definedName name="rky" localSheetId="14" hidden="1">{"TAB1",#N/A,TRUE,"GENERAL";"TAB2",#N/A,TRUE,"GENERAL";"TAB3",#N/A,TRUE,"GENERAL";"TAB4",#N/A,TRUE,"GENERAL";"TAB5",#N/A,TRUE,"GENERAL"}</definedName>
    <definedName name="rky" localSheetId="16" hidden="1">{"TAB1",#N/A,TRUE,"GENERAL";"TAB2",#N/A,TRUE,"GENERAL";"TAB3",#N/A,TRUE,"GENERAL";"TAB4",#N/A,TRUE,"GENERAL";"TAB5",#N/A,TRUE,"GENERAL"}</definedName>
    <definedName name="rky" localSheetId="18" hidden="1">{"TAB1",#N/A,TRUE,"GENERAL";"TAB2",#N/A,TRUE,"GENERAL";"TAB3",#N/A,TRUE,"GENERAL";"TAB4",#N/A,TRUE,"GENERAL";"TAB5",#N/A,TRUE,"GENERAL"}</definedName>
    <definedName name="rky" hidden="1">{"TAB1",#N/A,TRUE,"GENERAL";"TAB2",#N/A,TRUE,"GENERAL";"TAB3",#N/A,TRUE,"GENERAL";"TAB4",#N/A,TRUE,"GENERAL";"TAB5",#N/A,TRUE,"GENERAL"}</definedName>
    <definedName name="rrr" localSheetId="15" hidden="1">{"via1",#N/A,TRUE,"general";"via2",#N/A,TRUE,"general";"via3",#N/A,TRUE,"general"}</definedName>
    <definedName name="rrr" localSheetId="17" hidden="1">{"via1",#N/A,TRUE,"general";"via2",#N/A,TRUE,"general";"via3",#N/A,TRUE,"general"}</definedName>
    <definedName name="rrr" localSheetId="19" hidden="1">{"via1",#N/A,TRUE,"general";"via2",#N/A,TRUE,"general";"via3",#N/A,TRUE,"general"}</definedName>
    <definedName name="rrr" localSheetId="12"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4" hidden="1">{"via1",#N/A,TRUE,"general";"via2",#N/A,TRUE,"general";"via3",#N/A,TRUE,"general"}</definedName>
    <definedName name="rrr" localSheetId="1" hidden="1">{"via1",#N/A,TRUE,"general";"via2",#N/A,TRUE,"general";"via3",#N/A,TRUE,"general"}</definedName>
    <definedName name="rrr" localSheetId="14" hidden="1">{"via1",#N/A,TRUE,"general";"via2",#N/A,TRUE,"general";"via3",#N/A,TRUE,"general"}</definedName>
    <definedName name="rrr" localSheetId="16" hidden="1">{"via1",#N/A,TRUE,"general";"via2",#N/A,TRUE,"general";"via3",#N/A,TRUE,"general"}</definedName>
    <definedName name="rrr" localSheetId="18" hidden="1">{"via1",#N/A,TRUE,"general";"via2",#N/A,TRUE,"general";"via3",#N/A,TRUE,"general"}</definedName>
    <definedName name="rrr" hidden="1">{"via1",#N/A,TRUE,"general";"via2",#N/A,TRUE,"general";"via3",#N/A,TRUE,"general"}</definedName>
    <definedName name="rrrrrb" localSheetId="15" hidden="1">{"via1",#N/A,TRUE,"general";"via2",#N/A,TRUE,"general";"via3",#N/A,TRUE,"general"}</definedName>
    <definedName name="rrrrrb" localSheetId="17" hidden="1">{"via1",#N/A,TRUE,"general";"via2",#N/A,TRUE,"general";"via3",#N/A,TRUE,"general"}</definedName>
    <definedName name="rrrrrb" localSheetId="19" hidden="1">{"via1",#N/A,TRUE,"general";"via2",#N/A,TRUE,"general";"via3",#N/A,TRUE,"general"}</definedName>
    <definedName name="rrrrrb" localSheetId="12"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4" hidden="1">{"via1",#N/A,TRUE,"general";"via2",#N/A,TRUE,"general";"via3",#N/A,TRUE,"general"}</definedName>
    <definedName name="rrrrrb" localSheetId="1" hidden="1">{"via1",#N/A,TRUE,"general";"via2",#N/A,TRUE,"general";"via3",#N/A,TRUE,"general"}</definedName>
    <definedName name="rrrrrb" localSheetId="14" hidden="1">{"via1",#N/A,TRUE,"general";"via2",#N/A,TRUE,"general";"via3",#N/A,TRUE,"general"}</definedName>
    <definedName name="rrrrrb" localSheetId="16" hidden="1">{"via1",#N/A,TRUE,"general";"via2",#N/A,TRUE,"general";"via3",#N/A,TRUE,"general"}</definedName>
    <definedName name="rrrrrb" localSheetId="18" hidden="1">{"via1",#N/A,TRUE,"general";"via2",#N/A,TRUE,"general";"via3",#N/A,TRUE,"general"}</definedName>
    <definedName name="rrrrrb" hidden="1">{"via1",#N/A,TRUE,"general";"via2",#N/A,TRUE,"general";"via3",#N/A,TRUE,"general"}</definedName>
    <definedName name="rrrrrrre" localSheetId="15"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8" hidden="1">{"TAB1",#N/A,TRUE,"GENERAL";"TAB2",#N/A,TRUE,"GENERAL";"TAB3",#N/A,TRUE,"GENERAL";"TAB4",#N/A,TRUE,"GENERAL";"TAB5",#N/A,TRUE,"GENERAL"}</definedName>
    <definedName name="rrrrrrre" hidden="1">{"TAB1",#N/A,TRUE,"GENERAL";"TAB2",#N/A,TRUE,"GENERAL";"TAB3",#N/A,TRUE,"GENERAL";"TAB4",#N/A,TRUE,"GENERAL";"TAB5",#N/A,TRUE,"GENERAL"}</definedName>
    <definedName name="rrrrt" localSheetId="15" hidden="1">{"via1",#N/A,TRUE,"general";"via2",#N/A,TRUE,"general";"via3",#N/A,TRUE,"general"}</definedName>
    <definedName name="rrrrt" localSheetId="17" hidden="1">{"via1",#N/A,TRUE,"general";"via2",#N/A,TRUE,"general";"via3",#N/A,TRUE,"general"}</definedName>
    <definedName name="rrrrt" localSheetId="19" hidden="1">{"via1",#N/A,TRUE,"general";"via2",#N/A,TRUE,"general";"via3",#N/A,TRUE,"general"}</definedName>
    <definedName name="rrrrt" localSheetId="12"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4" hidden="1">{"via1",#N/A,TRUE,"general";"via2",#N/A,TRUE,"general";"via3",#N/A,TRUE,"general"}</definedName>
    <definedName name="rrrrt" localSheetId="1" hidden="1">{"via1",#N/A,TRUE,"general";"via2",#N/A,TRUE,"general";"via3",#N/A,TRUE,"general"}</definedName>
    <definedName name="rrrrt" localSheetId="14" hidden="1">{"via1",#N/A,TRUE,"general";"via2",#N/A,TRUE,"general";"via3",#N/A,TRUE,"general"}</definedName>
    <definedName name="rrrrt" localSheetId="16" hidden="1">{"via1",#N/A,TRUE,"general";"via2",#N/A,TRUE,"general";"via3",#N/A,TRUE,"general"}</definedName>
    <definedName name="rrrrt" localSheetId="18" hidden="1">{"via1",#N/A,TRUE,"general";"via2",#N/A,TRUE,"general";"via3",#N/A,TRUE,"general"}</definedName>
    <definedName name="rrrrt" hidden="1">{"via1",#N/A,TRUE,"general";"via2",#N/A,TRUE,"general";"via3",#N/A,TRUE,"general"}</definedName>
    <definedName name="rsdgsd5" localSheetId="15"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8" hidden="1">{"TAB1",#N/A,TRUE,"GENERAL";"TAB2",#N/A,TRUE,"GENERAL";"TAB3",#N/A,TRUE,"GENERAL";"TAB4",#N/A,TRUE,"GENERAL";"TAB5",#N/A,TRUE,"GENERAL"}</definedName>
    <definedName name="rsdgsd5" hidden="1">{"TAB1",#N/A,TRUE,"GENERAL";"TAB2",#N/A,TRUE,"GENERAL";"TAB3",#N/A,TRUE,"GENERAL";"TAB4",#N/A,TRUE,"GENERAL";"TAB5",#N/A,TRUE,"GENERAL"}</definedName>
    <definedName name="rt" localSheetId="15" hidden="1">{"TAB1",#N/A,TRUE,"GENERAL";"TAB2",#N/A,TRUE,"GENERAL";"TAB3",#N/A,TRUE,"GENERAL";"TAB4",#N/A,TRUE,"GENERAL";"TAB5",#N/A,TRUE,"GENERAL"}</definedName>
    <definedName name="rt" localSheetId="17" hidden="1">{"TAB1",#N/A,TRUE,"GENERAL";"TAB2",#N/A,TRUE,"GENERAL";"TAB3",#N/A,TRUE,"GENERAL";"TAB4",#N/A,TRUE,"GENERAL";"TAB5",#N/A,TRUE,"GENERAL"}</definedName>
    <definedName name="rt" localSheetId="19" hidden="1">{"TAB1",#N/A,TRUE,"GENERAL";"TAB2",#N/A,TRUE,"GENERAL";"TAB3",#N/A,TRUE,"GENERAL";"TAB4",#N/A,TRUE,"GENERAL";"TAB5",#N/A,TRUE,"GENERAL"}</definedName>
    <definedName name="rt" localSheetId="12"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7"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4" hidden="1">{"TAB1",#N/A,TRUE,"GENERAL";"TAB2",#N/A,TRUE,"GENERAL";"TAB3",#N/A,TRUE,"GENERAL";"TAB4",#N/A,TRUE,"GENERAL";"TAB5",#N/A,TRUE,"GENERAL"}</definedName>
    <definedName name="rt" localSheetId="1" hidden="1">{"TAB1",#N/A,TRUE,"GENERAL";"TAB2",#N/A,TRUE,"GENERAL";"TAB3",#N/A,TRUE,"GENERAL";"TAB4",#N/A,TRUE,"GENERAL";"TAB5",#N/A,TRUE,"GENERAL"}</definedName>
    <definedName name="rt" localSheetId="14" hidden="1">{"TAB1",#N/A,TRUE,"GENERAL";"TAB2",#N/A,TRUE,"GENERAL";"TAB3",#N/A,TRUE,"GENERAL";"TAB4",#N/A,TRUE,"GENERAL";"TAB5",#N/A,TRUE,"GENERAL"}</definedName>
    <definedName name="rt" localSheetId="16" hidden="1">{"TAB1",#N/A,TRUE,"GENERAL";"TAB2",#N/A,TRUE,"GENERAL";"TAB3",#N/A,TRUE,"GENERAL";"TAB4",#N/A,TRUE,"GENERAL";"TAB5",#N/A,TRUE,"GENERAL"}</definedName>
    <definedName name="rt" localSheetId="18" hidden="1">{"TAB1",#N/A,TRUE,"GENERAL";"TAB2",#N/A,TRUE,"GENERAL";"TAB3",#N/A,TRUE,"GENERAL";"TAB4",#N/A,TRUE,"GENERAL";"TAB5",#N/A,TRUE,"GENERAL"}</definedName>
    <definedName name="rt" hidden="1">{"TAB1",#N/A,TRUE,"GENERAL";"TAB2",#N/A,TRUE,"GENERAL";"TAB3",#N/A,TRUE,"GENERAL";"TAB4",#N/A,TRUE,"GENERAL";"TAB5",#N/A,TRUE,"GENERAL"}</definedName>
    <definedName name="rte" localSheetId="15" hidden="1">{"TAB1",#N/A,TRUE,"GENERAL";"TAB2",#N/A,TRUE,"GENERAL";"TAB3",#N/A,TRUE,"GENERAL";"TAB4",#N/A,TRUE,"GENERAL";"TAB5",#N/A,TRUE,"GENERAL"}</definedName>
    <definedName name="rte" localSheetId="17" hidden="1">{"TAB1",#N/A,TRUE,"GENERAL";"TAB2",#N/A,TRUE,"GENERAL";"TAB3",#N/A,TRUE,"GENERAL";"TAB4",#N/A,TRUE,"GENERAL";"TAB5",#N/A,TRUE,"GENERAL"}</definedName>
    <definedName name="rte" localSheetId="19" hidden="1">{"TAB1",#N/A,TRUE,"GENERAL";"TAB2",#N/A,TRUE,"GENERAL";"TAB3",#N/A,TRUE,"GENERAL";"TAB4",#N/A,TRUE,"GENERAL";"TAB5",#N/A,TRUE,"GENERAL"}</definedName>
    <definedName name="rte" localSheetId="12"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4" hidden="1">{"TAB1",#N/A,TRUE,"GENERAL";"TAB2",#N/A,TRUE,"GENERAL";"TAB3",#N/A,TRUE,"GENERAL";"TAB4",#N/A,TRUE,"GENERAL";"TAB5",#N/A,TRUE,"GENERAL"}</definedName>
    <definedName name="rte" localSheetId="1" hidden="1">{"TAB1",#N/A,TRUE,"GENERAL";"TAB2",#N/A,TRUE,"GENERAL";"TAB3",#N/A,TRUE,"GENERAL";"TAB4",#N/A,TRUE,"GENERAL";"TAB5",#N/A,TRUE,"GENERAL"}</definedName>
    <definedName name="rte" localSheetId="14" hidden="1">{"TAB1",#N/A,TRUE,"GENERAL";"TAB2",#N/A,TRUE,"GENERAL";"TAB3",#N/A,TRUE,"GENERAL";"TAB4",#N/A,TRUE,"GENERAL";"TAB5",#N/A,TRUE,"GENERAL"}</definedName>
    <definedName name="rte" localSheetId="16" hidden="1">{"TAB1",#N/A,TRUE,"GENERAL";"TAB2",#N/A,TRUE,"GENERAL";"TAB3",#N/A,TRUE,"GENERAL";"TAB4",#N/A,TRUE,"GENERAL";"TAB5",#N/A,TRUE,"GENERAL"}</definedName>
    <definedName name="rte" localSheetId="18" hidden="1">{"TAB1",#N/A,TRUE,"GENERAL";"TAB2",#N/A,TRUE,"GENERAL";"TAB3",#N/A,TRUE,"GENERAL";"TAB4",#N/A,TRUE,"GENERAL";"TAB5",#N/A,TRUE,"GENERAL"}</definedName>
    <definedName name="rte" hidden="1">{"TAB1",#N/A,TRUE,"GENERAL";"TAB2",#N/A,TRUE,"GENERAL";"TAB3",#N/A,TRUE,"GENERAL";"TAB4",#N/A,TRUE,"GENERAL";"TAB5",#N/A,TRUE,"GENERAL"}</definedName>
    <definedName name="rteg" localSheetId="15" hidden="1">{"via1",#N/A,TRUE,"general";"via2",#N/A,TRUE,"general";"via3",#N/A,TRUE,"general"}</definedName>
    <definedName name="rteg" localSheetId="17" hidden="1">{"via1",#N/A,TRUE,"general";"via2",#N/A,TRUE,"general";"via3",#N/A,TRUE,"general"}</definedName>
    <definedName name="rteg" localSheetId="19" hidden="1">{"via1",#N/A,TRUE,"general";"via2",#N/A,TRUE,"general";"via3",#N/A,TRUE,"general"}</definedName>
    <definedName name="rteg" localSheetId="12"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4" hidden="1">{"via1",#N/A,TRUE,"general";"via2",#N/A,TRUE,"general";"via3",#N/A,TRUE,"general"}</definedName>
    <definedName name="rteg" localSheetId="1" hidden="1">{"via1",#N/A,TRUE,"general";"via2",#N/A,TRUE,"general";"via3",#N/A,TRUE,"general"}</definedName>
    <definedName name="rteg" localSheetId="14" hidden="1">{"via1",#N/A,TRUE,"general";"via2",#N/A,TRUE,"general";"via3",#N/A,TRUE,"general"}</definedName>
    <definedName name="rteg" localSheetId="16" hidden="1">{"via1",#N/A,TRUE,"general";"via2",#N/A,TRUE,"general";"via3",#N/A,TRUE,"general"}</definedName>
    <definedName name="rteg" localSheetId="18" hidden="1">{"via1",#N/A,TRUE,"general";"via2",#N/A,TRUE,"general";"via3",#N/A,TRUE,"general"}</definedName>
    <definedName name="rteg" hidden="1">{"via1",#N/A,TRUE,"general";"via2",#N/A,TRUE,"general";"via3",#N/A,TRUE,"general"}</definedName>
    <definedName name="rtert" localSheetId="15"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4" hidden="1">{"TAB1",#N/A,TRUE,"GENERAL";"TAB2",#N/A,TRUE,"GENERAL";"TAB3",#N/A,TRUE,"GENERAL";"TAB4",#N/A,TRUE,"GENERAL";"TAB5",#N/A,TRUE,"GENERAL"}</definedName>
    <definedName name="rtert" localSheetId="1"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8" hidden="1">{"TAB1",#N/A,TRUE,"GENERAL";"TAB2",#N/A,TRUE,"GENERAL";"TAB3",#N/A,TRUE,"GENERAL";"TAB4",#N/A,TRUE,"GENERAL";"TAB5",#N/A,TRUE,"GENERAL"}</definedName>
    <definedName name="rtert" hidden="1">{"TAB1",#N/A,TRUE,"GENERAL";"TAB2",#N/A,TRUE,"GENERAL";"TAB3",#N/A,TRUE,"GENERAL";"TAB4",#N/A,TRUE,"GENERAL";"TAB5",#N/A,TRUE,"GENERAL"}</definedName>
    <definedName name="rtes" localSheetId="15" hidden="1">{"via1",#N/A,TRUE,"general";"via2",#N/A,TRUE,"general";"via3",#N/A,TRUE,"general"}</definedName>
    <definedName name="rtes" localSheetId="17" hidden="1">{"via1",#N/A,TRUE,"general";"via2",#N/A,TRUE,"general";"via3",#N/A,TRUE,"general"}</definedName>
    <definedName name="rtes" localSheetId="19" hidden="1">{"via1",#N/A,TRUE,"general";"via2",#N/A,TRUE,"general";"via3",#N/A,TRUE,"general"}</definedName>
    <definedName name="rtes" localSheetId="12"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4" hidden="1">{"via1",#N/A,TRUE,"general";"via2",#N/A,TRUE,"general";"via3",#N/A,TRUE,"general"}</definedName>
    <definedName name="rtes" localSheetId="1" hidden="1">{"via1",#N/A,TRUE,"general";"via2",#N/A,TRUE,"general";"via3",#N/A,TRUE,"general"}</definedName>
    <definedName name="rtes" localSheetId="14" hidden="1">{"via1",#N/A,TRUE,"general";"via2",#N/A,TRUE,"general";"via3",#N/A,TRUE,"general"}</definedName>
    <definedName name="rtes" localSheetId="16" hidden="1">{"via1",#N/A,TRUE,"general";"via2",#N/A,TRUE,"general";"via3",#N/A,TRUE,"general"}</definedName>
    <definedName name="rtes" localSheetId="18" hidden="1">{"via1",#N/A,TRUE,"general";"via2",#N/A,TRUE,"general";"via3",#N/A,TRUE,"general"}</definedName>
    <definedName name="rtes" hidden="1">{"via1",#N/A,TRUE,"general";"via2",#N/A,TRUE,"general";"via3",#N/A,TRUE,"general"}</definedName>
    <definedName name="rtewth" localSheetId="15"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8" hidden="1">{"TAB1",#N/A,TRUE,"GENERAL";"TAB2",#N/A,TRUE,"GENERAL";"TAB3",#N/A,TRUE,"GENERAL";"TAB4",#N/A,TRUE,"GENERAL";"TAB5",#N/A,TRUE,"GENERAL"}</definedName>
    <definedName name="rtewth"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8" hidden="1">{"TAB1",#N/A,TRUE,"GENERAL";"TAB2",#N/A,TRUE,"GENERAL";"TAB3",#N/A,TRUE,"GENERAL";"TAB4",#N/A,TRUE,"GENERAL";"TAB5",#N/A,TRUE,"GENERAL"}</definedName>
    <definedName name="rthjtj" hidden="1">{"TAB1",#N/A,TRUE,"GENERAL";"TAB2",#N/A,TRUE,"GENERAL";"TAB3",#N/A,TRUE,"GENERAL";"TAB4",#N/A,TRUE,"GENERAL";"TAB5",#N/A,TRUE,"GENERAL"}</definedName>
    <definedName name="rthrthg" localSheetId="15" hidden="1">{"via1",#N/A,TRUE,"general";"via2",#N/A,TRUE,"general";"via3",#N/A,TRUE,"general"}</definedName>
    <definedName name="rthrthg" localSheetId="17" hidden="1">{"via1",#N/A,TRUE,"general";"via2",#N/A,TRUE,"general";"via3",#N/A,TRUE,"general"}</definedName>
    <definedName name="rthrthg" localSheetId="19" hidden="1">{"via1",#N/A,TRUE,"general";"via2",#N/A,TRUE,"general";"via3",#N/A,TRUE,"general"}</definedName>
    <definedName name="rthrthg" localSheetId="12"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4" hidden="1">{"via1",#N/A,TRUE,"general";"via2",#N/A,TRUE,"general";"via3",#N/A,TRUE,"general"}</definedName>
    <definedName name="rthrthg" localSheetId="1" hidden="1">{"via1",#N/A,TRUE,"general";"via2",#N/A,TRUE,"general";"via3",#N/A,TRUE,"general"}</definedName>
    <definedName name="rthrthg" localSheetId="14" hidden="1">{"via1",#N/A,TRUE,"general";"via2",#N/A,TRUE,"general";"via3",#N/A,TRUE,"general"}</definedName>
    <definedName name="rthrthg" localSheetId="16" hidden="1">{"via1",#N/A,TRUE,"general";"via2",#N/A,TRUE,"general";"via3",#N/A,TRUE,"general"}</definedName>
    <definedName name="rthrthg" localSheetId="18" hidden="1">{"via1",#N/A,TRUE,"general";"via2",#N/A,TRUE,"general";"via3",#N/A,TRUE,"general"}</definedName>
    <definedName name="rthrthg" hidden="1">{"via1",#N/A,TRUE,"general";"via2",#N/A,TRUE,"general";"via3",#N/A,TRUE,"general"}</definedName>
    <definedName name="rthtrh" localSheetId="15" hidden="1">{"via1",#N/A,TRUE,"general";"via2",#N/A,TRUE,"general";"via3",#N/A,TRUE,"general"}</definedName>
    <definedName name="rthtrh" localSheetId="17" hidden="1">{"via1",#N/A,TRUE,"general";"via2",#N/A,TRUE,"general";"via3",#N/A,TRUE,"general"}</definedName>
    <definedName name="rthtrh" localSheetId="19" hidden="1">{"via1",#N/A,TRUE,"general";"via2",#N/A,TRUE,"general";"via3",#N/A,TRUE,"general"}</definedName>
    <definedName name="rthtrh" localSheetId="12"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4" hidden="1">{"via1",#N/A,TRUE,"general";"via2",#N/A,TRUE,"general";"via3",#N/A,TRUE,"general"}</definedName>
    <definedName name="rthtrh" localSheetId="1" hidden="1">{"via1",#N/A,TRUE,"general";"via2",#N/A,TRUE,"general";"via3",#N/A,TRUE,"general"}</definedName>
    <definedName name="rthtrh" localSheetId="14" hidden="1">{"via1",#N/A,TRUE,"general";"via2",#N/A,TRUE,"general";"via3",#N/A,TRUE,"general"}</definedName>
    <definedName name="rthtrh" localSheetId="16" hidden="1">{"via1",#N/A,TRUE,"general";"via2",#N/A,TRUE,"general";"via3",#N/A,TRUE,"general"}</definedName>
    <definedName name="rthtrh" localSheetId="18" hidden="1">{"via1",#N/A,TRUE,"general";"via2",#N/A,TRUE,"general";"via3",#N/A,TRUE,"general"}</definedName>
    <definedName name="rthtrh" hidden="1">{"via1",#N/A,TRUE,"general";"via2",#N/A,TRUE,"general";"via3",#N/A,TRUE,"general"}</definedName>
    <definedName name="rtkk" localSheetId="15" hidden="1">{"via1",#N/A,TRUE,"general";"via2",#N/A,TRUE,"general";"via3",#N/A,TRUE,"general"}</definedName>
    <definedName name="rtkk" localSheetId="17" hidden="1">{"via1",#N/A,TRUE,"general";"via2",#N/A,TRUE,"general";"via3",#N/A,TRUE,"general"}</definedName>
    <definedName name="rtkk" localSheetId="19" hidden="1">{"via1",#N/A,TRUE,"general";"via2",#N/A,TRUE,"general";"via3",#N/A,TRUE,"general"}</definedName>
    <definedName name="rtkk" localSheetId="12"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4" hidden="1">{"via1",#N/A,TRUE,"general";"via2",#N/A,TRUE,"general";"via3",#N/A,TRUE,"general"}</definedName>
    <definedName name="rtkk" localSheetId="1" hidden="1">{"via1",#N/A,TRUE,"general";"via2",#N/A,TRUE,"general";"via3",#N/A,TRUE,"general"}</definedName>
    <definedName name="rtkk" localSheetId="14" hidden="1">{"via1",#N/A,TRUE,"general";"via2",#N/A,TRUE,"general";"via3",#N/A,TRUE,"general"}</definedName>
    <definedName name="rtkk" localSheetId="16" hidden="1">{"via1",#N/A,TRUE,"general";"via2",#N/A,TRUE,"general";"via3",#N/A,TRUE,"general"}</definedName>
    <definedName name="rtkk" localSheetId="18" hidden="1">{"via1",#N/A,TRUE,"general";"via2",#N/A,TRUE,"general";"via3",#N/A,TRUE,"general"}</definedName>
    <definedName name="rtkk" hidden="1">{"via1",#N/A,TRUE,"general";"via2",#N/A,TRUE,"general";"via3",#N/A,TRUE,"general"}</definedName>
    <definedName name="rttthy" localSheetId="15" hidden="1">{"via1",#N/A,TRUE,"general";"via2",#N/A,TRUE,"general";"via3",#N/A,TRUE,"general"}</definedName>
    <definedName name="rttthy" localSheetId="17" hidden="1">{"via1",#N/A,TRUE,"general";"via2",#N/A,TRUE,"general";"via3",#N/A,TRUE,"general"}</definedName>
    <definedName name="rttthy" localSheetId="19" hidden="1">{"via1",#N/A,TRUE,"general";"via2",#N/A,TRUE,"general";"via3",#N/A,TRUE,"general"}</definedName>
    <definedName name="rttthy" localSheetId="12"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4" hidden="1">{"via1",#N/A,TRUE,"general";"via2",#N/A,TRUE,"general";"via3",#N/A,TRUE,"general"}</definedName>
    <definedName name="rttthy" localSheetId="1" hidden="1">{"via1",#N/A,TRUE,"general";"via2",#N/A,TRUE,"general";"via3",#N/A,TRUE,"general"}</definedName>
    <definedName name="rttthy" localSheetId="14" hidden="1">{"via1",#N/A,TRUE,"general";"via2",#N/A,TRUE,"general";"via3",#N/A,TRUE,"general"}</definedName>
    <definedName name="rttthy" localSheetId="16" hidden="1">{"via1",#N/A,TRUE,"general";"via2",#N/A,TRUE,"general";"via3",#N/A,TRUE,"general"}</definedName>
    <definedName name="rttthy" localSheetId="18" hidden="1">{"via1",#N/A,TRUE,"general";"via2",#N/A,TRUE,"general";"via3",#N/A,TRUE,"general"}</definedName>
    <definedName name="rttthy" hidden="1">{"via1",#N/A,TRUE,"general";"via2",#N/A,TRUE,"general";"via3",#N/A,TRUE,"general"}</definedName>
    <definedName name="rtu" localSheetId="15" hidden="1">{"via1",#N/A,TRUE,"general";"via2",#N/A,TRUE,"general";"via3",#N/A,TRUE,"general"}</definedName>
    <definedName name="rtu" localSheetId="17" hidden="1">{"via1",#N/A,TRUE,"general";"via2",#N/A,TRUE,"general";"via3",#N/A,TRUE,"general"}</definedName>
    <definedName name="rtu" localSheetId="19" hidden="1">{"via1",#N/A,TRUE,"general";"via2",#N/A,TRUE,"general";"via3",#N/A,TRUE,"general"}</definedName>
    <definedName name="rtu" localSheetId="12"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4" hidden="1">{"via1",#N/A,TRUE,"general";"via2",#N/A,TRUE,"general";"via3",#N/A,TRUE,"general"}</definedName>
    <definedName name="rtu" localSheetId="1" hidden="1">{"via1",#N/A,TRUE,"general";"via2",#N/A,TRUE,"general";"via3",#N/A,TRUE,"general"}</definedName>
    <definedName name="rtu" localSheetId="14" hidden="1">{"via1",#N/A,TRUE,"general";"via2",#N/A,TRUE,"general";"via3",#N/A,TRUE,"general"}</definedName>
    <definedName name="rtu" localSheetId="16" hidden="1">{"via1",#N/A,TRUE,"general";"via2",#N/A,TRUE,"general";"via3",#N/A,TRUE,"general"}</definedName>
    <definedName name="rtu" localSheetId="18" hidden="1">{"via1",#N/A,TRUE,"general";"via2",#N/A,TRUE,"general";"via3",#N/A,TRUE,"general"}</definedName>
    <definedName name="rtu" hidden="1">{"via1",#N/A,TRUE,"general";"via2",#N/A,TRUE,"general";"via3",#N/A,TRUE,"general"}</definedName>
    <definedName name="rtug" localSheetId="15" hidden="1">{"TAB1",#N/A,TRUE,"GENERAL";"TAB2",#N/A,TRUE,"GENERAL";"TAB3",#N/A,TRUE,"GENERAL";"TAB4",#N/A,TRUE,"GENERAL";"TAB5",#N/A,TRUE,"GENERAL"}</definedName>
    <definedName name="rtug" localSheetId="17" hidden="1">{"TAB1",#N/A,TRUE,"GENERAL";"TAB2",#N/A,TRUE,"GENERAL";"TAB3",#N/A,TRUE,"GENERAL";"TAB4",#N/A,TRUE,"GENERAL";"TAB5",#N/A,TRUE,"GENERAL"}</definedName>
    <definedName name="rtug" localSheetId="19" hidden="1">{"TAB1",#N/A,TRUE,"GENERAL";"TAB2",#N/A,TRUE,"GENERAL";"TAB3",#N/A,TRUE,"GENERAL";"TAB4",#N/A,TRUE,"GENERAL";"TAB5",#N/A,TRUE,"GENERAL"}</definedName>
    <definedName name="rtug" localSheetId="12"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4" hidden="1">{"TAB1",#N/A,TRUE,"GENERAL";"TAB2",#N/A,TRUE,"GENERAL";"TAB3",#N/A,TRUE,"GENERAL";"TAB4",#N/A,TRUE,"GENERAL";"TAB5",#N/A,TRUE,"GENERAL"}</definedName>
    <definedName name="rtug" localSheetId="1" hidden="1">{"TAB1",#N/A,TRUE,"GENERAL";"TAB2",#N/A,TRUE,"GENERAL";"TAB3",#N/A,TRUE,"GENERAL";"TAB4",#N/A,TRUE,"GENERAL";"TAB5",#N/A,TRUE,"GENERAL"}</definedName>
    <definedName name="rtug" localSheetId="14" hidden="1">{"TAB1",#N/A,TRUE,"GENERAL";"TAB2",#N/A,TRUE,"GENERAL";"TAB3",#N/A,TRUE,"GENERAL";"TAB4",#N/A,TRUE,"GENERAL";"TAB5",#N/A,TRUE,"GENERAL"}</definedName>
    <definedName name="rtug" localSheetId="16" hidden="1">{"TAB1",#N/A,TRUE,"GENERAL";"TAB2",#N/A,TRUE,"GENERAL";"TAB3",#N/A,TRUE,"GENERAL";"TAB4",#N/A,TRUE,"GENERAL";"TAB5",#N/A,TRUE,"GENERAL"}</definedName>
    <definedName name="rtug" localSheetId="18" hidden="1">{"TAB1",#N/A,TRUE,"GENERAL";"TAB2",#N/A,TRUE,"GENERAL";"TAB3",#N/A,TRUE,"GENERAL";"TAB4",#N/A,TRUE,"GENERAL";"TAB5",#N/A,TRUE,"GENERAL"}</definedName>
    <definedName name="rtug"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8" hidden="1">{"TAB1",#N/A,TRUE,"GENERAL";"TAB2",#N/A,TRUE,"GENERAL";"TAB3",#N/A,TRUE,"GENERAL";"TAB4",#N/A,TRUE,"GENERAL";"TAB5",#N/A,TRUE,"GENERAL"}</definedName>
    <definedName name="rtugsd" hidden="1">{"TAB1",#N/A,TRUE,"GENERAL";"TAB2",#N/A,TRUE,"GENERAL";"TAB3",#N/A,TRUE,"GENERAL";"TAB4",#N/A,TRUE,"GENERAL";"TAB5",#N/A,TRUE,"GENERAL"}</definedName>
    <definedName name="rturtu" localSheetId="15" hidden="1">{"via1",#N/A,TRUE,"general";"via2",#N/A,TRUE,"general";"via3",#N/A,TRUE,"general"}</definedName>
    <definedName name="rturtu" localSheetId="17" hidden="1">{"via1",#N/A,TRUE,"general";"via2",#N/A,TRUE,"general";"via3",#N/A,TRUE,"general"}</definedName>
    <definedName name="rturtu" localSheetId="19" hidden="1">{"via1",#N/A,TRUE,"general";"via2",#N/A,TRUE,"general";"via3",#N/A,TRUE,"general"}</definedName>
    <definedName name="rturtu" localSheetId="12"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4" hidden="1">{"via1",#N/A,TRUE,"general";"via2",#N/A,TRUE,"general";"via3",#N/A,TRUE,"general"}</definedName>
    <definedName name="rturtu" localSheetId="1" hidden="1">{"via1",#N/A,TRUE,"general";"via2",#N/A,TRUE,"general";"via3",#N/A,TRUE,"general"}</definedName>
    <definedName name="rturtu" localSheetId="14" hidden="1">{"via1",#N/A,TRUE,"general";"via2",#N/A,TRUE,"general";"via3",#N/A,TRUE,"general"}</definedName>
    <definedName name="rturtu" localSheetId="16" hidden="1">{"via1",#N/A,TRUE,"general";"via2",#N/A,TRUE,"general";"via3",#N/A,TRUE,"general"}</definedName>
    <definedName name="rturtu" localSheetId="18" hidden="1">{"via1",#N/A,TRUE,"general";"via2",#N/A,TRUE,"general";"via3",#N/A,TRUE,"general"}</definedName>
    <definedName name="rturtu" hidden="1">{"via1",#N/A,TRUE,"general";"via2",#N/A,TRUE,"general";"via3",#N/A,TRUE,"general"}</definedName>
    <definedName name="rturu" localSheetId="15" hidden="1">{"via1",#N/A,TRUE,"general";"via2",#N/A,TRUE,"general";"via3",#N/A,TRUE,"general"}</definedName>
    <definedName name="rturu" localSheetId="17" hidden="1">{"via1",#N/A,TRUE,"general";"via2",#N/A,TRUE,"general";"via3",#N/A,TRUE,"general"}</definedName>
    <definedName name="rturu" localSheetId="19" hidden="1">{"via1",#N/A,TRUE,"general";"via2",#N/A,TRUE,"general";"via3",#N/A,TRUE,"general"}</definedName>
    <definedName name="rturu" localSheetId="12"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4" hidden="1">{"via1",#N/A,TRUE,"general";"via2",#N/A,TRUE,"general";"via3",#N/A,TRUE,"general"}</definedName>
    <definedName name="rturu" localSheetId="1" hidden="1">{"via1",#N/A,TRUE,"general";"via2",#N/A,TRUE,"general";"via3",#N/A,TRUE,"general"}</definedName>
    <definedName name="rturu" localSheetId="14" hidden="1">{"via1",#N/A,TRUE,"general";"via2",#N/A,TRUE,"general";"via3",#N/A,TRUE,"general"}</definedName>
    <definedName name="rturu" localSheetId="16" hidden="1">{"via1",#N/A,TRUE,"general";"via2",#N/A,TRUE,"general";"via3",#N/A,TRUE,"general"}</definedName>
    <definedName name="rturu" localSheetId="18" hidden="1">{"via1",#N/A,TRUE,"general";"via2",#N/A,TRUE,"general";"via3",#N/A,TRUE,"general"}</definedName>
    <definedName name="rturu" hidden="1">{"via1",#N/A,TRUE,"general";"via2",#N/A,TRUE,"general";"via3",#N/A,TRUE,"general"}</definedName>
    <definedName name="rtut" localSheetId="15" hidden="1">{"via1",#N/A,TRUE,"general";"via2",#N/A,TRUE,"general";"via3",#N/A,TRUE,"general"}</definedName>
    <definedName name="rtut" localSheetId="17" hidden="1">{"via1",#N/A,TRUE,"general";"via2",#N/A,TRUE,"general";"via3",#N/A,TRUE,"general"}</definedName>
    <definedName name="rtut" localSheetId="19" hidden="1">{"via1",#N/A,TRUE,"general";"via2",#N/A,TRUE,"general";"via3",#N/A,TRUE,"general"}</definedName>
    <definedName name="rtut" localSheetId="12"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4" hidden="1">{"via1",#N/A,TRUE,"general";"via2",#N/A,TRUE,"general";"via3",#N/A,TRUE,"general"}</definedName>
    <definedName name="rtut" localSheetId="1" hidden="1">{"via1",#N/A,TRUE,"general";"via2",#N/A,TRUE,"general";"via3",#N/A,TRUE,"general"}</definedName>
    <definedName name="rtut" localSheetId="14" hidden="1">{"via1",#N/A,TRUE,"general";"via2",#N/A,TRUE,"general";"via3",#N/A,TRUE,"general"}</definedName>
    <definedName name="rtut" localSheetId="16" hidden="1">{"via1",#N/A,TRUE,"general";"via2",#N/A,TRUE,"general";"via3",#N/A,TRUE,"general"}</definedName>
    <definedName name="rtut" localSheetId="18" hidden="1">{"via1",#N/A,TRUE,"general";"via2",#N/A,TRUE,"general";"via3",#N/A,TRUE,"general"}</definedName>
    <definedName name="rtut" hidden="1">{"via1",#N/A,TRUE,"general";"via2",#N/A,TRUE,"general";"via3",#N/A,TRUE,"general"}</definedName>
    <definedName name="rtutru" localSheetId="15" hidden="1">{"via1",#N/A,TRUE,"general";"via2",#N/A,TRUE,"general";"via3",#N/A,TRUE,"general"}</definedName>
    <definedName name="rtutru" localSheetId="17" hidden="1">{"via1",#N/A,TRUE,"general";"via2",#N/A,TRUE,"general";"via3",#N/A,TRUE,"general"}</definedName>
    <definedName name="rtutru" localSheetId="19" hidden="1">{"via1",#N/A,TRUE,"general";"via2",#N/A,TRUE,"general";"via3",#N/A,TRUE,"general"}</definedName>
    <definedName name="rtutru" localSheetId="12"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4" hidden="1">{"via1",#N/A,TRUE,"general";"via2",#N/A,TRUE,"general";"via3",#N/A,TRUE,"general"}</definedName>
    <definedName name="rtutru" localSheetId="1" hidden="1">{"via1",#N/A,TRUE,"general";"via2",#N/A,TRUE,"general";"via3",#N/A,TRUE,"general"}</definedName>
    <definedName name="rtutru" localSheetId="14" hidden="1">{"via1",#N/A,TRUE,"general";"via2",#N/A,TRUE,"general";"via3",#N/A,TRUE,"general"}</definedName>
    <definedName name="rtutru" localSheetId="16" hidden="1">{"via1",#N/A,TRUE,"general";"via2",#N/A,TRUE,"general";"via3",#N/A,TRUE,"general"}</definedName>
    <definedName name="rtutru" localSheetId="18" hidden="1">{"via1",#N/A,TRUE,"general";"via2",#N/A,TRUE,"general";"via3",#N/A,TRUE,"general"}</definedName>
    <definedName name="rtutru" hidden="1">{"via1",#N/A,TRUE,"general";"via2",#N/A,TRUE,"general";"via3",#N/A,TRUE,"general"}</definedName>
    <definedName name="rtuy" localSheetId="15" hidden="1">{"via1",#N/A,TRUE,"general";"via2",#N/A,TRUE,"general";"via3",#N/A,TRUE,"general"}</definedName>
    <definedName name="rtuy" localSheetId="17" hidden="1">{"via1",#N/A,TRUE,"general";"via2",#N/A,TRUE,"general";"via3",#N/A,TRUE,"general"}</definedName>
    <definedName name="rtuy" localSheetId="19" hidden="1">{"via1",#N/A,TRUE,"general";"via2",#N/A,TRUE,"general";"via3",#N/A,TRUE,"general"}</definedName>
    <definedName name="rtuy" localSheetId="12"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4" hidden="1">{"via1",#N/A,TRUE,"general";"via2",#N/A,TRUE,"general";"via3",#N/A,TRUE,"general"}</definedName>
    <definedName name="rtuy" localSheetId="1" hidden="1">{"via1",#N/A,TRUE,"general";"via2",#N/A,TRUE,"general";"via3",#N/A,TRUE,"general"}</definedName>
    <definedName name="rtuy" localSheetId="14" hidden="1">{"via1",#N/A,TRUE,"general";"via2",#N/A,TRUE,"general";"via3",#N/A,TRUE,"general"}</definedName>
    <definedName name="rtuy" localSheetId="16" hidden="1">{"via1",#N/A,TRUE,"general";"via2",#N/A,TRUE,"general";"via3",#N/A,TRUE,"general"}</definedName>
    <definedName name="rtuy" localSheetId="18" hidden="1">{"via1",#N/A,TRUE,"general";"via2",#N/A,TRUE,"general";"via3",#N/A,TRUE,"general"}</definedName>
    <definedName name="rtuy" hidden="1">{"via1",#N/A,TRUE,"general";"via2",#N/A,TRUE,"general";"via3",#N/A,TRUE,"general"}</definedName>
    <definedName name="rtyhr" localSheetId="15"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4" hidden="1">{"TAB1",#N/A,TRUE,"GENERAL";"TAB2",#N/A,TRUE,"GENERAL";"TAB3",#N/A,TRUE,"GENERAL";"TAB4",#N/A,TRUE,"GENERAL";"TAB5",#N/A,TRUE,"GENERAL"}</definedName>
    <definedName name="rtyhr" localSheetId="1"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8" hidden="1">{"TAB1",#N/A,TRUE,"GENERAL";"TAB2",#N/A,TRUE,"GENERAL";"TAB3",#N/A,TRUE,"GENERAL";"TAB4",#N/A,TRUE,"GENERAL";"TAB5",#N/A,TRUE,"GENERAL"}</definedName>
    <definedName name="rtyhr" hidden="1">{"TAB1",#N/A,TRUE,"GENERAL";"TAB2",#N/A,TRUE,"GENERAL";"TAB3",#N/A,TRUE,"GENERAL";"TAB4",#N/A,TRUE,"GENERAL";"TAB5",#N/A,TRUE,"GENERAL"}</definedName>
    <definedName name="rtym" localSheetId="15" hidden="1">{"via1",#N/A,TRUE,"general";"via2",#N/A,TRUE,"general";"via3",#N/A,TRUE,"general"}</definedName>
    <definedName name="rtym" localSheetId="17" hidden="1">{"via1",#N/A,TRUE,"general";"via2",#N/A,TRUE,"general";"via3",#N/A,TRUE,"general"}</definedName>
    <definedName name="rtym" localSheetId="19" hidden="1">{"via1",#N/A,TRUE,"general";"via2",#N/A,TRUE,"general";"via3",#N/A,TRUE,"general"}</definedName>
    <definedName name="rtym" localSheetId="12"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4" hidden="1">{"via1",#N/A,TRUE,"general";"via2",#N/A,TRUE,"general";"via3",#N/A,TRUE,"general"}</definedName>
    <definedName name="rtym" localSheetId="1" hidden="1">{"via1",#N/A,TRUE,"general";"via2",#N/A,TRUE,"general";"via3",#N/A,TRUE,"general"}</definedName>
    <definedName name="rtym" localSheetId="14" hidden="1">{"via1",#N/A,TRUE,"general";"via2",#N/A,TRUE,"general";"via3",#N/A,TRUE,"general"}</definedName>
    <definedName name="rtym" localSheetId="16" hidden="1">{"via1",#N/A,TRUE,"general";"via2",#N/A,TRUE,"general";"via3",#N/A,TRUE,"general"}</definedName>
    <definedName name="rtym" localSheetId="18" hidden="1">{"via1",#N/A,TRUE,"general";"via2",#N/A,TRUE,"general";"via3",#N/A,TRUE,"general"}</definedName>
    <definedName name="rtym" hidden="1">{"via1",#N/A,TRUE,"general";"via2",#N/A,TRUE,"general";"via3",#N/A,TRUE,"general"}</definedName>
    <definedName name="rtyrey" localSheetId="15"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8" hidden="1">{"TAB1",#N/A,TRUE,"GENERAL";"TAB2",#N/A,TRUE,"GENERAL";"TAB3",#N/A,TRUE,"GENERAL";"TAB4",#N/A,TRUE,"GENERAL";"TAB5",#N/A,TRUE,"GENERAL"}</definedName>
    <definedName name="rtyrey" hidden="1">{"TAB1",#N/A,TRUE,"GENERAL";"TAB2",#N/A,TRUE,"GENERAL";"TAB3",#N/A,TRUE,"GENERAL";"TAB4",#N/A,TRUE,"GENERAL";"TAB5",#N/A,TRUE,"GENERAL"}</definedName>
    <definedName name="rtyrh" localSheetId="15" hidden="1">{"via1",#N/A,TRUE,"general";"via2",#N/A,TRUE,"general";"via3",#N/A,TRUE,"general"}</definedName>
    <definedName name="rtyrh" localSheetId="17" hidden="1">{"via1",#N/A,TRUE,"general";"via2",#N/A,TRUE,"general";"via3",#N/A,TRUE,"general"}</definedName>
    <definedName name="rtyrh" localSheetId="19" hidden="1">{"via1",#N/A,TRUE,"general";"via2",#N/A,TRUE,"general";"via3",#N/A,TRUE,"general"}</definedName>
    <definedName name="rtyrh" localSheetId="12"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4" hidden="1">{"via1",#N/A,TRUE,"general";"via2",#N/A,TRUE,"general";"via3",#N/A,TRUE,"general"}</definedName>
    <definedName name="rtyrh" localSheetId="1" hidden="1">{"via1",#N/A,TRUE,"general";"via2",#N/A,TRUE,"general";"via3",#N/A,TRUE,"general"}</definedName>
    <definedName name="rtyrh" localSheetId="14" hidden="1">{"via1",#N/A,TRUE,"general";"via2",#N/A,TRUE,"general";"via3",#N/A,TRUE,"general"}</definedName>
    <definedName name="rtyrh" localSheetId="16" hidden="1">{"via1",#N/A,TRUE,"general";"via2",#N/A,TRUE,"general";"via3",#N/A,TRUE,"general"}</definedName>
    <definedName name="rtyrh" localSheetId="18" hidden="1">{"via1",#N/A,TRUE,"general";"via2",#N/A,TRUE,"general";"via3",#N/A,TRUE,"general"}</definedName>
    <definedName name="rtyrh" hidden="1">{"via1",#N/A,TRUE,"general";"via2",#N/A,TRUE,"general";"via3",#N/A,TRUE,"general"}</definedName>
    <definedName name="RTYRTY" localSheetId="15" hidden="1">{"via1",#N/A,TRUE,"general";"via2",#N/A,TRUE,"general";"via3",#N/A,TRUE,"general"}</definedName>
    <definedName name="RTYRTY" localSheetId="17" hidden="1">{"via1",#N/A,TRUE,"general";"via2",#N/A,TRUE,"general";"via3",#N/A,TRUE,"general"}</definedName>
    <definedName name="RTYRTY" localSheetId="19" hidden="1">{"via1",#N/A,TRUE,"general";"via2",#N/A,TRUE,"general";"via3",#N/A,TRUE,"general"}</definedName>
    <definedName name="RTYRTY" localSheetId="12"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4" hidden="1">{"via1",#N/A,TRUE,"general";"via2",#N/A,TRUE,"general";"via3",#N/A,TRUE,"general"}</definedName>
    <definedName name="RTYRTY" localSheetId="1" hidden="1">{"via1",#N/A,TRUE,"general";"via2",#N/A,TRUE,"general";"via3",#N/A,TRUE,"general"}</definedName>
    <definedName name="RTYRTY" localSheetId="14" hidden="1">{"via1",#N/A,TRUE,"general";"via2",#N/A,TRUE,"general";"via3",#N/A,TRUE,"general"}</definedName>
    <definedName name="RTYRTY" localSheetId="16" hidden="1">{"via1",#N/A,TRUE,"general";"via2",#N/A,TRUE,"general";"via3",#N/A,TRUE,"general"}</definedName>
    <definedName name="RTYRTY" localSheetId="18" hidden="1">{"via1",#N/A,TRUE,"general";"via2",#N/A,TRUE,"general";"via3",#N/A,TRUE,"general"}</definedName>
    <definedName name="RTYRTY" hidden="1">{"via1",#N/A,TRUE,"general";"via2",#N/A,TRUE,"general";"via3",#N/A,TRUE,"general"}</definedName>
    <definedName name="rtyt" localSheetId="15" hidden="1">{"TAB1",#N/A,TRUE,"GENERAL";"TAB2",#N/A,TRUE,"GENERAL";"TAB3",#N/A,TRUE,"GENERAL";"TAB4",#N/A,TRUE,"GENERAL";"TAB5",#N/A,TRUE,"GENERAL"}</definedName>
    <definedName name="rtyt" localSheetId="17" hidden="1">{"TAB1",#N/A,TRUE,"GENERAL";"TAB2",#N/A,TRUE,"GENERAL";"TAB3",#N/A,TRUE,"GENERAL";"TAB4",#N/A,TRUE,"GENERAL";"TAB5",#N/A,TRUE,"GENERAL"}</definedName>
    <definedName name="rtyt" localSheetId="19" hidden="1">{"TAB1",#N/A,TRUE,"GENERAL";"TAB2",#N/A,TRUE,"GENERAL";"TAB3",#N/A,TRUE,"GENERAL";"TAB4",#N/A,TRUE,"GENERAL";"TAB5",#N/A,TRUE,"GENERAL"}</definedName>
    <definedName name="rtyt" localSheetId="12"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4" hidden="1">{"TAB1",#N/A,TRUE,"GENERAL";"TAB2",#N/A,TRUE,"GENERAL";"TAB3",#N/A,TRUE,"GENERAL";"TAB4",#N/A,TRUE,"GENERAL";"TAB5",#N/A,TRUE,"GENERAL"}</definedName>
    <definedName name="rtyt" localSheetId="1" hidden="1">{"TAB1",#N/A,TRUE,"GENERAL";"TAB2",#N/A,TRUE,"GENERAL";"TAB3",#N/A,TRUE,"GENERAL";"TAB4",#N/A,TRUE,"GENERAL";"TAB5",#N/A,TRUE,"GENERAL"}</definedName>
    <definedName name="rtyt" localSheetId="14" hidden="1">{"TAB1",#N/A,TRUE,"GENERAL";"TAB2",#N/A,TRUE,"GENERAL";"TAB3",#N/A,TRUE,"GENERAL";"TAB4",#N/A,TRUE,"GENERAL";"TAB5",#N/A,TRUE,"GENERAL"}</definedName>
    <definedName name="rtyt" localSheetId="16" hidden="1">{"TAB1",#N/A,TRUE,"GENERAL";"TAB2",#N/A,TRUE,"GENERAL";"TAB3",#N/A,TRUE,"GENERAL";"TAB4",#N/A,TRUE,"GENERAL";"TAB5",#N/A,TRUE,"GENERAL"}</definedName>
    <definedName name="rtyt" localSheetId="18" hidden="1">{"TAB1",#N/A,TRUE,"GENERAL";"TAB2",#N/A,TRUE,"GENERAL";"TAB3",#N/A,TRUE,"GENERAL";"TAB4",#N/A,TRUE,"GENERAL";"TAB5",#N/A,TRUE,"GENERAL"}</definedName>
    <definedName name="rtyt" hidden="1">{"TAB1",#N/A,TRUE,"GENERAL";"TAB2",#N/A,TRUE,"GENERAL";"TAB3",#N/A,TRUE,"GENERAL";"TAB4",#N/A,TRUE,"GENERAL";"TAB5",#N/A,TRUE,"GENERAL"}</definedName>
    <definedName name="rtytry" localSheetId="15" hidden="1">{"via1",#N/A,TRUE,"general";"via2",#N/A,TRUE,"general";"via3",#N/A,TRUE,"general"}</definedName>
    <definedName name="rtytry" localSheetId="17" hidden="1">{"via1",#N/A,TRUE,"general";"via2",#N/A,TRUE,"general";"via3",#N/A,TRUE,"general"}</definedName>
    <definedName name="rtytry" localSheetId="19" hidden="1">{"via1",#N/A,TRUE,"general";"via2",#N/A,TRUE,"general";"via3",#N/A,TRUE,"general"}</definedName>
    <definedName name="rtytry" localSheetId="12"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4" hidden="1">{"via1",#N/A,TRUE,"general";"via2",#N/A,TRUE,"general";"via3",#N/A,TRUE,"general"}</definedName>
    <definedName name="rtytry" localSheetId="1" hidden="1">{"via1",#N/A,TRUE,"general";"via2",#N/A,TRUE,"general";"via3",#N/A,TRUE,"general"}</definedName>
    <definedName name="rtytry" localSheetId="14" hidden="1">{"via1",#N/A,TRUE,"general";"via2",#N/A,TRUE,"general";"via3",#N/A,TRUE,"general"}</definedName>
    <definedName name="rtytry" localSheetId="16" hidden="1">{"via1",#N/A,TRUE,"general";"via2",#N/A,TRUE,"general";"via3",#N/A,TRUE,"general"}</definedName>
    <definedName name="rtytry" localSheetId="18" hidden="1">{"via1",#N/A,TRUE,"general";"via2",#N/A,TRUE,"general";"via3",#N/A,TRUE,"general"}</definedName>
    <definedName name="rtytry" hidden="1">{"via1",#N/A,TRUE,"general";"via2",#N/A,TRUE,"general";"via3",#N/A,TRUE,"general"}</definedName>
    <definedName name="ruru" localSheetId="15" hidden="1">{"TAB1",#N/A,TRUE,"GENERAL";"TAB2",#N/A,TRUE,"GENERAL";"TAB3",#N/A,TRUE,"GENERAL";"TAB4",#N/A,TRUE,"GENERAL";"TAB5",#N/A,TRUE,"GENERAL"}</definedName>
    <definedName name="ruru" localSheetId="17" hidden="1">{"TAB1",#N/A,TRUE,"GENERAL";"TAB2",#N/A,TRUE,"GENERAL";"TAB3",#N/A,TRUE,"GENERAL";"TAB4",#N/A,TRUE,"GENERAL";"TAB5",#N/A,TRUE,"GENERAL"}</definedName>
    <definedName name="ruru" localSheetId="19" hidden="1">{"TAB1",#N/A,TRUE,"GENERAL";"TAB2",#N/A,TRUE,"GENERAL";"TAB3",#N/A,TRUE,"GENERAL";"TAB4",#N/A,TRUE,"GENERAL";"TAB5",#N/A,TRUE,"GENERAL"}</definedName>
    <definedName name="ruru" localSheetId="12"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4" hidden="1">{"TAB1",#N/A,TRUE,"GENERAL";"TAB2",#N/A,TRUE,"GENERAL";"TAB3",#N/A,TRUE,"GENERAL";"TAB4",#N/A,TRUE,"GENERAL";"TAB5",#N/A,TRUE,"GENERAL"}</definedName>
    <definedName name="ruru" localSheetId="1" hidden="1">{"TAB1",#N/A,TRUE,"GENERAL";"TAB2",#N/A,TRUE,"GENERAL";"TAB3",#N/A,TRUE,"GENERAL";"TAB4",#N/A,TRUE,"GENERAL";"TAB5",#N/A,TRUE,"GENERAL"}</definedName>
    <definedName name="ruru" localSheetId="14" hidden="1">{"TAB1",#N/A,TRUE,"GENERAL";"TAB2",#N/A,TRUE,"GENERAL";"TAB3",#N/A,TRUE,"GENERAL";"TAB4",#N/A,TRUE,"GENERAL";"TAB5",#N/A,TRUE,"GENERAL"}</definedName>
    <definedName name="ruru" localSheetId="16" hidden="1">{"TAB1",#N/A,TRUE,"GENERAL";"TAB2",#N/A,TRUE,"GENERAL";"TAB3",#N/A,TRUE,"GENERAL";"TAB4",#N/A,TRUE,"GENERAL";"TAB5",#N/A,TRUE,"GENERAL"}</definedName>
    <definedName name="ruru" localSheetId="18" hidden="1">{"TAB1",#N/A,TRUE,"GENERAL";"TAB2",#N/A,TRUE,"GENERAL";"TAB3",#N/A,TRUE,"GENERAL";"TAB4",#N/A,TRUE,"GENERAL";"TAB5",#N/A,TRUE,"GENERAL"}</definedName>
    <definedName name="ruru" hidden="1">{"TAB1",#N/A,TRUE,"GENERAL";"TAB2",#N/A,TRUE,"GENERAL";"TAB3",#N/A,TRUE,"GENERAL";"TAB4",#N/A,TRUE,"GENERAL";"TAB5",#N/A,TRUE,"GENERAL"}</definedName>
    <definedName name="rutu" localSheetId="15" hidden="1">{"via1",#N/A,TRUE,"general";"via2",#N/A,TRUE,"general";"via3",#N/A,TRUE,"general"}</definedName>
    <definedName name="rutu" localSheetId="17" hidden="1">{"via1",#N/A,TRUE,"general";"via2",#N/A,TRUE,"general";"via3",#N/A,TRUE,"general"}</definedName>
    <definedName name="rutu" localSheetId="19" hidden="1">{"via1",#N/A,TRUE,"general";"via2",#N/A,TRUE,"general";"via3",#N/A,TRUE,"general"}</definedName>
    <definedName name="rutu" localSheetId="12"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4" hidden="1">{"via1",#N/A,TRUE,"general";"via2",#N/A,TRUE,"general";"via3",#N/A,TRUE,"general"}</definedName>
    <definedName name="rutu" localSheetId="1" hidden="1">{"via1",#N/A,TRUE,"general";"via2",#N/A,TRUE,"general";"via3",#N/A,TRUE,"general"}</definedName>
    <definedName name="rutu" localSheetId="14" hidden="1">{"via1",#N/A,TRUE,"general";"via2",#N/A,TRUE,"general";"via3",#N/A,TRUE,"general"}</definedName>
    <definedName name="rutu" localSheetId="16" hidden="1">{"via1",#N/A,TRUE,"general";"via2",#N/A,TRUE,"general";"via3",#N/A,TRUE,"general"}</definedName>
    <definedName name="rutu" localSheetId="18" hidden="1">{"via1",#N/A,TRUE,"general";"via2",#N/A,TRUE,"general";"via3",#N/A,TRUE,"general"}</definedName>
    <definedName name="rutu" hidden="1">{"via1",#N/A,TRUE,"general";"via2",#N/A,TRUE,"general";"via3",#N/A,TRUE,"general"}</definedName>
    <definedName name="rwt" localSheetId="15" hidden="1">{"via1",#N/A,TRUE,"general";"via2",#N/A,TRUE,"general";"via3",#N/A,TRUE,"general"}</definedName>
    <definedName name="rwt" localSheetId="17" hidden="1">{"via1",#N/A,TRUE,"general";"via2",#N/A,TRUE,"general";"via3",#N/A,TRUE,"general"}</definedName>
    <definedName name="rwt" localSheetId="19" hidden="1">{"via1",#N/A,TRUE,"general";"via2",#N/A,TRUE,"general";"via3",#N/A,TRUE,"general"}</definedName>
    <definedName name="rwt" localSheetId="12"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4" hidden="1">{"via1",#N/A,TRUE,"general";"via2",#N/A,TRUE,"general";"via3",#N/A,TRUE,"general"}</definedName>
    <definedName name="rwt" localSheetId="1" hidden="1">{"via1",#N/A,TRUE,"general";"via2",#N/A,TRUE,"general";"via3",#N/A,TRUE,"general"}</definedName>
    <definedName name="rwt" localSheetId="14" hidden="1">{"via1",#N/A,TRUE,"general";"via2",#N/A,TRUE,"general";"via3",#N/A,TRUE,"general"}</definedName>
    <definedName name="rwt" localSheetId="16" hidden="1">{"via1",#N/A,TRUE,"general";"via2",#N/A,TRUE,"general";"via3",#N/A,TRUE,"general"}</definedName>
    <definedName name="rwt" localSheetId="18" hidden="1">{"via1",#N/A,TRUE,"general";"via2",#N/A,TRUE,"general";"via3",#N/A,TRUE,"general"}</definedName>
    <definedName name="rwt" hidden="1">{"via1",#N/A,TRUE,"general";"via2",#N/A,TRUE,"general";"via3",#N/A,TRUE,"general"}</definedName>
    <definedName name="ry" localSheetId="15" hidden="1">{"via1",#N/A,TRUE,"general";"via2",#N/A,TRUE,"general";"via3",#N/A,TRUE,"general"}</definedName>
    <definedName name="ry" localSheetId="17" hidden="1">{"via1",#N/A,TRUE,"general";"via2",#N/A,TRUE,"general";"via3",#N/A,TRUE,"general"}</definedName>
    <definedName name="ry" localSheetId="19" hidden="1">{"via1",#N/A,TRUE,"general";"via2",#N/A,TRUE,"general";"via3",#N/A,TRUE,"general"}</definedName>
    <definedName name="ry" localSheetId="12"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7"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4" hidden="1">{"via1",#N/A,TRUE,"general";"via2",#N/A,TRUE,"general";"via3",#N/A,TRUE,"general"}</definedName>
    <definedName name="ry" localSheetId="1" hidden="1">{"via1",#N/A,TRUE,"general";"via2",#N/A,TRUE,"general";"via3",#N/A,TRUE,"general"}</definedName>
    <definedName name="ry" localSheetId="14" hidden="1">{"via1",#N/A,TRUE,"general";"via2",#N/A,TRUE,"general";"via3",#N/A,TRUE,"general"}</definedName>
    <definedName name="ry" localSheetId="16" hidden="1">{"via1",#N/A,TRUE,"general";"via2",#N/A,TRUE,"general";"via3",#N/A,TRUE,"general"}</definedName>
    <definedName name="ry" localSheetId="18" hidden="1">{"via1",#N/A,TRUE,"general";"via2",#N/A,TRUE,"general";"via3",#N/A,TRUE,"general"}</definedName>
    <definedName name="ry" hidden="1">{"via1",#N/A,TRUE,"general";"via2",#N/A,TRUE,"general";"via3",#N/A,TRUE,"general"}</definedName>
    <definedName name="ryeryb" localSheetId="15"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8" hidden="1">{"TAB1",#N/A,TRUE,"GENERAL";"TAB2",#N/A,TRUE,"GENERAL";"TAB3",#N/A,TRUE,"GENERAL";"TAB4",#N/A,TRUE,"GENERAL";"TAB5",#N/A,TRUE,"GENERAL"}</definedName>
    <definedName name="ryeryb" hidden="1">{"TAB1",#N/A,TRUE,"GENERAL";"TAB2",#N/A,TRUE,"GENERAL";"TAB3",#N/A,TRUE,"GENERAL";"TAB4",#N/A,TRUE,"GENERAL";"TAB5",#N/A,TRUE,"GENERAL"}</definedName>
    <definedName name="rytrsdg" localSheetId="15" hidden="1">{"via1",#N/A,TRUE,"general";"via2",#N/A,TRUE,"general";"via3",#N/A,TRUE,"general"}</definedName>
    <definedName name="rytrsdg" localSheetId="17" hidden="1">{"via1",#N/A,TRUE,"general";"via2",#N/A,TRUE,"general";"via3",#N/A,TRUE,"general"}</definedName>
    <definedName name="rytrsdg" localSheetId="19" hidden="1">{"via1",#N/A,TRUE,"general";"via2",#N/A,TRUE,"general";"via3",#N/A,TRUE,"general"}</definedName>
    <definedName name="rytrsdg" localSheetId="12"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4" hidden="1">{"via1",#N/A,TRUE,"general";"via2",#N/A,TRUE,"general";"via3",#N/A,TRUE,"general"}</definedName>
    <definedName name="rytrsdg" localSheetId="1" hidden="1">{"via1",#N/A,TRUE,"general";"via2",#N/A,TRUE,"general";"via3",#N/A,TRUE,"general"}</definedName>
    <definedName name="rytrsdg" localSheetId="14" hidden="1">{"via1",#N/A,TRUE,"general";"via2",#N/A,TRUE,"general";"via3",#N/A,TRUE,"general"}</definedName>
    <definedName name="rytrsdg" localSheetId="16" hidden="1">{"via1",#N/A,TRUE,"general";"via2",#N/A,TRUE,"general";"via3",#N/A,TRUE,"general"}</definedName>
    <definedName name="rytrsdg" localSheetId="18" hidden="1">{"via1",#N/A,TRUE,"general";"via2",#N/A,TRUE,"general";"via3",#N/A,TRUE,"general"}</definedName>
    <definedName name="rytrsdg" hidden="1">{"via1",#N/A,TRUE,"general";"via2",#N/A,TRUE,"general";"via3",#N/A,TRUE,"general"}</definedName>
    <definedName name="s" localSheetId="12" hidden="1">{"via1",#N/A,TRUE,"general";"via2",#N/A,TRUE,"general";"via3",#N/A,TRUE,"general"}</definedName>
    <definedName name="s" localSheetId="8" hidden="1">{"via1",#N/A,TRUE,"general";"via2",#N/A,TRUE,"general";"via3",#N/A,TRUE,"general"}</definedName>
    <definedName name="s" localSheetId="9" hidden="1">{"via1",#N/A,TRUE,"general";"via2",#N/A,TRUE,"general";"via3",#N/A,TRUE,"general"}</definedName>
    <definedName name="s" localSheetId="7" hidden="1">{"via1",#N/A,TRUE,"general";"via2",#N/A,TRUE,"general";"via3",#N/A,TRUE,"general"}</definedName>
    <definedName name="s" localSheetId="10" hidden="1">{"via1",#N/A,TRUE,"general";"via2",#N/A,TRUE,"general";"via3",#N/A,TRUE,"general"}</definedName>
    <definedName name="s" localSheetId="1" hidden="1">{"via1",#N/A,TRUE,"general";"via2",#N/A,TRUE,"general";"via3",#N/A,TRUE,"general"}</definedName>
    <definedName name="s" hidden="1">{"via1",#N/A,TRUE,"general";"via2",#N/A,TRUE,"general";"via3",#N/A,TRUE,"general"}</definedName>
    <definedName name="saa" localSheetId="15" hidden="1">{"via1",#N/A,TRUE,"general";"via2",#N/A,TRUE,"general";"via3",#N/A,TRUE,"general"}</definedName>
    <definedName name="saa" localSheetId="17" hidden="1">{"via1",#N/A,TRUE,"general";"via2",#N/A,TRUE,"general";"via3",#N/A,TRUE,"general"}</definedName>
    <definedName name="saa" localSheetId="19" hidden="1">{"via1",#N/A,TRUE,"general";"via2",#N/A,TRUE,"general";"via3",#N/A,TRUE,"general"}</definedName>
    <definedName name="saa" localSheetId="12"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4" hidden="1">{"via1",#N/A,TRUE,"general";"via2",#N/A,TRUE,"general";"via3",#N/A,TRUE,"general"}</definedName>
    <definedName name="saa" localSheetId="1" hidden="1">{"via1",#N/A,TRUE,"general";"via2",#N/A,TRUE,"general";"via3",#N/A,TRUE,"general"}</definedName>
    <definedName name="saa" localSheetId="14" hidden="1">{"via1",#N/A,TRUE,"general";"via2",#N/A,TRUE,"general";"via3",#N/A,TRUE,"general"}</definedName>
    <definedName name="saa" localSheetId="16" hidden="1">{"via1",#N/A,TRUE,"general";"via2",#N/A,TRUE,"general";"via3",#N/A,TRUE,"general"}</definedName>
    <definedName name="saa" localSheetId="18" hidden="1">{"via1",#N/A,TRUE,"general";"via2",#N/A,TRUE,"general";"via3",#N/A,TRUE,"general"}</definedName>
    <definedName name="saa" hidden="1">{"via1",#N/A,TRUE,"general";"via2",#N/A,TRUE,"general";"via3",#N/A,TRUE,"general"}</definedName>
    <definedName name="SAD" localSheetId="15" hidden="1">{"via1",#N/A,TRUE,"general";"via2",#N/A,TRUE,"general";"via3",#N/A,TRUE,"general"}</definedName>
    <definedName name="SAD" localSheetId="17" hidden="1">{"via1",#N/A,TRUE,"general";"via2",#N/A,TRUE,"general";"via3",#N/A,TRUE,"general"}</definedName>
    <definedName name="SAD" localSheetId="19" hidden="1">{"via1",#N/A,TRUE,"general";"via2",#N/A,TRUE,"general";"via3",#N/A,TRUE,"general"}</definedName>
    <definedName name="SAD" localSheetId="12"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4" hidden="1">{"via1",#N/A,TRUE,"general";"via2",#N/A,TRUE,"general";"via3",#N/A,TRUE,"general"}</definedName>
    <definedName name="SAD" localSheetId="1" hidden="1">{"via1",#N/A,TRUE,"general";"via2",#N/A,TRUE,"general";"via3",#N/A,TRUE,"general"}</definedName>
    <definedName name="SAD" localSheetId="14" hidden="1">{"via1",#N/A,TRUE,"general";"via2",#N/A,TRUE,"general";"via3",#N/A,TRUE,"general"}</definedName>
    <definedName name="SAD" localSheetId="16" hidden="1">{"via1",#N/A,TRUE,"general";"via2",#N/A,TRUE,"general";"via3",#N/A,TRUE,"general"}</definedName>
    <definedName name="SAD" localSheetId="18" hidden="1">{"via1",#N/A,TRUE,"general";"via2",#N/A,TRUE,"general";"via3",#N/A,TRUE,"general"}</definedName>
    <definedName name="SAD" hidden="1">{"via1",#N/A,TRUE,"general";"via2",#N/A,TRUE,"general";"via3",#N/A,TRUE,"general"}</definedName>
    <definedName name="SADF" localSheetId="15" hidden="1">{"via1",#N/A,TRUE,"general";"via2",#N/A,TRUE,"general";"via3",#N/A,TRUE,"general"}</definedName>
    <definedName name="SADF" localSheetId="17" hidden="1">{"via1",#N/A,TRUE,"general";"via2",#N/A,TRUE,"general";"via3",#N/A,TRUE,"general"}</definedName>
    <definedName name="SADF" localSheetId="19" hidden="1">{"via1",#N/A,TRUE,"general";"via2",#N/A,TRUE,"general";"via3",#N/A,TRUE,"general"}</definedName>
    <definedName name="SADF" localSheetId="12"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4" hidden="1">{"via1",#N/A,TRUE,"general";"via2",#N/A,TRUE,"general";"via3",#N/A,TRUE,"general"}</definedName>
    <definedName name="SADF" localSheetId="1" hidden="1">{"via1",#N/A,TRUE,"general";"via2",#N/A,TRUE,"general";"via3",#N/A,TRUE,"general"}</definedName>
    <definedName name="SADF" localSheetId="14" hidden="1">{"via1",#N/A,TRUE,"general";"via2",#N/A,TRUE,"general";"via3",#N/A,TRUE,"general"}</definedName>
    <definedName name="SADF" localSheetId="16" hidden="1">{"via1",#N/A,TRUE,"general";"via2",#N/A,TRUE,"general";"via3",#N/A,TRUE,"general"}</definedName>
    <definedName name="SADF" localSheetId="18" hidden="1">{"via1",#N/A,TRUE,"general";"via2",#N/A,TRUE,"general";"via3",#N/A,TRUE,"general"}</definedName>
    <definedName name="SADF" hidden="1">{"via1",#N/A,TRUE,"general";"via2",#N/A,TRUE,"general";"via3",#N/A,TRUE,"general"}</definedName>
    <definedName name="sadff" localSheetId="15"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4" hidden="1">{"TAB1",#N/A,TRUE,"GENERAL";"TAB2",#N/A,TRUE,"GENERAL";"TAB3",#N/A,TRUE,"GENERAL";"TAB4",#N/A,TRUE,"GENERAL";"TAB5",#N/A,TRUE,"GENERAL"}</definedName>
    <definedName name="sadff" localSheetId="1"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8" hidden="1">{"TAB1",#N/A,TRUE,"GENERAL";"TAB2",#N/A,TRUE,"GENERAL";"TAB3",#N/A,TRUE,"GENERAL";"TAB4",#N/A,TRUE,"GENERAL";"TAB5",#N/A,TRUE,"GENERAL"}</definedName>
    <definedName name="sadff" hidden="1">{"TAB1",#N/A,TRUE,"GENERAL";"TAB2",#N/A,TRUE,"GENERAL";"TAB3",#N/A,TRUE,"GENERAL";"TAB4",#N/A,TRUE,"GENERAL";"TAB5",#N/A,TRUE,"GENERAL"}</definedName>
    <definedName name="sadfo" localSheetId="15" hidden="1">{"via1",#N/A,TRUE,"general";"via2",#N/A,TRUE,"general";"via3",#N/A,TRUE,"general"}</definedName>
    <definedName name="sadfo" localSheetId="17" hidden="1">{"via1",#N/A,TRUE,"general";"via2",#N/A,TRUE,"general";"via3",#N/A,TRUE,"general"}</definedName>
    <definedName name="sadfo" localSheetId="19" hidden="1">{"via1",#N/A,TRUE,"general";"via2",#N/A,TRUE,"general";"via3",#N/A,TRUE,"general"}</definedName>
    <definedName name="sadfo" localSheetId="12"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4" hidden="1">{"via1",#N/A,TRUE,"general";"via2",#N/A,TRUE,"general";"via3",#N/A,TRUE,"general"}</definedName>
    <definedName name="sadfo" localSheetId="1" hidden="1">{"via1",#N/A,TRUE,"general";"via2",#N/A,TRUE,"general";"via3",#N/A,TRUE,"general"}</definedName>
    <definedName name="sadfo" localSheetId="14" hidden="1">{"via1",#N/A,TRUE,"general";"via2",#N/A,TRUE,"general";"via3",#N/A,TRUE,"general"}</definedName>
    <definedName name="sadfo" localSheetId="16" hidden="1">{"via1",#N/A,TRUE,"general";"via2",#N/A,TRUE,"general";"via3",#N/A,TRUE,"general"}</definedName>
    <definedName name="sadfo" localSheetId="18" hidden="1">{"via1",#N/A,TRUE,"general";"via2",#N/A,TRUE,"general";"via3",#N/A,TRUE,"general"}</definedName>
    <definedName name="sadfo" hidden="1">{"via1",#N/A,TRUE,"general";"via2",#N/A,TRUE,"general";"via3",#N/A,TRUE,"general"}</definedName>
    <definedName name="safdp" localSheetId="15"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4" hidden="1">{"TAB1",#N/A,TRUE,"GENERAL";"TAB2",#N/A,TRUE,"GENERAL";"TAB3",#N/A,TRUE,"GENERAL";"TAB4",#N/A,TRUE,"GENERAL";"TAB5",#N/A,TRUE,"GENERAL"}</definedName>
    <definedName name="safdp" localSheetId="1"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8" hidden="1">{"TAB1",#N/A,TRUE,"GENERAL";"TAB2",#N/A,TRUE,"GENERAL";"TAB3",#N/A,TRUE,"GENERAL";"TAB4",#N/A,TRUE,"GENERAL";"TAB5",#N/A,TRUE,"GENERAL"}</definedName>
    <definedName name="safdp" hidden="1">{"TAB1",#N/A,TRUE,"GENERAL";"TAB2",#N/A,TRUE,"GENERAL";"TAB3",#N/A,TRUE,"GENERAL";"TAB4",#N/A,TRUE,"GENERAL";"TAB5",#N/A,TRUE,"GENERAL"}</definedName>
    <definedName name="sbgfbgdr" localSheetId="15" hidden="1">{"via1",#N/A,TRUE,"general";"via2",#N/A,TRUE,"general";"via3",#N/A,TRUE,"general"}</definedName>
    <definedName name="sbgfbgdr" localSheetId="17" hidden="1">{"via1",#N/A,TRUE,"general";"via2",#N/A,TRUE,"general";"via3",#N/A,TRUE,"general"}</definedName>
    <definedName name="sbgfbgdr" localSheetId="19" hidden="1">{"via1",#N/A,TRUE,"general";"via2",#N/A,TRUE,"general";"via3",#N/A,TRUE,"general"}</definedName>
    <definedName name="sbgfbgdr" localSheetId="12"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4" hidden="1">{"via1",#N/A,TRUE,"general";"via2",#N/A,TRUE,"general";"via3",#N/A,TRUE,"general"}</definedName>
    <definedName name="sbgfbgdr" localSheetId="1" hidden="1">{"via1",#N/A,TRUE,"general";"via2",#N/A,TRUE,"general";"via3",#N/A,TRUE,"general"}</definedName>
    <definedName name="sbgfbgdr" localSheetId="14" hidden="1">{"via1",#N/A,TRUE,"general";"via2",#N/A,TRUE,"general";"via3",#N/A,TRUE,"general"}</definedName>
    <definedName name="sbgfbgdr" localSheetId="16" hidden="1">{"via1",#N/A,TRUE,"general";"via2",#N/A,TRUE,"general";"via3",#N/A,TRUE,"general"}</definedName>
    <definedName name="sbgfbgdr" localSheetId="18" hidden="1">{"via1",#N/A,TRUE,"general";"via2",#N/A,TRUE,"general";"via3",#N/A,TRUE,"general"}</definedName>
    <definedName name="sbgfbgdr" hidden="1">{"via1",#N/A,TRUE,"general";"via2",#N/A,TRUE,"general";"via3",#N/A,TRUE,"general"}</definedName>
    <definedName name="sd" localSheetId="15" hidden="1">{"TAB1",#N/A,TRUE,"GENERAL";"TAB2",#N/A,TRUE,"GENERAL";"TAB3",#N/A,TRUE,"GENERAL";"TAB4",#N/A,TRUE,"GENERAL";"TAB5",#N/A,TRUE,"GENERAL"}</definedName>
    <definedName name="sd" localSheetId="17" hidden="1">{"TAB1",#N/A,TRUE,"GENERAL";"TAB2",#N/A,TRUE,"GENERAL";"TAB3",#N/A,TRUE,"GENERAL";"TAB4",#N/A,TRUE,"GENERAL";"TAB5",#N/A,TRUE,"GENERAL"}</definedName>
    <definedName name="sd" localSheetId="19" hidden="1">{"TAB1",#N/A,TRUE,"GENERAL";"TAB2",#N/A,TRUE,"GENERAL";"TAB3",#N/A,TRUE,"GENERAL";"TAB4",#N/A,TRUE,"GENERAL";"TAB5",#N/A,TRUE,"GENERAL"}</definedName>
    <definedName name="sd" localSheetId="12"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7"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4" hidden="1">{"TAB1",#N/A,TRUE,"GENERAL";"TAB2",#N/A,TRUE,"GENERAL";"TAB3",#N/A,TRUE,"GENERAL";"TAB4",#N/A,TRUE,"GENERAL";"TAB5",#N/A,TRUE,"GENERAL"}</definedName>
    <definedName name="sd" localSheetId="1" hidden="1">{"TAB1",#N/A,TRUE,"GENERAL";"TAB2",#N/A,TRUE,"GENERAL";"TAB3",#N/A,TRUE,"GENERAL";"TAB4",#N/A,TRUE,"GENERAL";"TAB5",#N/A,TRUE,"GENERAL"}</definedName>
    <definedName name="sd" localSheetId="14" hidden="1">{"TAB1",#N/A,TRUE,"GENERAL";"TAB2",#N/A,TRUE,"GENERAL";"TAB3",#N/A,TRUE,"GENERAL";"TAB4",#N/A,TRUE,"GENERAL";"TAB5",#N/A,TRUE,"GENERAL"}</definedName>
    <definedName name="sd" localSheetId="16" hidden="1">{"TAB1",#N/A,TRUE,"GENERAL";"TAB2",#N/A,TRUE,"GENERAL";"TAB3",#N/A,TRUE,"GENERAL";"TAB4",#N/A,TRUE,"GENERAL";"TAB5",#N/A,TRUE,"GENERAL"}</definedName>
    <definedName name="sd" localSheetId="18" hidden="1">{"TAB1",#N/A,TRUE,"GENERAL";"TAB2",#N/A,TRUE,"GENERAL";"TAB3",#N/A,TRUE,"GENERAL";"TAB4",#N/A,TRUE,"GENERAL";"TAB5",#N/A,TRUE,"GENERAL"}</definedName>
    <definedName name="sd" hidden="1">{"TAB1",#N/A,TRUE,"GENERAL";"TAB2",#N/A,TRUE,"GENERAL";"TAB3",#N/A,TRUE,"GENERAL";"TAB4",#N/A,TRUE,"GENERAL";"TAB5",#N/A,TRUE,"GENERAL"}</definedName>
    <definedName name="sdaf" localSheetId="15" hidden="1">{"via1",#N/A,TRUE,"general";"via2",#N/A,TRUE,"general";"via3",#N/A,TRUE,"general"}</definedName>
    <definedName name="sdaf" localSheetId="17" hidden="1">{"via1",#N/A,TRUE,"general";"via2",#N/A,TRUE,"general";"via3",#N/A,TRUE,"general"}</definedName>
    <definedName name="sdaf" localSheetId="19" hidden="1">{"via1",#N/A,TRUE,"general";"via2",#N/A,TRUE,"general";"via3",#N/A,TRUE,"general"}</definedName>
    <definedName name="sdaf" localSheetId="12"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4" hidden="1">{"via1",#N/A,TRUE,"general";"via2",#N/A,TRUE,"general";"via3",#N/A,TRUE,"general"}</definedName>
    <definedName name="sdaf" localSheetId="1" hidden="1">{"via1",#N/A,TRUE,"general";"via2",#N/A,TRUE,"general";"via3",#N/A,TRUE,"general"}</definedName>
    <definedName name="sdaf" localSheetId="14" hidden="1">{"via1",#N/A,TRUE,"general";"via2",#N/A,TRUE,"general";"via3",#N/A,TRUE,"general"}</definedName>
    <definedName name="sdaf" localSheetId="16" hidden="1">{"via1",#N/A,TRUE,"general";"via2",#N/A,TRUE,"general";"via3",#N/A,TRUE,"general"}</definedName>
    <definedName name="sdaf" localSheetId="18" hidden="1">{"via1",#N/A,TRUE,"general";"via2",#N/A,TRUE,"general";"via3",#N/A,TRUE,"general"}</definedName>
    <definedName name="sdaf" hidden="1">{"via1",#N/A,TRUE,"general";"via2",#N/A,TRUE,"general";"via3",#N/A,TRUE,"general"}</definedName>
    <definedName name="sdas" localSheetId="15" hidden="1">{"via1",#N/A,TRUE,"general";"via2",#N/A,TRUE,"general";"via3",#N/A,TRUE,"general"}</definedName>
    <definedName name="sdas" localSheetId="17" hidden="1">{"via1",#N/A,TRUE,"general";"via2",#N/A,TRUE,"general";"via3",#N/A,TRUE,"general"}</definedName>
    <definedName name="sdas" localSheetId="19" hidden="1">{"via1",#N/A,TRUE,"general";"via2",#N/A,TRUE,"general";"via3",#N/A,TRUE,"general"}</definedName>
    <definedName name="sdas" localSheetId="12"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4" hidden="1">{"via1",#N/A,TRUE,"general";"via2",#N/A,TRUE,"general";"via3",#N/A,TRUE,"general"}</definedName>
    <definedName name="sdas" localSheetId="1" hidden="1">{"via1",#N/A,TRUE,"general";"via2",#N/A,TRUE,"general";"via3",#N/A,TRUE,"general"}</definedName>
    <definedName name="sdas" localSheetId="14" hidden="1">{"via1",#N/A,TRUE,"general";"via2",#N/A,TRUE,"general";"via3",#N/A,TRUE,"general"}</definedName>
    <definedName name="sdas" localSheetId="16" hidden="1">{"via1",#N/A,TRUE,"general";"via2",#N/A,TRUE,"general";"via3",#N/A,TRUE,"general"}</definedName>
    <definedName name="sdas" localSheetId="18" hidden="1">{"via1",#N/A,TRUE,"general";"via2",#N/A,TRUE,"general";"via3",#N/A,TRUE,"general"}</definedName>
    <definedName name="sdas" hidden="1">{"via1",#N/A,TRUE,"general";"via2",#N/A,TRUE,"general";"via3",#N/A,TRUE,"general"}</definedName>
    <definedName name="sdasdf" localSheetId="15" hidden="1">{"via1",#N/A,TRUE,"general";"via2",#N/A,TRUE,"general";"via3",#N/A,TRUE,"general"}</definedName>
    <definedName name="sdasdf" localSheetId="17" hidden="1">{"via1",#N/A,TRUE,"general";"via2",#N/A,TRUE,"general";"via3",#N/A,TRUE,"general"}</definedName>
    <definedName name="sdasdf" localSheetId="19" hidden="1">{"via1",#N/A,TRUE,"general";"via2",#N/A,TRUE,"general";"via3",#N/A,TRUE,"general"}</definedName>
    <definedName name="sdasdf" localSheetId="12"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4" hidden="1">{"via1",#N/A,TRUE,"general";"via2",#N/A,TRUE,"general";"via3",#N/A,TRUE,"general"}</definedName>
    <definedName name="sdasdf" localSheetId="1" hidden="1">{"via1",#N/A,TRUE,"general";"via2",#N/A,TRUE,"general";"via3",#N/A,TRUE,"general"}</definedName>
    <definedName name="sdasdf" localSheetId="14" hidden="1">{"via1",#N/A,TRUE,"general";"via2",#N/A,TRUE,"general";"via3",#N/A,TRUE,"general"}</definedName>
    <definedName name="sdasdf" localSheetId="16" hidden="1">{"via1",#N/A,TRUE,"general";"via2",#N/A,TRUE,"general";"via3",#N/A,TRUE,"general"}</definedName>
    <definedName name="sdasdf" localSheetId="18" hidden="1">{"via1",#N/A,TRUE,"general";"via2",#N/A,TRUE,"general";"via3",#N/A,TRUE,"general"}</definedName>
    <definedName name="sdasdf" hidden="1">{"via1",#N/A,TRUE,"general";"via2",#N/A,TRUE,"general";"via3",#N/A,TRUE,"general"}</definedName>
    <definedName name="SDCDSCT" localSheetId="15"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8" hidden="1">{"TAB1",#N/A,TRUE,"GENERAL";"TAB2",#N/A,TRUE,"GENERAL";"TAB3",#N/A,TRUE,"GENERAL";"TAB4",#N/A,TRUE,"GENERAL";"TAB5",#N/A,TRUE,"GENERAL"}</definedName>
    <definedName name="SDCDSCT" hidden="1">{"TAB1",#N/A,TRUE,"GENERAL";"TAB2",#N/A,TRUE,"GENERAL";"TAB3",#N/A,TRUE,"GENERAL";"TAB4",#N/A,TRUE,"GENERAL";"TAB5",#N/A,TRUE,"GENERAL"}</definedName>
    <definedName name="SDDSAFF" localSheetId="12" hidden="1">{#N/A,#N/A,TRUE,"1842CWN0"}</definedName>
    <definedName name="SDDSAFF" localSheetId="8" hidden="1">{#N/A,#N/A,TRUE,"1842CWN0"}</definedName>
    <definedName name="SDDSAFF" localSheetId="9" hidden="1">{#N/A,#N/A,TRUE,"1842CWN0"}</definedName>
    <definedName name="SDDSAFF" localSheetId="7" hidden="1">{#N/A,#N/A,TRUE,"1842CWN0"}</definedName>
    <definedName name="SDDSAFF" localSheetId="10" hidden="1">{#N/A,#N/A,TRUE,"1842CWN0"}</definedName>
    <definedName name="SDDSAFF" localSheetId="1" hidden="1">{#N/A,#N/A,TRUE,"1842CWN0"}</definedName>
    <definedName name="SDDSAFF" hidden="1">{#N/A,#N/A,TRUE,"1842CWN0"}</definedName>
    <definedName name="SDFCE" localSheetId="15"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4" hidden="1">{"TAB1",#N/A,TRUE,"GENERAL";"TAB2",#N/A,TRUE,"GENERAL";"TAB3",#N/A,TRUE,"GENERAL";"TAB4",#N/A,TRUE,"GENERAL";"TAB5",#N/A,TRUE,"GENERAL"}</definedName>
    <definedName name="SDFCE" localSheetId="1"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8" hidden="1">{"TAB1",#N/A,TRUE,"GENERAL";"TAB2",#N/A,TRUE,"GENERAL";"TAB3",#N/A,TRUE,"GENERAL";"TAB4",#N/A,TRUE,"GENERAL";"TAB5",#N/A,TRUE,"GENERAL"}</definedName>
    <definedName name="SDFCE" hidden="1">{"TAB1",#N/A,TRUE,"GENERAL";"TAB2",#N/A,TRUE,"GENERAL";"TAB3",#N/A,TRUE,"GENERAL";"TAB4",#N/A,TRUE,"GENERAL";"TAB5",#N/A,TRUE,"GENERAL"}</definedName>
    <definedName name="sdfd" localSheetId="15" hidden="1">{"via1",#N/A,TRUE,"general";"via2",#N/A,TRUE,"general";"via3",#N/A,TRUE,"general"}</definedName>
    <definedName name="sdfd" localSheetId="17" hidden="1">{"via1",#N/A,TRUE,"general";"via2",#N/A,TRUE,"general";"via3",#N/A,TRUE,"general"}</definedName>
    <definedName name="sdfd" localSheetId="19" hidden="1">{"via1",#N/A,TRUE,"general";"via2",#N/A,TRUE,"general";"via3",#N/A,TRUE,"general"}</definedName>
    <definedName name="sdfd" localSheetId="12"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4" hidden="1">{"via1",#N/A,TRUE,"general";"via2",#N/A,TRUE,"general";"via3",#N/A,TRUE,"general"}</definedName>
    <definedName name="sdfd" localSheetId="1" hidden="1">{"via1",#N/A,TRUE,"general";"via2",#N/A,TRUE,"general";"via3",#N/A,TRUE,"general"}</definedName>
    <definedName name="sdfd" localSheetId="14" hidden="1">{"via1",#N/A,TRUE,"general";"via2",#N/A,TRUE,"general";"via3",#N/A,TRUE,"general"}</definedName>
    <definedName name="sdfd" localSheetId="16" hidden="1">{"via1",#N/A,TRUE,"general";"via2",#N/A,TRUE,"general";"via3",#N/A,TRUE,"general"}</definedName>
    <definedName name="sdfd" localSheetId="18" hidden="1">{"via1",#N/A,TRUE,"general";"via2",#N/A,TRUE,"general";"via3",#N/A,TRUE,"general"}</definedName>
    <definedName name="sdfd" hidden="1">{"via1",#N/A,TRUE,"general";"via2",#N/A,TRUE,"general";"via3",#N/A,TRUE,"general"}</definedName>
    <definedName name="SDFDG" localSheetId="12" hidden="1">{#N/A,#N/A,TRUE,"1842CWN0"}</definedName>
    <definedName name="SDFDG" localSheetId="8" hidden="1">{#N/A,#N/A,TRUE,"1842CWN0"}</definedName>
    <definedName name="SDFDG" localSheetId="9" hidden="1">{#N/A,#N/A,TRUE,"1842CWN0"}</definedName>
    <definedName name="SDFDG" localSheetId="7" hidden="1">{#N/A,#N/A,TRUE,"1842CWN0"}</definedName>
    <definedName name="SDFDG" localSheetId="10" hidden="1">{#N/A,#N/A,TRUE,"1842CWN0"}</definedName>
    <definedName name="SDFDG" localSheetId="1" hidden="1">{#N/A,#N/A,TRUE,"1842CWN0"}</definedName>
    <definedName name="SDFDG" hidden="1">{#N/A,#N/A,TRUE,"1842CWN0"}</definedName>
    <definedName name="sdfds" localSheetId="15" hidden="1">{"via1",#N/A,TRUE,"general";"via2",#N/A,TRUE,"general";"via3",#N/A,TRUE,"general"}</definedName>
    <definedName name="sdfds" localSheetId="17" hidden="1">{"via1",#N/A,TRUE,"general";"via2",#N/A,TRUE,"general";"via3",#N/A,TRUE,"general"}</definedName>
    <definedName name="sdfds" localSheetId="19" hidden="1">{"via1",#N/A,TRUE,"general";"via2",#N/A,TRUE,"general";"via3",#N/A,TRUE,"general"}</definedName>
    <definedName name="sdfds" localSheetId="12"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4" hidden="1">{"via1",#N/A,TRUE,"general";"via2",#N/A,TRUE,"general";"via3",#N/A,TRUE,"general"}</definedName>
    <definedName name="sdfds" localSheetId="1" hidden="1">{"via1",#N/A,TRUE,"general";"via2",#N/A,TRUE,"general";"via3",#N/A,TRUE,"general"}</definedName>
    <definedName name="sdfds" localSheetId="14" hidden="1">{"via1",#N/A,TRUE,"general";"via2",#N/A,TRUE,"general";"via3",#N/A,TRUE,"general"}</definedName>
    <definedName name="sdfds" localSheetId="16" hidden="1">{"via1",#N/A,TRUE,"general";"via2",#N/A,TRUE,"general";"via3",#N/A,TRUE,"general"}</definedName>
    <definedName name="sdfds" localSheetId="18" hidden="1">{"via1",#N/A,TRUE,"general";"via2",#N/A,TRUE,"general";"via3",#N/A,TRUE,"general"}</definedName>
    <definedName name="sdfds" hidden="1">{"via1",#N/A,TRUE,"general";"via2",#N/A,TRUE,"general";"via3",#N/A,TRUE,"general"}</definedName>
    <definedName name="SDFDSO" localSheetId="15" hidden="1">{"via1",#N/A,TRUE,"general";"via2",#N/A,TRUE,"general";"via3",#N/A,TRUE,"general"}</definedName>
    <definedName name="SDFDSO" localSheetId="17" hidden="1">{"via1",#N/A,TRUE,"general";"via2",#N/A,TRUE,"general";"via3",#N/A,TRUE,"general"}</definedName>
    <definedName name="SDFDSO" localSheetId="19" hidden="1">{"via1",#N/A,TRUE,"general";"via2",#N/A,TRUE,"general";"via3",#N/A,TRUE,"general"}</definedName>
    <definedName name="SDFDSO" localSheetId="12"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4" hidden="1">{"via1",#N/A,TRUE,"general";"via2",#N/A,TRUE,"general";"via3",#N/A,TRUE,"general"}</definedName>
    <definedName name="SDFDSO" localSheetId="1" hidden="1">{"via1",#N/A,TRUE,"general";"via2",#N/A,TRUE,"general";"via3",#N/A,TRUE,"general"}</definedName>
    <definedName name="SDFDSO" localSheetId="14" hidden="1">{"via1",#N/A,TRUE,"general";"via2",#N/A,TRUE,"general";"via3",#N/A,TRUE,"general"}</definedName>
    <definedName name="SDFDSO" localSheetId="16" hidden="1">{"via1",#N/A,TRUE,"general";"via2",#N/A,TRUE,"general";"via3",#N/A,TRUE,"general"}</definedName>
    <definedName name="SDFDSO" localSheetId="18" hidden="1">{"via1",#N/A,TRUE,"general";"via2",#N/A,TRUE,"general";"via3",#N/A,TRUE,"general"}</definedName>
    <definedName name="SDFDSO" hidden="1">{"via1",#N/A,TRUE,"general";"via2",#N/A,TRUE,"general";"via3",#N/A,TRUE,"general"}</definedName>
    <definedName name="sdfdstp" localSheetId="15"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8" hidden="1">{"TAB1",#N/A,TRUE,"GENERAL";"TAB2",#N/A,TRUE,"GENERAL";"TAB3",#N/A,TRUE,"GENERAL";"TAB4",#N/A,TRUE,"GENERAL";"TAB5",#N/A,TRUE,"GENERAL"}</definedName>
    <definedName name="sdfdstp" hidden="1">{"TAB1",#N/A,TRUE,"GENERAL";"TAB2",#N/A,TRUE,"GENERAL";"TAB3",#N/A,TRUE,"GENERAL";"TAB4",#N/A,TRUE,"GENERAL";"TAB5",#N/A,TRUE,"GENERAL"}</definedName>
    <definedName name="SDFEO" localSheetId="15" hidden="1">{"via1",#N/A,TRUE,"general";"via2",#N/A,TRUE,"general";"via3",#N/A,TRUE,"general"}</definedName>
    <definedName name="SDFEO" localSheetId="17" hidden="1">{"via1",#N/A,TRUE,"general";"via2",#N/A,TRUE,"general";"via3",#N/A,TRUE,"general"}</definedName>
    <definedName name="SDFEO" localSheetId="19" hidden="1">{"via1",#N/A,TRUE,"general";"via2",#N/A,TRUE,"general";"via3",#N/A,TRUE,"general"}</definedName>
    <definedName name="SDFEO" localSheetId="12"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4" hidden="1">{"via1",#N/A,TRUE,"general";"via2",#N/A,TRUE,"general";"via3",#N/A,TRUE,"general"}</definedName>
    <definedName name="SDFEO" localSheetId="1" hidden="1">{"via1",#N/A,TRUE,"general";"via2",#N/A,TRUE,"general";"via3",#N/A,TRUE,"general"}</definedName>
    <definedName name="SDFEO" localSheetId="14" hidden="1">{"via1",#N/A,TRUE,"general";"via2",#N/A,TRUE,"general";"via3",#N/A,TRUE,"general"}</definedName>
    <definedName name="SDFEO" localSheetId="16" hidden="1">{"via1",#N/A,TRUE,"general";"via2",#N/A,TRUE,"general";"via3",#N/A,TRUE,"general"}</definedName>
    <definedName name="SDFEO" localSheetId="18" hidden="1">{"via1",#N/A,TRUE,"general";"via2",#N/A,TRUE,"general";"via3",#N/A,TRUE,"general"}</definedName>
    <definedName name="SDFEO" hidden="1">{"via1",#N/A,TRUE,"general";"via2",#N/A,TRUE,"general";"via3",#N/A,TRUE,"general"}</definedName>
    <definedName name="sdfg" localSheetId="15" hidden="1">{"TAB1",#N/A,TRUE,"GENERAL";"TAB2",#N/A,TRUE,"GENERAL";"TAB3",#N/A,TRUE,"GENERAL";"TAB4",#N/A,TRUE,"GENERAL";"TAB5",#N/A,TRUE,"GENERAL"}</definedName>
    <definedName name="sdfg" localSheetId="17" hidden="1">{"TAB1",#N/A,TRUE,"GENERAL";"TAB2",#N/A,TRUE,"GENERAL";"TAB3",#N/A,TRUE,"GENERAL";"TAB4",#N/A,TRUE,"GENERAL";"TAB5",#N/A,TRUE,"GENERAL"}</definedName>
    <definedName name="sdfg" localSheetId="19" hidden="1">{"TAB1",#N/A,TRUE,"GENERAL";"TAB2",#N/A,TRUE,"GENERAL";"TAB3",#N/A,TRUE,"GENERAL";"TAB4",#N/A,TRUE,"GENERAL";"TAB5",#N/A,TRUE,"GENERAL"}</definedName>
    <definedName name="sdfg" localSheetId="12"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7"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4" hidden="1">{"TAB1",#N/A,TRUE,"GENERAL";"TAB2",#N/A,TRUE,"GENERAL";"TAB3",#N/A,TRUE,"GENERAL";"TAB4",#N/A,TRUE,"GENERAL";"TAB5",#N/A,TRUE,"GENERAL"}</definedName>
    <definedName name="sdfg" localSheetId="1" hidden="1">{"TAB1",#N/A,TRUE,"GENERAL";"TAB2",#N/A,TRUE,"GENERAL";"TAB3",#N/A,TRUE,"GENERAL";"TAB4",#N/A,TRUE,"GENERAL";"TAB5",#N/A,TRUE,"GENERAL"}</definedName>
    <definedName name="sdfg" localSheetId="14" hidden="1">{"TAB1",#N/A,TRUE,"GENERAL";"TAB2",#N/A,TRUE,"GENERAL";"TAB3",#N/A,TRUE,"GENERAL";"TAB4",#N/A,TRUE,"GENERAL";"TAB5",#N/A,TRUE,"GENERAL"}</definedName>
    <definedName name="sdfg" localSheetId="16" hidden="1">{"TAB1",#N/A,TRUE,"GENERAL";"TAB2",#N/A,TRUE,"GENERAL";"TAB3",#N/A,TRUE,"GENERAL";"TAB4",#N/A,TRUE,"GENERAL";"TAB5",#N/A,TRUE,"GENERAL"}</definedName>
    <definedName name="sdfg" localSheetId="18" hidden="1">{"TAB1",#N/A,TRUE,"GENERAL";"TAB2",#N/A,TRUE,"GENERAL";"TAB3",#N/A,TRUE,"GENERAL";"TAB4",#N/A,TRUE,"GENERAL";"TAB5",#N/A,TRUE,"GENERAL"}</definedName>
    <definedName name="sdfg" hidden="1">{"TAB1",#N/A,TRUE,"GENERAL";"TAB2",#N/A,TRUE,"GENERAL";"TAB3",#N/A,TRUE,"GENERAL";"TAB4",#N/A,TRUE,"GENERAL";"TAB5",#N/A,TRUE,"GENERAL"}</definedName>
    <definedName name="sdfgdsfk" localSheetId="15" hidden="1">{"via1",#N/A,TRUE,"general";"via2",#N/A,TRUE,"general";"via3",#N/A,TRUE,"general"}</definedName>
    <definedName name="sdfgdsfk" localSheetId="17" hidden="1">{"via1",#N/A,TRUE,"general";"via2",#N/A,TRUE,"general";"via3",#N/A,TRUE,"general"}</definedName>
    <definedName name="sdfgdsfk" localSheetId="19" hidden="1">{"via1",#N/A,TRUE,"general";"via2",#N/A,TRUE,"general";"via3",#N/A,TRUE,"general"}</definedName>
    <definedName name="sdfgdsfk" localSheetId="12"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4" hidden="1">{"via1",#N/A,TRUE,"general";"via2",#N/A,TRUE,"general";"via3",#N/A,TRUE,"general"}</definedName>
    <definedName name="sdfgdsfk" localSheetId="1" hidden="1">{"via1",#N/A,TRUE,"general";"via2",#N/A,TRUE,"general";"via3",#N/A,TRUE,"general"}</definedName>
    <definedName name="sdfgdsfk" localSheetId="14" hidden="1">{"via1",#N/A,TRUE,"general";"via2",#N/A,TRUE,"general";"via3",#N/A,TRUE,"general"}</definedName>
    <definedName name="sdfgdsfk" localSheetId="16" hidden="1">{"via1",#N/A,TRUE,"general";"via2",#N/A,TRUE,"general";"via3",#N/A,TRUE,"general"}</definedName>
    <definedName name="sdfgdsfk" localSheetId="18" hidden="1">{"via1",#N/A,TRUE,"general";"via2",#N/A,TRUE,"general";"via3",#N/A,TRUE,"general"}</definedName>
    <definedName name="sdfgdsfk" hidden="1">{"via1",#N/A,TRUE,"general";"via2",#N/A,TRUE,"general";"via3",#N/A,TRUE,"general"}</definedName>
    <definedName name="sdfgsg" localSheetId="15" hidden="1">{"via1",#N/A,TRUE,"general";"via2",#N/A,TRUE,"general";"via3",#N/A,TRUE,"general"}</definedName>
    <definedName name="sdfgsg" localSheetId="17" hidden="1">{"via1",#N/A,TRUE,"general";"via2",#N/A,TRUE,"general";"via3",#N/A,TRUE,"general"}</definedName>
    <definedName name="sdfgsg" localSheetId="19" hidden="1">{"via1",#N/A,TRUE,"general";"via2",#N/A,TRUE,"general";"via3",#N/A,TRUE,"general"}</definedName>
    <definedName name="sdfgsg" localSheetId="12"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4" hidden="1">{"via1",#N/A,TRUE,"general";"via2",#N/A,TRUE,"general";"via3",#N/A,TRUE,"general"}</definedName>
    <definedName name="sdfgsg" localSheetId="1" hidden="1">{"via1",#N/A,TRUE,"general";"via2",#N/A,TRUE,"general";"via3",#N/A,TRUE,"general"}</definedName>
    <definedName name="sdfgsg" localSheetId="14" hidden="1">{"via1",#N/A,TRUE,"general";"via2",#N/A,TRUE,"general";"via3",#N/A,TRUE,"general"}</definedName>
    <definedName name="sdfgsg" localSheetId="16" hidden="1">{"via1",#N/A,TRUE,"general";"via2",#N/A,TRUE,"general";"via3",#N/A,TRUE,"general"}</definedName>
    <definedName name="sdfgsg" localSheetId="18" hidden="1">{"via1",#N/A,TRUE,"general";"via2",#N/A,TRUE,"general";"via3",#N/A,TRUE,"general"}</definedName>
    <definedName name="sdfgsg" hidden="1">{"via1",#N/A,TRUE,"general";"via2",#N/A,TRUE,"general";"via3",#N/A,TRUE,"general"}</definedName>
    <definedName name="SDFLJK" localSheetId="15"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8" hidden="1">{"TAB1",#N/A,TRUE,"GENERAL";"TAB2",#N/A,TRUE,"GENERAL";"TAB3",#N/A,TRUE,"GENERAL";"TAB4",#N/A,TRUE,"GENERAL";"TAB5",#N/A,TRUE,"GENERAL"}</definedName>
    <definedName name="SDFLJK" hidden="1">{"TAB1",#N/A,TRUE,"GENERAL";"TAB2",#N/A,TRUE,"GENERAL";"TAB3",#N/A,TRUE,"GENERAL";"TAB4",#N/A,TRUE,"GENERAL";"TAB5",#N/A,TRUE,"GENERAL"}</definedName>
    <definedName name="sdfsd4" localSheetId="15" hidden="1">{"via1",#N/A,TRUE,"general";"via2",#N/A,TRUE,"general";"via3",#N/A,TRUE,"general"}</definedName>
    <definedName name="sdfsd4" localSheetId="17" hidden="1">{"via1",#N/A,TRUE,"general";"via2",#N/A,TRUE,"general";"via3",#N/A,TRUE,"general"}</definedName>
    <definedName name="sdfsd4" localSheetId="19" hidden="1">{"via1",#N/A,TRUE,"general";"via2",#N/A,TRUE,"general";"via3",#N/A,TRUE,"general"}</definedName>
    <definedName name="sdfsd4" localSheetId="12"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4" hidden="1">{"via1",#N/A,TRUE,"general";"via2",#N/A,TRUE,"general";"via3",#N/A,TRUE,"general"}</definedName>
    <definedName name="sdfsd4" localSheetId="1" hidden="1">{"via1",#N/A,TRUE,"general";"via2",#N/A,TRUE,"general";"via3",#N/A,TRUE,"general"}</definedName>
    <definedName name="sdfsd4" localSheetId="14" hidden="1">{"via1",#N/A,TRUE,"general";"via2",#N/A,TRUE,"general";"via3",#N/A,TRUE,"general"}</definedName>
    <definedName name="sdfsd4" localSheetId="16" hidden="1">{"via1",#N/A,TRUE,"general";"via2",#N/A,TRUE,"general";"via3",#N/A,TRUE,"general"}</definedName>
    <definedName name="sdfsd4" localSheetId="18" hidden="1">{"via1",#N/A,TRUE,"general";"via2",#N/A,TRUE,"general";"via3",#N/A,TRUE,"general"}</definedName>
    <definedName name="sdfsd4" hidden="1">{"via1",#N/A,TRUE,"general";"via2",#N/A,TRUE,"general";"via3",#N/A,TRUE,"general"}</definedName>
    <definedName name="SDFSDF" localSheetId="15"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8" hidden="1">{"TAB1",#N/A,TRUE,"GENERAL";"TAB2",#N/A,TRUE,"GENERAL";"TAB3",#N/A,TRUE,"GENERAL";"TAB4",#N/A,TRUE,"GENERAL";"TAB5",#N/A,TRUE,"GENERAL"}</definedName>
    <definedName name="SDFSDF" hidden="1">{"TAB1",#N/A,TRUE,"GENERAL";"TAB2",#N/A,TRUE,"GENERAL";"TAB3",#N/A,TRUE,"GENERAL";"TAB4",#N/A,TRUE,"GENERAL";"TAB5",#N/A,TRUE,"GENERAL"}</definedName>
    <definedName name="sdfsdfb" localSheetId="15" hidden="1">{"via1",#N/A,TRUE,"general";"via2",#N/A,TRUE,"general";"via3",#N/A,TRUE,"general"}</definedName>
    <definedName name="sdfsdfb" localSheetId="17" hidden="1">{"via1",#N/A,TRUE,"general";"via2",#N/A,TRUE,"general";"via3",#N/A,TRUE,"general"}</definedName>
    <definedName name="sdfsdfb" localSheetId="19" hidden="1">{"via1",#N/A,TRUE,"general";"via2",#N/A,TRUE,"general";"via3",#N/A,TRUE,"general"}</definedName>
    <definedName name="sdfsdfb" localSheetId="12"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4" hidden="1">{"via1",#N/A,TRUE,"general";"via2",#N/A,TRUE,"general";"via3",#N/A,TRUE,"general"}</definedName>
    <definedName name="sdfsdfb" localSheetId="1" hidden="1">{"via1",#N/A,TRUE,"general";"via2",#N/A,TRUE,"general";"via3",#N/A,TRUE,"general"}</definedName>
    <definedName name="sdfsdfb" localSheetId="14" hidden="1">{"via1",#N/A,TRUE,"general";"via2",#N/A,TRUE,"general";"via3",#N/A,TRUE,"general"}</definedName>
    <definedName name="sdfsdfb" localSheetId="16" hidden="1">{"via1",#N/A,TRUE,"general";"via2",#N/A,TRUE,"general";"via3",#N/A,TRUE,"general"}</definedName>
    <definedName name="sdfsdfb" localSheetId="18" hidden="1">{"via1",#N/A,TRUE,"general";"via2",#N/A,TRUE,"general";"via3",#N/A,TRUE,"general"}</definedName>
    <definedName name="sdfsdfb" hidden="1">{"via1",#N/A,TRUE,"general";"via2",#N/A,TRUE,"general";"via3",#N/A,TRUE,"general"}</definedName>
    <definedName name="sdfsdgg" localSheetId="12"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7" hidden="1">{#N/A,#N/A,TRUE,"INGENIERIA";#N/A,#N/A,TRUE,"COMPRAS";#N/A,#N/A,TRUE,"DIRECCION";#N/A,#N/A,TRUE,"RESUMEN"}</definedName>
    <definedName name="sdfsdgg" localSheetId="1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15"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4" hidden="1">{"TAB1",#N/A,TRUE,"GENERAL";"TAB2",#N/A,TRUE,"GENERAL";"TAB3",#N/A,TRUE,"GENERAL";"TAB4",#N/A,TRUE,"GENERAL";"TAB5",#N/A,TRUE,"GENERAL"}</definedName>
    <definedName name="SDFSF" localSheetId="1"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8" hidden="1">{"TAB1",#N/A,TRUE,"GENERAL";"TAB2",#N/A,TRUE,"GENERAL";"TAB3",#N/A,TRUE,"GENERAL";"TAB4",#N/A,TRUE,"GENERAL";"TAB5",#N/A,TRUE,"GENERAL"}</definedName>
    <definedName name="SDFSF"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8" hidden="1">{"TAB1",#N/A,TRUE,"GENERAL";"TAB2",#N/A,TRUE,"GENERAL";"TAB3",#N/A,TRUE,"GENERAL";"TAB4",#N/A,TRUE,"GENERAL";"TAB5",#N/A,TRUE,"GENERAL"}</definedName>
    <definedName name="sdfsv"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8" hidden="1">{"TAB1",#N/A,TRUE,"GENERAL";"TAB2",#N/A,TRUE,"GENERAL";"TAB3",#N/A,TRUE,"GENERAL";"TAB4",#N/A,TRUE,"GENERAL";"TAB5",#N/A,TRUE,"GENERAL"}</definedName>
    <definedName name="sdgfd" hidden="1">{"TAB1",#N/A,TRUE,"GENERAL";"TAB2",#N/A,TRUE,"GENERAL";"TAB3",#N/A,TRUE,"GENERAL";"TAB4",#N/A,TRUE,"GENERAL";"TAB5",#N/A,TRUE,"GENERAL"}</definedName>
    <definedName name="sdgfgp" localSheetId="15" hidden="1">{"via1",#N/A,TRUE,"general";"via2",#N/A,TRUE,"general";"via3",#N/A,TRUE,"general"}</definedName>
    <definedName name="sdgfgp" localSheetId="17" hidden="1">{"via1",#N/A,TRUE,"general";"via2",#N/A,TRUE,"general";"via3",#N/A,TRUE,"general"}</definedName>
    <definedName name="sdgfgp" localSheetId="19" hidden="1">{"via1",#N/A,TRUE,"general";"via2",#N/A,TRUE,"general";"via3",#N/A,TRUE,"general"}</definedName>
    <definedName name="sdgfgp" localSheetId="12"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4" hidden="1">{"via1",#N/A,TRUE,"general";"via2",#N/A,TRUE,"general";"via3",#N/A,TRUE,"general"}</definedName>
    <definedName name="sdgfgp" localSheetId="1" hidden="1">{"via1",#N/A,TRUE,"general";"via2",#N/A,TRUE,"general";"via3",#N/A,TRUE,"general"}</definedName>
    <definedName name="sdgfgp" localSheetId="14" hidden="1">{"via1",#N/A,TRUE,"general";"via2",#N/A,TRUE,"general";"via3",#N/A,TRUE,"general"}</definedName>
    <definedName name="sdgfgp" localSheetId="16" hidden="1">{"via1",#N/A,TRUE,"general";"via2",#N/A,TRUE,"general";"via3",#N/A,TRUE,"general"}</definedName>
    <definedName name="sdgfgp" localSheetId="18" hidden="1">{"via1",#N/A,TRUE,"general";"via2",#N/A,TRUE,"general";"via3",#N/A,TRUE,"general"}</definedName>
    <definedName name="sdgfgp" hidden="1">{"via1",#N/A,TRUE,"general";"via2",#N/A,TRUE,"general";"via3",#N/A,TRUE,"general"}</definedName>
    <definedName name="sdgfiu" localSheetId="15" hidden="1">{"via1",#N/A,TRUE,"general";"via2",#N/A,TRUE,"general";"via3",#N/A,TRUE,"general"}</definedName>
    <definedName name="sdgfiu" localSheetId="17" hidden="1">{"via1",#N/A,TRUE,"general";"via2",#N/A,TRUE,"general";"via3",#N/A,TRUE,"general"}</definedName>
    <definedName name="sdgfiu" localSheetId="19" hidden="1">{"via1",#N/A,TRUE,"general";"via2",#N/A,TRUE,"general";"via3",#N/A,TRUE,"general"}</definedName>
    <definedName name="sdgfiu" localSheetId="12"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4" hidden="1">{"via1",#N/A,TRUE,"general";"via2",#N/A,TRUE,"general";"via3",#N/A,TRUE,"general"}</definedName>
    <definedName name="sdgfiu" localSheetId="1" hidden="1">{"via1",#N/A,TRUE,"general";"via2",#N/A,TRUE,"general";"via3",#N/A,TRUE,"general"}</definedName>
    <definedName name="sdgfiu" localSheetId="14" hidden="1">{"via1",#N/A,TRUE,"general";"via2",#N/A,TRUE,"general";"via3",#N/A,TRUE,"general"}</definedName>
    <definedName name="sdgfiu" localSheetId="16" hidden="1">{"via1",#N/A,TRUE,"general";"via2",#N/A,TRUE,"general";"via3",#N/A,TRUE,"general"}</definedName>
    <definedName name="sdgfiu" localSheetId="18" hidden="1">{"via1",#N/A,TRUE,"general";"via2",#N/A,TRUE,"general";"via3",#N/A,TRUE,"general"}</definedName>
    <definedName name="sdgfiu" hidden="1">{"via1",#N/A,TRUE,"general";"via2",#N/A,TRUE,"general";"via3",#N/A,TRUE,"general"}</definedName>
    <definedName name="sdgsd" localSheetId="15"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4" hidden="1">{"TAB1",#N/A,TRUE,"GENERAL";"TAB2",#N/A,TRUE,"GENERAL";"TAB3",#N/A,TRUE,"GENERAL";"TAB4",#N/A,TRUE,"GENERAL";"TAB5",#N/A,TRUE,"GENERAL"}</definedName>
    <definedName name="sdgsd" localSheetId="1"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8" hidden="1">{"TAB1",#N/A,TRUE,"GENERAL";"TAB2",#N/A,TRUE,"GENERAL";"TAB3",#N/A,TRUE,"GENERAL";"TAB4",#N/A,TRUE,"GENERAL";"TAB5",#N/A,TRUE,"GENERAL"}</definedName>
    <definedName name="sdgsd" hidden="1">{"TAB1",#N/A,TRUE,"GENERAL";"TAB2",#N/A,TRUE,"GENERAL";"TAB3",#N/A,TRUE,"GENERAL";"TAB4",#N/A,TRUE,"GENERAL";"TAB5",#N/A,TRUE,"GENERAL"}</definedName>
    <definedName name="sdgsg" localSheetId="15" hidden="1">{"via1",#N/A,TRUE,"general";"via2",#N/A,TRUE,"general";"via3",#N/A,TRUE,"general"}</definedName>
    <definedName name="sdgsg" localSheetId="17" hidden="1">{"via1",#N/A,TRUE,"general";"via2",#N/A,TRUE,"general";"via3",#N/A,TRUE,"general"}</definedName>
    <definedName name="sdgsg" localSheetId="19" hidden="1">{"via1",#N/A,TRUE,"general";"via2",#N/A,TRUE,"general";"via3",#N/A,TRUE,"general"}</definedName>
    <definedName name="sdgsg" localSheetId="12"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4" hidden="1">{"via1",#N/A,TRUE,"general";"via2",#N/A,TRUE,"general";"via3",#N/A,TRUE,"general"}</definedName>
    <definedName name="sdgsg" localSheetId="1" hidden="1">{"via1",#N/A,TRUE,"general";"via2",#N/A,TRUE,"general";"via3",#N/A,TRUE,"general"}</definedName>
    <definedName name="sdgsg" localSheetId="14" hidden="1">{"via1",#N/A,TRUE,"general";"via2",#N/A,TRUE,"general";"via3",#N/A,TRUE,"general"}</definedName>
    <definedName name="sdgsg" localSheetId="16" hidden="1">{"via1",#N/A,TRUE,"general";"via2",#N/A,TRUE,"general";"via3",#N/A,TRUE,"general"}</definedName>
    <definedName name="sdgsg" localSheetId="18" hidden="1">{"via1",#N/A,TRUE,"general";"via2",#N/A,TRUE,"general";"via3",#N/A,TRUE,"general"}</definedName>
    <definedName name="sdgsg" hidden="1">{"via1",#N/A,TRUE,"general";"via2",#N/A,TRUE,"general";"via3",#N/A,TRUE,"general"}</definedName>
    <definedName name="SDIKOM" localSheetId="15"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8" hidden="1">{"TAB1",#N/A,TRUE,"GENERAL";"TAB2",#N/A,TRUE,"GENERAL";"TAB3",#N/A,TRUE,"GENERAL";"TAB4",#N/A,TRUE,"GENERAL";"TAB5",#N/A,TRUE,"GENERAL"}</definedName>
    <definedName name="SDIKOM" hidden="1">{"TAB1",#N/A,TRUE,"GENERAL";"TAB2",#N/A,TRUE,"GENERAL";"TAB3",#N/A,TRUE,"GENERAL";"TAB4",#N/A,TRUE,"GENERAL";"TAB5",#N/A,TRUE,"GENERAL"}</definedName>
    <definedName name="sdsdfh" localSheetId="15" hidden="1">{"via1",#N/A,TRUE,"general";"via2",#N/A,TRUE,"general";"via3",#N/A,TRUE,"general"}</definedName>
    <definedName name="sdsdfh" localSheetId="17" hidden="1">{"via1",#N/A,TRUE,"general";"via2",#N/A,TRUE,"general";"via3",#N/A,TRUE,"general"}</definedName>
    <definedName name="sdsdfh" localSheetId="19" hidden="1">{"via1",#N/A,TRUE,"general";"via2",#N/A,TRUE,"general";"via3",#N/A,TRUE,"general"}</definedName>
    <definedName name="sdsdfh" localSheetId="12"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4" hidden="1">{"via1",#N/A,TRUE,"general";"via2",#N/A,TRUE,"general";"via3",#N/A,TRUE,"general"}</definedName>
    <definedName name="sdsdfh" localSheetId="1" hidden="1">{"via1",#N/A,TRUE,"general";"via2",#N/A,TRUE,"general";"via3",#N/A,TRUE,"general"}</definedName>
    <definedName name="sdsdfh" localSheetId="14" hidden="1">{"via1",#N/A,TRUE,"general";"via2",#N/A,TRUE,"general";"via3",#N/A,TRUE,"general"}</definedName>
    <definedName name="sdsdfh" localSheetId="16" hidden="1">{"via1",#N/A,TRUE,"general";"via2",#N/A,TRUE,"general";"via3",#N/A,TRUE,"general"}</definedName>
    <definedName name="sdsdfh" localSheetId="18" hidden="1">{"via1",#N/A,TRUE,"general";"via2",#N/A,TRUE,"general";"via3",#N/A,TRUE,"general"}</definedName>
    <definedName name="sdsdfh" hidden="1">{"via1",#N/A,TRUE,"general";"via2",#N/A,TRUE,"general";"via3",#N/A,TRUE,"general"}</definedName>
    <definedName name="sdsdfsdff" localSheetId="12" hidden="1">{#N/A,#N/A,TRUE,"1842CWN0"}</definedName>
    <definedName name="sdsdfsdff" localSheetId="8" hidden="1">{#N/A,#N/A,TRUE,"1842CWN0"}</definedName>
    <definedName name="sdsdfsdff" localSheetId="9" hidden="1">{#N/A,#N/A,TRUE,"1842CWN0"}</definedName>
    <definedName name="sdsdfsdff" localSheetId="7" hidden="1">{#N/A,#N/A,TRUE,"1842CWN0"}</definedName>
    <definedName name="sdsdfsdff" localSheetId="10" hidden="1">{#N/A,#N/A,TRUE,"1842CWN0"}</definedName>
    <definedName name="sdsdfsdff" localSheetId="1" hidden="1">{#N/A,#N/A,TRUE,"1842CWN0"}</definedName>
    <definedName name="sdsdfsdff" hidden="1">{#N/A,#N/A,TRUE,"1842CWN0"}</definedName>
    <definedName name="setrj" localSheetId="15" hidden="1">{"via1",#N/A,TRUE,"general";"via2",#N/A,TRUE,"general";"via3",#N/A,TRUE,"general"}</definedName>
    <definedName name="setrj" localSheetId="17" hidden="1">{"via1",#N/A,TRUE,"general";"via2",#N/A,TRUE,"general";"via3",#N/A,TRUE,"general"}</definedName>
    <definedName name="setrj" localSheetId="19" hidden="1">{"via1",#N/A,TRUE,"general";"via2",#N/A,TRUE,"general";"via3",#N/A,TRUE,"general"}</definedName>
    <definedName name="setrj" localSheetId="12"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4" hidden="1">{"via1",#N/A,TRUE,"general";"via2",#N/A,TRUE,"general";"via3",#N/A,TRUE,"general"}</definedName>
    <definedName name="setrj" localSheetId="1" hidden="1">{"via1",#N/A,TRUE,"general";"via2",#N/A,TRUE,"general";"via3",#N/A,TRUE,"general"}</definedName>
    <definedName name="setrj" localSheetId="14" hidden="1">{"via1",#N/A,TRUE,"general";"via2",#N/A,TRUE,"general";"via3",#N/A,TRUE,"general"}</definedName>
    <definedName name="setrj" localSheetId="16" hidden="1">{"via1",#N/A,TRUE,"general";"via2",#N/A,TRUE,"general";"via3",#N/A,TRUE,"general"}</definedName>
    <definedName name="setrj" localSheetId="18" hidden="1">{"via1",#N/A,TRUE,"general";"via2",#N/A,TRUE,"general";"via3",#N/A,TRUE,"general"}</definedName>
    <definedName name="setrj" hidden="1">{"via1",#N/A,TRUE,"general";"via2",#N/A,TRUE,"general";"via3",#N/A,TRUE,"general"}</definedName>
    <definedName name="sett" localSheetId="15" hidden="1">{"via1",#N/A,TRUE,"general";"via2",#N/A,TRUE,"general";"via3",#N/A,TRUE,"general"}</definedName>
    <definedName name="sett" localSheetId="17" hidden="1">{"via1",#N/A,TRUE,"general";"via2",#N/A,TRUE,"general";"via3",#N/A,TRUE,"general"}</definedName>
    <definedName name="sett" localSheetId="19" hidden="1">{"via1",#N/A,TRUE,"general";"via2",#N/A,TRUE,"general";"via3",#N/A,TRUE,"general"}</definedName>
    <definedName name="sett" localSheetId="12"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4" hidden="1">{"via1",#N/A,TRUE,"general";"via2",#N/A,TRUE,"general";"via3",#N/A,TRUE,"general"}</definedName>
    <definedName name="sett" localSheetId="1" hidden="1">{"via1",#N/A,TRUE,"general";"via2",#N/A,TRUE,"general";"via3",#N/A,TRUE,"general"}</definedName>
    <definedName name="sett" localSheetId="14" hidden="1">{"via1",#N/A,TRUE,"general";"via2",#N/A,TRUE,"general";"via3",#N/A,TRUE,"general"}</definedName>
    <definedName name="sett" localSheetId="16" hidden="1">{"via1",#N/A,TRUE,"general";"via2",#N/A,TRUE,"general";"via3",#N/A,TRUE,"general"}</definedName>
    <definedName name="sett" localSheetId="18" hidden="1">{"via1",#N/A,TRUE,"general";"via2",#N/A,TRUE,"general";"via3",#N/A,TRUE,"general"}</definedName>
    <definedName name="sett" hidden="1">{"via1",#N/A,TRUE,"general";"via2",#N/A,TRUE,"general";"via3",#N/A,TRUE,"general"}</definedName>
    <definedName name="sfasf" localSheetId="15"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4" hidden="1">{"TAB1",#N/A,TRUE,"GENERAL";"TAB2",#N/A,TRUE,"GENERAL";"TAB3",#N/A,TRUE,"GENERAL";"TAB4",#N/A,TRUE,"GENERAL";"TAB5",#N/A,TRUE,"GENERAL"}</definedName>
    <definedName name="sfasf" localSheetId="1"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8" hidden="1">{"TAB1",#N/A,TRUE,"GENERAL";"TAB2",#N/A,TRUE,"GENERAL";"TAB3",#N/A,TRUE,"GENERAL";"TAB4",#N/A,TRUE,"GENERAL";"TAB5",#N/A,TRUE,"GENERAL"}</definedName>
    <definedName name="sfasf"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8" hidden="1">{"TAB1",#N/A,TRUE,"GENERAL";"TAB2",#N/A,TRUE,"GENERAL";"TAB3",#N/A,TRUE,"GENERAL";"TAB4",#N/A,TRUE,"GENERAL";"TAB5",#N/A,TRUE,"GENERAL"}</definedName>
    <definedName name="SFHSGFH" hidden="1">{"TAB1",#N/A,TRUE,"GENERAL";"TAB2",#N/A,TRUE,"GENERAL";"TAB3",#N/A,TRUE,"GENERAL";"TAB4",#N/A,TRUE,"GENERAL";"TAB5",#N/A,TRUE,"GENERAL"}</definedName>
    <definedName name="sfsd" localSheetId="15" hidden="1">{"via1",#N/A,TRUE,"general";"via2",#N/A,TRUE,"general";"via3",#N/A,TRUE,"general"}</definedName>
    <definedName name="sfsd" localSheetId="17" hidden="1">{"via1",#N/A,TRUE,"general";"via2",#N/A,TRUE,"general";"via3",#N/A,TRUE,"general"}</definedName>
    <definedName name="sfsd" localSheetId="19" hidden="1">{"via1",#N/A,TRUE,"general";"via2",#N/A,TRUE,"general";"via3",#N/A,TRUE,"general"}</definedName>
    <definedName name="sfsd" localSheetId="12"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4" hidden="1">{"via1",#N/A,TRUE,"general";"via2",#N/A,TRUE,"general";"via3",#N/A,TRUE,"general"}</definedName>
    <definedName name="sfsd" localSheetId="1" hidden="1">{"via1",#N/A,TRUE,"general";"via2",#N/A,TRUE,"general";"via3",#N/A,TRUE,"general"}</definedName>
    <definedName name="sfsd" localSheetId="14" hidden="1">{"via1",#N/A,TRUE,"general";"via2",#N/A,TRUE,"general";"via3",#N/A,TRUE,"general"}</definedName>
    <definedName name="sfsd" localSheetId="16" hidden="1">{"via1",#N/A,TRUE,"general";"via2",#N/A,TRUE,"general";"via3",#N/A,TRUE,"general"}</definedName>
    <definedName name="sfsd" localSheetId="18" hidden="1">{"via1",#N/A,TRUE,"general";"via2",#N/A,TRUE,"general";"via3",#N/A,TRUE,"general"}</definedName>
    <definedName name="sfsd" hidden="1">{"via1",#N/A,TRUE,"general";"via2",#N/A,TRUE,"general";"via3",#N/A,TRUE,"general"}</definedName>
    <definedName name="sfsdf" localSheetId="15"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4" hidden="1">{"TAB1",#N/A,TRUE,"GENERAL";"TAB2",#N/A,TRUE,"GENERAL";"TAB3",#N/A,TRUE,"GENERAL";"TAB4",#N/A,TRUE,"GENERAL";"TAB5",#N/A,TRUE,"GENERAL"}</definedName>
    <definedName name="sfsdf" localSheetId="1"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8" hidden="1">{"TAB1",#N/A,TRUE,"GENERAL";"TAB2",#N/A,TRUE,"GENERAL";"TAB3",#N/A,TRUE,"GENERAL";"TAB4",#N/A,TRUE,"GENERAL";"TAB5",#N/A,TRUE,"GENERAL"}</definedName>
    <definedName name="sfsdf"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8" hidden="1">{"TAB1",#N/A,TRUE,"GENERAL";"TAB2",#N/A,TRUE,"GENERAL";"TAB3",#N/A,TRUE,"GENERAL";"TAB4",#N/A,TRUE,"GENERAL";"TAB5",#N/A,TRUE,"GENERAL"}</definedName>
    <definedName name="sfsdferg"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8" hidden="1">{"TAB1",#N/A,TRUE,"GENERAL";"TAB2",#N/A,TRUE,"GENERAL";"TAB3",#N/A,TRUE,"GENERAL";"TAB4",#N/A,TRUE,"GENERAL";"TAB5",#N/A,TRUE,"GENERAL"}</definedName>
    <definedName name="sfsdfs" hidden="1">{"TAB1",#N/A,TRUE,"GENERAL";"TAB2",#N/A,TRUE,"GENERAL";"TAB3",#N/A,TRUE,"GENERAL";"TAB4",#N/A,TRUE,"GENERAL";"TAB5",#N/A,TRUE,"GENERAL"}</definedName>
    <definedName name="solver_adj" localSheetId="13" hidden="1">'AIU OBRA '!$Y$75</definedName>
    <definedName name="solver_cvg" localSheetId="13" hidden="1">0.0001</definedName>
    <definedName name="solver_drv" localSheetId="13" hidden="1">1</definedName>
    <definedName name="solver_eng" localSheetId="13" hidden="1">1</definedName>
    <definedName name="solver_est" localSheetId="13" hidden="1">1</definedName>
    <definedName name="solver_itr" localSheetId="13" hidden="1">2147483647</definedName>
    <definedName name="solver_lhs1" localSheetId="13" hidden="1">'AIU OBRA '!$Y$75</definedName>
    <definedName name="solver_mip" localSheetId="13" hidden="1">2147483647</definedName>
    <definedName name="solver_mni" localSheetId="13" hidden="1">30</definedName>
    <definedName name="solver_mrt" localSheetId="13" hidden="1">0.075</definedName>
    <definedName name="solver_msl" localSheetId="13" hidden="1">2</definedName>
    <definedName name="solver_neg" localSheetId="13" hidden="1">1</definedName>
    <definedName name="solver_nod" localSheetId="13" hidden="1">2147483647</definedName>
    <definedName name="solver_num" localSheetId="13" hidden="1">1</definedName>
    <definedName name="solver_nwt" localSheetId="13" hidden="1">1</definedName>
    <definedName name="solver_opt" localSheetId="13" hidden="1">'AIU OBRA '!$X$75</definedName>
    <definedName name="solver_pre" localSheetId="13" hidden="1">0.000001</definedName>
    <definedName name="solver_rbv" localSheetId="13" hidden="1">1</definedName>
    <definedName name="solver_rel1" localSheetId="13" hidden="1">2</definedName>
    <definedName name="solver_rhs1" localSheetId="13" hidden="1">'AIU OBRA '!$X$75</definedName>
    <definedName name="solver_rlx" localSheetId="13" hidden="1">2</definedName>
    <definedName name="solver_rsd" localSheetId="13" hidden="1">0</definedName>
    <definedName name="solver_scl" localSheetId="13" hidden="1">1</definedName>
    <definedName name="solver_sho" localSheetId="13" hidden="1">2</definedName>
    <definedName name="solver_ssz" localSheetId="13" hidden="1">100</definedName>
    <definedName name="solver_tim" localSheetId="13" hidden="1">2147483647</definedName>
    <definedName name="solver_tol" localSheetId="13" hidden="1">0.01</definedName>
    <definedName name="solver_typ" localSheetId="13" hidden="1">1</definedName>
    <definedName name="solver_val" localSheetId="13" hidden="1">0</definedName>
    <definedName name="solver_ver" localSheetId="13" hidden="1">3</definedName>
    <definedName name="srwrwr" localSheetId="15"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8" hidden="1">{"TAB1",#N/A,TRUE,"GENERAL";"TAB2",#N/A,TRUE,"GENERAL";"TAB3",#N/A,TRUE,"GENERAL";"TAB4",#N/A,TRUE,"GENERAL";"TAB5",#N/A,TRUE,"GENERAL"}</definedName>
    <definedName name="srwrwr" hidden="1">{"TAB1",#N/A,TRUE,"GENERAL";"TAB2",#N/A,TRUE,"GENERAL";"TAB3",#N/A,TRUE,"GENERAL";"TAB4",#N/A,TRUE,"GENERAL";"TAB5",#N/A,TRUE,"GENERAL"}</definedName>
    <definedName name="sssss7" localSheetId="15" hidden="1">{"via1",#N/A,TRUE,"general";"via2",#N/A,TRUE,"general";"via3",#N/A,TRUE,"general"}</definedName>
    <definedName name="sssss7" localSheetId="17" hidden="1">{"via1",#N/A,TRUE,"general";"via2",#N/A,TRUE,"general";"via3",#N/A,TRUE,"general"}</definedName>
    <definedName name="sssss7" localSheetId="19" hidden="1">{"via1",#N/A,TRUE,"general";"via2",#N/A,TRUE,"general";"via3",#N/A,TRUE,"general"}</definedName>
    <definedName name="sssss7" localSheetId="12"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4" hidden="1">{"via1",#N/A,TRUE,"general";"via2",#N/A,TRUE,"general";"via3",#N/A,TRUE,"general"}</definedName>
    <definedName name="sssss7" localSheetId="1" hidden="1">{"via1",#N/A,TRUE,"general";"via2",#N/A,TRUE,"general";"via3",#N/A,TRUE,"general"}</definedName>
    <definedName name="sssss7" localSheetId="14" hidden="1">{"via1",#N/A,TRUE,"general";"via2",#N/A,TRUE,"general";"via3",#N/A,TRUE,"general"}</definedName>
    <definedName name="sssss7" localSheetId="16" hidden="1">{"via1",#N/A,TRUE,"general";"via2",#N/A,TRUE,"general";"via3",#N/A,TRUE,"general"}</definedName>
    <definedName name="sssss7" localSheetId="18" hidden="1">{"via1",#N/A,TRUE,"general";"via2",#N/A,TRUE,"general";"via3",#N/A,TRUE,"general"}</definedName>
    <definedName name="sssss7" hidden="1">{"via1",#N/A,TRUE,"general";"via2",#N/A,TRUE,"general";"via3",#N/A,TRUE,"general"}</definedName>
    <definedName name="sssssa" localSheetId="15"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8" hidden="1">{"TAB1",#N/A,TRUE,"GENERAL";"TAB2",#N/A,TRUE,"GENERAL";"TAB3",#N/A,TRUE,"GENERAL";"TAB4",#N/A,TRUE,"GENERAL";"TAB5",#N/A,TRUE,"GENERAL"}</definedName>
    <definedName name="sssssa" hidden="1">{"TAB1",#N/A,TRUE,"GENERAL";"TAB2",#N/A,TRUE,"GENERAL";"TAB3",#N/A,TRUE,"GENERAL";"TAB4",#N/A,TRUE,"GENERAL";"TAB5",#N/A,TRUE,"GENERAL"}</definedName>
    <definedName name="sssssy" localSheetId="15" hidden="1">{"via1",#N/A,TRUE,"general";"via2",#N/A,TRUE,"general";"via3",#N/A,TRUE,"general"}</definedName>
    <definedName name="sssssy" localSheetId="17" hidden="1">{"via1",#N/A,TRUE,"general";"via2",#N/A,TRUE,"general";"via3",#N/A,TRUE,"general"}</definedName>
    <definedName name="sssssy" localSheetId="19" hidden="1">{"via1",#N/A,TRUE,"general";"via2",#N/A,TRUE,"general";"via3",#N/A,TRUE,"general"}</definedName>
    <definedName name="sssssy" localSheetId="12"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4" hidden="1">{"via1",#N/A,TRUE,"general";"via2",#N/A,TRUE,"general";"via3",#N/A,TRUE,"general"}</definedName>
    <definedName name="sssssy" localSheetId="1" hidden="1">{"via1",#N/A,TRUE,"general";"via2",#N/A,TRUE,"general";"via3",#N/A,TRUE,"general"}</definedName>
    <definedName name="sssssy" localSheetId="14" hidden="1">{"via1",#N/A,TRUE,"general";"via2",#N/A,TRUE,"general";"via3",#N/A,TRUE,"general"}</definedName>
    <definedName name="sssssy" localSheetId="16" hidden="1">{"via1",#N/A,TRUE,"general";"via2",#N/A,TRUE,"general";"via3",#N/A,TRUE,"general"}</definedName>
    <definedName name="sssssy" localSheetId="18" hidden="1">{"via1",#N/A,TRUE,"general";"via2",#N/A,TRUE,"general";"via3",#N/A,TRUE,"general"}</definedName>
    <definedName name="sssssy" hidden="1">{"via1",#N/A,TRUE,"general";"via2",#N/A,TRUE,"general";"via3",#N/A,TRUE,"general"}</definedName>
    <definedName name="stt" localSheetId="15" hidden="1">{"via1",#N/A,TRUE,"general";"via2",#N/A,TRUE,"general";"via3",#N/A,TRUE,"general"}</definedName>
    <definedName name="stt" localSheetId="17" hidden="1">{"via1",#N/A,TRUE,"general";"via2",#N/A,TRUE,"general";"via3",#N/A,TRUE,"general"}</definedName>
    <definedName name="stt" localSheetId="19" hidden="1">{"via1",#N/A,TRUE,"general";"via2",#N/A,TRUE,"general";"via3",#N/A,TRUE,"general"}</definedName>
    <definedName name="stt" localSheetId="12"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4" hidden="1">{"via1",#N/A,TRUE,"general";"via2",#N/A,TRUE,"general";"via3",#N/A,TRUE,"general"}</definedName>
    <definedName name="stt" localSheetId="1" hidden="1">{"via1",#N/A,TRUE,"general";"via2",#N/A,TRUE,"general";"via3",#N/A,TRUE,"general"}</definedName>
    <definedName name="stt" localSheetId="14" hidden="1">{"via1",#N/A,TRUE,"general";"via2",#N/A,TRUE,"general";"via3",#N/A,TRUE,"general"}</definedName>
    <definedName name="stt" localSheetId="16" hidden="1">{"via1",#N/A,TRUE,"general";"via2",#N/A,TRUE,"general";"via3",#N/A,TRUE,"general"}</definedName>
    <definedName name="stt" localSheetId="18" hidden="1">{"via1",#N/A,TRUE,"general";"via2",#N/A,TRUE,"general";"via3",#N/A,TRUE,"general"}</definedName>
    <definedName name="stt" hidden="1">{"via1",#N/A,TRUE,"general";"via2",#N/A,TRUE,"general";"via3",#N/A,TRUE,"general"}</definedName>
    <definedName name="swsw" localSheetId="15" hidden="1">{"via1",#N/A,TRUE,"general";"via2",#N/A,TRUE,"general";"via3",#N/A,TRUE,"general"}</definedName>
    <definedName name="swsw" localSheetId="17" hidden="1">{"via1",#N/A,TRUE,"general";"via2",#N/A,TRUE,"general";"via3",#N/A,TRUE,"general"}</definedName>
    <definedName name="swsw" localSheetId="19" hidden="1">{"via1",#N/A,TRUE,"general";"via2",#N/A,TRUE,"general";"via3",#N/A,TRUE,"general"}</definedName>
    <definedName name="swsw" localSheetId="12"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4" hidden="1">{"via1",#N/A,TRUE,"general";"via2",#N/A,TRUE,"general";"via3",#N/A,TRUE,"general"}</definedName>
    <definedName name="swsw" localSheetId="1" hidden="1">{"via1",#N/A,TRUE,"general";"via2",#N/A,TRUE,"general";"via3",#N/A,TRUE,"general"}</definedName>
    <definedName name="swsw" localSheetId="14" hidden="1">{"via1",#N/A,TRUE,"general";"via2",#N/A,TRUE,"general";"via3",#N/A,TRUE,"general"}</definedName>
    <definedName name="swsw" localSheetId="16" hidden="1">{"via1",#N/A,TRUE,"general";"via2",#N/A,TRUE,"general";"via3",#N/A,TRUE,"general"}</definedName>
    <definedName name="swsw" localSheetId="18" hidden="1">{"via1",#N/A,TRUE,"general";"via2",#N/A,TRUE,"general";"via3",#N/A,TRUE,"general"}</definedName>
    <definedName name="swsw" hidden="1">{"via1",#N/A,TRUE,"general";"via2",#N/A,TRUE,"general";"via3",#N/A,TRUE,"general"}</definedName>
    <definedName name="swsw3" localSheetId="15"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4" hidden="1">{"TAB1",#N/A,TRUE,"GENERAL";"TAB2",#N/A,TRUE,"GENERAL";"TAB3",#N/A,TRUE,"GENERAL";"TAB4",#N/A,TRUE,"GENERAL";"TAB5",#N/A,TRUE,"GENERAL"}</definedName>
    <definedName name="swsw3" localSheetId="1"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8" hidden="1">{"TAB1",#N/A,TRUE,"GENERAL";"TAB2",#N/A,TRUE,"GENERAL";"TAB3",#N/A,TRUE,"GENERAL";"TAB4",#N/A,TRUE,"GENERAL";"TAB5",#N/A,TRUE,"GENERAL"}</definedName>
    <definedName name="swsw3" hidden="1">{"TAB1",#N/A,TRUE,"GENERAL";"TAB2",#N/A,TRUE,"GENERAL";"TAB3",#N/A,TRUE,"GENERAL";"TAB4",#N/A,TRUE,"GENERAL";"TAB5",#N/A,TRUE,"GENERAL"}</definedName>
    <definedName name="t5t5" localSheetId="15" hidden="1">{"TAB1",#N/A,TRUE,"GENERAL";"TAB2",#N/A,TRUE,"GENERAL";"TAB3",#N/A,TRUE,"GENERAL";"TAB4",#N/A,TRUE,"GENERAL";"TAB5",#N/A,TRUE,"GENERAL"}</definedName>
    <definedName name="t5t5" localSheetId="17" hidden="1">{"TAB1",#N/A,TRUE,"GENERAL";"TAB2",#N/A,TRUE,"GENERAL";"TAB3",#N/A,TRUE,"GENERAL";"TAB4",#N/A,TRUE,"GENERAL";"TAB5",#N/A,TRUE,"GENERAL"}</definedName>
    <definedName name="t5t5" localSheetId="19" hidden="1">{"TAB1",#N/A,TRUE,"GENERAL";"TAB2",#N/A,TRUE,"GENERAL";"TAB3",#N/A,TRUE,"GENERAL";"TAB4",#N/A,TRUE,"GENERAL";"TAB5",#N/A,TRUE,"GENERAL"}</definedName>
    <definedName name="t5t5" localSheetId="12"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4" hidden="1">{"TAB1",#N/A,TRUE,"GENERAL";"TAB2",#N/A,TRUE,"GENERAL";"TAB3",#N/A,TRUE,"GENERAL";"TAB4",#N/A,TRUE,"GENERAL";"TAB5",#N/A,TRUE,"GENERAL"}</definedName>
    <definedName name="t5t5" localSheetId="1" hidden="1">{"TAB1",#N/A,TRUE,"GENERAL";"TAB2",#N/A,TRUE,"GENERAL";"TAB3",#N/A,TRUE,"GENERAL";"TAB4",#N/A,TRUE,"GENERAL";"TAB5",#N/A,TRUE,"GENERAL"}</definedName>
    <definedName name="t5t5" localSheetId="14" hidden="1">{"TAB1",#N/A,TRUE,"GENERAL";"TAB2",#N/A,TRUE,"GENERAL";"TAB3",#N/A,TRUE,"GENERAL";"TAB4",#N/A,TRUE,"GENERAL";"TAB5",#N/A,TRUE,"GENERAL"}</definedName>
    <definedName name="t5t5" localSheetId="16" hidden="1">{"TAB1",#N/A,TRUE,"GENERAL";"TAB2",#N/A,TRUE,"GENERAL";"TAB3",#N/A,TRUE,"GENERAL";"TAB4",#N/A,TRUE,"GENERAL";"TAB5",#N/A,TRUE,"GENERAL"}</definedName>
    <definedName name="t5t5" localSheetId="18" hidden="1">{"TAB1",#N/A,TRUE,"GENERAL";"TAB2",#N/A,TRUE,"GENERAL";"TAB3",#N/A,TRUE,"GENERAL";"TAB4",#N/A,TRUE,"GENERAL";"TAB5",#N/A,TRUE,"GENERAL"}</definedName>
    <definedName name="t5t5" hidden="1">{"TAB1",#N/A,TRUE,"GENERAL";"TAB2",#N/A,TRUE,"GENERAL";"TAB3",#N/A,TRUE,"GENERAL";"TAB4",#N/A,TRUE,"GENERAL";"TAB5",#N/A,TRUE,"GENERAL"}</definedName>
    <definedName name="TC" localSheetId="15" hidden="1">{#N/A,#N/A,FALSE,"GRAFICO";#N/A,#N/A,FALSE,"CAJA (2)";#N/A,#N/A,FALSE,"TERCEROS-PROMEDIO";#N/A,#N/A,FALSE,"CAJA";#N/A,#N/A,FALSE,"INGRESOS1995-2003";#N/A,#N/A,FALSE,"GASTOS1995-2003"}</definedName>
    <definedName name="TC" localSheetId="17" hidden="1">{#N/A,#N/A,FALSE,"GRAFICO";#N/A,#N/A,FALSE,"CAJA (2)";#N/A,#N/A,FALSE,"TERCEROS-PROMEDIO";#N/A,#N/A,FALSE,"CAJA";#N/A,#N/A,FALSE,"INGRESOS1995-2003";#N/A,#N/A,FALSE,"GASTOS1995-2003"}</definedName>
    <definedName name="TC" localSheetId="19" hidden="1">{#N/A,#N/A,FALSE,"GRAFICO";#N/A,#N/A,FALSE,"CAJA (2)";#N/A,#N/A,FALSE,"TERCEROS-PROMEDIO";#N/A,#N/A,FALSE,"CAJA";#N/A,#N/A,FALSE,"INGRESOS1995-2003";#N/A,#N/A,FALSE,"GASTOS1995-2003"}</definedName>
    <definedName name="TC" localSheetId="11" hidden="1">{#N/A,#N/A,FALSE,"GRAFICO";#N/A,#N/A,FALSE,"CAJA (2)";#N/A,#N/A,FALSE,"TERCEROS-PROMEDIO";#N/A,#N/A,FALSE,"CAJA";#N/A,#N/A,FALSE,"INGRESOS1995-2003";#N/A,#N/A,FALSE,"GASTOS1995-2003"}</definedName>
    <definedName name="TC" localSheetId="14" hidden="1">{#N/A,#N/A,FALSE,"GRAFICO";#N/A,#N/A,FALSE,"CAJA (2)";#N/A,#N/A,FALSE,"TERCEROS-PROMEDIO";#N/A,#N/A,FALSE,"CAJA";#N/A,#N/A,FALSE,"INGRESOS1995-2003";#N/A,#N/A,FALSE,"GASTOS1995-2003"}</definedName>
    <definedName name="TC" localSheetId="16" hidden="1">{#N/A,#N/A,FALSE,"GRAFICO";#N/A,#N/A,FALSE,"CAJA (2)";#N/A,#N/A,FALSE,"TERCEROS-PROMEDIO";#N/A,#N/A,FALSE,"CAJA";#N/A,#N/A,FALSE,"INGRESOS1995-2003";#N/A,#N/A,FALSE,"GASTOS1995-2003"}</definedName>
    <definedName name="TC" localSheetId="18"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5" hidden="1">{"TAB1",#N/A,TRUE,"GENERAL";"TAB2",#N/A,TRUE,"GENERAL";"TAB3",#N/A,TRUE,"GENERAL";"TAB4",#N/A,TRUE,"GENERAL";"TAB5",#N/A,TRUE,"GENERAL"}</definedName>
    <definedName name="tdy" localSheetId="17" hidden="1">{"TAB1",#N/A,TRUE,"GENERAL";"TAB2",#N/A,TRUE,"GENERAL";"TAB3",#N/A,TRUE,"GENERAL";"TAB4",#N/A,TRUE,"GENERAL";"TAB5",#N/A,TRUE,"GENERAL"}</definedName>
    <definedName name="tdy" localSheetId="19" hidden="1">{"TAB1",#N/A,TRUE,"GENERAL";"TAB2",#N/A,TRUE,"GENERAL";"TAB3",#N/A,TRUE,"GENERAL";"TAB4",#N/A,TRUE,"GENERAL";"TAB5",#N/A,TRUE,"GENERAL"}</definedName>
    <definedName name="tdy" localSheetId="12"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4" hidden="1">{"TAB1",#N/A,TRUE,"GENERAL";"TAB2",#N/A,TRUE,"GENERAL";"TAB3",#N/A,TRUE,"GENERAL";"TAB4",#N/A,TRUE,"GENERAL";"TAB5",#N/A,TRUE,"GENERAL"}</definedName>
    <definedName name="tdy" localSheetId="1" hidden="1">{"TAB1",#N/A,TRUE,"GENERAL";"TAB2",#N/A,TRUE,"GENERAL";"TAB3",#N/A,TRUE,"GENERAL";"TAB4",#N/A,TRUE,"GENERAL";"TAB5",#N/A,TRUE,"GENERAL"}</definedName>
    <definedName name="tdy" localSheetId="14" hidden="1">{"TAB1",#N/A,TRUE,"GENERAL";"TAB2",#N/A,TRUE,"GENERAL";"TAB3",#N/A,TRUE,"GENERAL";"TAB4",#N/A,TRUE,"GENERAL";"TAB5",#N/A,TRUE,"GENERAL"}</definedName>
    <definedName name="tdy" localSheetId="16" hidden="1">{"TAB1",#N/A,TRUE,"GENERAL";"TAB2",#N/A,TRUE,"GENERAL";"TAB3",#N/A,TRUE,"GENERAL";"TAB4",#N/A,TRUE,"GENERAL";"TAB5",#N/A,TRUE,"GENERAL"}</definedName>
    <definedName name="tdy" localSheetId="18" hidden="1">{"TAB1",#N/A,TRUE,"GENERAL";"TAB2",#N/A,TRUE,"GENERAL";"TAB3",#N/A,TRUE,"GENERAL";"TAB4",#N/A,TRUE,"GENERAL";"TAB5",#N/A,TRUE,"GENERAL"}</definedName>
    <definedName name="tdy"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4" hidden="1">{"TAB1",#N/A,TRUE,"GENERAL";"TAB2",#N/A,TRUE,"GENERAL";"TAB3",#N/A,TRUE,"GENERAL";"TAB4",#N/A,TRUE,"GENERAL";"TAB5",#N/A,TRUE,"GENERAL"}</definedName>
    <definedName name="tewst" localSheetId="1"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8" hidden="1">{"TAB1",#N/A,TRUE,"GENERAL";"TAB2",#N/A,TRUE,"GENERAL";"TAB3",#N/A,TRUE,"GENERAL";"TAB4",#N/A,TRUE,"GENERAL";"TAB5",#N/A,TRUE,"GENERAL"}</definedName>
    <definedName name="tewst" hidden="1">{"TAB1",#N/A,TRUE,"GENERAL";"TAB2",#N/A,TRUE,"GENERAL";"TAB3",#N/A,TRUE,"GENERAL";"TAB4",#N/A,TRUE,"GENERAL";"TAB5",#N/A,TRUE,"GENERAL"}</definedName>
    <definedName name="teytrh" localSheetId="15" hidden="1">{"via1",#N/A,TRUE,"general";"via2",#N/A,TRUE,"general";"via3",#N/A,TRUE,"general"}</definedName>
    <definedName name="teytrh" localSheetId="17" hidden="1">{"via1",#N/A,TRUE,"general";"via2",#N/A,TRUE,"general";"via3",#N/A,TRUE,"general"}</definedName>
    <definedName name="teytrh" localSheetId="19" hidden="1">{"via1",#N/A,TRUE,"general";"via2",#N/A,TRUE,"general";"via3",#N/A,TRUE,"general"}</definedName>
    <definedName name="teytrh" localSheetId="12"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4" hidden="1">{"via1",#N/A,TRUE,"general";"via2",#N/A,TRUE,"general";"via3",#N/A,TRUE,"general"}</definedName>
    <definedName name="teytrh" localSheetId="1" hidden="1">{"via1",#N/A,TRUE,"general";"via2",#N/A,TRUE,"general";"via3",#N/A,TRUE,"general"}</definedName>
    <definedName name="teytrh" localSheetId="14" hidden="1">{"via1",#N/A,TRUE,"general";"via2",#N/A,TRUE,"general";"via3",#N/A,TRUE,"general"}</definedName>
    <definedName name="teytrh" localSheetId="16" hidden="1">{"via1",#N/A,TRUE,"general";"via2",#N/A,TRUE,"general";"via3",#N/A,TRUE,"general"}</definedName>
    <definedName name="teytrh" localSheetId="18" hidden="1">{"via1",#N/A,TRUE,"general";"via2",#N/A,TRUE,"general";"via3",#N/A,TRUE,"general"}</definedName>
    <definedName name="teytrh" hidden="1">{"via1",#N/A,TRUE,"general";"via2",#N/A,TRUE,"general";"via3",#N/A,TRUE,"general"}</definedName>
    <definedName name="thdh" localSheetId="15" hidden="1">{"TAB1",#N/A,TRUE,"GENERAL";"TAB2",#N/A,TRUE,"GENERAL";"TAB3",#N/A,TRUE,"GENERAL";"TAB4",#N/A,TRUE,"GENERAL";"TAB5",#N/A,TRUE,"GENERAL"}</definedName>
    <definedName name="thdh" localSheetId="17" hidden="1">{"TAB1",#N/A,TRUE,"GENERAL";"TAB2",#N/A,TRUE,"GENERAL";"TAB3",#N/A,TRUE,"GENERAL";"TAB4",#N/A,TRUE,"GENERAL";"TAB5",#N/A,TRUE,"GENERAL"}</definedName>
    <definedName name="thdh" localSheetId="19" hidden="1">{"TAB1",#N/A,TRUE,"GENERAL";"TAB2",#N/A,TRUE,"GENERAL";"TAB3",#N/A,TRUE,"GENERAL";"TAB4",#N/A,TRUE,"GENERAL";"TAB5",#N/A,TRUE,"GENERAL"}</definedName>
    <definedName name="thdh" localSheetId="12"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4" hidden="1">{"TAB1",#N/A,TRUE,"GENERAL";"TAB2",#N/A,TRUE,"GENERAL";"TAB3",#N/A,TRUE,"GENERAL";"TAB4",#N/A,TRUE,"GENERAL";"TAB5",#N/A,TRUE,"GENERAL"}</definedName>
    <definedName name="thdh" localSheetId="1" hidden="1">{"TAB1",#N/A,TRUE,"GENERAL";"TAB2",#N/A,TRUE,"GENERAL";"TAB3",#N/A,TRUE,"GENERAL";"TAB4",#N/A,TRUE,"GENERAL";"TAB5",#N/A,TRUE,"GENERAL"}</definedName>
    <definedName name="thdh" localSheetId="14" hidden="1">{"TAB1",#N/A,TRUE,"GENERAL";"TAB2",#N/A,TRUE,"GENERAL";"TAB3",#N/A,TRUE,"GENERAL";"TAB4",#N/A,TRUE,"GENERAL";"TAB5",#N/A,TRUE,"GENERAL"}</definedName>
    <definedName name="thdh" localSheetId="16" hidden="1">{"TAB1",#N/A,TRUE,"GENERAL";"TAB2",#N/A,TRUE,"GENERAL";"TAB3",#N/A,TRUE,"GENERAL";"TAB4",#N/A,TRUE,"GENERAL";"TAB5",#N/A,TRUE,"GENERAL"}</definedName>
    <definedName name="thdh" localSheetId="18" hidden="1">{"TAB1",#N/A,TRUE,"GENERAL";"TAB2",#N/A,TRUE,"GENERAL";"TAB3",#N/A,TRUE,"GENERAL";"TAB4",#N/A,TRUE,"GENERAL";"TAB5",#N/A,TRUE,"GENERAL"}</definedName>
    <definedName name="thdh" hidden="1">{"TAB1",#N/A,TRUE,"GENERAL";"TAB2",#N/A,TRUE,"GENERAL";"TAB3",#N/A,TRUE,"GENERAL";"TAB4",#N/A,TRUE,"GENERAL";"TAB5",#N/A,TRUE,"GENERAL"}</definedName>
    <definedName name="thtj" localSheetId="15" hidden="1">{"via1",#N/A,TRUE,"general";"via2",#N/A,TRUE,"general";"via3",#N/A,TRUE,"general"}</definedName>
    <definedName name="thtj" localSheetId="17" hidden="1">{"via1",#N/A,TRUE,"general";"via2",#N/A,TRUE,"general";"via3",#N/A,TRUE,"general"}</definedName>
    <definedName name="thtj" localSheetId="19" hidden="1">{"via1",#N/A,TRUE,"general";"via2",#N/A,TRUE,"general";"via3",#N/A,TRUE,"general"}</definedName>
    <definedName name="thtj" localSheetId="12"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4" hidden="1">{"via1",#N/A,TRUE,"general";"via2",#N/A,TRUE,"general";"via3",#N/A,TRUE,"general"}</definedName>
    <definedName name="thtj" localSheetId="1" hidden="1">{"via1",#N/A,TRUE,"general";"via2",#N/A,TRUE,"general";"via3",#N/A,TRUE,"general"}</definedName>
    <definedName name="thtj" localSheetId="14" hidden="1">{"via1",#N/A,TRUE,"general";"via2",#N/A,TRUE,"general";"via3",#N/A,TRUE,"general"}</definedName>
    <definedName name="thtj" localSheetId="16" hidden="1">{"via1",#N/A,TRUE,"general";"via2",#N/A,TRUE,"general";"via3",#N/A,TRUE,"general"}</definedName>
    <definedName name="thtj" localSheetId="18" hidden="1">{"via1",#N/A,TRUE,"general";"via2",#N/A,TRUE,"general";"via3",#N/A,TRUE,"general"}</definedName>
    <definedName name="thtj" hidden="1">{"via1",#N/A,TRUE,"general";"via2",#N/A,TRUE,"general";"via3",#N/A,TRUE,"general"}</definedName>
    <definedName name="TK_1" localSheetId="8" hidden="1">#REF!</definedName>
    <definedName name="TK_1" localSheetId="9" hidden="1">#REF!</definedName>
    <definedName name="TK_1" localSheetId="10" hidden="1">#REF!</definedName>
    <definedName name="TK_1" localSheetId="1" hidden="1">#REF!</definedName>
    <definedName name="TK_1" hidden="1">#REF!</definedName>
    <definedName name="tortas" localSheetId="15"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8" hidden="1">{"TAB1",#N/A,TRUE,"GENERAL";"TAB2",#N/A,TRUE,"GENERAL";"TAB3",#N/A,TRUE,"GENERAL";"TAB4",#N/A,TRUE,"GENERAL";"TAB5",#N/A,TRUE,"GENERAL"}</definedName>
    <definedName name="tortas" hidden="1">{"TAB1",#N/A,TRUE,"GENERAL";"TAB2",#N/A,TRUE,"GENERAL";"TAB3",#N/A,TRUE,"GENERAL";"TAB4",#N/A,TRUE,"GENERAL";"TAB5",#N/A,TRUE,"GENERAL"}</definedName>
    <definedName name="tortas2" localSheetId="15" hidden="1">{"via1",#N/A,TRUE,"general";"via2",#N/A,TRUE,"general";"via3",#N/A,TRUE,"general"}</definedName>
    <definedName name="tortas2" localSheetId="17" hidden="1">{"via1",#N/A,TRUE,"general";"via2",#N/A,TRUE,"general";"via3",#N/A,TRUE,"general"}</definedName>
    <definedName name="tortas2" localSheetId="19" hidden="1">{"via1",#N/A,TRUE,"general";"via2",#N/A,TRUE,"general";"via3",#N/A,TRUE,"general"}</definedName>
    <definedName name="tortas2" localSheetId="12"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4" hidden="1">{"via1",#N/A,TRUE,"general";"via2",#N/A,TRUE,"general";"via3",#N/A,TRUE,"general"}</definedName>
    <definedName name="tortas2" localSheetId="1" hidden="1">{"via1",#N/A,TRUE,"general";"via2",#N/A,TRUE,"general";"via3",#N/A,TRUE,"general"}</definedName>
    <definedName name="tortas2" localSheetId="14" hidden="1">{"via1",#N/A,TRUE,"general";"via2",#N/A,TRUE,"general";"via3",#N/A,TRUE,"general"}</definedName>
    <definedName name="tortas2" localSheetId="16" hidden="1">{"via1",#N/A,TRUE,"general";"via2",#N/A,TRUE,"general";"via3",#N/A,TRUE,"general"}</definedName>
    <definedName name="tortas2" localSheetId="18" hidden="1">{"via1",#N/A,TRUE,"general";"via2",#N/A,TRUE,"general";"via3",#N/A,TRUE,"general"}</definedName>
    <definedName name="tortas2" hidden="1">{"via1",#N/A,TRUE,"general";"via2",#N/A,TRUE,"general";"via3",#N/A,TRUE,"general"}</definedName>
    <definedName name="tr" localSheetId="15" hidden="1">{"TAB1",#N/A,TRUE,"GENERAL";"TAB2",#N/A,TRUE,"GENERAL";"TAB3",#N/A,TRUE,"GENERAL";"TAB4",#N/A,TRUE,"GENERAL";"TAB5",#N/A,TRUE,"GENERAL"}</definedName>
    <definedName name="tr" localSheetId="17" hidden="1">{"TAB1",#N/A,TRUE,"GENERAL";"TAB2",#N/A,TRUE,"GENERAL";"TAB3",#N/A,TRUE,"GENERAL";"TAB4",#N/A,TRUE,"GENERAL";"TAB5",#N/A,TRUE,"GENERAL"}</definedName>
    <definedName name="tr" localSheetId="19" hidden="1">{"TAB1",#N/A,TRUE,"GENERAL";"TAB2",#N/A,TRUE,"GENERAL";"TAB3",#N/A,TRUE,"GENERAL";"TAB4",#N/A,TRUE,"GENERAL";"TAB5",#N/A,TRUE,"GENERAL"}</definedName>
    <definedName name="tr" localSheetId="12"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7"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4" hidden="1">{"TAB1",#N/A,TRUE,"GENERAL";"TAB2",#N/A,TRUE,"GENERAL";"TAB3",#N/A,TRUE,"GENERAL";"TAB4",#N/A,TRUE,"GENERAL";"TAB5",#N/A,TRUE,"GENERAL"}</definedName>
    <definedName name="tr" localSheetId="1" hidden="1">{"TAB1",#N/A,TRUE,"GENERAL";"TAB2",#N/A,TRUE,"GENERAL";"TAB3",#N/A,TRUE,"GENERAL";"TAB4",#N/A,TRUE,"GENERAL";"TAB5",#N/A,TRUE,"GENERAL"}</definedName>
    <definedName name="tr" localSheetId="14" hidden="1">{"TAB1",#N/A,TRUE,"GENERAL";"TAB2",#N/A,TRUE,"GENERAL";"TAB3",#N/A,TRUE,"GENERAL";"TAB4",#N/A,TRUE,"GENERAL";"TAB5",#N/A,TRUE,"GENERAL"}</definedName>
    <definedName name="tr" localSheetId="16" hidden="1">{"TAB1",#N/A,TRUE,"GENERAL";"TAB2",#N/A,TRUE,"GENERAL";"TAB3",#N/A,TRUE,"GENERAL";"TAB4",#N/A,TRUE,"GENERAL";"TAB5",#N/A,TRUE,"GENERAL"}</definedName>
    <definedName name="tr" localSheetId="18" hidden="1">{"TAB1",#N/A,TRUE,"GENERAL";"TAB2",#N/A,TRUE,"GENERAL";"TAB3",#N/A,TRUE,"GENERAL";"TAB4",#N/A,TRUE,"GENERAL";"TAB5",#N/A,TRUE,"GENERAL"}</definedName>
    <definedName name="tr"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4" hidden="1">{"TAB1",#N/A,TRUE,"GENERAL";"TAB2",#N/A,TRUE,"GENERAL";"TAB3",#N/A,TRUE,"GENERAL";"TAB4",#N/A,TRUE,"GENERAL";"TAB5",#N/A,TRUE,"GENERAL"}</definedName>
    <definedName name="trest" localSheetId="1"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8" hidden="1">{"TAB1",#N/A,TRUE,"GENERAL";"TAB2",#N/A,TRUE,"GENERAL";"TAB3",#N/A,TRUE,"GENERAL";"TAB4",#N/A,TRUE,"GENERAL";"TAB5",#N/A,TRUE,"GENERAL"}</definedName>
    <definedName name="trest" hidden="1">{"TAB1",#N/A,TRUE,"GENERAL";"TAB2",#N/A,TRUE,"GENERAL";"TAB3",#N/A,TRUE,"GENERAL";"TAB4",#N/A,TRUE,"GENERAL";"TAB5",#N/A,TRUE,"GENERAL"}</definedName>
    <definedName name="tret" localSheetId="15" hidden="1">{"TAB1",#N/A,TRUE,"GENERAL";"TAB2",#N/A,TRUE,"GENERAL";"TAB3",#N/A,TRUE,"GENERAL";"TAB4",#N/A,TRUE,"GENERAL";"TAB5",#N/A,TRUE,"GENERAL"}</definedName>
    <definedName name="tret" localSheetId="17" hidden="1">{"TAB1",#N/A,TRUE,"GENERAL";"TAB2",#N/A,TRUE,"GENERAL";"TAB3",#N/A,TRUE,"GENERAL";"TAB4",#N/A,TRUE,"GENERAL";"TAB5",#N/A,TRUE,"GENERAL"}</definedName>
    <definedName name="tret" localSheetId="19" hidden="1">{"TAB1",#N/A,TRUE,"GENERAL";"TAB2",#N/A,TRUE,"GENERAL";"TAB3",#N/A,TRUE,"GENERAL";"TAB4",#N/A,TRUE,"GENERAL";"TAB5",#N/A,TRUE,"GENERAL"}</definedName>
    <definedName name="tret" localSheetId="12"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4" hidden="1">{"TAB1",#N/A,TRUE,"GENERAL";"TAB2",#N/A,TRUE,"GENERAL";"TAB3",#N/A,TRUE,"GENERAL";"TAB4",#N/A,TRUE,"GENERAL";"TAB5",#N/A,TRUE,"GENERAL"}</definedName>
    <definedName name="tret" localSheetId="1" hidden="1">{"TAB1",#N/A,TRUE,"GENERAL";"TAB2",#N/A,TRUE,"GENERAL";"TAB3",#N/A,TRUE,"GENERAL";"TAB4",#N/A,TRUE,"GENERAL";"TAB5",#N/A,TRUE,"GENERAL"}</definedName>
    <definedName name="tret" localSheetId="14" hidden="1">{"TAB1",#N/A,TRUE,"GENERAL";"TAB2",#N/A,TRUE,"GENERAL";"TAB3",#N/A,TRUE,"GENERAL";"TAB4",#N/A,TRUE,"GENERAL";"TAB5",#N/A,TRUE,"GENERAL"}</definedName>
    <definedName name="tret" localSheetId="16" hidden="1">{"TAB1",#N/A,TRUE,"GENERAL";"TAB2",#N/A,TRUE,"GENERAL";"TAB3",#N/A,TRUE,"GENERAL";"TAB4",#N/A,TRUE,"GENERAL";"TAB5",#N/A,TRUE,"GENERAL"}</definedName>
    <definedName name="tret" localSheetId="18" hidden="1">{"TAB1",#N/A,TRUE,"GENERAL";"TAB2",#N/A,TRUE,"GENERAL";"TAB3",#N/A,TRUE,"GENERAL";"TAB4",#N/A,TRUE,"GENERAL";"TAB5",#N/A,TRUE,"GENERAL"}</definedName>
    <definedName name="tret" hidden="1">{"TAB1",#N/A,TRUE,"GENERAL";"TAB2",#N/A,TRUE,"GENERAL";"TAB3",#N/A,TRUE,"GENERAL";"TAB4",#N/A,TRUE,"GENERAL";"TAB5",#N/A,TRUE,"GENERAL"}</definedName>
    <definedName name="trh" localSheetId="15" hidden="1">{"via1",#N/A,TRUE,"general";"via2",#N/A,TRUE,"general";"via3",#N/A,TRUE,"general"}</definedName>
    <definedName name="trh" localSheetId="17" hidden="1">{"via1",#N/A,TRUE,"general";"via2",#N/A,TRUE,"general";"via3",#N/A,TRUE,"general"}</definedName>
    <definedName name="trh" localSheetId="19" hidden="1">{"via1",#N/A,TRUE,"general";"via2",#N/A,TRUE,"general";"via3",#N/A,TRUE,"general"}</definedName>
    <definedName name="trh" localSheetId="12"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4" hidden="1">{"via1",#N/A,TRUE,"general";"via2",#N/A,TRUE,"general";"via3",#N/A,TRUE,"general"}</definedName>
    <definedName name="trh" localSheetId="1" hidden="1">{"via1",#N/A,TRUE,"general";"via2",#N/A,TRUE,"general";"via3",#N/A,TRUE,"general"}</definedName>
    <definedName name="trh" localSheetId="14" hidden="1">{"via1",#N/A,TRUE,"general";"via2",#N/A,TRUE,"general";"via3",#N/A,TRUE,"general"}</definedName>
    <definedName name="trh" localSheetId="16" hidden="1">{"via1",#N/A,TRUE,"general";"via2",#N/A,TRUE,"general";"via3",#N/A,TRUE,"general"}</definedName>
    <definedName name="trh" localSheetId="18" hidden="1">{"via1",#N/A,TRUE,"general";"via2",#N/A,TRUE,"general";"via3",#N/A,TRUE,"general"}</definedName>
    <definedName name="trh" hidden="1">{"via1",#N/A,TRUE,"general";"via2",#N/A,TRUE,"general";"via3",#N/A,TRUE,"general"}</definedName>
    <definedName name="trhfh" localSheetId="15" hidden="1">{"via1",#N/A,TRUE,"general";"via2",#N/A,TRUE,"general";"via3",#N/A,TRUE,"general"}</definedName>
    <definedName name="trhfh" localSheetId="17" hidden="1">{"via1",#N/A,TRUE,"general";"via2",#N/A,TRUE,"general";"via3",#N/A,TRUE,"general"}</definedName>
    <definedName name="trhfh" localSheetId="19" hidden="1">{"via1",#N/A,TRUE,"general";"via2",#N/A,TRUE,"general";"via3",#N/A,TRUE,"general"}</definedName>
    <definedName name="trhfh" localSheetId="12"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4" hidden="1">{"via1",#N/A,TRUE,"general";"via2",#N/A,TRUE,"general";"via3",#N/A,TRUE,"general"}</definedName>
    <definedName name="trhfh" localSheetId="1" hidden="1">{"via1",#N/A,TRUE,"general";"via2",#N/A,TRUE,"general";"via3",#N/A,TRUE,"general"}</definedName>
    <definedName name="trhfh" localSheetId="14" hidden="1">{"via1",#N/A,TRUE,"general";"via2",#N/A,TRUE,"general";"via3",#N/A,TRUE,"general"}</definedName>
    <definedName name="trhfh" localSheetId="16" hidden="1">{"via1",#N/A,TRUE,"general";"via2",#N/A,TRUE,"general";"via3",#N/A,TRUE,"general"}</definedName>
    <definedName name="trhfh" localSheetId="18" hidden="1">{"via1",#N/A,TRUE,"general";"via2",#N/A,TRUE,"general";"via3",#N/A,TRUE,"general"}</definedName>
    <definedName name="trhfh" hidden="1">{"via1",#N/A,TRUE,"general";"via2",#N/A,TRUE,"general";"via3",#N/A,TRUE,"general"}</definedName>
    <definedName name="trjfgjh" localSheetId="15" hidden="1">{"via1",#N/A,TRUE,"general";"via2",#N/A,TRUE,"general";"via3",#N/A,TRUE,"general"}</definedName>
    <definedName name="trjfgjh" localSheetId="17" hidden="1">{"via1",#N/A,TRUE,"general";"via2",#N/A,TRUE,"general";"via3",#N/A,TRUE,"general"}</definedName>
    <definedName name="trjfgjh" localSheetId="19" hidden="1">{"via1",#N/A,TRUE,"general";"via2",#N/A,TRUE,"general";"via3",#N/A,TRUE,"general"}</definedName>
    <definedName name="trjfgjh" localSheetId="12"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4" hidden="1">{"via1",#N/A,TRUE,"general";"via2",#N/A,TRUE,"general";"via3",#N/A,TRUE,"general"}</definedName>
    <definedName name="trjfgjh" localSheetId="1" hidden="1">{"via1",#N/A,TRUE,"general";"via2",#N/A,TRUE,"general";"via3",#N/A,TRUE,"general"}</definedName>
    <definedName name="trjfgjh" localSheetId="14" hidden="1">{"via1",#N/A,TRUE,"general";"via2",#N/A,TRUE,"general";"via3",#N/A,TRUE,"general"}</definedName>
    <definedName name="trjfgjh" localSheetId="16" hidden="1">{"via1",#N/A,TRUE,"general";"via2",#N/A,TRUE,"general";"via3",#N/A,TRUE,"general"}</definedName>
    <definedName name="trjfgjh" localSheetId="18" hidden="1">{"via1",#N/A,TRUE,"general";"via2",#N/A,TRUE,"general";"via3",#N/A,TRUE,"general"}</definedName>
    <definedName name="trjfgjh" hidden="1">{"via1",#N/A,TRUE,"general";"via2",#N/A,TRUE,"general";"via3",#N/A,TRUE,"general"}</definedName>
    <definedName name="tru" localSheetId="15" hidden="1">{"via1",#N/A,TRUE,"general";"via2",#N/A,TRUE,"general";"via3",#N/A,TRUE,"general"}</definedName>
    <definedName name="tru" localSheetId="17" hidden="1">{"via1",#N/A,TRUE,"general";"via2",#N/A,TRUE,"general";"via3",#N/A,TRUE,"general"}</definedName>
    <definedName name="tru" localSheetId="19" hidden="1">{"via1",#N/A,TRUE,"general";"via2",#N/A,TRUE,"general";"via3",#N/A,TRUE,"general"}</definedName>
    <definedName name="tru" localSheetId="12"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4" hidden="1">{"via1",#N/A,TRUE,"general";"via2",#N/A,TRUE,"general";"via3",#N/A,TRUE,"general"}</definedName>
    <definedName name="tru" localSheetId="1" hidden="1">{"via1",#N/A,TRUE,"general";"via2",#N/A,TRUE,"general";"via3",#N/A,TRUE,"general"}</definedName>
    <definedName name="tru" localSheetId="14" hidden="1">{"via1",#N/A,TRUE,"general";"via2",#N/A,TRUE,"general";"via3",#N/A,TRUE,"general"}</definedName>
    <definedName name="tru" localSheetId="16" hidden="1">{"via1",#N/A,TRUE,"general";"via2",#N/A,TRUE,"general";"via3",#N/A,TRUE,"general"}</definedName>
    <definedName name="tru" localSheetId="18" hidden="1">{"via1",#N/A,TRUE,"general";"via2",#N/A,TRUE,"general";"via3",#N/A,TRUE,"general"}</definedName>
    <definedName name="tru" hidden="1">{"via1",#N/A,TRUE,"general";"via2",#N/A,TRUE,"general";"via3",#N/A,TRUE,"general"}</definedName>
    <definedName name="truds" localSheetId="15" hidden="1">{"via1",#N/A,TRUE,"general";"via2",#N/A,TRUE,"general";"via3",#N/A,TRUE,"general"}</definedName>
    <definedName name="truds" localSheetId="17" hidden="1">{"via1",#N/A,TRUE,"general";"via2",#N/A,TRUE,"general";"via3",#N/A,TRUE,"general"}</definedName>
    <definedName name="truds" localSheetId="19" hidden="1">{"via1",#N/A,TRUE,"general";"via2",#N/A,TRUE,"general";"via3",#N/A,TRUE,"general"}</definedName>
    <definedName name="truds" localSheetId="12"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4" hidden="1">{"via1",#N/A,TRUE,"general";"via2",#N/A,TRUE,"general";"via3",#N/A,TRUE,"general"}</definedName>
    <definedName name="truds" localSheetId="1" hidden="1">{"via1",#N/A,TRUE,"general";"via2",#N/A,TRUE,"general";"via3",#N/A,TRUE,"general"}</definedName>
    <definedName name="truds" localSheetId="14" hidden="1">{"via1",#N/A,TRUE,"general";"via2",#N/A,TRUE,"general";"via3",#N/A,TRUE,"general"}</definedName>
    <definedName name="truds" localSheetId="16" hidden="1">{"via1",#N/A,TRUE,"general";"via2",#N/A,TRUE,"general";"via3",#N/A,TRUE,"general"}</definedName>
    <definedName name="truds" localSheetId="18" hidden="1">{"via1",#N/A,TRUE,"general";"via2",#N/A,TRUE,"general";"via3",#N/A,TRUE,"general"}</definedName>
    <definedName name="truds" hidden="1">{"via1",#N/A,TRUE,"general";"via2",#N/A,TRUE,"general";"via3",#N/A,TRUE,"general"}</definedName>
    <definedName name="trutu" localSheetId="15" hidden="1">{"via1",#N/A,TRUE,"general";"via2",#N/A,TRUE,"general";"via3",#N/A,TRUE,"general"}</definedName>
    <definedName name="trutu" localSheetId="17" hidden="1">{"via1",#N/A,TRUE,"general";"via2",#N/A,TRUE,"general";"via3",#N/A,TRUE,"general"}</definedName>
    <definedName name="trutu" localSheetId="19" hidden="1">{"via1",#N/A,TRUE,"general";"via2",#N/A,TRUE,"general";"via3",#N/A,TRUE,"general"}</definedName>
    <definedName name="trutu" localSheetId="12"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4" hidden="1">{"via1",#N/A,TRUE,"general";"via2",#N/A,TRUE,"general";"via3",#N/A,TRUE,"general"}</definedName>
    <definedName name="trutu" localSheetId="1" hidden="1">{"via1",#N/A,TRUE,"general";"via2",#N/A,TRUE,"general";"via3",#N/A,TRUE,"general"}</definedName>
    <definedName name="trutu" localSheetId="14" hidden="1">{"via1",#N/A,TRUE,"general";"via2",#N/A,TRUE,"general";"via3",#N/A,TRUE,"general"}</definedName>
    <definedName name="trutu" localSheetId="16" hidden="1">{"via1",#N/A,TRUE,"general";"via2",#N/A,TRUE,"general";"via3",#N/A,TRUE,"general"}</definedName>
    <definedName name="trutu" localSheetId="18" hidden="1">{"via1",#N/A,TRUE,"general";"via2",#N/A,TRUE,"general";"via3",#N/A,TRUE,"general"}</definedName>
    <definedName name="trutu" hidden="1">{"via1",#N/A,TRUE,"general";"via2",#N/A,TRUE,"general";"via3",#N/A,TRUE,"general"}</definedName>
    <definedName name="trydfg" localSheetId="15" hidden="1">{"via1",#N/A,TRUE,"general";"via2",#N/A,TRUE,"general";"via3",#N/A,TRUE,"general"}</definedName>
    <definedName name="trydfg" localSheetId="17" hidden="1">{"via1",#N/A,TRUE,"general";"via2",#N/A,TRUE,"general";"via3",#N/A,TRUE,"general"}</definedName>
    <definedName name="trydfg" localSheetId="19" hidden="1">{"via1",#N/A,TRUE,"general";"via2",#N/A,TRUE,"general";"via3",#N/A,TRUE,"general"}</definedName>
    <definedName name="trydfg" localSheetId="12"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4" hidden="1">{"via1",#N/A,TRUE,"general";"via2",#N/A,TRUE,"general";"via3",#N/A,TRUE,"general"}</definedName>
    <definedName name="trydfg" localSheetId="1" hidden="1">{"via1",#N/A,TRUE,"general";"via2",#N/A,TRUE,"general";"via3",#N/A,TRUE,"general"}</definedName>
    <definedName name="trydfg" localSheetId="14" hidden="1">{"via1",#N/A,TRUE,"general";"via2",#N/A,TRUE,"general";"via3",#N/A,TRUE,"general"}</definedName>
    <definedName name="trydfg" localSheetId="16" hidden="1">{"via1",#N/A,TRUE,"general";"via2",#N/A,TRUE,"general";"via3",#N/A,TRUE,"general"}</definedName>
    <definedName name="trydfg" localSheetId="18" hidden="1">{"via1",#N/A,TRUE,"general";"via2",#N/A,TRUE,"general";"via3",#N/A,TRUE,"general"}</definedName>
    <definedName name="trydfg" hidden="1">{"via1",#N/A,TRUE,"general";"via2",#N/A,TRUE,"general";"via3",#N/A,TRUE,"general"}</definedName>
    <definedName name="trydtrygf" localSheetId="15" hidden="1">{"via1",#N/A,TRUE,"general";"via2",#N/A,TRUE,"general";"via3",#N/A,TRUE,"general"}</definedName>
    <definedName name="trydtrygf" localSheetId="17" hidden="1">{"via1",#N/A,TRUE,"general";"via2",#N/A,TRUE,"general";"via3",#N/A,TRUE,"general"}</definedName>
    <definedName name="trydtrygf" localSheetId="19" hidden="1">{"via1",#N/A,TRUE,"general";"via2",#N/A,TRUE,"general";"via3",#N/A,TRUE,"general"}</definedName>
    <definedName name="trydtrygf" localSheetId="12"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4" hidden="1">{"via1",#N/A,TRUE,"general";"via2",#N/A,TRUE,"general";"via3",#N/A,TRUE,"general"}</definedName>
    <definedName name="trydtrygf" localSheetId="1" hidden="1">{"via1",#N/A,TRUE,"general";"via2",#N/A,TRUE,"general";"via3",#N/A,TRUE,"general"}</definedName>
    <definedName name="trydtrygf" localSheetId="14" hidden="1">{"via1",#N/A,TRUE,"general";"via2",#N/A,TRUE,"general";"via3",#N/A,TRUE,"general"}</definedName>
    <definedName name="trydtrygf" localSheetId="16" hidden="1">{"via1",#N/A,TRUE,"general";"via2",#N/A,TRUE,"general";"via3",#N/A,TRUE,"general"}</definedName>
    <definedName name="trydtrygf" localSheetId="18" hidden="1">{"via1",#N/A,TRUE,"general";"via2",#N/A,TRUE,"general";"via3",#N/A,TRUE,"general"}</definedName>
    <definedName name="trydtrygf" hidden="1">{"via1",#N/A,TRUE,"general";"via2",#N/A,TRUE,"general";"via3",#N/A,TRUE,"general"}</definedName>
    <definedName name="tryery" localSheetId="15"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8" hidden="1">{"TAB1",#N/A,TRUE,"GENERAL";"TAB2",#N/A,TRUE,"GENERAL";"TAB3",#N/A,TRUE,"GENERAL";"TAB4",#N/A,TRUE,"GENERAL";"TAB5",#N/A,TRUE,"GENERAL"}</definedName>
    <definedName name="tryery"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8" hidden="1">{"TAB1",#N/A,TRUE,"GENERAL";"TAB2",#N/A,TRUE,"GENERAL";"TAB3",#N/A,TRUE,"GENERAL";"TAB4",#N/A,TRUE,"GENERAL";"TAB5",#N/A,TRUE,"GENERAL"}</definedName>
    <definedName name="tryi6" hidden="1">{"TAB1",#N/A,TRUE,"GENERAL";"TAB2",#N/A,TRUE,"GENERAL";"TAB3",#N/A,TRUE,"GENERAL";"TAB4",#N/A,TRUE,"GENERAL";"TAB5",#N/A,TRUE,"GENERAL"}</definedName>
    <definedName name="tryrth" localSheetId="15" hidden="1">{"via1",#N/A,TRUE,"general";"via2",#N/A,TRUE,"general";"via3",#N/A,TRUE,"general"}</definedName>
    <definedName name="tryrth" localSheetId="17" hidden="1">{"via1",#N/A,TRUE,"general";"via2",#N/A,TRUE,"general";"via3",#N/A,TRUE,"general"}</definedName>
    <definedName name="tryrth" localSheetId="19" hidden="1">{"via1",#N/A,TRUE,"general";"via2",#N/A,TRUE,"general";"via3",#N/A,TRUE,"general"}</definedName>
    <definedName name="tryrth" localSheetId="12"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4" hidden="1">{"via1",#N/A,TRUE,"general";"via2",#N/A,TRUE,"general";"via3",#N/A,TRUE,"general"}</definedName>
    <definedName name="tryrth" localSheetId="1" hidden="1">{"via1",#N/A,TRUE,"general";"via2",#N/A,TRUE,"general";"via3",#N/A,TRUE,"general"}</definedName>
    <definedName name="tryrth" localSheetId="14" hidden="1">{"via1",#N/A,TRUE,"general";"via2",#N/A,TRUE,"general";"via3",#N/A,TRUE,"general"}</definedName>
    <definedName name="tryrth" localSheetId="16" hidden="1">{"via1",#N/A,TRUE,"general";"via2",#N/A,TRUE,"general";"via3",#N/A,TRUE,"general"}</definedName>
    <definedName name="tryrth" localSheetId="18" hidden="1">{"via1",#N/A,TRUE,"general";"via2",#N/A,TRUE,"general";"via3",#N/A,TRUE,"general"}</definedName>
    <definedName name="tryrth" hidden="1">{"via1",#N/A,TRUE,"general";"via2",#N/A,TRUE,"general";"via3",#N/A,TRUE,"general"}</definedName>
    <definedName name="tsert" localSheetId="15"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4" hidden="1">{"TAB1",#N/A,TRUE,"GENERAL";"TAB2",#N/A,TRUE,"GENERAL";"TAB3",#N/A,TRUE,"GENERAL";"TAB4",#N/A,TRUE,"GENERAL";"TAB5",#N/A,TRUE,"GENERAL"}</definedName>
    <definedName name="tsert" localSheetId="1"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8" hidden="1">{"TAB1",#N/A,TRUE,"GENERAL";"TAB2",#N/A,TRUE,"GENERAL";"TAB3",#N/A,TRUE,"GENERAL";"TAB4",#N/A,TRUE,"GENERAL";"TAB5",#N/A,TRUE,"GENERAL"}</definedName>
    <definedName name="tsert" hidden="1">{"TAB1",#N/A,TRUE,"GENERAL";"TAB2",#N/A,TRUE,"GENERAL";"TAB3",#N/A,TRUE,"GENERAL";"TAB4",#N/A,TRUE,"GENERAL";"TAB5",#N/A,TRUE,"GENERAL"}</definedName>
    <definedName name="TTR" localSheetId="15" hidden="1">{"via1",#N/A,TRUE,"general";"via2",#N/A,TRUE,"general";"via3",#N/A,TRUE,"general"}</definedName>
    <definedName name="TTR" localSheetId="17" hidden="1">{"via1",#N/A,TRUE,"general";"via2",#N/A,TRUE,"general";"via3",#N/A,TRUE,"general"}</definedName>
    <definedName name="TTR" localSheetId="19" hidden="1">{"via1",#N/A,TRUE,"general";"via2",#N/A,TRUE,"general";"via3",#N/A,TRUE,"general"}</definedName>
    <definedName name="TTR" localSheetId="12"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4" hidden="1">{"via1",#N/A,TRUE,"general";"via2",#N/A,TRUE,"general";"via3",#N/A,TRUE,"general"}</definedName>
    <definedName name="TTR" localSheetId="1" hidden="1">{"via1",#N/A,TRUE,"general";"via2",#N/A,TRUE,"general";"via3",#N/A,TRUE,"general"}</definedName>
    <definedName name="TTR" localSheetId="14" hidden="1">{"via1",#N/A,TRUE,"general";"via2",#N/A,TRUE,"general";"via3",#N/A,TRUE,"general"}</definedName>
    <definedName name="TTR" localSheetId="16" hidden="1">{"via1",#N/A,TRUE,"general";"via2",#N/A,TRUE,"general";"via3",#N/A,TRUE,"general"}</definedName>
    <definedName name="TTR" localSheetId="18" hidden="1">{"via1",#N/A,TRUE,"general";"via2",#N/A,TRUE,"general";"via3",#N/A,TRUE,"general"}</definedName>
    <definedName name="TTR" hidden="1">{"via1",#N/A,TRUE,"general";"via2",#N/A,TRUE,"general";"via3",#N/A,TRUE,"general"}</definedName>
    <definedName name="ttrff" localSheetId="15" hidden="1">{"via1",#N/A,TRUE,"general";"via2",#N/A,TRUE,"general";"via3",#N/A,TRUE,"general"}</definedName>
    <definedName name="ttrff" localSheetId="17" hidden="1">{"via1",#N/A,TRUE,"general";"via2",#N/A,TRUE,"general";"via3",#N/A,TRUE,"general"}</definedName>
    <definedName name="ttrff" localSheetId="19" hidden="1">{"via1",#N/A,TRUE,"general";"via2",#N/A,TRUE,"general";"via3",#N/A,TRUE,"general"}</definedName>
    <definedName name="ttrff" localSheetId="12"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4" hidden="1">{"via1",#N/A,TRUE,"general";"via2",#N/A,TRUE,"general";"via3",#N/A,TRUE,"general"}</definedName>
    <definedName name="ttrff" localSheetId="1" hidden="1">{"via1",#N/A,TRUE,"general";"via2",#N/A,TRUE,"general";"via3",#N/A,TRUE,"general"}</definedName>
    <definedName name="ttrff" localSheetId="14" hidden="1">{"via1",#N/A,TRUE,"general";"via2",#N/A,TRUE,"general";"via3",#N/A,TRUE,"general"}</definedName>
    <definedName name="ttrff" localSheetId="16" hidden="1">{"via1",#N/A,TRUE,"general";"via2",#N/A,TRUE,"general";"via3",#N/A,TRUE,"general"}</definedName>
    <definedName name="ttrff" localSheetId="18" hidden="1">{"via1",#N/A,TRUE,"general";"via2",#N/A,TRUE,"general";"via3",#N/A,TRUE,"general"}</definedName>
    <definedName name="ttrff" hidden="1">{"via1",#N/A,TRUE,"general";"via2",#N/A,TRUE,"general";"via3",#N/A,TRUE,"general"}</definedName>
    <definedName name="ttt" localSheetId="13" hidden="1">{"TAB1",#N/A,TRUE,"GENERAL";"TAB2",#N/A,TRUE,"GENERAL";"TAB3",#N/A,TRUE,"GENERAL";"TAB4",#N/A,TRUE,"GENERAL";"TAB5",#N/A,TRUE,"GENERAL"}</definedName>
    <definedName name="ttt" localSheetId="15" hidden="1">{"TAB1",#N/A,TRUE,"GENERAL";"TAB2",#N/A,TRUE,"GENERAL";"TAB3",#N/A,TRUE,"GENERAL";"TAB4",#N/A,TRUE,"GENERAL";"TAB5",#N/A,TRUE,"GENERAL"}</definedName>
    <definedName name="ttt" localSheetId="17" hidden="1">{"TAB1",#N/A,TRUE,"GENERAL";"TAB2",#N/A,TRUE,"GENERAL";"TAB3",#N/A,TRUE,"GENERAL";"TAB4",#N/A,TRUE,"GENERAL";"TAB5",#N/A,TRUE,"GENERAL"}</definedName>
    <definedName name="ttt" localSheetId="19" hidden="1">{"TAB1",#N/A,TRUE,"GENERAL";"TAB2",#N/A,TRUE,"GENERAL";"TAB3",#N/A,TRUE,"GENERAL";"TAB4",#N/A,TRUE,"GENERAL";"TAB5",#N/A,TRUE,"GENERAL"}</definedName>
    <definedName name="ttt" localSheetId="12"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7"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4" hidden="1">{"TAB1",#N/A,TRUE,"GENERAL";"TAB2",#N/A,TRUE,"GENERAL";"TAB3",#N/A,TRUE,"GENERAL";"TAB4",#N/A,TRUE,"GENERAL";"TAB5",#N/A,TRUE,"GENERAL"}</definedName>
    <definedName name="ttt" localSheetId="1" hidden="1">{"TAB1",#N/A,TRUE,"GENERAL";"TAB2",#N/A,TRUE,"GENERAL";"TAB3",#N/A,TRUE,"GENERAL";"TAB4",#N/A,TRUE,"GENERAL";"TAB5",#N/A,TRUE,"GENERAL"}</definedName>
    <definedName name="ttt" localSheetId="14" hidden="1">{"TAB1",#N/A,TRUE,"GENERAL";"TAB2",#N/A,TRUE,"GENERAL";"TAB3",#N/A,TRUE,"GENERAL";"TAB4",#N/A,TRUE,"GENERAL";"TAB5",#N/A,TRUE,"GENERAL"}</definedName>
    <definedName name="ttt" localSheetId="16" hidden="1">{"TAB1",#N/A,TRUE,"GENERAL";"TAB2",#N/A,TRUE,"GENERAL";"TAB3",#N/A,TRUE,"GENERAL";"TAB4",#N/A,TRUE,"GENERAL";"TAB5",#N/A,TRUE,"GENERAL"}</definedName>
    <definedName name="ttt" localSheetId="18" hidden="1">{"TAB1",#N/A,TRUE,"GENERAL";"TAB2",#N/A,TRUE,"GENERAL";"TAB3",#N/A,TRUE,"GENERAL";"TAB4",#N/A,TRUE,"GENERAL";"TAB5",#N/A,TRUE,"GENERAL"}</definedName>
    <definedName name="TTT" hidden="1">{#N/A,#N/A,TRUE,"INGENIERIA";#N/A,#N/A,TRUE,"COMPRAS";#N/A,#N/A,TRUE,"DIRECCION";#N/A,#N/A,TRUE,"RESUMEN"}</definedName>
    <definedName name="tttt7" localSheetId="15" hidden="1">{"via1",#N/A,TRUE,"general";"via2",#N/A,TRUE,"general";"via3",#N/A,TRUE,"general"}</definedName>
    <definedName name="tttt7" localSheetId="17" hidden="1">{"via1",#N/A,TRUE,"general";"via2",#N/A,TRUE,"general";"via3",#N/A,TRUE,"general"}</definedName>
    <definedName name="tttt7" localSheetId="19" hidden="1">{"via1",#N/A,TRUE,"general";"via2",#N/A,TRUE,"general";"via3",#N/A,TRUE,"general"}</definedName>
    <definedName name="tttt7" localSheetId="12"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4" hidden="1">{"via1",#N/A,TRUE,"general";"via2",#N/A,TRUE,"general";"via3",#N/A,TRUE,"general"}</definedName>
    <definedName name="tttt7" localSheetId="1" hidden="1">{"via1",#N/A,TRUE,"general";"via2",#N/A,TRUE,"general";"via3",#N/A,TRUE,"general"}</definedName>
    <definedName name="tttt7" localSheetId="14" hidden="1">{"via1",#N/A,TRUE,"general";"via2",#N/A,TRUE,"general";"via3",#N/A,TRUE,"general"}</definedName>
    <definedName name="tttt7" localSheetId="16" hidden="1">{"via1",#N/A,TRUE,"general";"via2",#N/A,TRUE,"general";"via3",#N/A,TRUE,"general"}</definedName>
    <definedName name="tttt7" localSheetId="18" hidden="1">{"via1",#N/A,TRUE,"general";"via2",#N/A,TRUE,"general";"via3",#N/A,TRUE,"general"}</definedName>
    <definedName name="tttt7" hidden="1">{"via1",#N/A,TRUE,"general";"via2",#N/A,TRUE,"general";"via3",#N/A,TRUE,"general"}</definedName>
    <definedName name="tttthy" localSheetId="15"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8" hidden="1">{"TAB1",#N/A,TRUE,"GENERAL";"TAB2",#N/A,TRUE,"GENERAL";"TAB3",#N/A,TRUE,"GENERAL";"TAB4",#N/A,TRUE,"GENERAL";"TAB5",#N/A,TRUE,"GENERAL"}</definedName>
    <definedName name="tttthy" hidden="1">{"TAB1",#N/A,TRUE,"GENERAL";"TAB2",#N/A,TRUE,"GENERAL";"TAB3",#N/A,TRUE,"GENERAL";"TAB4",#N/A,TRUE,"GENERAL";"TAB5",#N/A,TRUE,"GENERAL"}</definedName>
    <definedName name="ttttr" localSheetId="15" hidden="1">{"via1",#N/A,TRUE,"general";"via2",#N/A,TRUE,"general";"via3",#N/A,TRUE,"general"}</definedName>
    <definedName name="ttttr" localSheetId="17" hidden="1">{"via1",#N/A,TRUE,"general";"via2",#N/A,TRUE,"general";"via3",#N/A,TRUE,"general"}</definedName>
    <definedName name="ttttr" localSheetId="19" hidden="1">{"via1",#N/A,TRUE,"general";"via2",#N/A,TRUE,"general";"via3",#N/A,TRUE,"general"}</definedName>
    <definedName name="ttttr" localSheetId="12"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4" hidden="1">{"via1",#N/A,TRUE,"general";"via2",#N/A,TRUE,"general";"via3",#N/A,TRUE,"general"}</definedName>
    <definedName name="ttttr" localSheetId="1" hidden="1">{"via1",#N/A,TRUE,"general";"via2",#N/A,TRUE,"general";"via3",#N/A,TRUE,"general"}</definedName>
    <definedName name="ttttr" localSheetId="14" hidden="1">{"via1",#N/A,TRUE,"general";"via2",#N/A,TRUE,"general";"via3",#N/A,TRUE,"general"}</definedName>
    <definedName name="ttttr" localSheetId="16" hidden="1">{"via1",#N/A,TRUE,"general";"via2",#N/A,TRUE,"general";"via3",#N/A,TRUE,"general"}</definedName>
    <definedName name="ttttr" localSheetId="18" hidden="1">{"via1",#N/A,TRUE,"general";"via2",#N/A,TRUE,"general";"via3",#N/A,TRUE,"general"}</definedName>
    <definedName name="ttttr" hidden="1">{"via1",#N/A,TRUE,"general";"via2",#N/A,TRUE,"general";"via3",#N/A,TRUE,"general"}</definedName>
    <definedName name="ttttt" localSheetId="15"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4" hidden="1">{"TAB1",#N/A,TRUE,"GENERAL";"TAB2",#N/A,TRUE,"GENERAL";"TAB3",#N/A,TRUE,"GENERAL";"TAB4",#N/A,TRUE,"GENERAL";"TAB5",#N/A,TRUE,"GENERAL"}</definedName>
    <definedName name="ttttt" localSheetId="1"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8" hidden="1">{"TAB1",#N/A,TRUE,"GENERAL";"TAB2",#N/A,TRUE,"GENERAL";"TAB3",#N/A,TRUE,"GENERAL";"TAB4",#N/A,TRUE,"GENERAL";"TAB5",#N/A,TRUE,"GENERAL"}</definedName>
    <definedName name="ttttt" hidden="1">{"TAB1",#N/A,TRUE,"GENERAL";"TAB2",#N/A,TRUE,"GENERAL";"TAB3",#N/A,TRUE,"GENERAL";"TAB4",#N/A,TRUE,"GENERAL";"TAB5",#N/A,TRUE,"GENERAL"}</definedName>
    <definedName name="tu" localSheetId="8" hidden="1">{"via1",#N/A,TRUE,"general";"via2",#N/A,TRUE,"general";"via3",#N/A,TRUE,"general"}</definedName>
    <definedName name="tu" localSheetId="9" hidden="1">{"via1",#N/A,TRUE,"general";"via2",#N/A,TRUE,"general";"via3",#N/A,TRUE,"general"}</definedName>
    <definedName name="tu" localSheetId="7" hidden="1">{"via1",#N/A,TRUE,"general";"via2",#N/A,TRUE,"general";"via3",#N/A,TRUE,"general"}</definedName>
    <definedName name="tu" localSheetId="10" hidden="1">{"via1",#N/A,TRUE,"general";"via2",#N/A,TRUE,"general";"via3",#N/A,TRUE,"general"}</definedName>
    <definedName name="tu" localSheetId="4" hidden="1">{"via1",#N/A,TRUE,"general";"via2",#N/A,TRUE,"general";"via3",#N/A,TRUE,"general"}</definedName>
    <definedName name="tu" localSheetId="1" hidden="1">{"via1",#N/A,TRUE,"general";"via2",#N/A,TRUE,"general";"via3",#N/A,TRUE,"general"}</definedName>
    <definedName name="TUBERIA" hidden="1">#REF!</definedName>
    <definedName name="TUBERIA1" hidden="1">#REF!</definedName>
    <definedName name="tur" localSheetId="15" hidden="1">{"TAB1",#N/A,TRUE,"GENERAL";"TAB2",#N/A,TRUE,"GENERAL";"TAB3",#N/A,TRUE,"GENERAL";"TAB4",#N/A,TRUE,"GENERAL";"TAB5",#N/A,TRUE,"GENERAL"}</definedName>
    <definedName name="tur" localSheetId="17" hidden="1">{"TAB1",#N/A,TRUE,"GENERAL";"TAB2",#N/A,TRUE,"GENERAL";"TAB3",#N/A,TRUE,"GENERAL";"TAB4",#N/A,TRUE,"GENERAL";"TAB5",#N/A,TRUE,"GENERAL"}</definedName>
    <definedName name="tur" localSheetId="19" hidden="1">{"TAB1",#N/A,TRUE,"GENERAL";"TAB2",#N/A,TRUE,"GENERAL";"TAB3",#N/A,TRUE,"GENERAL";"TAB4",#N/A,TRUE,"GENERAL";"TAB5",#N/A,TRUE,"GENERAL"}</definedName>
    <definedName name="tur" localSheetId="12"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4" hidden="1">{"TAB1",#N/A,TRUE,"GENERAL";"TAB2",#N/A,TRUE,"GENERAL";"TAB3",#N/A,TRUE,"GENERAL";"TAB4",#N/A,TRUE,"GENERAL";"TAB5",#N/A,TRUE,"GENERAL"}</definedName>
    <definedName name="tur" localSheetId="1" hidden="1">{"TAB1",#N/A,TRUE,"GENERAL";"TAB2",#N/A,TRUE,"GENERAL";"TAB3",#N/A,TRUE,"GENERAL";"TAB4",#N/A,TRUE,"GENERAL";"TAB5",#N/A,TRUE,"GENERAL"}</definedName>
    <definedName name="tur" localSheetId="14" hidden="1">{"TAB1",#N/A,TRUE,"GENERAL";"TAB2",#N/A,TRUE,"GENERAL";"TAB3",#N/A,TRUE,"GENERAL";"TAB4",#N/A,TRUE,"GENERAL";"TAB5",#N/A,TRUE,"GENERAL"}</definedName>
    <definedName name="tur" localSheetId="16" hidden="1">{"TAB1",#N/A,TRUE,"GENERAL";"TAB2",#N/A,TRUE,"GENERAL";"TAB3",#N/A,TRUE,"GENERAL";"TAB4",#N/A,TRUE,"GENERAL";"TAB5",#N/A,TRUE,"GENERAL"}</definedName>
    <definedName name="tur" localSheetId="18" hidden="1">{"TAB1",#N/A,TRUE,"GENERAL";"TAB2",#N/A,TRUE,"GENERAL";"TAB3",#N/A,TRUE,"GENERAL";"TAB4",#N/A,TRUE,"GENERAL";"TAB5",#N/A,TRUE,"GENERAL"}</definedName>
    <definedName name="tur" hidden="1">{"TAB1",#N/A,TRUE,"GENERAL";"TAB2",#N/A,TRUE,"GENERAL";"TAB3",#N/A,TRUE,"GENERAL";"TAB4",#N/A,TRUE,"GENERAL";"TAB5",#N/A,TRUE,"GENERAL"}</definedName>
    <definedName name="turu" localSheetId="15" hidden="1">{"TAB1",#N/A,TRUE,"GENERAL";"TAB2",#N/A,TRUE,"GENERAL";"TAB3",#N/A,TRUE,"GENERAL";"TAB4",#N/A,TRUE,"GENERAL";"TAB5",#N/A,TRUE,"GENERAL"}</definedName>
    <definedName name="turu" localSheetId="17" hidden="1">{"TAB1",#N/A,TRUE,"GENERAL";"TAB2",#N/A,TRUE,"GENERAL";"TAB3",#N/A,TRUE,"GENERAL";"TAB4",#N/A,TRUE,"GENERAL";"TAB5",#N/A,TRUE,"GENERAL"}</definedName>
    <definedName name="turu" localSheetId="19" hidden="1">{"TAB1",#N/A,TRUE,"GENERAL";"TAB2",#N/A,TRUE,"GENERAL";"TAB3",#N/A,TRUE,"GENERAL";"TAB4",#N/A,TRUE,"GENERAL";"TAB5",#N/A,TRUE,"GENERAL"}</definedName>
    <definedName name="turu" localSheetId="12"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4" hidden="1">{"TAB1",#N/A,TRUE,"GENERAL";"TAB2",#N/A,TRUE,"GENERAL";"TAB3",#N/A,TRUE,"GENERAL";"TAB4",#N/A,TRUE,"GENERAL";"TAB5",#N/A,TRUE,"GENERAL"}</definedName>
    <definedName name="turu" localSheetId="1" hidden="1">{"TAB1",#N/A,TRUE,"GENERAL";"TAB2",#N/A,TRUE,"GENERAL";"TAB3",#N/A,TRUE,"GENERAL";"TAB4",#N/A,TRUE,"GENERAL";"TAB5",#N/A,TRUE,"GENERAL"}</definedName>
    <definedName name="turu" localSheetId="14" hidden="1">{"TAB1",#N/A,TRUE,"GENERAL";"TAB2",#N/A,TRUE,"GENERAL";"TAB3",#N/A,TRUE,"GENERAL";"TAB4",#N/A,TRUE,"GENERAL";"TAB5",#N/A,TRUE,"GENERAL"}</definedName>
    <definedName name="turu" localSheetId="16" hidden="1">{"TAB1",#N/A,TRUE,"GENERAL";"TAB2",#N/A,TRUE,"GENERAL";"TAB3",#N/A,TRUE,"GENERAL";"TAB4",#N/A,TRUE,"GENERAL";"TAB5",#N/A,TRUE,"GENERAL"}</definedName>
    <definedName name="turu" localSheetId="18" hidden="1">{"TAB1",#N/A,TRUE,"GENERAL";"TAB2",#N/A,TRUE,"GENERAL";"TAB3",#N/A,TRUE,"GENERAL";"TAB4",#N/A,TRUE,"GENERAL";"TAB5",#N/A,TRUE,"GENERAL"}</definedName>
    <definedName name="turu" hidden="1">{"TAB1",#N/A,TRUE,"GENERAL";"TAB2",#N/A,TRUE,"GENERAL";"TAB3",#N/A,TRUE,"GENERAL";"TAB4",#N/A,TRUE,"GENERAL";"TAB5",#N/A,TRUE,"GENERAL"}</definedName>
    <definedName name="twer" localSheetId="15" hidden="1">{"TAB1",#N/A,TRUE,"GENERAL";"TAB2",#N/A,TRUE,"GENERAL";"TAB3",#N/A,TRUE,"GENERAL";"TAB4",#N/A,TRUE,"GENERAL";"TAB5",#N/A,TRUE,"GENERAL"}</definedName>
    <definedName name="twer" localSheetId="17" hidden="1">{"TAB1",#N/A,TRUE,"GENERAL";"TAB2",#N/A,TRUE,"GENERAL";"TAB3",#N/A,TRUE,"GENERAL";"TAB4",#N/A,TRUE,"GENERAL";"TAB5",#N/A,TRUE,"GENERAL"}</definedName>
    <definedName name="twer" localSheetId="19" hidden="1">{"TAB1",#N/A,TRUE,"GENERAL";"TAB2",#N/A,TRUE,"GENERAL";"TAB3",#N/A,TRUE,"GENERAL";"TAB4",#N/A,TRUE,"GENERAL";"TAB5",#N/A,TRUE,"GENERAL"}</definedName>
    <definedName name="twer" localSheetId="12"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4" hidden="1">{"TAB1",#N/A,TRUE,"GENERAL";"TAB2",#N/A,TRUE,"GENERAL";"TAB3",#N/A,TRUE,"GENERAL";"TAB4",#N/A,TRUE,"GENERAL";"TAB5",#N/A,TRUE,"GENERAL"}</definedName>
    <definedName name="twer" localSheetId="1" hidden="1">{"TAB1",#N/A,TRUE,"GENERAL";"TAB2",#N/A,TRUE,"GENERAL";"TAB3",#N/A,TRUE,"GENERAL";"TAB4",#N/A,TRUE,"GENERAL";"TAB5",#N/A,TRUE,"GENERAL"}</definedName>
    <definedName name="twer" localSheetId="14" hidden="1">{"TAB1",#N/A,TRUE,"GENERAL";"TAB2",#N/A,TRUE,"GENERAL";"TAB3",#N/A,TRUE,"GENERAL";"TAB4",#N/A,TRUE,"GENERAL";"TAB5",#N/A,TRUE,"GENERAL"}</definedName>
    <definedName name="twer" localSheetId="16" hidden="1">{"TAB1",#N/A,TRUE,"GENERAL";"TAB2",#N/A,TRUE,"GENERAL";"TAB3",#N/A,TRUE,"GENERAL";"TAB4",#N/A,TRUE,"GENERAL";"TAB5",#N/A,TRUE,"GENERAL"}</definedName>
    <definedName name="twer" localSheetId="18" hidden="1">{"TAB1",#N/A,TRUE,"GENERAL";"TAB2",#N/A,TRUE,"GENERAL";"TAB3",#N/A,TRUE,"GENERAL";"TAB4",#N/A,TRUE,"GENERAL";"TAB5",#N/A,TRUE,"GENERAL"}</definedName>
    <definedName name="twer" hidden="1">{"TAB1",#N/A,TRUE,"GENERAL";"TAB2",#N/A,TRUE,"GENERAL";"TAB3",#N/A,TRUE,"GENERAL";"TAB4",#N/A,TRUE,"GENERAL";"TAB5",#N/A,TRUE,"GENERAL"}</definedName>
    <definedName name="twet" localSheetId="15" hidden="1">{"TAB1",#N/A,TRUE,"GENERAL";"TAB2",#N/A,TRUE,"GENERAL";"TAB3",#N/A,TRUE,"GENERAL";"TAB4",#N/A,TRUE,"GENERAL";"TAB5",#N/A,TRUE,"GENERAL"}</definedName>
    <definedName name="twet" localSheetId="17" hidden="1">{"TAB1",#N/A,TRUE,"GENERAL";"TAB2",#N/A,TRUE,"GENERAL";"TAB3",#N/A,TRUE,"GENERAL";"TAB4",#N/A,TRUE,"GENERAL";"TAB5",#N/A,TRUE,"GENERAL"}</definedName>
    <definedName name="twet" localSheetId="19" hidden="1">{"TAB1",#N/A,TRUE,"GENERAL";"TAB2",#N/A,TRUE,"GENERAL";"TAB3",#N/A,TRUE,"GENERAL";"TAB4",#N/A,TRUE,"GENERAL";"TAB5",#N/A,TRUE,"GENERAL"}</definedName>
    <definedName name="twet" localSheetId="12"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4" hidden="1">{"TAB1",#N/A,TRUE,"GENERAL";"TAB2",#N/A,TRUE,"GENERAL";"TAB3",#N/A,TRUE,"GENERAL";"TAB4",#N/A,TRUE,"GENERAL";"TAB5",#N/A,TRUE,"GENERAL"}</definedName>
    <definedName name="twet" localSheetId="1" hidden="1">{"TAB1",#N/A,TRUE,"GENERAL";"TAB2",#N/A,TRUE,"GENERAL";"TAB3",#N/A,TRUE,"GENERAL";"TAB4",#N/A,TRUE,"GENERAL";"TAB5",#N/A,TRUE,"GENERAL"}</definedName>
    <definedName name="twet" localSheetId="14" hidden="1">{"TAB1",#N/A,TRUE,"GENERAL";"TAB2",#N/A,TRUE,"GENERAL";"TAB3",#N/A,TRUE,"GENERAL";"TAB4",#N/A,TRUE,"GENERAL";"TAB5",#N/A,TRUE,"GENERAL"}</definedName>
    <definedName name="twet" localSheetId="16" hidden="1">{"TAB1",#N/A,TRUE,"GENERAL";"TAB2",#N/A,TRUE,"GENERAL";"TAB3",#N/A,TRUE,"GENERAL";"TAB4",#N/A,TRUE,"GENERAL";"TAB5",#N/A,TRUE,"GENERAL"}</definedName>
    <definedName name="twet" localSheetId="18" hidden="1">{"TAB1",#N/A,TRUE,"GENERAL";"TAB2",#N/A,TRUE,"GENERAL";"TAB3",#N/A,TRUE,"GENERAL";"TAB4",#N/A,TRUE,"GENERAL";"TAB5",#N/A,TRUE,"GENERAL"}</definedName>
    <definedName name="twet" hidden="1">{"TAB1",#N/A,TRUE,"GENERAL";"TAB2",#N/A,TRUE,"GENERAL";"TAB3",#N/A,TRUE,"GENERAL";"TAB4",#N/A,TRUE,"GENERAL";"TAB5",#N/A,TRUE,"GENERAL"}</definedName>
    <definedName name="ty" localSheetId="15" hidden="1">{"via1",#N/A,TRUE,"general";"via2",#N/A,TRUE,"general";"via3",#N/A,TRUE,"general"}</definedName>
    <definedName name="ty" localSheetId="17" hidden="1">{"via1",#N/A,TRUE,"general";"via2",#N/A,TRUE,"general";"via3",#N/A,TRUE,"general"}</definedName>
    <definedName name="ty" localSheetId="19" hidden="1">{"via1",#N/A,TRUE,"general";"via2",#N/A,TRUE,"general";"via3",#N/A,TRUE,"general"}</definedName>
    <definedName name="ty" localSheetId="12"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7"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4" hidden="1">{"via1",#N/A,TRUE,"general";"via2",#N/A,TRUE,"general";"via3",#N/A,TRUE,"general"}</definedName>
    <definedName name="ty" localSheetId="1" hidden="1">{"via1",#N/A,TRUE,"general";"via2",#N/A,TRUE,"general";"via3",#N/A,TRUE,"general"}</definedName>
    <definedName name="ty" localSheetId="14" hidden="1">{"via1",#N/A,TRUE,"general";"via2",#N/A,TRUE,"general";"via3",#N/A,TRUE,"general"}</definedName>
    <definedName name="ty" localSheetId="16" hidden="1">{"via1",#N/A,TRUE,"general";"via2",#N/A,TRUE,"general";"via3",#N/A,TRUE,"general"}</definedName>
    <definedName name="ty" localSheetId="18" hidden="1">{"via1",#N/A,TRUE,"general";"via2",#N/A,TRUE,"general";"via3",#N/A,TRUE,"general"}</definedName>
    <definedName name="ty" hidden="1">{"via1",#N/A,TRUE,"general";"via2",#N/A,TRUE,"general";"via3",#N/A,TRUE,"general"}</definedName>
    <definedName name="tyery" localSheetId="15" hidden="1">{"via1",#N/A,TRUE,"general";"via2",#N/A,TRUE,"general";"via3",#N/A,TRUE,"general"}</definedName>
    <definedName name="tyery" localSheetId="17" hidden="1">{"via1",#N/A,TRUE,"general";"via2",#N/A,TRUE,"general";"via3",#N/A,TRUE,"general"}</definedName>
    <definedName name="tyery" localSheetId="19" hidden="1">{"via1",#N/A,TRUE,"general";"via2",#N/A,TRUE,"general";"via3",#N/A,TRUE,"general"}</definedName>
    <definedName name="tyery" localSheetId="12"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4" hidden="1">{"via1",#N/A,TRUE,"general";"via2",#N/A,TRUE,"general";"via3",#N/A,TRUE,"general"}</definedName>
    <definedName name="tyery" localSheetId="1" hidden="1">{"via1",#N/A,TRUE,"general";"via2",#N/A,TRUE,"general";"via3",#N/A,TRUE,"general"}</definedName>
    <definedName name="tyery" localSheetId="14" hidden="1">{"via1",#N/A,TRUE,"general";"via2",#N/A,TRUE,"general";"via3",#N/A,TRUE,"general"}</definedName>
    <definedName name="tyery" localSheetId="16" hidden="1">{"via1",#N/A,TRUE,"general";"via2",#N/A,TRUE,"general";"via3",#N/A,TRUE,"general"}</definedName>
    <definedName name="tyery" localSheetId="18" hidden="1">{"via1",#N/A,TRUE,"general";"via2",#N/A,TRUE,"general";"via3",#N/A,TRUE,"general"}</definedName>
    <definedName name="tyery" hidden="1">{"via1",#N/A,TRUE,"general";"via2",#N/A,TRUE,"general";"via3",#N/A,TRUE,"general"}</definedName>
    <definedName name="tyj" localSheetId="15" hidden="1">{"TAB1",#N/A,TRUE,"GENERAL";"TAB2",#N/A,TRUE,"GENERAL";"TAB3",#N/A,TRUE,"GENERAL";"TAB4",#N/A,TRUE,"GENERAL";"TAB5",#N/A,TRUE,"GENERAL"}</definedName>
    <definedName name="tyj" localSheetId="17" hidden="1">{"TAB1",#N/A,TRUE,"GENERAL";"TAB2",#N/A,TRUE,"GENERAL";"TAB3",#N/A,TRUE,"GENERAL";"TAB4",#N/A,TRUE,"GENERAL";"TAB5",#N/A,TRUE,"GENERAL"}</definedName>
    <definedName name="tyj" localSheetId="19" hidden="1">{"TAB1",#N/A,TRUE,"GENERAL";"TAB2",#N/A,TRUE,"GENERAL";"TAB3",#N/A,TRUE,"GENERAL";"TAB4",#N/A,TRUE,"GENERAL";"TAB5",#N/A,TRUE,"GENERAL"}</definedName>
    <definedName name="tyj" localSheetId="12"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4" hidden="1">{"TAB1",#N/A,TRUE,"GENERAL";"TAB2",#N/A,TRUE,"GENERAL";"TAB3",#N/A,TRUE,"GENERAL";"TAB4",#N/A,TRUE,"GENERAL";"TAB5",#N/A,TRUE,"GENERAL"}</definedName>
    <definedName name="tyj" localSheetId="1" hidden="1">{"TAB1",#N/A,TRUE,"GENERAL";"TAB2",#N/A,TRUE,"GENERAL";"TAB3",#N/A,TRUE,"GENERAL";"TAB4",#N/A,TRUE,"GENERAL";"TAB5",#N/A,TRUE,"GENERAL"}</definedName>
    <definedName name="tyj" localSheetId="14" hidden="1">{"TAB1",#N/A,TRUE,"GENERAL";"TAB2",#N/A,TRUE,"GENERAL";"TAB3",#N/A,TRUE,"GENERAL";"TAB4",#N/A,TRUE,"GENERAL";"TAB5",#N/A,TRUE,"GENERAL"}</definedName>
    <definedName name="tyj" localSheetId="16" hidden="1">{"TAB1",#N/A,TRUE,"GENERAL";"TAB2",#N/A,TRUE,"GENERAL";"TAB3",#N/A,TRUE,"GENERAL";"TAB4",#N/A,TRUE,"GENERAL";"TAB5",#N/A,TRUE,"GENERAL"}</definedName>
    <definedName name="tyj" localSheetId="18" hidden="1">{"TAB1",#N/A,TRUE,"GENERAL";"TAB2",#N/A,TRUE,"GENERAL";"TAB3",#N/A,TRUE,"GENERAL";"TAB4",#N/A,TRUE,"GENERAL";"TAB5",#N/A,TRUE,"GENERAL"}</definedName>
    <definedName name="tyj"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8" hidden="1">{"TAB1",#N/A,TRUE,"GENERAL";"TAB2",#N/A,TRUE,"GENERAL";"TAB3",#N/A,TRUE,"GENERAL";"TAB4",#N/A,TRUE,"GENERAL";"TAB5",#N/A,TRUE,"GENERAL"}</definedName>
    <definedName name="tyjtyj"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hidden="1">{"TAB1",#N/A,TRUE,"GENERAL";"TAB2",#N/A,TRUE,"GENERAL";"TAB3",#N/A,TRUE,"GENERAL";"TAB4",#N/A,TRUE,"GENERAL";"TAB5",#N/A,TRUE,"GENERAL"}</definedName>
    <definedName name="tyk" localSheetId="15" hidden="1">{"via1",#N/A,TRUE,"general";"via2",#N/A,TRUE,"general";"via3",#N/A,TRUE,"general"}</definedName>
    <definedName name="tyk" localSheetId="17" hidden="1">{"via1",#N/A,TRUE,"general";"via2",#N/A,TRUE,"general";"via3",#N/A,TRUE,"general"}</definedName>
    <definedName name="tyk" localSheetId="19" hidden="1">{"via1",#N/A,TRUE,"general";"via2",#N/A,TRUE,"general";"via3",#N/A,TRUE,"general"}</definedName>
    <definedName name="tyk" localSheetId="12"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4" hidden="1">{"via1",#N/A,TRUE,"general";"via2",#N/A,TRUE,"general";"via3",#N/A,TRUE,"general"}</definedName>
    <definedName name="tyk" localSheetId="1" hidden="1">{"via1",#N/A,TRUE,"general";"via2",#N/A,TRUE,"general";"via3",#N/A,TRUE,"general"}</definedName>
    <definedName name="tyk" localSheetId="14" hidden="1">{"via1",#N/A,TRUE,"general";"via2",#N/A,TRUE,"general";"via3",#N/A,TRUE,"general"}</definedName>
    <definedName name="tyk" localSheetId="16" hidden="1">{"via1",#N/A,TRUE,"general";"via2",#N/A,TRUE,"general";"via3",#N/A,TRUE,"general"}</definedName>
    <definedName name="tyk" localSheetId="18" hidden="1">{"via1",#N/A,TRUE,"general";"via2",#N/A,TRUE,"general";"via3",#N/A,TRUE,"general"}</definedName>
    <definedName name="tyk" hidden="1">{"via1",#N/A,TRUE,"general";"via2",#N/A,TRUE,"general";"via3",#N/A,TRUE,"general"}</definedName>
    <definedName name="tym" localSheetId="15" hidden="1">{"via1",#N/A,TRUE,"general";"via2",#N/A,TRUE,"general";"via3",#N/A,TRUE,"general"}</definedName>
    <definedName name="tym" localSheetId="17" hidden="1">{"via1",#N/A,TRUE,"general";"via2",#N/A,TRUE,"general";"via3",#N/A,TRUE,"general"}</definedName>
    <definedName name="tym" localSheetId="19" hidden="1">{"via1",#N/A,TRUE,"general";"via2",#N/A,TRUE,"general";"via3",#N/A,TRUE,"general"}</definedName>
    <definedName name="tym" localSheetId="12"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4" hidden="1">{"via1",#N/A,TRUE,"general";"via2",#N/A,TRUE,"general";"via3",#N/A,TRUE,"general"}</definedName>
    <definedName name="tym" localSheetId="1" hidden="1">{"via1",#N/A,TRUE,"general";"via2",#N/A,TRUE,"general";"via3",#N/A,TRUE,"general"}</definedName>
    <definedName name="tym" localSheetId="14" hidden="1">{"via1",#N/A,TRUE,"general";"via2",#N/A,TRUE,"general";"via3",#N/A,TRUE,"general"}</definedName>
    <definedName name="tym" localSheetId="16" hidden="1">{"via1",#N/A,TRUE,"general";"via2",#N/A,TRUE,"general";"via3",#N/A,TRUE,"general"}</definedName>
    <definedName name="tym" localSheetId="18" hidden="1">{"via1",#N/A,TRUE,"general";"via2",#N/A,TRUE,"general";"via3",#N/A,TRUE,"general"}</definedName>
    <definedName name="tym" hidden="1">{"via1",#N/A,TRUE,"general";"via2",#N/A,TRUE,"general";"via3",#N/A,TRUE,"general"}</definedName>
    <definedName name="tyr" localSheetId="15" hidden="1">{"via1",#N/A,TRUE,"general";"via2",#N/A,TRUE,"general";"via3",#N/A,TRUE,"general"}</definedName>
    <definedName name="tyr" localSheetId="17" hidden="1">{"via1",#N/A,TRUE,"general";"via2",#N/A,TRUE,"general";"via3",#N/A,TRUE,"general"}</definedName>
    <definedName name="tyr" localSheetId="19" hidden="1">{"via1",#N/A,TRUE,"general";"via2",#N/A,TRUE,"general";"via3",#N/A,TRUE,"general"}</definedName>
    <definedName name="tyr" localSheetId="12"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4" hidden="1">{"via1",#N/A,TRUE,"general";"via2",#N/A,TRUE,"general";"via3",#N/A,TRUE,"general"}</definedName>
    <definedName name="tyr" localSheetId="1" hidden="1">{"via1",#N/A,TRUE,"general";"via2",#N/A,TRUE,"general";"via3",#N/A,TRUE,"general"}</definedName>
    <definedName name="tyr" localSheetId="14" hidden="1">{"via1",#N/A,TRUE,"general";"via2",#N/A,TRUE,"general";"via3",#N/A,TRUE,"general"}</definedName>
    <definedName name="tyr" localSheetId="16" hidden="1">{"via1",#N/A,TRUE,"general";"via2",#N/A,TRUE,"general";"via3",#N/A,TRUE,"general"}</definedName>
    <definedName name="tyr" localSheetId="18" hidden="1">{"via1",#N/A,TRUE,"general";"via2",#N/A,TRUE,"general";"via3",#N/A,TRUE,"general"}</definedName>
    <definedName name="tyr" hidden="1">{"via1",#N/A,TRUE,"general";"via2",#N/A,TRUE,"general";"via3",#N/A,TRUE,"general"}</definedName>
    <definedName name="tytgfhgfh" localSheetId="15"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8" hidden="1">{"TAB1",#N/A,TRUE,"GENERAL";"TAB2",#N/A,TRUE,"GENERAL";"TAB3",#N/A,TRUE,"GENERAL";"TAB4",#N/A,TRUE,"GENERAL";"TAB5",#N/A,TRUE,"GENERAL"}</definedName>
    <definedName name="tytgfhgfh" hidden="1">{"TAB1",#N/A,TRUE,"GENERAL";"TAB2",#N/A,TRUE,"GENERAL";"TAB3",#N/A,TRUE,"GENERAL";"TAB4",#N/A,TRUE,"GENERAL";"TAB5",#N/A,TRUE,"GENERAL"}</definedName>
    <definedName name="tyty" localSheetId="15" hidden="1">{"TAB1",#N/A,TRUE,"GENERAL";"TAB2",#N/A,TRUE,"GENERAL";"TAB3",#N/A,TRUE,"GENERAL";"TAB4",#N/A,TRUE,"GENERAL";"TAB5",#N/A,TRUE,"GENERAL"}</definedName>
    <definedName name="tyty" localSheetId="17" hidden="1">{"TAB1",#N/A,TRUE,"GENERAL";"TAB2",#N/A,TRUE,"GENERAL";"TAB3",#N/A,TRUE,"GENERAL";"TAB4",#N/A,TRUE,"GENERAL";"TAB5",#N/A,TRUE,"GENERAL"}</definedName>
    <definedName name="tyty" localSheetId="19" hidden="1">{"TAB1",#N/A,TRUE,"GENERAL";"TAB2",#N/A,TRUE,"GENERAL";"TAB3",#N/A,TRUE,"GENERAL";"TAB4",#N/A,TRUE,"GENERAL";"TAB5",#N/A,TRUE,"GENERAL"}</definedName>
    <definedName name="tyty" localSheetId="12"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4" hidden="1">{"TAB1",#N/A,TRUE,"GENERAL";"TAB2",#N/A,TRUE,"GENERAL";"TAB3",#N/A,TRUE,"GENERAL";"TAB4",#N/A,TRUE,"GENERAL";"TAB5",#N/A,TRUE,"GENERAL"}</definedName>
    <definedName name="tyty" localSheetId="1" hidden="1">{"TAB1",#N/A,TRUE,"GENERAL";"TAB2",#N/A,TRUE,"GENERAL";"TAB3",#N/A,TRUE,"GENERAL";"TAB4",#N/A,TRUE,"GENERAL";"TAB5",#N/A,TRUE,"GENERAL"}</definedName>
    <definedName name="tyty" localSheetId="14" hidden="1">{"TAB1",#N/A,TRUE,"GENERAL";"TAB2",#N/A,TRUE,"GENERAL";"TAB3",#N/A,TRUE,"GENERAL";"TAB4",#N/A,TRUE,"GENERAL";"TAB5",#N/A,TRUE,"GENERAL"}</definedName>
    <definedName name="tyty" localSheetId="16" hidden="1">{"TAB1",#N/A,TRUE,"GENERAL";"TAB2",#N/A,TRUE,"GENERAL";"TAB3",#N/A,TRUE,"GENERAL";"TAB4",#N/A,TRUE,"GENERAL";"TAB5",#N/A,TRUE,"GENERAL"}</definedName>
    <definedName name="tyty" localSheetId="18" hidden="1">{"TAB1",#N/A,TRUE,"GENERAL";"TAB2",#N/A,TRUE,"GENERAL";"TAB3",#N/A,TRUE,"GENERAL";"TAB4",#N/A,TRUE,"GENERAL";"TAB5",#N/A,TRUE,"GENERAL"}</definedName>
    <definedName name="tyty"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8" hidden="1">{"TAB1",#N/A,TRUE,"GENERAL";"TAB2",#N/A,TRUE,"GENERAL";"TAB3",#N/A,TRUE,"GENERAL";"TAB4",#N/A,TRUE,"GENERAL";"TAB5",#N/A,TRUE,"GENERAL"}</definedName>
    <definedName name="TYUIYI"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8" hidden="1">{"TAB1",#N/A,TRUE,"GENERAL";"TAB2",#N/A,TRUE,"GENERAL";"TAB3",#N/A,TRUE,"GENERAL";"TAB4",#N/A,TRUE,"GENERAL";"TAB5",#N/A,TRUE,"GENERAL"}</definedName>
    <definedName name="tyujh"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8" hidden="1">{"TAB1",#N/A,TRUE,"GENERAL";"TAB2",#N/A,TRUE,"GENERAL";"TAB3",#N/A,TRUE,"GENERAL";"TAB4",#N/A,TRUE,"GENERAL";"TAB5",#N/A,TRUE,"GENERAL"}</definedName>
    <definedName name="tyuty" hidden="1">{"TAB1",#N/A,TRUE,"GENERAL";"TAB2",#N/A,TRUE,"GENERAL";"TAB3",#N/A,TRUE,"GENERAL";"TAB4",#N/A,TRUE,"GENERAL";"TAB5",#N/A,TRUE,"GENERAL"}</definedName>
    <definedName name="tyutyu" localSheetId="15" hidden="1">{"via1",#N/A,TRUE,"general";"via2",#N/A,TRUE,"general";"via3",#N/A,TRUE,"general"}</definedName>
    <definedName name="tyutyu" localSheetId="17" hidden="1">{"via1",#N/A,TRUE,"general";"via2",#N/A,TRUE,"general";"via3",#N/A,TRUE,"general"}</definedName>
    <definedName name="tyutyu" localSheetId="19" hidden="1">{"via1",#N/A,TRUE,"general";"via2",#N/A,TRUE,"general";"via3",#N/A,TRUE,"general"}</definedName>
    <definedName name="tyutyu" localSheetId="12"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4" hidden="1">{"via1",#N/A,TRUE,"general";"via2",#N/A,TRUE,"general";"via3",#N/A,TRUE,"general"}</definedName>
    <definedName name="tyutyu" localSheetId="1" hidden="1">{"via1",#N/A,TRUE,"general";"via2",#N/A,TRUE,"general";"via3",#N/A,TRUE,"general"}</definedName>
    <definedName name="tyutyu" localSheetId="14" hidden="1">{"via1",#N/A,TRUE,"general";"via2",#N/A,TRUE,"general";"via3",#N/A,TRUE,"general"}</definedName>
    <definedName name="tyutyu" localSheetId="16" hidden="1">{"via1",#N/A,TRUE,"general";"via2",#N/A,TRUE,"general";"via3",#N/A,TRUE,"general"}</definedName>
    <definedName name="tyutyu" localSheetId="18" hidden="1">{"via1",#N/A,TRUE,"general";"via2",#N/A,TRUE,"general";"via3",#N/A,TRUE,"general"}</definedName>
    <definedName name="tyutyu" hidden="1">{"via1",#N/A,TRUE,"general";"via2",#N/A,TRUE,"general";"via3",#N/A,TRUE,"general"}</definedName>
    <definedName name="tyxg" localSheetId="15" hidden="1">{"via1",#N/A,TRUE,"general";"via2",#N/A,TRUE,"general";"via3",#N/A,TRUE,"general"}</definedName>
    <definedName name="tyxg" localSheetId="17" hidden="1">{"via1",#N/A,TRUE,"general";"via2",#N/A,TRUE,"general";"via3",#N/A,TRUE,"general"}</definedName>
    <definedName name="tyxg" localSheetId="19" hidden="1">{"via1",#N/A,TRUE,"general";"via2",#N/A,TRUE,"general";"via3",#N/A,TRUE,"general"}</definedName>
    <definedName name="tyxg" localSheetId="12"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4" hidden="1">{"via1",#N/A,TRUE,"general";"via2",#N/A,TRUE,"general";"via3",#N/A,TRUE,"general"}</definedName>
    <definedName name="tyxg" localSheetId="1" hidden="1">{"via1",#N/A,TRUE,"general";"via2",#N/A,TRUE,"general";"via3",#N/A,TRUE,"general"}</definedName>
    <definedName name="tyxg" localSheetId="14" hidden="1">{"via1",#N/A,TRUE,"general";"via2",#N/A,TRUE,"general";"via3",#N/A,TRUE,"general"}</definedName>
    <definedName name="tyxg" localSheetId="16" hidden="1">{"via1",#N/A,TRUE,"general";"via2",#N/A,TRUE,"general";"via3",#N/A,TRUE,"general"}</definedName>
    <definedName name="tyxg" localSheetId="18" hidden="1">{"via1",#N/A,TRUE,"general";"via2",#N/A,TRUE,"general";"via3",#N/A,TRUE,"general"}</definedName>
    <definedName name="tyxg" hidden="1">{"via1",#N/A,TRUE,"general";"via2",#N/A,TRUE,"general";"via3",#N/A,TRUE,"general"}</definedName>
    <definedName name="u3u" localSheetId="15" hidden="1">{"TAB1",#N/A,TRUE,"GENERAL";"TAB2",#N/A,TRUE,"GENERAL";"TAB3",#N/A,TRUE,"GENERAL";"TAB4",#N/A,TRUE,"GENERAL";"TAB5",#N/A,TRUE,"GENERAL"}</definedName>
    <definedName name="u3u" localSheetId="17" hidden="1">{"TAB1",#N/A,TRUE,"GENERAL";"TAB2",#N/A,TRUE,"GENERAL";"TAB3",#N/A,TRUE,"GENERAL";"TAB4",#N/A,TRUE,"GENERAL";"TAB5",#N/A,TRUE,"GENERAL"}</definedName>
    <definedName name="u3u" localSheetId="19" hidden="1">{"TAB1",#N/A,TRUE,"GENERAL";"TAB2",#N/A,TRUE,"GENERAL";"TAB3",#N/A,TRUE,"GENERAL";"TAB4",#N/A,TRUE,"GENERAL";"TAB5",#N/A,TRUE,"GENERAL"}</definedName>
    <definedName name="u3u" localSheetId="12"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4" hidden="1">{"TAB1",#N/A,TRUE,"GENERAL";"TAB2",#N/A,TRUE,"GENERAL";"TAB3",#N/A,TRUE,"GENERAL";"TAB4",#N/A,TRUE,"GENERAL";"TAB5",#N/A,TRUE,"GENERAL"}</definedName>
    <definedName name="u3u" localSheetId="1" hidden="1">{"TAB1",#N/A,TRUE,"GENERAL";"TAB2",#N/A,TRUE,"GENERAL";"TAB3",#N/A,TRUE,"GENERAL";"TAB4",#N/A,TRUE,"GENERAL";"TAB5",#N/A,TRUE,"GENERAL"}</definedName>
    <definedName name="u3u" localSheetId="14" hidden="1">{"TAB1",#N/A,TRUE,"GENERAL";"TAB2",#N/A,TRUE,"GENERAL";"TAB3",#N/A,TRUE,"GENERAL";"TAB4",#N/A,TRUE,"GENERAL";"TAB5",#N/A,TRUE,"GENERAL"}</definedName>
    <definedName name="u3u" localSheetId="16" hidden="1">{"TAB1",#N/A,TRUE,"GENERAL";"TAB2",#N/A,TRUE,"GENERAL";"TAB3",#N/A,TRUE,"GENERAL";"TAB4",#N/A,TRUE,"GENERAL";"TAB5",#N/A,TRUE,"GENERAL"}</definedName>
    <definedName name="u3u" localSheetId="18" hidden="1">{"TAB1",#N/A,TRUE,"GENERAL";"TAB2",#N/A,TRUE,"GENERAL";"TAB3",#N/A,TRUE,"GENERAL";"TAB4",#N/A,TRUE,"GENERAL";"TAB5",#N/A,TRUE,"GENERAL"}</definedName>
    <definedName name="u3u" hidden="1">{"TAB1",#N/A,TRUE,"GENERAL";"TAB2",#N/A,TRUE,"GENERAL";"TAB3",#N/A,TRUE,"GENERAL";"TAB4",#N/A,TRUE,"GENERAL";"TAB5",#N/A,TRUE,"GENERAL"}</definedName>
    <definedName name="u7u7" localSheetId="15" hidden="1">{"TAB1",#N/A,TRUE,"GENERAL";"TAB2",#N/A,TRUE,"GENERAL";"TAB3",#N/A,TRUE,"GENERAL";"TAB4",#N/A,TRUE,"GENERAL";"TAB5",#N/A,TRUE,"GENERAL"}</definedName>
    <definedName name="u7u7" localSheetId="17" hidden="1">{"TAB1",#N/A,TRUE,"GENERAL";"TAB2",#N/A,TRUE,"GENERAL";"TAB3",#N/A,TRUE,"GENERAL";"TAB4",#N/A,TRUE,"GENERAL";"TAB5",#N/A,TRUE,"GENERAL"}</definedName>
    <definedName name="u7u7" localSheetId="19" hidden="1">{"TAB1",#N/A,TRUE,"GENERAL";"TAB2",#N/A,TRUE,"GENERAL";"TAB3",#N/A,TRUE,"GENERAL";"TAB4",#N/A,TRUE,"GENERAL";"TAB5",#N/A,TRUE,"GENERAL"}</definedName>
    <definedName name="u7u7" localSheetId="12"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4" hidden="1">{"TAB1",#N/A,TRUE,"GENERAL";"TAB2",#N/A,TRUE,"GENERAL";"TAB3",#N/A,TRUE,"GENERAL";"TAB4",#N/A,TRUE,"GENERAL";"TAB5",#N/A,TRUE,"GENERAL"}</definedName>
    <definedName name="u7u7" localSheetId="1" hidden="1">{"TAB1",#N/A,TRUE,"GENERAL";"TAB2",#N/A,TRUE,"GENERAL";"TAB3",#N/A,TRUE,"GENERAL";"TAB4",#N/A,TRUE,"GENERAL";"TAB5",#N/A,TRUE,"GENERAL"}</definedName>
    <definedName name="u7u7" localSheetId="14" hidden="1">{"TAB1",#N/A,TRUE,"GENERAL";"TAB2",#N/A,TRUE,"GENERAL";"TAB3",#N/A,TRUE,"GENERAL";"TAB4",#N/A,TRUE,"GENERAL";"TAB5",#N/A,TRUE,"GENERAL"}</definedName>
    <definedName name="u7u7" localSheetId="16" hidden="1">{"TAB1",#N/A,TRUE,"GENERAL";"TAB2",#N/A,TRUE,"GENERAL";"TAB3",#N/A,TRUE,"GENERAL";"TAB4",#N/A,TRUE,"GENERAL";"TAB5",#N/A,TRUE,"GENERAL"}</definedName>
    <definedName name="u7u7" localSheetId="18" hidden="1">{"TAB1",#N/A,TRUE,"GENERAL";"TAB2",#N/A,TRUE,"GENERAL";"TAB3",#N/A,TRUE,"GENERAL";"TAB4",#N/A,TRUE,"GENERAL";"TAB5",#N/A,TRUE,"GENERAL"}</definedName>
    <definedName name="u7u7" hidden="1">{"TAB1",#N/A,TRUE,"GENERAL";"TAB2",#N/A,TRUE,"GENERAL";"TAB3",#N/A,TRUE,"GENERAL";"TAB4",#N/A,TRUE,"GENERAL";"TAB5",#N/A,TRUE,"GENERAL"}</definedName>
    <definedName name="UI" localSheetId="15" hidden="1">{"via1",#N/A,TRUE,"general";"via2",#N/A,TRUE,"general";"via3",#N/A,TRUE,"general"}</definedName>
    <definedName name="UI" localSheetId="17" hidden="1">{"via1",#N/A,TRUE,"general";"via2",#N/A,TRUE,"general";"via3",#N/A,TRUE,"general"}</definedName>
    <definedName name="UI" localSheetId="19" hidden="1">{"via1",#N/A,TRUE,"general";"via2",#N/A,TRUE,"general";"via3",#N/A,TRUE,"general"}</definedName>
    <definedName name="UI" localSheetId="12"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4" hidden="1">{"via1",#N/A,TRUE,"general";"via2",#N/A,TRUE,"general";"via3",#N/A,TRUE,"general"}</definedName>
    <definedName name="UI" localSheetId="1" hidden="1">{"via1",#N/A,TRUE,"general";"via2",#N/A,TRUE,"general";"via3",#N/A,TRUE,"general"}</definedName>
    <definedName name="UI" localSheetId="14" hidden="1">{"via1",#N/A,TRUE,"general";"via2",#N/A,TRUE,"general";"via3",#N/A,TRUE,"general"}</definedName>
    <definedName name="UI" localSheetId="16" hidden="1">{"via1",#N/A,TRUE,"general";"via2",#N/A,TRUE,"general";"via3",#N/A,TRUE,"general"}</definedName>
    <definedName name="UI" localSheetId="18" hidden="1">{"via1",#N/A,TRUE,"general";"via2",#N/A,TRUE,"general";"via3",#N/A,TRUE,"general"}</definedName>
    <definedName name="UI" hidden="1">{"via1",#N/A,TRUE,"general";"via2",#N/A,TRUE,"general";"via3",#N/A,TRUE,"general"}</definedName>
    <definedName name="uijhj" localSheetId="15" hidden="1">{"via1",#N/A,TRUE,"general";"via2",#N/A,TRUE,"general";"via3",#N/A,TRUE,"general"}</definedName>
    <definedName name="uijhj" localSheetId="17" hidden="1">{"via1",#N/A,TRUE,"general";"via2",#N/A,TRUE,"general";"via3",#N/A,TRUE,"general"}</definedName>
    <definedName name="uijhj" localSheetId="19" hidden="1">{"via1",#N/A,TRUE,"general";"via2",#N/A,TRUE,"general";"via3",#N/A,TRUE,"general"}</definedName>
    <definedName name="uijhj" localSheetId="12"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4" hidden="1">{"via1",#N/A,TRUE,"general";"via2",#N/A,TRUE,"general";"via3",#N/A,TRUE,"general"}</definedName>
    <definedName name="uijhj" localSheetId="1" hidden="1">{"via1",#N/A,TRUE,"general";"via2",#N/A,TRUE,"general";"via3",#N/A,TRUE,"general"}</definedName>
    <definedName name="uijhj" localSheetId="14" hidden="1">{"via1",#N/A,TRUE,"general";"via2",#N/A,TRUE,"general";"via3",#N/A,TRUE,"general"}</definedName>
    <definedName name="uijhj" localSheetId="16" hidden="1">{"via1",#N/A,TRUE,"general";"via2",#N/A,TRUE,"general";"via3",#N/A,TRUE,"general"}</definedName>
    <definedName name="uijhj" localSheetId="18" hidden="1">{"via1",#N/A,TRUE,"general";"via2",#N/A,TRUE,"general";"via3",#N/A,TRUE,"general"}</definedName>
    <definedName name="uijhj" hidden="1">{"via1",#N/A,TRUE,"general";"via2",#N/A,TRUE,"general";"via3",#N/A,TRUE,"general"}</definedName>
    <definedName name="uio" localSheetId="15" hidden="1">{"TAB1",#N/A,TRUE,"GENERAL";"TAB2",#N/A,TRUE,"GENERAL";"TAB3",#N/A,TRUE,"GENERAL";"TAB4",#N/A,TRUE,"GENERAL";"TAB5",#N/A,TRUE,"GENERAL"}</definedName>
    <definedName name="uio" localSheetId="17" hidden="1">{"TAB1",#N/A,TRUE,"GENERAL";"TAB2",#N/A,TRUE,"GENERAL";"TAB3",#N/A,TRUE,"GENERAL";"TAB4",#N/A,TRUE,"GENERAL";"TAB5",#N/A,TRUE,"GENERAL"}</definedName>
    <definedName name="uio" localSheetId="19" hidden="1">{"TAB1",#N/A,TRUE,"GENERAL";"TAB2",#N/A,TRUE,"GENERAL";"TAB3",#N/A,TRUE,"GENERAL";"TAB4",#N/A,TRUE,"GENERAL";"TAB5",#N/A,TRUE,"GENERAL"}</definedName>
    <definedName name="uio" localSheetId="12"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4" hidden="1">{"TAB1",#N/A,TRUE,"GENERAL";"TAB2",#N/A,TRUE,"GENERAL";"TAB3",#N/A,TRUE,"GENERAL";"TAB4",#N/A,TRUE,"GENERAL";"TAB5",#N/A,TRUE,"GENERAL"}</definedName>
    <definedName name="uio" localSheetId="1" hidden="1">{"TAB1",#N/A,TRUE,"GENERAL";"TAB2",#N/A,TRUE,"GENERAL";"TAB3",#N/A,TRUE,"GENERAL";"TAB4",#N/A,TRUE,"GENERAL";"TAB5",#N/A,TRUE,"GENERAL"}</definedName>
    <definedName name="uio" localSheetId="14" hidden="1">{"TAB1",#N/A,TRUE,"GENERAL";"TAB2",#N/A,TRUE,"GENERAL";"TAB3",#N/A,TRUE,"GENERAL";"TAB4",#N/A,TRUE,"GENERAL";"TAB5",#N/A,TRUE,"GENERAL"}</definedName>
    <definedName name="uio" localSheetId="16" hidden="1">{"TAB1",#N/A,TRUE,"GENERAL";"TAB2",#N/A,TRUE,"GENERAL";"TAB3",#N/A,TRUE,"GENERAL";"TAB4",#N/A,TRUE,"GENERAL";"TAB5",#N/A,TRUE,"GENERAL"}</definedName>
    <definedName name="uio" localSheetId="18" hidden="1">{"TAB1",#N/A,TRUE,"GENERAL";"TAB2",#N/A,TRUE,"GENERAL";"TAB3",#N/A,TRUE,"GENERAL";"TAB4",#N/A,TRUE,"GENERAL";"TAB5",#N/A,TRUE,"GENERAL"}</definedName>
    <definedName name="uio" hidden="1">{"TAB1",#N/A,TRUE,"GENERAL";"TAB2",#N/A,TRUE,"GENERAL";"TAB3",#N/A,TRUE,"GENERAL";"TAB4",#N/A,TRUE,"GENERAL";"TAB5",#N/A,TRUE,"GENERAL"}</definedName>
    <definedName name="uiou" localSheetId="15" hidden="1">{"TAB1",#N/A,TRUE,"GENERAL";"TAB2",#N/A,TRUE,"GENERAL";"TAB3",#N/A,TRUE,"GENERAL";"TAB4",#N/A,TRUE,"GENERAL";"TAB5",#N/A,TRUE,"GENERAL"}</definedName>
    <definedName name="uiou" localSheetId="17" hidden="1">{"TAB1",#N/A,TRUE,"GENERAL";"TAB2",#N/A,TRUE,"GENERAL";"TAB3",#N/A,TRUE,"GENERAL";"TAB4",#N/A,TRUE,"GENERAL";"TAB5",#N/A,TRUE,"GENERAL"}</definedName>
    <definedName name="uiou" localSheetId="19" hidden="1">{"TAB1",#N/A,TRUE,"GENERAL";"TAB2",#N/A,TRUE,"GENERAL";"TAB3",#N/A,TRUE,"GENERAL";"TAB4",#N/A,TRUE,"GENERAL";"TAB5",#N/A,TRUE,"GENERAL"}</definedName>
    <definedName name="uiou" localSheetId="12"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4" hidden="1">{"TAB1",#N/A,TRUE,"GENERAL";"TAB2",#N/A,TRUE,"GENERAL";"TAB3",#N/A,TRUE,"GENERAL";"TAB4",#N/A,TRUE,"GENERAL";"TAB5",#N/A,TRUE,"GENERAL"}</definedName>
    <definedName name="uiou" localSheetId="1" hidden="1">{"TAB1",#N/A,TRUE,"GENERAL";"TAB2",#N/A,TRUE,"GENERAL";"TAB3",#N/A,TRUE,"GENERAL";"TAB4",#N/A,TRUE,"GENERAL";"TAB5",#N/A,TRUE,"GENERAL"}</definedName>
    <definedName name="uiou" localSheetId="14" hidden="1">{"TAB1",#N/A,TRUE,"GENERAL";"TAB2",#N/A,TRUE,"GENERAL";"TAB3",#N/A,TRUE,"GENERAL";"TAB4",#N/A,TRUE,"GENERAL";"TAB5",#N/A,TRUE,"GENERAL"}</definedName>
    <definedName name="uiou" localSheetId="16" hidden="1">{"TAB1",#N/A,TRUE,"GENERAL";"TAB2",#N/A,TRUE,"GENERAL";"TAB3",#N/A,TRUE,"GENERAL";"TAB4",#N/A,TRUE,"GENERAL";"TAB5",#N/A,TRUE,"GENERAL"}</definedName>
    <definedName name="uiou" localSheetId="18" hidden="1">{"TAB1",#N/A,TRUE,"GENERAL";"TAB2",#N/A,TRUE,"GENERAL";"TAB3",#N/A,TRUE,"GENERAL";"TAB4",#N/A,TRUE,"GENERAL";"TAB5",#N/A,TRUE,"GENERAL"}</definedName>
    <definedName name="uiou" hidden="1">{"TAB1",#N/A,TRUE,"GENERAL";"TAB2",#N/A,TRUE,"GENERAL";"TAB3",#N/A,TRUE,"GENERAL";"TAB4",#N/A,TRUE,"GENERAL";"TAB5",#N/A,TRUE,"GENERAL"}</definedName>
    <definedName name="uir" localSheetId="15" hidden="1">{"via1",#N/A,TRUE,"general";"via2",#N/A,TRUE,"general";"via3",#N/A,TRUE,"general"}</definedName>
    <definedName name="uir" localSheetId="17" hidden="1">{"via1",#N/A,TRUE,"general";"via2",#N/A,TRUE,"general";"via3",#N/A,TRUE,"general"}</definedName>
    <definedName name="uir" localSheetId="19" hidden="1">{"via1",#N/A,TRUE,"general";"via2",#N/A,TRUE,"general";"via3",#N/A,TRUE,"general"}</definedName>
    <definedName name="uir" localSheetId="12"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4" hidden="1">{"via1",#N/A,TRUE,"general";"via2",#N/A,TRUE,"general";"via3",#N/A,TRUE,"general"}</definedName>
    <definedName name="uir" localSheetId="1" hidden="1">{"via1",#N/A,TRUE,"general";"via2",#N/A,TRUE,"general";"via3",#N/A,TRUE,"general"}</definedName>
    <definedName name="uir" localSheetId="14" hidden="1">{"via1",#N/A,TRUE,"general";"via2",#N/A,TRUE,"general";"via3",#N/A,TRUE,"general"}</definedName>
    <definedName name="uir" localSheetId="16" hidden="1">{"via1",#N/A,TRUE,"general";"via2",#N/A,TRUE,"general";"via3",#N/A,TRUE,"general"}</definedName>
    <definedName name="uir" localSheetId="18" hidden="1">{"via1",#N/A,TRUE,"general";"via2",#N/A,TRUE,"general";"via3",#N/A,TRUE,"general"}</definedName>
    <definedName name="uir" hidden="1">{"via1",#N/A,TRUE,"general";"via2",#N/A,TRUE,"general";"via3",#N/A,TRUE,"general"}</definedName>
    <definedName name="uituii" localSheetId="15"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8" hidden="1">{"TAB1",#N/A,TRUE,"GENERAL";"TAB2",#N/A,TRUE,"GENERAL";"TAB3",#N/A,TRUE,"GENERAL";"TAB4",#N/A,TRUE,"GENERAL";"TAB5",#N/A,TRUE,"GENERAL"}</definedName>
    <definedName name="uituii" hidden="1">{"TAB1",#N/A,TRUE,"GENERAL";"TAB2",#N/A,TRUE,"GENERAL";"TAB3",#N/A,TRUE,"GENERAL";"TAB4",#N/A,TRUE,"GENERAL";"TAB5",#N/A,TRUE,"GENERAL"}</definedName>
    <definedName name="uityjj" localSheetId="15" hidden="1">{"via1",#N/A,TRUE,"general";"via2",#N/A,TRUE,"general";"via3",#N/A,TRUE,"general"}</definedName>
    <definedName name="uityjj" localSheetId="17" hidden="1">{"via1",#N/A,TRUE,"general";"via2",#N/A,TRUE,"general";"via3",#N/A,TRUE,"general"}</definedName>
    <definedName name="uityjj" localSheetId="19" hidden="1">{"via1",#N/A,TRUE,"general";"via2",#N/A,TRUE,"general";"via3",#N/A,TRUE,"general"}</definedName>
    <definedName name="uityjj" localSheetId="12"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4" hidden="1">{"via1",#N/A,TRUE,"general";"via2",#N/A,TRUE,"general";"via3",#N/A,TRUE,"general"}</definedName>
    <definedName name="uityjj" localSheetId="1" hidden="1">{"via1",#N/A,TRUE,"general";"via2",#N/A,TRUE,"general";"via3",#N/A,TRUE,"general"}</definedName>
    <definedName name="uityjj" localSheetId="14" hidden="1">{"via1",#N/A,TRUE,"general";"via2",#N/A,TRUE,"general";"via3",#N/A,TRUE,"general"}</definedName>
    <definedName name="uityjj" localSheetId="16" hidden="1">{"via1",#N/A,TRUE,"general";"via2",#N/A,TRUE,"general";"via3",#N/A,TRUE,"general"}</definedName>
    <definedName name="uityjj" localSheetId="18" hidden="1">{"via1",#N/A,TRUE,"general";"via2",#N/A,TRUE,"general";"via3",#N/A,TRUE,"general"}</definedName>
    <definedName name="uityjj" hidden="1">{"via1",#N/A,TRUE,"general";"via2",#N/A,TRUE,"general";"via3",#N/A,TRUE,"general"}</definedName>
    <definedName name="uiufgj" localSheetId="15"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8" hidden="1">{"TAB1",#N/A,TRUE,"GENERAL";"TAB2",#N/A,TRUE,"GENERAL";"TAB3",#N/A,TRUE,"GENERAL";"TAB4",#N/A,TRUE,"GENERAL";"TAB5",#N/A,TRUE,"GENERAL"}</definedName>
    <definedName name="uiufgj"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8"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15"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4" hidden="1">{"TAB1",#N/A,TRUE,"GENERAL";"TAB2",#N/A,TRUE,"GENERAL";"TAB3",#N/A,TRUE,"GENERAL";"TAB4",#N/A,TRUE,"GENERAL";"TAB5",#N/A,TRUE,"GENERAL"}</definedName>
    <definedName name="UOUIV" localSheetId="1"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8" hidden="1">{"TAB1",#N/A,TRUE,"GENERAL";"TAB2",#N/A,TRUE,"GENERAL";"TAB3",#N/A,TRUE,"GENERAL";"TAB4",#N/A,TRUE,"GENERAL";"TAB5",#N/A,TRUE,"GENERAL"}</definedName>
    <definedName name="UOUIV"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4" hidden="1">{"TAB1",#N/A,TRUE,"GENERAL";"TAB2",#N/A,TRUE,"GENERAL";"TAB3",#N/A,TRUE,"GENERAL";"TAB4",#N/A,TRUE,"GENERAL";"TAB5",#N/A,TRUE,"GENERAL"}</definedName>
    <definedName name="uryur" localSheetId="1"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8" hidden="1">{"TAB1",#N/A,TRUE,"GENERAL";"TAB2",#N/A,TRUE,"GENERAL";"TAB3",#N/A,TRUE,"GENERAL";"TAB4",#N/A,TRUE,"GENERAL";"TAB5",#N/A,TRUE,"GENERAL"}</definedName>
    <definedName name="uryur" hidden="1">{"TAB1",#N/A,TRUE,"GENERAL";"TAB2",#N/A,TRUE,"GENERAL";"TAB3",#N/A,TRUE,"GENERAL";"TAB4",#N/A,TRUE,"GENERAL";"TAB5",#N/A,TRUE,"GENERAL"}</definedName>
    <definedName name="uu" localSheetId="15" hidden="1">{"TAB1",#N/A,TRUE,"GENERAL";"TAB2",#N/A,TRUE,"GENERAL";"TAB3",#N/A,TRUE,"GENERAL";"TAB4",#N/A,TRUE,"GENERAL";"TAB5",#N/A,TRUE,"GENERAL"}</definedName>
    <definedName name="uu" localSheetId="17" hidden="1">{"TAB1",#N/A,TRUE,"GENERAL";"TAB2",#N/A,TRUE,"GENERAL";"TAB3",#N/A,TRUE,"GENERAL";"TAB4",#N/A,TRUE,"GENERAL";"TAB5",#N/A,TRUE,"GENERAL"}</definedName>
    <definedName name="uu" localSheetId="19" hidden="1">{"TAB1",#N/A,TRUE,"GENERAL";"TAB2",#N/A,TRUE,"GENERAL";"TAB3",#N/A,TRUE,"GENERAL";"TAB4",#N/A,TRUE,"GENERAL";"TAB5",#N/A,TRUE,"GENERAL"}</definedName>
    <definedName name="uu" localSheetId="12"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7"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4" hidden="1">{"TAB1",#N/A,TRUE,"GENERAL";"TAB2",#N/A,TRUE,"GENERAL";"TAB3",#N/A,TRUE,"GENERAL";"TAB4",#N/A,TRUE,"GENERAL";"TAB5",#N/A,TRUE,"GENERAL"}</definedName>
    <definedName name="uu" localSheetId="1" hidden="1">{"TAB1",#N/A,TRUE,"GENERAL";"TAB2",#N/A,TRUE,"GENERAL";"TAB3",#N/A,TRUE,"GENERAL";"TAB4",#N/A,TRUE,"GENERAL";"TAB5",#N/A,TRUE,"GENERAL"}</definedName>
    <definedName name="uu" localSheetId="14" hidden="1">{"TAB1",#N/A,TRUE,"GENERAL";"TAB2",#N/A,TRUE,"GENERAL";"TAB3",#N/A,TRUE,"GENERAL";"TAB4",#N/A,TRUE,"GENERAL";"TAB5",#N/A,TRUE,"GENERAL"}</definedName>
    <definedName name="uu" localSheetId="16" hidden="1">{"TAB1",#N/A,TRUE,"GENERAL";"TAB2",#N/A,TRUE,"GENERAL";"TAB3",#N/A,TRUE,"GENERAL";"TAB4",#N/A,TRUE,"GENERAL";"TAB5",#N/A,TRUE,"GENERAL"}</definedName>
    <definedName name="uu" localSheetId="18" hidden="1">{"TAB1",#N/A,TRUE,"GENERAL";"TAB2",#N/A,TRUE,"GENERAL";"TAB3",#N/A,TRUE,"GENERAL";"TAB4",#N/A,TRUE,"GENERAL";"TAB5",#N/A,TRUE,"GENERAL"}</definedName>
    <definedName name="uu" hidden="1">{"TAB1",#N/A,TRUE,"GENERAL";"TAB2",#N/A,TRUE,"GENERAL";"TAB3",#N/A,TRUE,"GENERAL";"TAB4",#N/A,TRUE,"GENERAL";"TAB5",#N/A,TRUE,"GENERAL"}</definedName>
    <definedName name="uuu" localSheetId="15" hidden="1">{"TAB1",#N/A,TRUE,"GENERAL";"TAB2",#N/A,TRUE,"GENERAL";"TAB3",#N/A,TRUE,"GENERAL";"TAB4",#N/A,TRUE,"GENERAL";"TAB5",#N/A,TRUE,"GENERAL"}</definedName>
    <definedName name="uuu" localSheetId="17" hidden="1">{"TAB1",#N/A,TRUE,"GENERAL";"TAB2",#N/A,TRUE,"GENERAL";"TAB3",#N/A,TRUE,"GENERAL";"TAB4",#N/A,TRUE,"GENERAL";"TAB5",#N/A,TRUE,"GENERAL"}</definedName>
    <definedName name="uuu" localSheetId="19" hidden="1">{"TAB1",#N/A,TRUE,"GENERAL";"TAB2",#N/A,TRUE,"GENERAL";"TAB3",#N/A,TRUE,"GENERAL";"TAB4",#N/A,TRUE,"GENERAL";"TAB5",#N/A,TRUE,"GENERAL"}</definedName>
    <definedName name="uuu" localSheetId="12"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4" hidden="1">{"TAB1",#N/A,TRUE,"GENERAL";"TAB2",#N/A,TRUE,"GENERAL";"TAB3",#N/A,TRUE,"GENERAL";"TAB4",#N/A,TRUE,"GENERAL";"TAB5",#N/A,TRUE,"GENERAL"}</definedName>
    <definedName name="uuu" localSheetId="1" hidden="1">{"TAB1",#N/A,TRUE,"GENERAL";"TAB2",#N/A,TRUE,"GENERAL";"TAB3",#N/A,TRUE,"GENERAL";"TAB4",#N/A,TRUE,"GENERAL";"TAB5",#N/A,TRUE,"GENERAL"}</definedName>
    <definedName name="uuu" localSheetId="14" hidden="1">{"TAB1",#N/A,TRUE,"GENERAL";"TAB2",#N/A,TRUE,"GENERAL";"TAB3",#N/A,TRUE,"GENERAL";"TAB4",#N/A,TRUE,"GENERAL";"TAB5",#N/A,TRUE,"GENERAL"}</definedName>
    <definedName name="uuu" localSheetId="16" hidden="1">{"TAB1",#N/A,TRUE,"GENERAL";"TAB2",#N/A,TRUE,"GENERAL";"TAB3",#N/A,TRUE,"GENERAL";"TAB4",#N/A,TRUE,"GENERAL";"TAB5",#N/A,TRUE,"GENERAL"}</definedName>
    <definedName name="uuu" localSheetId="18" hidden="1">{"TAB1",#N/A,TRUE,"GENERAL";"TAB2",#N/A,TRUE,"GENERAL";"TAB3",#N/A,TRUE,"GENERAL";"TAB4",#N/A,TRUE,"GENERAL";"TAB5",#N/A,TRUE,"GENERAL"}</definedName>
    <definedName name="uuu"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8" hidden="1">{"TAB1",#N/A,TRUE,"GENERAL";"TAB2",#N/A,TRUE,"GENERAL";"TAB3",#N/A,TRUE,"GENERAL";"TAB4",#N/A,TRUE,"GENERAL";"TAB5",#N/A,TRUE,"GENERAL"}</definedName>
    <definedName name="uuuuo" hidden="1">{"TAB1",#N/A,TRUE,"GENERAL";"TAB2",#N/A,TRUE,"GENERAL";"TAB3",#N/A,TRUE,"GENERAL";"TAB4",#N/A,TRUE,"GENERAL";"TAB5",#N/A,TRUE,"GENERAL"}</definedName>
    <definedName name="uuuuuj" localSheetId="15" hidden="1">{"via1",#N/A,TRUE,"general";"via2",#N/A,TRUE,"general";"via3",#N/A,TRUE,"general"}</definedName>
    <definedName name="uuuuuj" localSheetId="17" hidden="1">{"via1",#N/A,TRUE,"general";"via2",#N/A,TRUE,"general";"via3",#N/A,TRUE,"general"}</definedName>
    <definedName name="uuuuuj" localSheetId="19" hidden="1">{"via1",#N/A,TRUE,"general";"via2",#N/A,TRUE,"general";"via3",#N/A,TRUE,"general"}</definedName>
    <definedName name="uuuuuj" localSheetId="12"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4" hidden="1">{"via1",#N/A,TRUE,"general";"via2",#N/A,TRUE,"general";"via3",#N/A,TRUE,"general"}</definedName>
    <definedName name="uuuuuj" localSheetId="1" hidden="1">{"via1",#N/A,TRUE,"general";"via2",#N/A,TRUE,"general";"via3",#N/A,TRUE,"general"}</definedName>
    <definedName name="uuuuuj" localSheetId="14" hidden="1">{"via1",#N/A,TRUE,"general";"via2",#N/A,TRUE,"general";"via3",#N/A,TRUE,"general"}</definedName>
    <definedName name="uuuuuj" localSheetId="16" hidden="1">{"via1",#N/A,TRUE,"general";"via2",#N/A,TRUE,"general";"via3",#N/A,TRUE,"general"}</definedName>
    <definedName name="uuuuuj" localSheetId="18" hidden="1">{"via1",#N/A,TRUE,"general";"via2",#N/A,TRUE,"general";"via3",#N/A,TRUE,"general"}</definedName>
    <definedName name="uuuuuj" hidden="1">{"via1",#N/A,TRUE,"general";"via2",#N/A,TRUE,"general";"via3",#N/A,TRUE,"general"}</definedName>
    <definedName name="uwkap" localSheetId="15"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4" hidden="1">{"TAB1",#N/A,TRUE,"GENERAL";"TAB2",#N/A,TRUE,"GENERAL";"TAB3",#N/A,TRUE,"GENERAL";"TAB4",#N/A,TRUE,"GENERAL";"TAB5",#N/A,TRUE,"GENERAL"}</definedName>
    <definedName name="uwkap" localSheetId="1"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8" hidden="1">{"TAB1",#N/A,TRUE,"GENERAL";"TAB2",#N/A,TRUE,"GENERAL";"TAB3",#N/A,TRUE,"GENERAL";"TAB4",#N/A,TRUE,"GENERAL";"TAB5",#N/A,TRUE,"GENERAL"}</definedName>
    <definedName name="uwkap"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8" hidden="1">{"TAB1",#N/A,TRUE,"GENERAL";"TAB2",#N/A,TRUE,"GENERAL";"TAB3",#N/A,TRUE,"GENERAL";"TAB4",#N/A,TRUE,"GENERAL";"TAB5",#N/A,TRUE,"GENERAL"}</definedName>
    <definedName name="uyiyiy" hidden="1">{"TAB1",#N/A,TRUE,"GENERAL";"TAB2",#N/A,TRUE,"GENERAL";"TAB3",#N/A,TRUE,"GENERAL";"TAB4",#N/A,TRUE,"GENERAL";"TAB5",#N/A,TRUE,"GENERAL"}</definedName>
    <definedName name="uytu" localSheetId="15" hidden="1">{"TAB1",#N/A,TRUE,"GENERAL";"TAB2",#N/A,TRUE,"GENERAL";"TAB3",#N/A,TRUE,"GENERAL";"TAB4",#N/A,TRUE,"GENERAL";"TAB5",#N/A,TRUE,"GENERAL"}</definedName>
    <definedName name="uytu" localSheetId="17" hidden="1">{"TAB1",#N/A,TRUE,"GENERAL";"TAB2",#N/A,TRUE,"GENERAL";"TAB3",#N/A,TRUE,"GENERAL";"TAB4",#N/A,TRUE,"GENERAL";"TAB5",#N/A,TRUE,"GENERAL"}</definedName>
    <definedName name="uytu" localSheetId="19" hidden="1">{"TAB1",#N/A,TRUE,"GENERAL";"TAB2",#N/A,TRUE,"GENERAL";"TAB3",#N/A,TRUE,"GENERAL";"TAB4",#N/A,TRUE,"GENERAL";"TAB5",#N/A,TRUE,"GENERAL"}</definedName>
    <definedName name="uytu" localSheetId="12"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4" hidden="1">{"TAB1",#N/A,TRUE,"GENERAL";"TAB2",#N/A,TRUE,"GENERAL";"TAB3",#N/A,TRUE,"GENERAL";"TAB4",#N/A,TRUE,"GENERAL";"TAB5",#N/A,TRUE,"GENERAL"}</definedName>
    <definedName name="uytu" localSheetId="1" hidden="1">{"TAB1",#N/A,TRUE,"GENERAL";"TAB2",#N/A,TRUE,"GENERAL";"TAB3",#N/A,TRUE,"GENERAL";"TAB4",#N/A,TRUE,"GENERAL";"TAB5",#N/A,TRUE,"GENERAL"}</definedName>
    <definedName name="uytu" localSheetId="14" hidden="1">{"TAB1",#N/A,TRUE,"GENERAL";"TAB2",#N/A,TRUE,"GENERAL";"TAB3",#N/A,TRUE,"GENERAL";"TAB4",#N/A,TRUE,"GENERAL";"TAB5",#N/A,TRUE,"GENERAL"}</definedName>
    <definedName name="uytu" localSheetId="16" hidden="1">{"TAB1",#N/A,TRUE,"GENERAL";"TAB2",#N/A,TRUE,"GENERAL";"TAB3",#N/A,TRUE,"GENERAL";"TAB4",#N/A,TRUE,"GENERAL";"TAB5",#N/A,TRUE,"GENERAL"}</definedName>
    <definedName name="uytu" localSheetId="18" hidden="1">{"TAB1",#N/A,TRUE,"GENERAL";"TAB2",#N/A,TRUE,"GENERAL";"TAB3",#N/A,TRUE,"GENERAL";"TAB4",#N/A,TRUE,"GENERAL";"TAB5",#N/A,TRUE,"GENERAL"}</definedName>
    <definedName name="uytu" hidden="1">{"TAB1",#N/A,TRUE,"GENERAL";"TAB2",#N/A,TRUE,"GENERAL";"TAB3",#N/A,TRUE,"GENERAL";"TAB4",#N/A,TRUE,"GENERAL";"TAB5",#N/A,TRUE,"GENERAL"}</definedName>
    <definedName name="uyur" localSheetId="15" hidden="1">{"via1",#N/A,TRUE,"general";"via2",#N/A,TRUE,"general";"via3",#N/A,TRUE,"general"}</definedName>
    <definedName name="uyur" localSheetId="17" hidden="1">{"via1",#N/A,TRUE,"general";"via2",#N/A,TRUE,"general";"via3",#N/A,TRUE,"general"}</definedName>
    <definedName name="uyur" localSheetId="19" hidden="1">{"via1",#N/A,TRUE,"general";"via2",#N/A,TRUE,"general";"via3",#N/A,TRUE,"general"}</definedName>
    <definedName name="uyur" localSheetId="12"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4" hidden="1">{"via1",#N/A,TRUE,"general";"via2",#N/A,TRUE,"general";"via3",#N/A,TRUE,"general"}</definedName>
    <definedName name="uyur" localSheetId="1" hidden="1">{"via1",#N/A,TRUE,"general";"via2",#N/A,TRUE,"general";"via3",#N/A,TRUE,"general"}</definedName>
    <definedName name="uyur" localSheetId="14" hidden="1">{"via1",#N/A,TRUE,"general";"via2",#N/A,TRUE,"general";"via3",#N/A,TRUE,"general"}</definedName>
    <definedName name="uyur" localSheetId="16" hidden="1">{"via1",#N/A,TRUE,"general";"via2",#N/A,TRUE,"general";"via3",#N/A,TRUE,"general"}</definedName>
    <definedName name="uyur" localSheetId="18" hidden="1">{"via1",#N/A,TRUE,"general";"via2",#N/A,TRUE,"general";"via3",#N/A,TRUE,"general"}</definedName>
    <definedName name="uyur" hidden="1">{"via1",#N/A,TRUE,"general";"via2",#N/A,TRUE,"general";"via3",#N/A,TRUE,"general"}</definedName>
    <definedName name="v" localSheetId="15" hidden="1">{"TAB1",#N/A,TRUE,"GENERAL";"TAB2",#N/A,TRUE,"GENERAL";"TAB3",#N/A,TRUE,"GENERAL";"TAB4",#N/A,TRUE,"GENERAL";"TAB5",#N/A,TRUE,"GENERAL"}</definedName>
    <definedName name="v" localSheetId="17" hidden="1">{"TAB1",#N/A,TRUE,"GENERAL";"TAB2",#N/A,TRUE,"GENERAL";"TAB3",#N/A,TRUE,"GENERAL";"TAB4",#N/A,TRUE,"GENERAL";"TAB5",#N/A,TRUE,"GENERAL"}</definedName>
    <definedName name="v" localSheetId="19" hidden="1">{"TAB1",#N/A,TRUE,"GENERAL";"TAB2",#N/A,TRUE,"GENERAL";"TAB3",#N/A,TRUE,"GENERAL";"TAB4",#N/A,TRUE,"GENERAL";"TAB5",#N/A,TRUE,"GENERAL"}</definedName>
    <definedName name="v" localSheetId="12"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7"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4" hidden="1">{"TAB1",#N/A,TRUE,"GENERAL";"TAB2",#N/A,TRUE,"GENERAL";"TAB3",#N/A,TRUE,"GENERAL";"TAB4",#N/A,TRUE,"GENERAL";"TAB5",#N/A,TRUE,"GENERAL"}</definedName>
    <definedName name="v" localSheetId="1" hidden="1">{"TAB1",#N/A,TRUE,"GENERAL";"TAB2",#N/A,TRUE,"GENERAL";"TAB3",#N/A,TRUE,"GENERAL";"TAB4",#N/A,TRUE,"GENERAL";"TAB5",#N/A,TRUE,"GENERAL"}</definedName>
    <definedName name="v" localSheetId="14" hidden="1">{"TAB1",#N/A,TRUE,"GENERAL";"TAB2",#N/A,TRUE,"GENERAL";"TAB3",#N/A,TRUE,"GENERAL";"TAB4",#N/A,TRUE,"GENERAL";"TAB5",#N/A,TRUE,"GENERAL"}</definedName>
    <definedName name="v" localSheetId="16" hidden="1">{"TAB1",#N/A,TRUE,"GENERAL";"TAB2",#N/A,TRUE,"GENERAL";"TAB3",#N/A,TRUE,"GENERAL";"TAB4",#N/A,TRUE,"GENERAL";"TAB5",#N/A,TRUE,"GENERAL"}</definedName>
    <definedName name="v" localSheetId="18" hidden="1">{"TAB1",#N/A,TRUE,"GENERAL";"TAB2",#N/A,TRUE,"GENERAL";"TAB3",#N/A,TRUE,"GENERAL";"TAB4",#N/A,TRUE,"GENERAL";"TAB5",#N/A,TRUE,"GENERAL"}</definedName>
    <definedName name="v" hidden="1">{"TAB1",#N/A,TRUE,"GENERAL";"TAB2",#N/A,TRUE,"GENERAL";"TAB3",#N/A,TRUE,"GENERAL";"TAB4",#N/A,TRUE,"GENERAL";"TAB5",#N/A,TRUE,"GENERAL"}</definedName>
    <definedName name="vaquita" localSheetId="12" hidden="1">{"PRES REHAB ARM-PER POR ITEMS  KM A KM",#N/A,TRUE,"Rehabilitacion Arm-Per"}</definedName>
    <definedName name="vaquita" localSheetId="8" hidden="1">{"PRES REHAB ARM-PER POR ITEMS  KM A KM",#N/A,TRUE,"Rehabilitacion Arm-Per"}</definedName>
    <definedName name="vaquita" localSheetId="9" hidden="1">{"PRES REHAB ARM-PER POR ITEMS  KM A KM",#N/A,TRUE,"Rehabilitacion Arm-Per"}</definedName>
    <definedName name="vaquita" localSheetId="7" hidden="1">{"PRES REHAB ARM-PER POR ITEMS  KM A KM",#N/A,TRUE,"Rehabilitacion Arm-Per"}</definedName>
    <definedName name="vaquita" localSheetId="1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15"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8" hidden="1">{"TAB1",#N/A,TRUE,"GENERAL";"TAB2",#N/A,TRUE,"GENERAL";"TAB3",#N/A,TRUE,"GENERAL";"TAB4",#N/A,TRUE,"GENERAL";"TAB5",#N/A,TRUE,"GENERAL"}</definedName>
    <definedName name="vbvbvbvb" hidden="1">{"TAB1",#N/A,TRUE,"GENERAL";"TAB2",#N/A,TRUE,"GENERAL";"TAB3",#N/A,TRUE,"GENERAL";"TAB4",#N/A,TRUE,"GENERAL";"TAB5",#N/A,TRUE,"GENERAL"}</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5" hidden="1">{"via1",#N/A,TRUE,"general";"via2",#N/A,TRUE,"general";"via3",#N/A,TRUE,"general"}</definedName>
    <definedName name="vdfvuio" localSheetId="17" hidden="1">{"via1",#N/A,TRUE,"general";"via2",#N/A,TRUE,"general";"via3",#N/A,TRUE,"general"}</definedName>
    <definedName name="vdfvuio" localSheetId="19" hidden="1">{"via1",#N/A,TRUE,"general";"via2",#N/A,TRUE,"general";"via3",#N/A,TRUE,"general"}</definedName>
    <definedName name="vdfvuio" localSheetId="12"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4" hidden="1">{"via1",#N/A,TRUE,"general";"via2",#N/A,TRUE,"general";"via3",#N/A,TRUE,"general"}</definedName>
    <definedName name="vdfvuio" localSheetId="1" hidden="1">{"via1",#N/A,TRUE,"general";"via2",#N/A,TRUE,"general";"via3",#N/A,TRUE,"general"}</definedName>
    <definedName name="vdfvuio" localSheetId="14" hidden="1">{"via1",#N/A,TRUE,"general";"via2",#N/A,TRUE,"general";"via3",#N/A,TRUE,"general"}</definedName>
    <definedName name="vdfvuio" localSheetId="16" hidden="1">{"via1",#N/A,TRUE,"general";"via2",#N/A,TRUE,"general";"via3",#N/A,TRUE,"general"}</definedName>
    <definedName name="vdfvuio" localSheetId="18" hidden="1">{"via1",#N/A,TRUE,"general";"via2",#N/A,TRUE,"general";"via3",#N/A,TRUE,"general"}</definedName>
    <definedName name="vdfvuio" hidden="1">{"via1",#N/A,TRUE,"general";"via2",#N/A,TRUE,"general";"via3",#N/A,TRUE,"general"}</definedName>
    <definedName name="vdsvnj" localSheetId="15" hidden="1">{"via1",#N/A,TRUE,"general";"via2",#N/A,TRUE,"general";"via3",#N/A,TRUE,"general"}</definedName>
    <definedName name="vdsvnj" localSheetId="17" hidden="1">{"via1",#N/A,TRUE,"general";"via2",#N/A,TRUE,"general";"via3",#N/A,TRUE,"general"}</definedName>
    <definedName name="vdsvnj" localSheetId="19" hidden="1">{"via1",#N/A,TRUE,"general";"via2",#N/A,TRUE,"general";"via3",#N/A,TRUE,"general"}</definedName>
    <definedName name="vdsvnj" localSheetId="12"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4" hidden="1">{"via1",#N/A,TRUE,"general";"via2",#N/A,TRUE,"general";"via3",#N/A,TRUE,"general"}</definedName>
    <definedName name="vdsvnj" localSheetId="1" hidden="1">{"via1",#N/A,TRUE,"general";"via2",#N/A,TRUE,"general";"via3",#N/A,TRUE,"general"}</definedName>
    <definedName name="vdsvnj" localSheetId="14" hidden="1">{"via1",#N/A,TRUE,"general";"via2",#N/A,TRUE,"general";"via3",#N/A,TRUE,"general"}</definedName>
    <definedName name="vdsvnj" localSheetId="16" hidden="1">{"via1",#N/A,TRUE,"general";"via2",#N/A,TRUE,"general";"via3",#N/A,TRUE,"general"}</definedName>
    <definedName name="vdsvnj" localSheetId="18" hidden="1">{"via1",#N/A,TRUE,"general";"via2",#N/A,TRUE,"general";"via3",#N/A,TRUE,"general"}</definedName>
    <definedName name="vdsvnj" hidden="1">{"via1",#N/A,TRUE,"general";"via2",#N/A,TRUE,"general";"via3",#N/A,TRUE,"general"}</definedName>
    <definedName name="vfbgnhyt" localSheetId="15" hidden="1">{"via1",#N/A,TRUE,"general";"via2",#N/A,TRUE,"general";"via3",#N/A,TRUE,"general"}</definedName>
    <definedName name="vfbgnhyt" localSheetId="17" hidden="1">{"via1",#N/A,TRUE,"general";"via2",#N/A,TRUE,"general";"via3",#N/A,TRUE,"general"}</definedName>
    <definedName name="vfbgnhyt" localSheetId="19" hidden="1">{"via1",#N/A,TRUE,"general";"via2",#N/A,TRUE,"general";"via3",#N/A,TRUE,"general"}</definedName>
    <definedName name="vfbgnhyt" localSheetId="12"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4" hidden="1">{"via1",#N/A,TRUE,"general";"via2",#N/A,TRUE,"general";"via3",#N/A,TRUE,"general"}</definedName>
    <definedName name="vfbgnhyt" localSheetId="1" hidden="1">{"via1",#N/A,TRUE,"general";"via2",#N/A,TRUE,"general";"via3",#N/A,TRUE,"general"}</definedName>
    <definedName name="vfbgnhyt" localSheetId="14" hidden="1">{"via1",#N/A,TRUE,"general";"via2",#N/A,TRUE,"general";"via3",#N/A,TRUE,"general"}</definedName>
    <definedName name="vfbgnhyt" localSheetId="16" hidden="1">{"via1",#N/A,TRUE,"general";"via2",#N/A,TRUE,"general";"via3",#N/A,TRUE,"general"}</definedName>
    <definedName name="vfbgnhyt" localSheetId="18" hidden="1">{"via1",#N/A,TRUE,"general";"via2",#N/A,TRUE,"general";"via3",#N/A,TRUE,"general"}</definedName>
    <definedName name="vfbgnhyt" hidden="1">{"via1",#N/A,TRUE,"general";"via2",#N/A,TRUE,"general";"via3",#N/A,TRUE,"general"}</definedName>
    <definedName name="vfvdv" localSheetId="15"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4" hidden="1">{"TAB1",#N/A,TRUE,"GENERAL";"TAB2",#N/A,TRUE,"GENERAL";"TAB3",#N/A,TRUE,"GENERAL";"TAB4",#N/A,TRUE,"GENERAL";"TAB5",#N/A,TRUE,"GENERAL"}</definedName>
    <definedName name="vfvdv" localSheetId="1"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8" hidden="1">{"TAB1",#N/A,TRUE,"GENERAL";"TAB2",#N/A,TRUE,"GENERAL";"TAB3",#N/A,TRUE,"GENERAL";"TAB4",#N/A,TRUE,"GENERAL";"TAB5",#N/A,TRUE,"GENERAL"}</definedName>
    <definedName name="vfvdv" hidden="1">{"TAB1",#N/A,TRUE,"GENERAL";"TAB2",#N/A,TRUE,"GENERAL";"TAB3",#N/A,TRUE,"GENERAL";"TAB4",#N/A,TRUE,"GENERAL";"TAB5",#N/A,TRUE,"GENERAL"}</definedName>
    <definedName name="vfvf" localSheetId="15" hidden="1">{"TAB1",#N/A,TRUE,"GENERAL";"TAB2",#N/A,TRUE,"GENERAL";"TAB3",#N/A,TRUE,"GENERAL";"TAB4",#N/A,TRUE,"GENERAL";"TAB5",#N/A,TRUE,"GENERAL"}</definedName>
    <definedName name="vfvf" localSheetId="17" hidden="1">{"TAB1",#N/A,TRUE,"GENERAL";"TAB2",#N/A,TRUE,"GENERAL";"TAB3",#N/A,TRUE,"GENERAL";"TAB4",#N/A,TRUE,"GENERAL";"TAB5",#N/A,TRUE,"GENERAL"}</definedName>
    <definedName name="vfvf" localSheetId="19" hidden="1">{"TAB1",#N/A,TRUE,"GENERAL";"TAB2",#N/A,TRUE,"GENERAL";"TAB3",#N/A,TRUE,"GENERAL";"TAB4",#N/A,TRUE,"GENERAL";"TAB5",#N/A,TRUE,"GENERAL"}</definedName>
    <definedName name="vfvf" localSheetId="12"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4" hidden="1">{"TAB1",#N/A,TRUE,"GENERAL";"TAB2",#N/A,TRUE,"GENERAL";"TAB3",#N/A,TRUE,"GENERAL";"TAB4",#N/A,TRUE,"GENERAL";"TAB5",#N/A,TRUE,"GENERAL"}</definedName>
    <definedName name="vfvf" localSheetId="1" hidden="1">{"TAB1",#N/A,TRUE,"GENERAL";"TAB2",#N/A,TRUE,"GENERAL";"TAB3",#N/A,TRUE,"GENERAL";"TAB4",#N/A,TRUE,"GENERAL";"TAB5",#N/A,TRUE,"GENERAL"}</definedName>
    <definedName name="vfvf" localSheetId="14" hidden="1">{"TAB1",#N/A,TRUE,"GENERAL";"TAB2",#N/A,TRUE,"GENERAL";"TAB3",#N/A,TRUE,"GENERAL";"TAB4",#N/A,TRUE,"GENERAL";"TAB5",#N/A,TRUE,"GENERAL"}</definedName>
    <definedName name="vfvf" localSheetId="16" hidden="1">{"TAB1",#N/A,TRUE,"GENERAL";"TAB2",#N/A,TRUE,"GENERAL";"TAB3",#N/A,TRUE,"GENERAL";"TAB4",#N/A,TRUE,"GENERAL";"TAB5",#N/A,TRUE,"GENERAL"}</definedName>
    <definedName name="vfvf" localSheetId="18" hidden="1">{"TAB1",#N/A,TRUE,"GENERAL";"TAB2",#N/A,TRUE,"GENERAL";"TAB3",#N/A,TRUE,"GENERAL";"TAB4",#N/A,TRUE,"GENERAL";"TAB5",#N/A,TRUE,"GENERAL"}</definedName>
    <definedName name="vfvf" hidden="1">{"TAB1",#N/A,TRUE,"GENERAL";"TAB2",#N/A,TRUE,"GENERAL";"TAB3",#N/A,TRUE,"GENERAL";"TAB4",#N/A,TRUE,"GENERAL";"TAB5",#N/A,TRUE,"GENERAL"}</definedName>
    <definedName name="vk" localSheetId="15" hidden="1">{"via1",#N/A,TRUE,"general";"via2",#N/A,TRUE,"general";"via3",#N/A,TRUE,"general"}</definedName>
    <definedName name="vk" localSheetId="17" hidden="1">{"via1",#N/A,TRUE,"general";"via2",#N/A,TRUE,"general";"via3",#N/A,TRUE,"general"}</definedName>
    <definedName name="vk" localSheetId="19" hidden="1">{"via1",#N/A,TRUE,"general";"via2",#N/A,TRUE,"general";"via3",#N/A,TRUE,"general"}</definedName>
    <definedName name="vk" localSheetId="12"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4" hidden="1">{"via1",#N/A,TRUE,"general";"via2",#N/A,TRUE,"general";"via3",#N/A,TRUE,"general"}</definedName>
    <definedName name="vk" localSheetId="1" hidden="1">{"via1",#N/A,TRUE,"general";"via2",#N/A,TRUE,"general";"via3",#N/A,TRUE,"general"}</definedName>
    <definedName name="vk" localSheetId="14" hidden="1">{"via1",#N/A,TRUE,"general";"via2",#N/A,TRUE,"general";"via3",#N/A,TRUE,"general"}</definedName>
    <definedName name="vk" localSheetId="16" hidden="1">{"via1",#N/A,TRUE,"general";"via2",#N/A,TRUE,"general";"via3",#N/A,TRUE,"general"}</definedName>
    <definedName name="vk" localSheetId="18" hidden="1">{"via1",#N/A,TRUE,"general";"via2",#N/A,TRUE,"general";"via3",#N/A,TRUE,"general"}</definedName>
    <definedName name="vk" hidden="1">{"via1",#N/A,TRUE,"general";"via2",#N/A,TRUE,"general";"via3",#N/A,TRUE,"general"}</definedName>
    <definedName name="vnbvxb" localSheetId="15" hidden="1">{"via1",#N/A,TRUE,"general";"via2",#N/A,TRUE,"general";"via3",#N/A,TRUE,"general"}</definedName>
    <definedName name="vnbvxb" localSheetId="17" hidden="1">{"via1",#N/A,TRUE,"general";"via2",#N/A,TRUE,"general";"via3",#N/A,TRUE,"general"}</definedName>
    <definedName name="vnbvxb" localSheetId="19" hidden="1">{"via1",#N/A,TRUE,"general";"via2",#N/A,TRUE,"general";"via3",#N/A,TRUE,"general"}</definedName>
    <definedName name="vnbvxb" localSheetId="12"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4" hidden="1">{"via1",#N/A,TRUE,"general";"via2",#N/A,TRUE,"general";"via3",#N/A,TRUE,"general"}</definedName>
    <definedName name="vnbvxb" localSheetId="1" hidden="1">{"via1",#N/A,TRUE,"general";"via2",#N/A,TRUE,"general";"via3",#N/A,TRUE,"general"}</definedName>
    <definedName name="vnbvxb" localSheetId="14" hidden="1">{"via1",#N/A,TRUE,"general";"via2",#N/A,TRUE,"general";"via3",#N/A,TRUE,"general"}</definedName>
    <definedName name="vnbvxb" localSheetId="16" hidden="1">{"via1",#N/A,TRUE,"general";"via2",#N/A,TRUE,"general";"via3",#N/A,TRUE,"general"}</definedName>
    <definedName name="vnbvxb" localSheetId="18" hidden="1">{"via1",#N/A,TRUE,"general";"via2",#N/A,TRUE,"general";"via3",#N/A,TRUE,"general"}</definedName>
    <definedName name="vnbvxb" hidden="1">{"via1",#N/A,TRUE,"general";"via2",#N/A,TRUE,"general";"via3",#N/A,TRUE,"general"}</definedName>
    <definedName name="VNVBN" localSheetId="15"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4" hidden="1">{"TAB1",#N/A,TRUE,"GENERAL";"TAB2",#N/A,TRUE,"GENERAL";"TAB3",#N/A,TRUE,"GENERAL";"TAB4",#N/A,TRUE,"GENERAL";"TAB5",#N/A,TRUE,"GENERAL"}</definedName>
    <definedName name="VNVBN" localSheetId="1"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8" hidden="1">{"TAB1",#N/A,TRUE,"GENERAL";"TAB2",#N/A,TRUE,"GENERAL";"TAB3",#N/A,TRUE,"GENERAL";"TAB4",#N/A,TRUE,"GENERAL";"TAB5",#N/A,TRUE,"GENERAL"}</definedName>
    <definedName name="VNVBN" hidden="1">{"TAB1",#N/A,TRUE,"GENERAL";"TAB2",#N/A,TRUE,"GENERAL";"TAB3",#N/A,TRUE,"GENERAL";"TAB4",#N/A,TRUE,"GENERAL";"TAB5",#N/A,TRUE,"GENERAL"}</definedName>
    <definedName name="vsdfj" localSheetId="15" hidden="1">{"via1",#N/A,TRUE,"general";"via2",#N/A,TRUE,"general";"via3",#N/A,TRUE,"general"}</definedName>
    <definedName name="vsdfj" localSheetId="17" hidden="1">{"via1",#N/A,TRUE,"general";"via2",#N/A,TRUE,"general";"via3",#N/A,TRUE,"general"}</definedName>
    <definedName name="vsdfj" localSheetId="19" hidden="1">{"via1",#N/A,TRUE,"general";"via2",#N/A,TRUE,"general";"via3",#N/A,TRUE,"general"}</definedName>
    <definedName name="vsdfj" localSheetId="12"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4" hidden="1">{"via1",#N/A,TRUE,"general";"via2",#N/A,TRUE,"general";"via3",#N/A,TRUE,"general"}</definedName>
    <definedName name="vsdfj" localSheetId="1" hidden="1">{"via1",#N/A,TRUE,"general";"via2",#N/A,TRUE,"general";"via3",#N/A,TRUE,"general"}</definedName>
    <definedName name="vsdfj" localSheetId="14" hidden="1">{"via1",#N/A,TRUE,"general";"via2",#N/A,TRUE,"general";"via3",#N/A,TRUE,"general"}</definedName>
    <definedName name="vsdfj" localSheetId="16" hidden="1">{"via1",#N/A,TRUE,"general";"via2",#N/A,TRUE,"general";"via3",#N/A,TRUE,"general"}</definedName>
    <definedName name="vsdfj" localSheetId="18" hidden="1">{"via1",#N/A,TRUE,"general";"via2",#N/A,TRUE,"general";"via3",#N/A,TRUE,"general"}</definedName>
    <definedName name="vsdfj" hidden="1">{"via1",#N/A,TRUE,"general";"via2",#N/A,TRUE,"general";"via3",#N/A,TRUE,"general"}</definedName>
    <definedName name="vt" localSheetId="15" hidden="1">{"via1",#N/A,TRUE,"general";"via2",#N/A,TRUE,"general";"via3",#N/A,TRUE,"general"}</definedName>
    <definedName name="vt" localSheetId="17" hidden="1">{"via1",#N/A,TRUE,"general";"via2",#N/A,TRUE,"general";"via3",#N/A,TRUE,"general"}</definedName>
    <definedName name="vt" localSheetId="19" hidden="1">{"via1",#N/A,TRUE,"general";"via2",#N/A,TRUE,"general";"via3",#N/A,TRUE,"general"}</definedName>
    <definedName name="vt" localSheetId="12"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4" hidden="1">{"via1",#N/A,TRUE,"general";"via2",#N/A,TRUE,"general";"via3",#N/A,TRUE,"general"}</definedName>
    <definedName name="vt" localSheetId="1" hidden="1">{"via1",#N/A,TRUE,"general";"via2",#N/A,TRUE,"general";"via3",#N/A,TRUE,"general"}</definedName>
    <definedName name="vt" localSheetId="14" hidden="1">{"via1",#N/A,TRUE,"general";"via2",#N/A,TRUE,"general";"via3",#N/A,TRUE,"general"}</definedName>
    <definedName name="vt" localSheetId="16" hidden="1">{"via1",#N/A,TRUE,"general";"via2",#N/A,TRUE,"general";"via3",#N/A,TRUE,"general"}</definedName>
    <definedName name="vt" localSheetId="18" hidden="1">{"via1",#N/A,TRUE,"general";"via2",#N/A,TRUE,"general";"via3",#N/A,TRUE,"general"}</definedName>
    <definedName name="vt" hidden="1">{"via1",#N/A,TRUE,"general";"via2",#N/A,TRUE,"general";"via3",#N/A,TRUE,"general"}</definedName>
    <definedName name="vvcxv" localSheetId="15"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4" hidden="1">{"TAB1",#N/A,TRUE,"GENERAL";"TAB2",#N/A,TRUE,"GENERAL";"TAB3",#N/A,TRUE,"GENERAL";"TAB4",#N/A,TRUE,"GENERAL";"TAB5",#N/A,TRUE,"GENERAL"}</definedName>
    <definedName name="vvcxv" localSheetId="1"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8" hidden="1">{"TAB1",#N/A,TRUE,"GENERAL";"TAB2",#N/A,TRUE,"GENERAL";"TAB3",#N/A,TRUE,"GENERAL";"TAB4",#N/A,TRUE,"GENERAL";"TAB5",#N/A,TRUE,"GENERAL"}</definedName>
    <definedName name="vvcxv" hidden="1">{"TAB1",#N/A,TRUE,"GENERAL";"TAB2",#N/A,TRUE,"GENERAL";"TAB3",#N/A,TRUE,"GENERAL";"TAB4",#N/A,TRUE,"GENERAL";"TAB5",#N/A,TRUE,"GENERAL"}</definedName>
    <definedName name="vvvvt" localSheetId="15" hidden="1">{"via1",#N/A,TRUE,"general";"via2",#N/A,TRUE,"general";"via3",#N/A,TRUE,"general"}</definedName>
    <definedName name="vvvvt" localSheetId="17" hidden="1">{"via1",#N/A,TRUE,"general";"via2",#N/A,TRUE,"general";"via3",#N/A,TRUE,"general"}</definedName>
    <definedName name="vvvvt" localSheetId="19" hidden="1">{"via1",#N/A,TRUE,"general";"via2",#N/A,TRUE,"general";"via3",#N/A,TRUE,"general"}</definedName>
    <definedName name="vvvvt" localSheetId="12"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4" hidden="1">{"via1",#N/A,TRUE,"general";"via2",#N/A,TRUE,"general";"via3",#N/A,TRUE,"general"}</definedName>
    <definedName name="vvvvt" localSheetId="1" hidden="1">{"via1",#N/A,TRUE,"general";"via2",#N/A,TRUE,"general";"via3",#N/A,TRUE,"general"}</definedName>
    <definedName name="vvvvt" localSheetId="14" hidden="1">{"via1",#N/A,TRUE,"general";"via2",#N/A,TRUE,"general";"via3",#N/A,TRUE,"general"}</definedName>
    <definedName name="vvvvt" localSheetId="16" hidden="1">{"via1",#N/A,TRUE,"general";"via2",#N/A,TRUE,"general";"via3",#N/A,TRUE,"general"}</definedName>
    <definedName name="vvvvt" localSheetId="18" hidden="1">{"via1",#N/A,TRUE,"general";"via2",#N/A,TRUE,"general";"via3",#N/A,TRUE,"general"}</definedName>
    <definedName name="vvvvt" hidden="1">{"via1",#N/A,TRUE,"general";"via2",#N/A,TRUE,"general";"via3",#N/A,TRUE,"general"}</definedName>
    <definedName name="vvvvvvf" localSheetId="15" hidden="1">{"via1",#N/A,TRUE,"general";"via2",#N/A,TRUE,"general";"via3",#N/A,TRUE,"general"}</definedName>
    <definedName name="vvvvvvf" localSheetId="17" hidden="1">{"via1",#N/A,TRUE,"general";"via2",#N/A,TRUE,"general";"via3",#N/A,TRUE,"general"}</definedName>
    <definedName name="vvvvvvf" localSheetId="19" hidden="1">{"via1",#N/A,TRUE,"general";"via2",#N/A,TRUE,"general";"via3",#N/A,TRUE,"general"}</definedName>
    <definedName name="vvvvvvf" localSheetId="12"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4" hidden="1">{"via1",#N/A,TRUE,"general";"via2",#N/A,TRUE,"general";"via3",#N/A,TRUE,"general"}</definedName>
    <definedName name="vvvvvvf" localSheetId="1" hidden="1">{"via1",#N/A,TRUE,"general";"via2",#N/A,TRUE,"general";"via3",#N/A,TRUE,"general"}</definedName>
    <definedName name="vvvvvvf" localSheetId="14" hidden="1">{"via1",#N/A,TRUE,"general";"via2",#N/A,TRUE,"general";"via3",#N/A,TRUE,"general"}</definedName>
    <definedName name="vvvvvvf" localSheetId="16" hidden="1">{"via1",#N/A,TRUE,"general";"via2",#N/A,TRUE,"general";"via3",#N/A,TRUE,"general"}</definedName>
    <definedName name="vvvvvvf" localSheetId="18" hidden="1">{"via1",#N/A,TRUE,"general";"via2",#N/A,TRUE,"general";"via3",#N/A,TRUE,"general"}</definedName>
    <definedName name="vvvvvvf" hidden="1">{"via1",#N/A,TRUE,"general";"via2",#N/A,TRUE,"general";"via3",#N/A,TRUE,"general"}</definedName>
    <definedName name="vy" localSheetId="15" hidden="1">{"TAB1",#N/A,TRUE,"GENERAL";"TAB2",#N/A,TRUE,"GENERAL";"TAB3",#N/A,TRUE,"GENERAL";"TAB4",#N/A,TRUE,"GENERAL";"TAB5",#N/A,TRUE,"GENERAL"}</definedName>
    <definedName name="vy" localSheetId="17" hidden="1">{"TAB1",#N/A,TRUE,"GENERAL";"TAB2",#N/A,TRUE,"GENERAL";"TAB3",#N/A,TRUE,"GENERAL";"TAB4",#N/A,TRUE,"GENERAL";"TAB5",#N/A,TRUE,"GENERAL"}</definedName>
    <definedName name="vy" localSheetId="19" hidden="1">{"TAB1",#N/A,TRUE,"GENERAL";"TAB2",#N/A,TRUE,"GENERAL";"TAB3",#N/A,TRUE,"GENERAL";"TAB4",#N/A,TRUE,"GENERAL";"TAB5",#N/A,TRUE,"GENERAL"}</definedName>
    <definedName name="vy" localSheetId="12"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4" hidden="1">{"TAB1",#N/A,TRUE,"GENERAL";"TAB2",#N/A,TRUE,"GENERAL";"TAB3",#N/A,TRUE,"GENERAL";"TAB4",#N/A,TRUE,"GENERAL";"TAB5",#N/A,TRUE,"GENERAL"}</definedName>
    <definedName name="vy" localSheetId="1" hidden="1">{"TAB1",#N/A,TRUE,"GENERAL";"TAB2",#N/A,TRUE,"GENERAL";"TAB3",#N/A,TRUE,"GENERAL";"TAB4",#N/A,TRUE,"GENERAL";"TAB5",#N/A,TRUE,"GENERAL"}</definedName>
    <definedName name="vy" localSheetId="14" hidden="1">{"TAB1",#N/A,TRUE,"GENERAL";"TAB2",#N/A,TRUE,"GENERAL";"TAB3",#N/A,TRUE,"GENERAL";"TAB4",#N/A,TRUE,"GENERAL";"TAB5",#N/A,TRUE,"GENERAL"}</definedName>
    <definedName name="vy" localSheetId="16" hidden="1">{"TAB1",#N/A,TRUE,"GENERAL";"TAB2",#N/A,TRUE,"GENERAL";"TAB3",#N/A,TRUE,"GENERAL";"TAB4",#N/A,TRUE,"GENERAL";"TAB5",#N/A,TRUE,"GENERAL"}</definedName>
    <definedName name="vy" localSheetId="18" hidden="1">{"TAB1",#N/A,TRUE,"GENERAL";"TAB2",#N/A,TRUE,"GENERAL";"TAB3",#N/A,TRUE,"GENERAL";"TAB4",#N/A,TRUE,"GENERAL";"TAB5",#N/A,TRUE,"GENERAL"}</definedName>
    <definedName name="vy" hidden="1">{"TAB1",#N/A,TRUE,"GENERAL";"TAB2",#N/A,TRUE,"GENERAL";"TAB3",#N/A,TRUE,"GENERAL";"TAB4",#N/A,TRUE,"GENERAL";"TAB5",#N/A,TRUE,"GENERAL"}</definedName>
    <definedName name="w2w2w" localSheetId="15" hidden="1">{"via1",#N/A,TRUE,"general";"via2",#N/A,TRUE,"general";"via3",#N/A,TRUE,"general"}</definedName>
    <definedName name="w2w2w" localSheetId="17" hidden="1">{"via1",#N/A,TRUE,"general";"via2",#N/A,TRUE,"general";"via3",#N/A,TRUE,"general"}</definedName>
    <definedName name="w2w2w" localSheetId="19" hidden="1">{"via1",#N/A,TRUE,"general";"via2",#N/A,TRUE,"general";"via3",#N/A,TRUE,"general"}</definedName>
    <definedName name="w2w2w" localSheetId="12"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4" hidden="1">{"via1",#N/A,TRUE,"general";"via2",#N/A,TRUE,"general";"via3",#N/A,TRUE,"general"}</definedName>
    <definedName name="w2w2w" localSheetId="1" hidden="1">{"via1",#N/A,TRUE,"general";"via2",#N/A,TRUE,"general";"via3",#N/A,TRUE,"general"}</definedName>
    <definedName name="w2w2w" localSheetId="14" hidden="1">{"via1",#N/A,TRUE,"general";"via2",#N/A,TRUE,"general";"via3",#N/A,TRUE,"general"}</definedName>
    <definedName name="w2w2w" localSheetId="16" hidden="1">{"via1",#N/A,TRUE,"general";"via2",#N/A,TRUE,"general";"via3",#N/A,TRUE,"general"}</definedName>
    <definedName name="w2w2w" localSheetId="18" hidden="1">{"via1",#N/A,TRUE,"general";"via2",#N/A,TRUE,"general";"via3",#N/A,TRUE,"general"}</definedName>
    <definedName name="w2w2w" hidden="1">{"via1",#N/A,TRUE,"general";"via2",#N/A,TRUE,"general";"via3",#N/A,TRUE,"general"}</definedName>
    <definedName name="WDD" localSheetId="12"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5"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4" hidden="1">{"TAB1",#N/A,TRUE,"GENERAL";"TAB2",#N/A,TRUE,"GENERAL";"TAB3",#N/A,TRUE,"GENERAL";"TAB4",#N/A,TRUE,"GENERAL";"TAB5",#N/A,TRUE,"GENERAL"}</definedName>
    <definedName name="werew" localSheetId="1"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8" hidden="1">{"TAB1",#N/A,TRUE,"GENERAL";"TAB2",#N/A,TRUE,"GENERAL";"TAB3",#N/A,TRUE,"GENERAL";"TAB4",#N/A,TRUE,"GENERAL";"TAB5",#N/A,TRUE,"GENERAL"}</definedName>
    <definedName name="werew" hidden="1">{"TAB1",#N/A,TRUE,"GENERAL";"TAB2",#N/A,TRUE,"GENERAL";"TAB3",#N/A,TRUE,"GENERAL";"TAB4",#N/A,TRUE,"GENERAL";"TAB5",#N/A,TRUE,"GENERAL"}</definedName>
    <definedName name="WEREWR" localSheetId="15" hidden="1">{"via1",#N/A,TRUE,"general";"via2",#N/A,TRUE,"general";"via3",#N/A,TRUE,"general"}</definedName>
    <definedName name="WEREWR" localSheetId="17" hidden="1">{"via1",#N/A,TRUE,"general";"via2",#N/A,TRUE,"general";"via3",#N/A,TRUE,"general"}</definedName>
    <definedName name="WEREWR" localSheetId="19" hidden="1">{"via1",#N/A,TRUE,"general";"via2",#N/A,TRUE,"general";"via3",#N/A,TRUE,"general"}</definedName>
    <definedName name="WEREWR" localSheetId="12"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4" hidden="1">{"via1",#N/A,TRUE,"general";"via2",#N/A,TRUE,"general";"via3",#N/A,TRUE,"general"}</definedName>
    <definedName name="WEREWR" localSheetId="1" hidden="1">{"via1",#N/A,TRUE,"general";"via2",#N/A,TRUE,"general";"via3",#N/A,TRUE,"general"}</definedName>
    <definedName name="WEREWR" localSheetId="14" hidden="1">{"via1",#N/A,TRUE,"general";"via2",#N/A,TRUE,"general";"via3",#N/A,TRUE,"general"}</definedName>
    <definedName name="WEREWR" localSheetId="16" hidden="1">{"via1",#N/A,TRUE,"general";"via2",#N/A,TRUE,"general";"via3",#N/A,TRUE,"general"}</definedName>
    <definedName name="WEREWR" localSheetId="18" hidden="1">{"via1",#N/A,TRUE,"general";"via2",#N/A,TRUE,"general";"via3",#N/A,TRUE,"general"}</definedName>
    <definedName name="WEREWR" hidden="1">{"via1",#N/A,TRUE,"general";"via2",#N/A,TRUE,"general";"via3",#N/A,TRUE,"general"}</definedName>
    <definedName name="werfdsf" localSheetId="15"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8" hidden="1">{"TAB1",#N/A,TRUE,"GENERAL";"TAB2",#N/A,TRUE,"GENERAL";"TAB3",#N/A,TRUE,"GENERAL";"TAB4",#N/A,TRUE,"GENERAL";"TAB5",#N/A,TRUE,"GENERAL"}</definedName>
    <definedName name="werfdsf" hidden="1">{"TAB1",#N/A,TRUE,"GENERAL";"TAB2",#N/A,TRUE,"GENERAL";"TAB3",#N/A,TRUE,"GENERAL";"TAB4",#N/A,TRUE,"GENERAL";"TAB5",#N/A,TRUE,"GENERAL"}</definedName>
    <definedName name="werh" localSheetId="15" hidden="1">{"via1",#N/A,TRUE,"general";"via2",#N/A,TRUE,"general";"via3",#N/A,TRUE,"general"}</definedName>
    <definedName name="werh" localSheetId="17" hidden="1">{"via1",#N/A,TRUE,"general";"via2",#N/A,TRUE,"general";"via3",#N/A,TRUE,"general"}</definedName>
    <definedName name="werh" localSheetId="19" hidden="1">{"via1",#N/A,TRUE,"general";"via2",#N/A,TRUE,"general";"via3",#N/A,TRUE,"general"}</definedName>
    <definedName name="werh" localSheetId="12"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4" hidden="1">{"via1",#N/A,TRUE,"general";"via2",#N/A,TRUE,"general";"via3",#N/A,TRUE,"general"}</definedName>
    <definedName name="werh" localSheetId="1" hidden="1">{"via1",#N/A,TRUE,"general";"via2",#N/A,TRUE,"general";"via3",#N/A,TRUE,"general"}</definedName>
    <definedName name="werh" localSheetId="14" hidden="1">{"via1",#N/A,TRUE,"general";"via2",#N/A,TRUE,"general";"via3",#N/A,TRUE,"general"}</definedName>
    <definedName name="werh" localSheetId="16" hidden="1">{"via1",#N/A,TRUE,"general";"via2",#N/A,TRUE,"general";"via3",#N/A,TRUE,"general"}</definedName>
    <definedName name="werh" localSheetId="18" hidden="1">{"via1",#N/A,TRUE,"general";"via2",#N/A,TRUE,"general";"via3",#N/A,TRUE,"general"}</definedName>
    <definedName name="werh" hidden="1">{"via1",#N/A,TRUE,"general";"via2",#N/A,TRUE,"general";"via3",#N/A,TRUE,"general"}</definedName>
    <definedName name="wersfdfrguyo" localSheetId="15" hidden="1">{"via1",#N/A,TRUE,"general";"via2",#N/A,TRUE,"general";"via3",#N/A,TRUE,"general"}</definedName>
    <definedName name="wersfdfrguyo" localSheetId="17" hidden="1">{"via1",#N/A,TRUE,"general";"via2",#N/A,TRUE,"general";"via3",#N/A,TRUE,"general"}</definedName>
    <definedName name="wersfdfrguyo" localSheetId="19" hidden="1">{"via1",#N/A,TRUE,"general";"via2",#N/A,TRUE,"general";"via3",#N/A,TRUE,"general"}</definedName>
    <definedName name="wersfdfrguyo" localSheetId="12"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4" hidden="1">{"via1",#N/A,TRUE,"general";"via2",#N/A,TRUE,"general";"via3",#N/A,TRUE,"general"}</definedName>
    <definedName name="wersfdfrguyo" localSheetId="1" hidden="1">{"via1",#N/A,TRUE,"general";"via2",#N/A,TRUE,"general";"via3",#N/A,TRUE,"general"}</definedName>
    <definedName name="wersfdfrguyo" localSheetId="14" hidden="1">{"via1",#N/A,TRUE,"general";"via2",#N/A,TRUE,"general";"via3",#N/A,TRUE,"general"}</definedName>
    <definedName name="wersfdfrguyo" localSheetId="16" hidden="1">{"via1",#N/A,TRUE,"general";"via2",#N/A,TRUE,"general";"via3",#N/A,TRUE,"general"}</definedName>
    <definedName name="wersfdfrguyo" localSheetId="18" hidden="1">{"via1",#N/A,TRUE,"general";"via2",#N/A,TRUE,"general";"via3",#N/A,TRUE,"general"}</definedName>
    <definedName name="wersfdfrguyo" hidden="1">{"via1",#N/A,TRUE,"general";"via2",#N/A,TRUE,"general";"via3",#N/A,TRUE,"general"}</definedName>
    <definedName name="werwr" localSheetId="15" hidden="1">{"via1",#N/A,TRUE,"general";"via2",#N/A,TRUE,"general";"via3",#N/A,TRUE,"general"}</definedName>
    <definedName name="werwr" localSheetId="17" hidden="1">{"via1",#N/A,TRUE,"general";"via2",#N/A,TRUE,"general";"via3",#N/A,TRUE,"general"}</definedName>
    <definedName name="werwr" localSheetId="19" hidden="1">{"via1",#N/A,TRUE,"general";"via2",#N/A,TRUE,"general";"via3",#N/A,TRUE,"general"}</definedName>
    <definedName name="werwr" localSheetId="12"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4" hidden="1">{"via1",#N/A,TRUE,"general";"via2",#N/A,TRUE,"general";"via3",#N/A,TRUE,"general"}</definedName>
    <definedName name="werwr" localSheetId="1" hidden="1">{"via1",#N/A,TRUE,"general";"via2",#N/A,TRUE,"general";"via3",#N/A,TRUE,"general"}</definedName>
    <definedName name="werwr" localSheetId="14" hidden="1">{"via1",#N/A,TRUE,"general";"via2",#N/A,TRUE,"general";"via3",#N/A,TRUE,"general"}</definedName>
    <definedName name="werwr" localSheetId="16" hidden="1">{"via1",#N/A,TRUE,"general";"via2",#N/A,TRUE,"general";"via3",#N/A,TRUE,"general"}</definedName>
    <definedName name="werwr" localSheetId="18" hidden="1">{"via1",#N/A,TRUE,"general";"via2",#N/A,TRUE,"general";"via3",#N/A,TRUE,"general"}</definedName>
    <definedName name="werwr" hidden="1">{"via1",#N/A,TRUE,"general";"via2",#N/A,TRUE,"general";"via3",#N/A,TRUE,"general"}</definedName>
    <definedName name="WERWVN" localSheetId="15"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8" hidden="1">{"TAB1",#N/A,TRUE,"GENERAL";"TAB2",#N/A,TRUE,"GENERAL";"TAB3",#N/A,TRUE,"GENERAL";"TAB4",#N/A,TRUE,"GENERAL";"TAB5",#N/A,TRUE,"GENERAL"}</definedName>
    <definedName name="WERWVN" hidden="1">{"TAB1",#N/A,TRUE,"GENERAL";"TAB2",#N/A,TRUE,"GENERAL";"TAB3",#N/A,TRUE,"GENERAL";"TAB4",#N/A,TRUE,"GENERAL";"TAB5",#N/A,TRUE,"GENERAL"}</definedName>
    <definedName name="wetrew" localSheetId="15" hidden="1">{"via1",#N/A,TRUE,"general";"via2",#N/A,TRUE,"general";"via3",#N/A,TRUE,"general"}</definedName>
    <definedName name="wetrew" localSheetId="17" hidden="1">{"via1",#N/A,TRUE,"general";"via2",#N/A,TRUE,"general";"via3",#N/A,TRUE,"general"}</definedName>
    <definedName name="wetrew" localSheetId="19" hidden="1">{"via1",#N/A,TRUE,"general";"via2",#N/A,TRUE,"general";"via3",#N/A,TRUE,"general"}</definedName>
    <definedName name="wetrew" localSheetId="12"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4" hidden="1">{"via1",#N/A,TRUE,"general";"via2",#N/A,TRUE,"general";"via3",#N/A,TRUE,"general"}</definedName>
    <definedName name="wetrew" localSheetId="1" hidden="1">{"via1",#N/A,TRUE,"general";"via2",#N/A,TRUE,"general";"via3",#N/A,TRUE,"general"}</definedName>
    <definedName name="wetrew" localSheetId="14" hidden="1">{"via1",#N/A,TRUE,"general";"via2",#N/A,TRUE,"general";"via3",#N/A,TRUE,"general"}</definedName>
    <definedName name="wetrew" localSheetId="16" hidden="1">{"via1",#N/A,TRUE,"general";"via2",#N/A,TRUE,"general";"via3",#N/A,TRUE,"general"}</definedName>
    <definedName name="wetrew" localSheetId="18" hidden="1">{"via1",#N/A,TRUE,"general";"via2",#N/A,TRUE,"general";"via3",#N/A,TRUE,"general"}</definedName>
    <definedName name="wetrew" hidden="1">{"via1",#N/A,TRUE,"general";"via2",#N/A,TRUE,"general";"via3",#N/A,TRUE,"general"}</definedName>
    <definedName name="wettt" localSheetId="15" hidden="1">{"via1",#N/A,TRUE,"general";"via2",#N/A,TRUE,"general";"via3",#N/A,TRUE,"general"}</definedName>
    <definedName name="wettt" localSheetId="17" hidden="1">{"via1",#N/A,TRUE,"general";"via2",#N/A,TRUE,"general";"via3",#N/A,TRUE,"general"}</definedName>
    <definedName name="wettt" localSheetId="19" hidden="1">{"via1",#N/A,TRUE,"general";"via2",#N/A,TRUE,"general";"via3",#N/A,TRUE,"general"}</definedName>
    <definedName name="wettt" localSheetId="12"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4" hidden="1">{"via1",#N/A,TRUE,"general";"via2",#N/A,TRUE,"general";"via3",#N/A,TRUE,"general"}</definedName>
    <definedName name="wettt" localSheetId="1" hidden="1">{"via1",#N/A,TRUE,"general";"via2",#N/A,TRUE,"general";"via3",#N/A,TRUE,"general"}</definedName>
    <definedName name="wettt" localSheetId="14" hidden="1">{"via1",#N/A,TRUE,"general";"via2",#N/A,TRUE,"general";"via3",#N/A,TRUE,"general"}</definedName>
    <definedName name="wettt" localSheetId="16" hidden="1">{"via1",#N/A,TRUE,"general";"via2",#N/A,TRUE,"general";"via3",#N/A,TRUE,"general"}</definedName>
    <definedName name="wettt" localSheetId="18" hidden="1">{"via1",#N/A,TRUE,"general";"via2",#N/A,TRUE,"general";"via3",#N/A,TRUE,"general"}</definedName>
    <definedName name="wettt" hidden="1">{"via1",#N/A,TRUE,"general";"via2",#N/A,TRUE,"general";"via3",#N/A,TRUE,"general"}</definedName>
    <definedName name="wetwretd" localSheetId="15" hidden="1">{"via1",#N/A,TRUE,"general";"via2",#N/A,TRUE,"general";"via3",#N/A,TRUE,"general"}</definedName>
    <definedName name="wetwretd" localSheetId="17" hidden="1">{"via1",#N/A,TRUE,"general";"via2",#N/A,TRUE,"general";"via3",#N/A,TRUE,"general"}</definedName>
    <definedName name="wetwretd" localSheetId="19" hidden="1">{"via1",#N/A,TRUE,"general";"via2",#N/A,TRUE,"general";"via3",#N/A,TRUE,"general"}</definedName>
    <definedName name="wetwretd" localSheetId="12"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4" hidden="1">{"via1",#N/A,TRUE,"general";"via2",#N/A,TRUE,"general";"via3",#N/A,TRUE,"general"}</definedName>
    <definedName name="wetwretd" localSheetId="1" hidden="1">{"via1",#N/A,TRUE,"general";"via2",#N/A,TRUE,"general";"via3",#N/A,TRUE,"general"}</definedName>
    <definedName name="wetwretd" localSheetId="14" hidden="1">{"via1",#N/A,TRUE,"general";"via2",#N/A,TRUE,"general";"via3",#N/A,TRUE,"general"}</definedName>
    <definedName name="wetwretd" localSheetId="16" hidden="1">{"via1",#N/A,TRUE,"general";"via2",#N/A,TRUE,"general";"via3",#N/A,TRUE,"general"}</definedName>
    <definedName name="wetwretd" localSheetId="18" hidden="1">{"via1",#N/A,TRUE,"general";"via2",#N/A,TRUE,"general";"via3",#N/A,TRUE,"general"}</definedName>
    <definedName name="wetwretd" hidden="1">{"via1",#N/A,TRUE,"general";"via2",#N/A,TRUE,"general";"via3",#N/A,TRUE,"general"}</definedName>
    <definedName name="wew" localSheetId="15" hidden="1">{"via1",#N/A,TRUE,"general";"via2",#N/A,TRUE,"general";"via3",#N/A,TRUE,"general"}</definedName>
    <definedName name="wew" localSheetId="17" hidden="1">{"via1",#N/A,TRUE,"general";"via2",#N/A,TRUE,"general";"via3",#N/A,TRUE,"general"}</definedName>
    <definedName name="wew" localSheetId="19" hidden="1">{"via1",#N/A,TRUE,"general";"via2",#N/A,TRUE,"general";"via3",#N/A,TRUE,"general"}</definedName>
    <definedName name="wew" localSheetId="12"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4" hidden="1">{"via1",#N/A,TRUE,"general";"via2",#N/A,TRUE,"general";"via3",#N/A,TRUE,"general"}</definedName>
    <definedName name="wew" localSheetId="1" hidden="1">{"via1",#N/A,TRUE,"general";"via2",#N/A,TRUE,"general";"via3",#N/A,TRUE,"general"}</definedName>
    <definedName name="wew" localSheetId="14" hidden="1">{"via1",#N/A,TRUE,"general";"via2",#N/A,TRUE,"general";"via3",#N/A,TRUE,"general"}</definedName>
    <definedName name="wew" localSheetId="16" hidden="1">{"via1",#N/A,TRUE,"general";"via2",#N/A,TRUE,"general";"via3",#N/A,TRUE,"general"}</definedName>
    <definedName name="wew" localSheetId="18" hidden="1">{"via1",#N/A,TRUE,"general";"via2",#N/A,TRUE,"general";"via3",#N/A,TRUE,"general"}</definedName>
    <definedName name="wew" hidden="1">{"via1",#N/A,TRUE,"general";"via2",#N/A,TRUE,"general";"via3",#N/A,TRUE,"general"}</definedName>
    <definedName name="wffag" localSheetId="15" hidden="1">{"via1",#N/A,TRUE,"general";"via2",#N/A,TRUE,"general";"via3",#N/A,TRUE,"general"}</definedName>
    <definedName name="wffag" localSheetId="17" hidden="1">{"via1",#N/A,TRUE,"general";"via2",#N/A,TRUE,"general";"via3",#N/A,TRUE,"general"}</definedName>
    <definedName name="wffag" localSheetId="19" hidden="1">{"via1",#N/A,TRUE,"general";"via2",#N/A,TRUE,"general";"via3",#N/A,TRUE,"general"}</definedName>
    <definedName name="wffag" localSheetId="12"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4" hidden="1">{"via1",#N/A,TRUE,"general";"via2",#N/A,TRUE,"general";"via3",#N/A,TRUE,"general"}</definedName>
    <definedName name="wffag" localSheetId="1" hidden="1">{"via1",#N/A,TRUE,"general";"via2",#N/A,TRUE,"general";"via3",#N/A,TRUE,"general"}</definedName>
    <definedName name="wffag" localSheetId="14" hidden="1">{"via1",#N/A,TRUE,"general";"via2",#N/A,TRUE,"general";"via3",#N/A,TRUE,"general"}</definedName>
    <definedName name="wffag" localSheetId="16" hidden="1">{"via1",#N/A,TRUE,"general";"via2",#N/A,TRUE,"general";"via3",#N/A,TRUE,"general"}</definedName>
    <definedName name="wffag" localSheetId="18" hidden="1">{"via1",#N/A,TRUE,"general";"via2",#N/A,TRUE,"general";"via3",#N/A,TRUE,"general"}</definedName>
    <definedName name="wffag" hidden="1">{"via1",#N/A,TRUE,"general";"via2",#N/A,TRUE,"general";"via3",#N/A,TRUE,"general"}</definedName>
    <definedName name="WQEEWQ" localSheetId="15"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8"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5" hidden="1">{#N/A,#N/A,FALSE,"Aging Summary";#N/A,#N/A,FALSE,"Ratio Analysis";#N/A,#N/A,FALSE,"Test 120 Day Accts";#N/A,#N/A,FALSE,"Tickmarks"}</definedName>
    <definedName name="wrn.Aging._.and._.Trend._.Analysis." localSheetId="17" hidden="1">{#N/A,#N/A,FALSE,"Aging Summary";#N/A,#N/A,FALSE,"Ratio Analysis";#N/A,#N/A,FALSE,"Test 120 Day Accts";#N/A,#N/A,FALSE,"Tickmarks"}</definedName>
    <definedName name="wrn.Aging._.and._.Trend._.Analysis." localSheetId="19" hidden="1">{#N/A,#N/A,FALSE,"Aging Summary";#N/A,#N/A,FALSE,"Ratio Analysis";#N/A,#N/A,FALSE,"Test 120 Day Accts";#N/A,#N/A,FALSE,"Tickmarks"}</definedName>
    <definedName name="wrn.Aging._.and._.Trend._.Analysis." localSheetId="11" hidden="1">{#N/A,#N/A,FALSE,"Aging Summary";#N/A,#N/A,FALSE,"Ratio Analysis";#N/A,#N/A,FALSE,"Test 120 Day Accts";#N/A,#N/A,FALSE,"Tickmarks"}</definedName>
    <definedName name="wrn.Aging._.and._.Trend._.Analysis." localSheetId="14" hidden="1">{#N/A,#N/A,FALSE,"Aging Summary";#N/A,#N/A,FALSE,"Ratio Analysis";#N/A,#N/A,FALSE,"Test 120 Day Accts";#N/A,#N/A,FALSE,"Tickmarks"}</definedName>
    <definedName name="wrn.Aging._.and._.Trend._.Analysis." localSheetId="16" hidden="1">{#N/A,#N/A,FALSE,"Aging Summary";#N/A,#N/A,FALSE,"Ratio Analysis";#N/A,#N/A,FALSE,"Test 120 Day Accts";#N/A,#N/A,FALSE,"Tickmarks"}</definedName>
    <definedName name="wrn.Aging._.and._.Trend._.Analysis." localSheetId="1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13" hidden="1">{#N/A,#N/A,TRUE,"1842CWN0"}</definedName>
    <definedName name="wrn.civil._.works." localSheetId="15" hidden="1">{#N/A,#N/A,TRUE,"1842CWN0"}</definedName>
    <definedName name="wrn.civil._.works." localSheetId="17" hidden="1">{#N/A,#N/A,TRUE,"1842CWN0"}</definedName>
    <definedName name="wrn.civil._.works." localSheetId="19" hidden="1">{#N/A,#N/A,TRUE,"1842CWN0"}</definedName>
    <definedName name="wrn.civil._.works." localSheetId="12" hidden="1">{#N/A,#N/A,TRUE,"1842CWN0"}</definedName>
    <definedName name="wrn.civil._.works." localSheetId="8" hidden="1">{#N/A,#N/A,TRUE,"1842CWN0"}</definedName>
    <definedName name="wrn.civil._.works." localSheetId="9" hidden="1">{#N/A,#N/A,TRUE,"1842CWN0"}</definedName>
    <definedName name="wrn.civil._.works." localSheetId="7" hidden="1">{#N/A,#N/A,TRUE,"1842CWN0"}</definedName>
    <definedName name="wrn.civil._.works." localSheetId="10" hidden="1">{#N/A,#N/A,TRUE,"1842CWN0"}</definedName>
    <definedName name="wrn.civil._.works." localSheetId="0" hidden="1">{#N/A,#N/A,TRUE,"1842CWN0"}</definedName>
    <definedName name="wrn.civil._.works." localSheetId="11" hidden="1">{#N/A,#N/A,TRUE,"1842CWN0"}</definedName>
    <definedName name="wrn.civil._.works." localSheetId="6" hidden="1">{#N/A,#N/A,TRUE,"1842CWN0"}</definedName>
    <definedName name="wrn.civil._.works." localSheetId="4" hidden="1">{#N/A,#N/A,TRUE,"1842CWN0"}</definedName>
    <definedName name="wrn.civil._.works." localSheetId="1" hidden="1">{#N/A,#N/A,TRUE,"1842CWN0"}</definedName>
    <definedName name="wrn.civil._.works." localSheetId="14" hidden="1">{#N/A,#N/A,TRUE,"1842CWN0"}</definedName>
    <definedName name="wrn.civil._.works." localSheetId="16" hidden="1">{#N/A,#N/A,TRUE,"1842CWN0"}</definedName>
    <definedName name="wrn.civil._.works." localSheetId="18" hidden="1">{#N/A,#N/A,TRUE,"1842CWN0"}</definedName>
    <definedName name="wrn.civil._.works." localSheetId="5" hidden="1">{#N/A,#N/A,TRUE,"1842CWN0"}</definedName>
    <definedName name="wrn.civil._.works." hidden="1">{#N/A,#N/A,TRUE,"1842CWN0"}</definedName>
    <definedName name="wrn.civil._.works._1" localSheetId="15" hidden="1">{#N/A,#N/A,TRUE,"1842CWN0"}</definedName>
    <definedName name="wrn.civil._.works._1" localSheetId="17" hidden="1">{#N/A,#N/A,TRUE,"1842CWN0"}</definedName>
    <definedName name="wrn.civil._.works._1" localSheetId="19" hidden="1">{#N/A,#N/A,TRUE,"1842CWN0"}</definedName>
    <definedName name="wrn.civil._.works._1" localSheetId="11" hidden="1">{#N/A,#N/A,TRUE,"1842CWN0"}</definedName>
    <definedName name="wrn.civil._.works._1" localSheetId="14" hidden="1">{#N/A,#N/A,TRUE,"1842CWN0"}</definedName>
    <definedName name="wrn.civil._.works._1" localSheetId="16" hidden="1">{#N/A,#N/A,TRUE,"1842CWN0"}</definedName>
    <definedName name="wrn.civil._.works._1" localSheetId="18" hidden="1">{#N/A,#N/A,TRUE,"1842CWN0"}</definedName>
    <definedName name="wrn.civil._.works._1" hidden="1">{#N/A,#N/A,TRUE,"1842CWN0"}</definedName>
    <definedName name="wrn.civil._.works._2" localSheetId="15" hidden="1">{#N/A,#N/A,TRUE,"1842CWN0"}</definedName>
    <definedName name="wrn.civil._.works._2" localSheetId="17" hidden="1">{#N/A,#N/A,TRUE,"1842CWN0"}</definedName>
    <definedName name="wrn.civil._.works._2" localSheetId="19" hidden="1">{#N/A,#N/A,TRUE,"1842CWN0"}</definedName>
    <definedName name="wrn.civil._.works._2" localSheetId="11" hidden="1">{#N/A,#N/A,TRUE,"1842CWN0"}</definedName>
    <definedName name="wrn.civil._.works._2" localSheetId="14" hidden="1">{#N/A,#N/A,TRUE,"1842CWN0"}</definedName>
    <definedName name="wrn.civil._.works._2" localSheetId="16" hidden="1">{#N/A,#N/A,TRUE,"1842CWN0"}</definedName>
    <definedName name="wrn.civil._.works._2" localSheetId="18" hidden="1">{#N/A,#N/A,TRUE,"1842CWN0"}</definedName>
    <definedName name="wrn.civil._.works._2" hidden="1">{#N/A,#N/A,TRUE,"1842CWN0"}</definedName>
    <definedName name="wrn.ESTADO._.REHABILITACION." localSheetId="15" hidden="1">{"PRES REHAB ARM-PER POR ITEMS  KM A KM",#N/A,TRUE,"Rehabilitacion Arm-Per"}</definedName>
    <definedName name="wrn.ESTADO._.REHABILITACION." localSheetId="17" hidden="1">{"PRES REHAB ARM-PER POR ITEMS  KM A KM",#N/A,TRUE,"Rehabilitacion Arm-Per"}</definedName>
    <definedName name="wrn.ESTADO._.REHABILITACION." localSheetId="19" hidden="1">{"PRES REHAB ARM-PER POR ITEMS  KM A KM",#N/A,TRUE,"Rehabilitacion Arm-Per"}</definedName>
    <definedName name="wrn.ESTADO._.REHABILITACION." localSheetId="12" hidden="1">{"PRES REHAB ARM-PER POR ITEMS  KM A KM",#N/A,TRUE,"Rehabilitacion Arm-Per"}</definedName>
    <definedName name="wrn.ESTADO._.REHABILITACION." localSheetId="8" hidden="1">{"PRES REHAB ARM-PER POR ITEMS  KM A KM",#N/A,TRUE,"Rehabilitacion Arm-Per"}</definedName>
    <definedName name="wrn.ESTADO._.REHABILITACION." localSheetId="9" hidden="1">{"PRES REHAB ARM-PER POR ITEMS  KM A KM",#N/A,TRUE,"Rehabilitacion Arm-Per"}</definedName>
    <definedName name="wrn.ESTADO._.REHABILITACION." localSheetId="7" hidden="1">{"PRES REHAB ARM-PER POR ITEMS  KM A KM",#N/A,TRUE,"Rehabilitacion Arm-Per"}</definedName>
    <definedName name="wrn.ESTADO._.REHABILITACION." localSheetId="10" hidden="1">{"PRES REHAB ARM-PER POR ITEMS  KM A KM",#N/A,TRUE,"Rehabilitacion Arm-Per"}</definedName>
    <definedName name="wrn.ESTADO._.REHABILITACION." localSheetId="11" hidden="1">{"PRES REHAB ARM-PER POR ITEMS  KM A KM",#N/A,TRUE,"Rehabilitacion Arm-Per"}</definedName>
    <definedName name="wrn.ESTADO._.REHABILITACION." localSheetId="4" hidden="1">{"PRES REHAB ARM-PER POR ITEMS  KM A KM",#N/A,TRUE,"Rehabilitacion Arm-Per"}</definedName>
    <definedName name="wrn.ESTADO._.REHABILITACION." localSheetId="1" hidden="1">{"PRES REHAB ARM-PER POR ITEMS  KM A KM",#N/A,TRUE,"Rehabilitacion Arm-Per"}</definedName>
    <definedName name="wrn.ESTADO._.REHABILITACION." localSheetId="14" hidden="1">{"PRES REHAB ARM-PER POR ITEMS  KM A KM",#N/A,TRUE,"Rehabilitacion Arm-Per"}</definedName>
    <definedName name="wrn.ESTADO._.REHABILITACION." localSheetId="16" hidden="1">{"PRES REHAB ARM-PER POR ITEMS  KM A KM",#N/A,TRUE,"Rehabilitacion Arm-Per"}</definedName>
    <definedName name="wrn.ESTADO._.REHABILITACION." localSheetId="18" hidden="1">{"PRES REHAB ARM-PER POR ITEMS  KM A KM",#N/A,TRUE,"Rehabilitacion Arm-Per"}</definedName>
    <definedName name="wrn.ESTADO._.REHABILITACION." hidden="1">{"PRES REHAB ARM-PER POR ITEMS  KM A KM",#N/A,TRUE,"Rehabilitacion Arm-Per"}</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5" hidden="1">{"VIA1",#N/A,TRUE,"formul";"VIA2",#N/A,TRUE,"formul";"VIA3",#N/A,TRUE,"formul"}</definedName>
    <definedName name="wrn.formu." localSheetId="17" hidden="1">{"VIA1",#N/A,TRUE,"formul";"VIA2",#N/A,TRUE,"formul";"VIA3",#N/A,TRUE,"formul"}</definedName>
    <definedName name="wrn.formu." localSheetId="19" hidden="1">{"VIA1",#N/A,TRUE,"formul";"VIA2",#N/A,TRUE,"formul";"VIA3",#N/A,TRUE,"formul"}</definedName>
    <definedName name="wrn.formu." localSheetId="12" hidden="1">{"VIA1",#N/A,TRUE,"formul";"VIA2",#N/A,TRUE,"formul";"VIA3",#N/A,TRUE,"formul"}</definedName>
    <definedName name="wrn.formu." localSheetId="8" hidden="1">{"VIA1",#N/A,TRUE,"formul";"VIA2",#N/A,TRUE,"formul";"VIA3",#N/A,TRUE,"formul"}</definedName>
    <definedName name="wrn.formu." localSheetId="9" hidden="1">{"VIA1",#N/A,TRUE,"formul";"VIA2",#N/A,TRUE,"formul";"VIA3",#N/A,TRUE,"formul"}</definedName>
    <definedName name="wrn.formu." localSheetId="7" hidden="1">{"VIA1",#N/A,TRUE,"formul";"VIA2",#N/A,TRUE,"formul";"VIA3",#N/A,TRUE,"formul"}</definedName>
    <definedName name="wrn.formu." localSheetId="10" hidden="1">{"VIA1",#N/A,TRUE,"formul";"VIA2",#N/A,TRUE,"formul";"VIA3",#N/A,TRUE,"formul"}</definedName>
    <definedName name="wrn.formu." localSheetId="11" hidden="1">{"VIA1",#N/A,TRUE,"formul";"VIA2",#N/A,TRUE,"formul";"VIA3",#N/A,TRUE,"formul"}</definedName>
    <definedName name="wrn.formu." localSheetId="4" hidden="1">{"VIA1",#N/A,TRUE,"formul";"VIA2",#N/A,TRUE,"formul";"VIA3",#N/A,TRUE,"formul"}</definedName>
    <definedName name="wrn.formu." localSheetId="1" hidden="1">{"VIA1",#N/A,TRUE,"formul";"VIA2",#N/A,TRUE,"formul";"VIA3",#N/A,TRUE,"formul"}</definedName>
    <definedName name="wrn.formu." localSheetId="14" hidden="1">{"VIA1",#N/A,TRUE,"formul";"VIA2",#N/A,TRUE,"formul";"VIA3",#N/A,TRUE,"formul"}</definedName>
    <definedName name="wrn.formu." localSheetId="16" hidden="1">{"VIA1",#N/A,TRUE,"formul";"VIA2",#N/A,TRUE,"formul";"VIA3",#N/A,TRUE,"formul"}</definedName>
    <definedName name="wrn.formu." localSheetId="18" hidden="1">{"VIA1",#N/A,TRUE,"formul";"VIA2",#N/A,TRUE,"formul";"VIA3",#N/A,TRUE,"formul"}</definedName>
    <definedName name="wrn.formu." hidden="1">{"VIA1",#N/A,TRUE,"formul";"VIA2",#N/A,TRUE,"formul";"VIA3",#N/A,TRUE,"formul"}</definedName>
    <definedName name="wrn.GENERAL." localSheetId="1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13" hidden="1">{#N/A,#N/A,TRUE,"INGENIERIA";#N/A,#N/A,TRUE,"COMPRAS";#N/A,#N/A,TRUE,"DIRECCION";#N/A,#N/A,TRUE,"RESUMEN"}</definedName>
    <definedName name="wrn.GERENCIA." localSheetId="15" hidden="1">{#N/A,#N/A,TRUE,"INGENIERIA";#N/A,#N/A,TRUE,"COMPRAS";#N/A,#N/A,TRUE,"DIRECCION";#N/A,#N/A,TRUE,"RESUMEN"}</definedName>
    <definedName name="wrn.GERENCIA." localSheetId="17" hidden="1">{#N/A,#N/A,TRUE,"INGENIERIA";#N/A,#N/A,TRUE,"COMPRAS";#N/A,#N/A,TRUE,"DIRECCION";#N/A,#N/A,TRUE,"RESUMEN"}</definedName>
    <definedName name="wrn.GERENCIA." localSheetId="19" hidden="1">{#N/A,#N/A,TRUE,"INGENIERIA";#N/A,#N/A,TRUE,"COMPRAS";#N/A,#N/A,TRUE,"DIRECCION";#N/A,#N/A,TRUE,"RESUMEN"}</definedName>
    <definedName name="wrn.GERENCIA." localSheetId="12"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7" hidden="1">{#N/A,#N/A,TRUE,"INGENIERIA";#N/A,#N/A,TRUE,"COMPRAS";#N/A,#N/A,TRUE,"DIRECCION";#N/A,#N/A,TRUE,"RESUMEN"}</definedName>
    <definedName name="wrn.GERENCIA." localSheetId="10" hidden="1">{#N/A,#N/A,TRUE,"INGENIERIA";#N/A,#N/A,TRUE,"COMPRAS";#N/A,#N/A,TRUE,"DIRECCION";#N/A,#N/A,TRUE,"RESUMEN"}</definedName>
    <definedName name="wrn.GERENCIA." localSheetId="0" hidden="1">{#N/A,#N/A,TRUE,"INGENIERIA";#N/A,#N/A,TRUE,"COMPRAS";#N/A,#N/A,TRUE,"DIRECCION";#N/A,#N/A,TRUE,"RESUMEN"}</definedName>
    <definedName name="wrn.GERENCIA." localSheetId="11" hidden="1">{#N/A,#N/A,TRUE,"INGENIERIA";#N/A,#N/A,TRUE,"COMPRAS";#N/A,#N/A,TRUE,"DIRECCION";#N/A,#N/A,TRUE,"RESUMEN"}</definedName>
    <definedName name="wrn.GERENCIA." localSheetId="6" hidden="1">{#N/A,#N/A,TRUE,"INGENIERIA";#N/A,#N/A,TRUE,"COMPRAS";#N/A,#N/A,TRUE,"DIRECCION";#N/A,#N/A,TRUE,"RESUMEN"}</definedName>
    <definedName name="wrn.GERENCIA." localSheetId="4" hidden="1">{#N/A,#N/A,TRUE,"INGENIERIA";#N/A,#N/A,TRUE,"COMPRAS";#N/A,#N/A,TRUE,"DIRECCION";#N/A,#N/A,TRUE,"RESUMEN"}</definedName>
    <definedName name="wrn.GERENCIA." localSheetId="1" hidden="1">{#N/A,#N/A,TRUE,"INGENIERIA";#N/A,#N/A,TRUE,"COMPRAS";#N/A,#N/A,TRUE,"DIRECCION";#N/A,#N/A,TRUE,"RESUMEN"}</definedName>
    <definedName name="wrn.GERENCIA." localSheetId="14" hidden="1">{#N/A,#N/A,TRUE,"INGENIERIA";#N/A,#N/A,TRUE,"COMPRAS";#N/A,#N/A,TRUE,"DIRECCION";#N/A,#N/A,TRUE,"RESUMEN"}</definedName>
    <definedName name="wrn.GERENCIA." localSheetId="16" hidden="1">{#N/A,#N/A,TRUE,"INGENIERIA";#N/A,#N/A,TRUE,"COMPRAS";#N/A,#N/A,TRUE,"DIRECCION";#N/A,#N/A,TRUE,"RESUMEN"}</definedName>
    <definedName name="wrn.GERENCIA." localSheetId="18"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GERENCIA._1" localSheetId="15" hidden="1">{#N/A,#N/A,TRUE,"INGENIERIA";#N/A,#N/A,TRUE,"COMPRAS";#N/A,#N/A,TRUE,"DIRECCION";#N/A,#N/A,TRUE,"RESUMEN"}</definedName>
    <definedName name="wrn.GERENCIA._1" localSheetId="17" hidden="1">{#N/A,#N/A,TRUE,"INGENIERIA";#N/A,#N/A,TRUE,"COMPRAS";#N/A,#N/A,TRUE,"DIRECCION";#N/A,#N/A,TRUE,"RESUMEN"}</definedName>
    <definedName name="wrn.GERENCIA._1" localSheetId="19" hidden="1">{#N/A,#N/A,TRUE,"INGENIERIA";#N/A,#N/A,TRUE,"COMPRAS";#N/A,#N/A,TRUE,"DIRECCION";#N/A,#N/A,TRUE,"RESUMEN"}</definedName>
    <definedName name="wrn.GERENCIA._1" localSheetId="11" hidden="1">{#N/A,#N/A,TRUE,"INGENIERIA";#N/A,#N/A,TRUE,"COMPRAS";#N/A,#N/A,TRUE,"DIRECCION";#N/A,#N/A,TRUE,"RESUMEN"}</definedName>
    <definedName name="wrn.GERENCIA._1" localSheetId="14" hidden="1">{#N/A,#N/A,TRUE,"INGENIERIA";#N/A,#N/A,TRUE,"COMPRAS";#N/A,#N/A,TRUE,"DIRECCION";#N/A,#N/A,TRUE,"RESUMEN"}</definedName>
    <definedName name="wrn.GERENCIA._1" localSheetId="16" hidden="1">{#N/A,#N/A,TRUE,"INGENIERIA";#N/A,#N/A,TRUE,"COMPRAS";#N/A,#N/A,TRUE,"DIRECCION";#N/A,#N/A,TRUE,"RESUMEN"}</definedName>
    <definedName name="wrn.GERENCIA._1" localSheetId="18" hidden="1">{#N/A,#N/A,TRUE,"INGENIERIA";#N/A,#N/A,TRUE,"COMPRAS";#N/A,#N/A,TRUE,"DIRECCION";#N/A,#N/A,TRUE,"RESUMEN"}</definedName>
    <definedName name="wrn.GERENCIA._1" hidden="1">{#N/A,#N/A,TRUE,"INGENIERIA";#N/A,#N/A,TRUE,"COMPRAS";#N/A,#N/A,TRUE,"DIRECCION";#N/A,#N/A,TRUE,"RESUMEN"}</definedName>
    <definedName name="wrn.GERENCIA._2" localSheetId="15" hidden="1">{#N/A,#N/A,TRUE,"INGENIERIA";#N/A,#N/A,TRUE,"COMPRAS";#N/A,#N/A,TRUE,"DIRECCION";#N/A,#N/A,TRUE,"RESUMEN"}</definedName>
    <definedName name="wrn.GERENCIA._2" localSheetId="17" hidden="1">{#N/A,#N/A,TRUE,"INGENIERIA";#N/A,#N/A,TRUE,"COMPRAS";#N/A,#N/A,TRUE,"DIRECCION";#N/A,#N/A,TRUE,"RESUMEN"}</definedName>
    <definedName name="wrn.GERENCIA._2" localSheetId="19" hidden="1">{#N/A,#N/A,TRUE,"INGENIERIA";#N/A,#N/A,TRUE,"COMPRAS";#N/A,#N/A,TRUE,"DIRECCION";#N/A,#N/A,TRUE,"RESUMEN"}</definedName>
    <definedName name="wrn.GERENCIA._2" localSheetId="11" hidden="1">{#N/A,#N/A,TRUE,"INGENIERIA";#N/A,#N/A,TRUE,"COMPRAS";#N/A,#N/A,TRUE,"DIRECCION";#N/A,#N/A,TRUE,"RESUMEN"}</definedName>
    <definedName name="wrn.GERENCIA._2" localSheetId="14" hidden="1">{#N/A,#N/A,TRUE,"INGENIERIA";#N/A,#N/A,TRUE,"COMPRAS";#N/A,#N/A,TRUE,"DIRECCION";#N/A,#N/A,TRUE,"RESUMEN"}</definedName>
    <definedName name="wrn.GERENCIA._2" localSheetId="16" hidden="1">{#N/A,#N/A,TRUE,"INGENIERIA";#N/A,#N/A,TRUE,"COMPRAS";#N/A,#N/A,TRUE,"DIRECCION";#N/A,#N/A,TRUE,"RESUMEN"}</definedName>
    <definedName name="wrn.GERENCIA._2" localSheetId="18" hidden="1">{#N/A,#N/A,TRUE,"INGENIERIA";#N/A,#N/A,TRUE,"COMPRAS";#N/A,#N/A,TRUE,"DIRECCION";#N/A,#N/A,TRUE,"RESUMEN"}</definedName>
    <definedName name="wrn.GERENCIA._2" hidden="1">{#N/A,#N/A,TRUE,"INGENIERIA";#N/A,#N/A,TRUE,"COMPRAS";#N/A,#N/A,TRUE,"DIRECCION";#N/A,#N/A,TRUE,"RESUMEN"}</definedName>
    <definedName name="wrn.IMPRESION." localSheetId="15" hidden="1">{"IMPRESION",#N/A,FALSE,"pequeño"}</definedName>
    <definedName name="wrn.IMPRESION." localSheetId="17" hidden="1">{"IMPRESION",#N/A,FALSE,"pequeño"}</definedName>
    <definedName name="wrn.IMPRESION." localSheetId="19" hidden="1">{"IMPRESION",#N/A,FALSE,"pequeño"}</definedName>
    <definedName name="wrn.IMPRESION." localSheetId="11" hidden="1">{"IMPRESION",#N/A,FALSE,"pequeño"}</definedName>
    <definedName name="wrn.IMPRESION." localSheetId="14" hidden="1">{"IMPRESION",#N/A,FALSE,"pequeño"}</definedName>
    <definedName name="wrn.IMPRESION." localSheetId="16" hidden="1">{"IMPRESION",#N/A,FALSE,"pequeño"}</definedName>
    <definedName name="wrn.IMPRESION." localSheetId="18" hidden="1">{"IMPRESION",#N/A,FALSE,"pequeño"}</definedName>
    <definedName name="wrn.IMPRESION." hidden="1">{"IMPRESION",#N/A,FALSE,"pequeño"}</definedName>
    <definedName name="wrn.OBRASC." localSheetId="15" hidden="1">{"AURES1",#N/A,FALSE,"GENERAL";"AURES2",#N/A,FALSE,"GENERAL";"AURES3",#N/A,FALSE,"GENERAL";"AURES4",#N/A,FALSE,"GENERAL";"AURES5",#N/A,FALSE,"GENERAL";"AURES6",#N/A,FALSE,"GENERAL";"AURES7",#N/A,FALSE,"GENERAL"}</definedName>
    <definedName name="wrn.OBRASC." localSheetId="17" hidden="1">{"AURES1",#N/A,FALSE,"GENERAL";"AURES2",#N/A,FALSE,"GENERAL";"AURES3",#N/A,FALSE,"GENERAL";"AURES4",#N/A,FALSE,"GENERAL";"AURES5",#N/A,FALSE,"GENERAL";"AURES6",#N/A,FALSE,"GENERAL";"AURES7",#N/A,FALSE,"GENERAL"}</definedName>
    <definedName name="wrn.OBRASC." localSheetId="19" hidden="1">{"AURES1",#N/A,FALSE,"GENERAL";"AURES2",#N/A,FALSE,"GENERAL";"AURES3",#N/A,FALSE,"GENERAL";"AURES4",#N/A,FALSE,"GENERAL";"AURES5",#N/A,FALSE,"GENERAL";"AURES6",#N/A,FALSE,"GENERAL";"AURES7",#N/A,FALSE,"GENERAL"}</definedName>
    <definedName name="wrn.OBRASC." localSheetId="11" hidden="1">{"AURES1",#N/A,FALSE,"GENERAL";"AURES2",#N/A,FALSE,"GENERAL";"AURES3",#N/A,FALSE,"GENERAL";"AURES4",#N/A,FALSE,"GENERAL";"AURES5",#N/A,FALSE,"GENERAL";"AURES6",#N/A,FALSE,"GENERAL";"AURES7",#N/A,FALSE,"GENERAL"}</definedName>
    <definedName name="wrn.OBRASC." localSheetId="14" hidden="1">{"AURES1",#N/A,FALSE,"GENERAL";"AURES2",#N/A,FALSE,"GENERAL";"AURES3",#N/A,FALSE,"GENERAL";"AURES4",#N/A,FALSE,"GENERAL";"AURES5",#N/A,FALSE,"GENERAL";"AURES6",#N/A,FALSE,"GENERAL";"AURES7",#N/A,FALSE,"GENERAL"}</definedName>
    <definedName name="wrn.OBRASC." localSheetId="16" hidden="1">{"AURES1",#N/A,FALSE,"GENERAL";"AURES2",#N/A,FALSE,"GENERAL";"AURES3",#N/A,FALSE,"GENERAL";"AURES4",#N/A,FALSE,"GENERAL";"AURES5",#N/A,FALSE,"GENERAL";"AURES6",#N/A,FALSE,"GENERAL";"AURES7",#N/A,FALSE,"GENERAL"}</definedName>
    <definedName name="wrn.OBRASC." localSheetId="18"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12" hidden="1">{#N/A,#N/A,TRUE,"T1"}</definedName>
    <definedName name="wrn.OPERADORES." localSheetId="8" hidden="1">{#N/A,#N/A,TRUE,"T1"}</definedName>
    <definedName name="wrn.OPERADORES." localSheetId="9" hidden="1">{#N/A,#N/A,TRUE,"T1"}</definedName>
    <definedName name="wrn.OPERADORES." localSheetId="7" hidden="1">{#N/A,#N/A,TRUE,"T1"}</definedName>
    <definedName name="wrn.OPERADORES." localSheetId="10" hidden="1">{#N/A,#N/A,TRUE,"T1"}</definedName>
    <definedName name="wrn.OPERADORES." localSheetId="1" hidden="1">{#N/A,#N/A,TRUE,"T1"}</definedName>
    <definedName name="wrn.OPERADORES." hidden="1">{#N/A,#N/A,TRUE,"T1"}</definedName>
    <definedName name="wrn.PROYEC." localSheetId="15" hidden="1">{#N/A,#N/A,FALSE,"GRAFICO";#N/A,#N/A,FALSE,"CAJA (2)";#N/A,#N/A,FALSE,"TERCEROS-PROMEDIO";#N/A,#N/A,FALSE,"CAJA";#N/A,#N/A,FALSE,"INGRESOS1995-2003";#N/A,#N/A,FALSE,"GASTOS1995-2003"}</definedName>
    <definedName name="wrn.PROYEC." localSheetId="17" hidden="1">{#N/A,#N/A,FALSE,"GRAFICO";#N/A,#N/A,FALSE,"CAJA (2)";#N/A,#N/A,FALSE,"TERCEROS-PROMEDIO";#N/A,#N/A,FALSE,"CAJA";#N/A,#N/A,FALSE,"INGRESOS1995-2003";#N/A,#N/A,FALSE,"GASTOS1995-2003"}</definedName>
    <definedName name="wrn.PROYEC." localSheetId="19" hidden="1">{#N/A,#N/A,FALSE,"GRAFICO";#N/A,#N/A,FALSE,"CAJA (2)";#N/A,#N/A,FALSE,"TERCEROS-PROMEDIO";#N/A,#N/A,FALSE,"CAJA";#N/A,#N/A,FALSE,"INGRESOS1995-2003";#N/A,#N/A,FALSE,"GASTOS1995-2003"}</definedName>
    <definedName name="wrn.PROYEC." localSheetId="11" hidden="1">{#N/A,#N/A,FALSE,"GRAFICO";#N/A,#N/A,FALSE,"CAJA (2)";#N/A,#N/A,FALSE,"TERCEROS-PROMEDIO";#N/A,#N/A,FALSE,"CAJA";#N/A,#N/A,FALSE,"INGRESOS1995-2003";#N/A,#N/A,FALSE,"GASTOS1995-2003"}</definedName>
    <definedName name="wrn.PROYEC." localSheetId="14" hidden="1">{#N/A,#N/A,FALSE,"GRAFICO";#N/A,#N/A,FALSE,"CAJA (2)";#N/A,#N/A,FALSE,"TERCEROS-PROMEDIO";#N/A,#N/A,FALSE,"CAJA";#N/A,#N/A,FALSE,"INGRESOS1995-2003";#N/A,#N/A,FALSE,"GASTOS1995-2003"}</definedName>
    <definedName name="wrn.PROYEC." localSheetId="16" hidden="1">{#N/A,#N/A,FALSE,"GRAFICO";#N/A,#N/A,FALSE,"CAJA (2)";#N/A,#N/A,FALSE,"TERCEROS-PROMEDIO";#N/A,#N/A,FALSE,"CAJA";#N/A,#N/A,FALSE,"INGRESOS1995-2003";#N/A,#N/A,FALSE,"GASTOS1995-2003"}</definedName>
    <definedName name="wrn.PROYEC." localSheetId="18"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12" hidden="1">{#N/A,#N/A,FALSE,"Hoja1";#N/A,#N/A,FALSE,"Hoja2"}</definedName>
    <definedName name="wrn.res7" localSheetId="8" hidden="1">{#N/A,#N/A,FALSE,"Hoja1";#N/A,#N/A,FALSE,"Hoja2"}</definedName>
    <definedName name="wrn.res7" localSheetId="9" hidden="1">{#N/A,#N/A,FALSE,"Hoja1";#N/A,#N/A,FALSE,"Hoja2"}</definedName>
    <definedName name="wrn.res7" localSheetId="7" hidden="1">{#N/A,#N/A,FALSE,"Hoja1";#N/A,#N/A,FALSE,"Hoja2"}</definedName>
    <definedName name="wrn.res7" localSheetId="10" hidden="1">{#N/A,#N/A,FALSE,"Hoja1";#N/A,#N/A,FALSE,"Hoja2"}</definedName>
    <definedName name="wrn.res7" localSheetId="1" hidden="1">{#N/A,#N/A,FALSE,"Hoja1";#N/A,#N/A,FALSE,"Hoja2"}</definedName>
    <definedName name="wrn.res7" hidden="1">{#N/A,#N/A,FALSE,"Hoja1";#N/A,#N/A,FALSE,"Hoja2"}</definedName>
    <definedName name="wrn.Resumen." localSheetId="12" hidden="1">{#N/A,#N/A,FALSE,"Hoja1";#N/A,#N/A,FALSE,"Hoja2"}</definedName>
    <definedName name="wrn.Resumen." localSheetId="8" hidden="1">{#N/A,#N/A,FALSE,"Hoja1";#N/A,#N/A,FALSE,"Hoja2"}</definedName>
    <definedName name="wrn.Resumen." localSheetId="9" hidden="1">{#N/A,#N/A,FALSE,"Hoja1";#N/A,#N/A,FALSE,"Hoja2"}</definedName>
    <definedName name="wrn.Resumen." localSheetId="7" hidden="1">{#N/A,#N/A,FALSE,"Hoja1";#N/A,#N/A,FALSE,"Hoja2"}</definedName>
    <definedName name="wrn.Resumen." localSheetId="10" hidden="1">{#N/A,#N/A,FALSE,"Hoja1";#N/A,#N/A,FALSE,"Hoja2"}</definedName>
    <definedName name="wrn.Resumen." localSheetId="1" hidden="1">{#N/A,#N/A,FALSE,"Hoja1";#N/A,#N/A,FALSE,"Hoja2"}</definedName>
    <definedName name="wrn.Resumen." hidden="1">{#N/A,#N/A,FALSE,"Hoja1";#N/A,#N/A,FALSE,"Hoja2"}</definedName>
    <definedName name="wrn.SENCILLO." localSheetId="15" hidden="1">{"PYGS",#N/A,FALSE,"PYG";"ACTIS",#N/A,FALSE,"BCE_GRAL-ACTIVO";"PASIS",#N/A,FALSE,"BCE_GRAL-PASIVO-PATRIM";"CAJAS",#N/A,FALSE,"CAJA"}</definedName>
    <definedName name="wrn.SENCILLO." localSheetId="17" hidden="1">{"PYGS",#N/A,FALSE,"PYG";"ACTIS",#N/A,FALSE,"BCE_GRAL-ACTIVO";"PASIS",#N/A,FALSE,"BCE_GRAL-PASIVO-PATRIM";"CAJAS",#N/A,FALSE,"CAJA"}</definedName>
    <definedName name="wrn.SENCILLO." localSheetId="19" hidden="1">{"PYGS",#N/A,FALSE,"PYG";"ACTIS",#N/A,FALSE,"BCE_GRAL-ACTIVO";"PASIS",#N/A,FALSE,"BCE_GRAL-PASIVO-PATRIM";"CAJAS",#N/A,FALSE,"CAJA"}</definedName>
    <definedName name="wrn.SENCILLO." localSheetId="11" hidden="1">{"PYGS",#N/A,FALSE,"PYG";"ACTIS",#N/A,FALSE,"BCE_GRAL-ACTIVO";"PASIS",#N/A,FALSE,"BCE_GRAL-PASIVO-PATRIM";"CAJAS",#N/A,FALSE,"CAJA"}</definedName>
    <definedName name="wrn.SENCILLO." localSheetId="14" hidden="1">{"PYGS",#N/A,FALSE,"PYG";"ACTIS",#N/A,FALSE,"BCE_GRAL-ACTIVO";"PASIS",#N/A,FALSE,"BCE_GRAL-PASIVO-PATRIM";"CAJAS",#N/A,FALSE,"CAJA"}</definedName>
    <definedName name="wrn.SENCILLO." localSheetId="16" hidden="1">{"PYGS",#N/A,FALSE,"PYG";"ACTIS",#N/A,FALSE,"BCE_GRAL-ACTIVO";"PASIS",#N/A,FALSE,"BCE_GRAL-PASIVO-PATRIM";"CAJAS",#N/A,FALSE,"CAJA"}</definedName>
    <definedName name="wrn.SENCILLO." localSheetId="18"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5" hidden="1">{"Parcial",#N/A,FALSE,"GastFuncionamiento";"Parcial2",#N/A,FALSE,"GastFuncionamiento";"Total",#N/A,FALSE,"GastFuncionamiento"}</definedName>
    <definedName name="wrn.Total." localSheetId="17" hidden="1">{"Parcial",#N/A,FALSE,"GastFuncionamiento";"Parcial2",#N/A,FALSE,"GastFuncionamiento";"Total",#N/A,FALSE,"GastFuncionamiento"}</definedName>
    <definedName name="wrn.Total." localSheetId="19" hidden="1">{"Parcial",#N/A,FALSE,"GastFuncionamiento";"Parcial2",#N/A,FALSE,"GastFuncionamiento";"Total",#N/A,FALSE,"GastFuncionamiento"}</definedName>
    <definedName name="wrn.Total." localSheetId="11" hidden="1">{"Parcial",#N/A,FALSE,"GastFuncionamiento";"Parcial2",#N/A,FALSE,"GastFuncionamiento";"Total",#N/A,FALSE,"GastFuncionamiento"}</definedName>
    <definedName name="wrn.Total." localSheetId="14" hidden="1">{"Parcial",#N/A,FALSE,"GastFuncionamiento";"Parcial2",#N/A,FALSE,"GastFuncionamiento";"Total",#N/A,FALSE,"GastFuncionamiento"}</definedName>
    <definedName name="wrn.Total." localSheetId="16" hidden="1">{"Parcial",#N/A,FALSE,"GastFuncionamiento";"Parcial2",#N/A,FALSE,"GastFuncionamiento";"Total",#N/A,FALSE,"GastFuncionamiento"}</definedName>
    <definedName name="wrn.Total." localSheetId="18"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12"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2"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localSheetId="17" hidden="1">{"via1",#N/A,TRUE,"general";"via2",#N/A,TRUE,"general";"via3",#N/A,TRUE,"general"}</definedName>
    <definedName name="wrn.via." localSheetId="19" hidden="1">{"via1",#N/A,TRUE,"general";"via2",#N/A,TRUE,"general";"via3",#N/A,TRUE,"general"}</definedName>
    <definedName name="wrn.via." localSheetId="12"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6" hidden="1">{"via1",#N/A,TRUE,"general";"via2",#N/A,TRUE,"general";"via3",#N/A,TRUE,"general"}</definedName>
    <definedName name="wrn.via." localSheetId="4" hidden="1">{"via1",#N/A,TRUE,"general";"via2",#N/A,TRUE,"general";"via3",#N/A,TRUE,"general"}</definedName>
    <definedName name="wrn.via." localSheetId="1" hidden="1">{"via1",#N/A,TRUE,"general";"via2",#N/A,TRUE,"general";"via3",#N/A,TRUE,"general"}</definedName>
    <definedName name="wrn.via." localSheetId="14" hidden="1">{"via1",#N/A,TRUE,"general";"via2",#N/A,TRUE,"general";"via3",#N/A,TRUE,"general"}</definedName>
    <definedName name="wrn.via." localSheetId="16" hidden="1">{"via1",#N/A,TRUE,"general";"via2",#N/A,TRUE,"general";"via3",#N/A,TRUE,"general"}</definedName>
    <definedName name="wrn.via." localSheetId="18"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15" hidden="1">{"via1",#N/A,TRUE,"general";"via2",#N/A,TRUE,"general";"via3",#N/A,TRUE,"general"}</definedName>
    <definedName name="wsnhed" localSheetId="17" hidden="1">{"via1",#N/A,TRUE,"general";"via2",#N/A,TRUE,"general";"via3",#N/A,TRUE,"general"}</definedName>
    <definedName name="wsnhed" localSheetId="19" hidden="1">{"via1",#N/A,TRUE,"general";"via2",#N/A,TRUE,"general";"via3",#N/A,TRUE,"general"}</definedName>
    <definedName name="wsnhed" localSheetId="12"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4" hidden="1">{"via1",#N/A,TRUE,"general";"via2",#N/A,TRUE,"general";"via3",#N/A,TRUE,"general"}</definedName>
    <definedName name="wsnhed" localSheetId="1" hidden="1">{"via1",#N/A,TRUE,"general";"via2",#N/A,TRUE,"general";"via3",#N/A,TRUE,"general"}</definedName>
    <definedName name="wsnhed" localSheetId="14" hidden="1">{"via1",#N/A,TRUE,"general";"via2",#N/A,TRUE,"general";"via3",#N/A,TRUE,"general"}</definedName>
    <definedName name="wsnhed" localSheetId="16" hidden="1">{"via1",#N/A,TRUE,"general";"via2",#N/A,TRUE,"general";"via3",#N/A,TRUE,"general"}</definedName>
    <definedName name="wsnhed" localSheetId="18" hidden="1">{"via1",#N/A,TRUE,"general";"via2",#N/A,TRUE,"general";"via3",#N/A,TRUE,"general"}</definedName>
    <definedName name="wsnhed" hidden="1">{"via1",#N/A,TRUE,"general";"via2",#N/A,TRUE,"general";"via3",#N/A,TRUE,"general"}</definedName>
    <definedName name="wswswsqa" localSheetId="15" hidden="1">{"via1",#N/A,TRUE,"general";"via2",#N/A,TRUE,"general";"via3",#N/A,TRUE,"general"}</definedName>
    <definedName name="wswswsqa" localSheetId="17" hidden="1">{"via1",#N/A,TRUE,"general";"via2",#N/A,TRUE,"general";"via3",#N/A,TRUE,"general"}</definedName>
    <definedName name="wswswsqa" localSheetId="19" hidden="1">{"via1",#N/A,TRUE,"general";"via2",#N/A,TRUE,"general";"via3",#N/A,TRUE,"general"}</definedName>
    <definedName name="wswswsqa" localSheetId="12"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4" hidden="1">{"via1",#N/A,TRUE,"general";"via2",#N/A,TRUE,"general";"via3",#N/A,TRUE,"general"}</definedName>
    <definedName name="wswswsqa" localSheetId="1" hidden="1">{"via1",#N/A,TRUE,"general";"via2",#N/A,TRUE,"general";"via3",#N/A,TRUE,"general"}</definedName>
    <definedName name="wswswsqa" localSheetId="14" hidden="1">{"via1",#N/A,TRUE,"general";"via2",#N/A,TRUE,"general";"via3",#N/A,TRUE,"general"}</definedName>
    <definedName name="wswswsqa" localSheetId="16" hidden="1">{"via1",#N/A,TRUE,"general";"via2",#N/A,TRUE,"general";"via3",#N/A,TRUE,"general"}</definedName>
    <definedName name="wswswsqa" localSheetId="18" hidden="1">{"via1",#N/A,TRUE,"general";"via2",#N/A,TRUE,"general";"via3",#N/A,TRUE,"general"}</definedName>
    <definedName name="wswswsqa" hidden="1">{"via1",#N/A,TRUE,"general";"via2",#N/A,TRUE,"general";"via3",#N/A,TRUE,"general"}</definedName>
    <definedName name="wtt" localSheetId="15" hidden="1">{"TAB1",#N/A,TRUE,"GENERAL";"TAB2",#N/A,TRUE,"GENERAL";"TAB3",#N/A,TRUE,"GENERAL";"TAB4",#N/A,TRUE,"GENERAL";"TAB5",#N/A,TRUE,"GENERAL"}</definedName>
    <definedName name="wtt" localSheetId="17" hidden="1">{"TAB1",#N/A,TRUE,"GENERAL";"TAB2",#N/A,TRUE,"GENERAL";"TAB3",#N/A,TRUE,"GENERAL";"TAB4",#N/A,TRUE,"GENERAL";"TAB5",#N/A,TRUE,"GENERAL"}</definedName>
    <definedName name="wtt" localSheetId="19" hidden="1">{"TAB1",#N/A,TRUE,"GENERAL";"TAB2",#N/A,TRUE,"GENERAL";"TAB3",#N/A,TRUE,"GENERAL";"TAB4",#N/A,TRUE,"GENERAL";"TAB5",#N/A,TRUE,"GENERAL"}</definedName>
    <definedName name="wtt" localSheetId="12"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4" hidden="1">{"TAB1",#N/A,TRUE,"GENERAL";"TAB2",#N/A,TRUE,"GENERAL";"TAB3",#N/A,TRUE,"GENERAL";"TAB4",#N/A,TRUE,"GENERAL";"TAB5",#N/A,TRUE,"GENERAL"}</definedName>
    <definedName name="wtt" localSheetId="1" hidden="1">{"TAB1",#N/A,TRUE,"GENERAL";"TAB2",#N/A,TRUE,"GENERAL";"TAB3",#N/A,TRUE,"GENERAL";"TAB4",#N/A,TRUE,"GENERAL";"TAB5",#N/A,TRUE,"GENERAL"}</definedName>
    <definedName name="wtt" localSheetId="14" hidden="1">{"TAB1",#N/A,TRUE,"GENERAL";"TAB2",#N/A,TRUE,"GENERAL";"TAB3",#N/A,TRUE,"GENERAL";"TAB4",#N/A,TRUE,"GENERAL";"TAB5",#N/A,TRUE,"GENERAL"}</definedName>
    <definedName name="wtt" localSheetId="16" hidden="1">{"TAB1",#N/A,TRUE,"GENERAL";"TAB2",#N/A,TRUE,"GENERAL";"TAB3",#N/A,TRUE,"GENERAL";"TAB4",#N/A,TRUE,"GENERAL";"TAB5",#N/A,TRUE,"GENERAL"}</definedName>
    <definedName name="wtt" localSheetId="18" hidden="1">{"TAB1",#N/A,TRUE,"GENERAL";"TAB2",#N/A,TRUE,"GENERAL";"TAB3",#N/A,TRUE,"GENERAL";"TAB4",#N/A,TRUE,"GENERAL";"TAB5",#N/A,TRUE,"GENERAL"}</definedName>
    <definedName name="wtt" hidden="1">{"TAB1",#N/A,TRUE,"GENERAL";"TAB2",#N/A,TRUE,"GENERAL";"TAB3",#N/A,TRUE,"GENERAL";"TAB4",#N/A,TRUE,"GENERAL";"TAB5",#N/A,TRUE,"GENERAL"}</definedName>
    <definedName name="wwded3" localSheetId="15" hidden="1">{"via1",#N/A,TRUE,"general";"via2",#N/A,TRUE,"general";"via3",#N/A,TRUE,"general"}</definedName>
    <definedName name="wwded3" localSheetId="17" hidden="1">{"via1",#N/A,TRUE,"general";"via2",#N/A,TRUE,"general";"via3",#N/A,TRUE,"general"}</definedName>
    <definedName name="wwded3" localSheetId="19" hidden="1">{"via1",#N/A,TRUE,"general";"via2",#N/A,TRUE,"general";"via3",#N/A,TRUE,"general"}</definedName>
    <definedName name="wwded3" localSheetId="12"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4" hidden="1">{"via1",#N/A,TRUE,"general";"via2",#N/A,TRUE,"general";"via3",#N/A,TRUE,"general"}</definedName>
    <definedName name="wwded3" localSheetId="1" hidden="1">{"via1",#N/A,TRUE,"general";"via2",#N/A,TRUE,"general";"via3",#N/A,TRUE,"general"}</definedName>
    <definedName name="wwded3" localSheetId="14" hidden="1">{"via1",#N/A,TRUE,"general";"via2",#N/A,TRUE,"general";"via3",#N/A,TRUE,"general"}</definedName>
    <definedName name="wwded3" localSheetId="16" hidden="1">{"via1",#N/A,TRUE,"general";"via2",#N/A,TRUE,"general";"via3",#N/A,TRUE,"general"}</definedName>
    <definedName name="wwded3" localSheetId="18" hidden="1">{"via1",#N/A,TRUE,"general";"via2",#N/A,TRUE,"general";"via3",#N/A,TRUE,"general"}</definedName>
    <definedName name="wwded3" hidden="1">{"via1",#N/A,TRUE,"general";"via2",#N/A,TRUE,"general";"via3",#N/A,TRUE,"general"}</definedName>
    <definedName name="wwwwe" localSheetId="15"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4" hidden="1">{"TAB1",#N/A,TRUE,"GENERAL";"TAB2",#N/A,TRUE,"GENERAL";"TAB3",#N/A,TRUE,"GENERAL";"TAB4",#N/A,TRUE,"GENERAL";"TAB5",#N/A,TRUE,"GENERAL"}</definedName>
    <definedName name="wwwwe" localSheetId="1"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8" hidden="1">{"TAB1",#N/A,TRUE,"GENERAL";"TAB2",#N/A,TRUE,"GENERAL";"TAB3",#N/A,TRUE,"GENERAL";"TAB4",#N/A,TRUE,"GENERAL";"TAB5",#N/A,TRUE,"GENERAL"}</definedName>
    <definedName name="wwwwe" hidden="1">{"TAB1",#N/A,TRUE,"GENERAL";"TAB2",#N/A,TRUE,"GENERAL";"TAB3",#N/A,TRUE,"GENERAL";"TAB4",#N/A,TRUE,"GENERAL";"TAB5",#N/A,TRUE,"GENERAL"}</definedName>
    <definedName name="wyty" localSheetId="15" hidden="1">{"via1",#N/A,TRUE,"general";"via2",#N/A,TRUE,"general";"via3",#N/A,TRUE,"general"}</definedName>
    <definedName name="wyty" localSheetId="17" hidden="1">{"via1",#N/A,TRUE,"general";"via2",#N/A,TRUE,"general";"via3",#N/A,TRUE,"general"}</definedName>
    <definedName name="wyty" localSheetId="19" hidden="1">{"via1",#N/A,TRUE,"general";"via2",#N/A,TRUE,"general";"via3",#N/A,TRUE,"general"}</definedName>
    <definedName name="wyty" localSheetId="12"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4" hidden="1">{"via1",#N/A,TRUE,"general";"via2",#N/A,TRUE,"general";"via3",#N/A,TRUE,"general"}</definedName>
    <definedName name="wyty" localSheetId="1" hidden="1">{"via1",#N/A,TRUE,"general";"via2",#N/A,TRUE,"general";"via3",#N/A,TRUE,"general"}</definedName>
    <definedName name="wyty" localSheetId="14" hidden="1">{"via1",#N/A,TRUE,"general";"via2",#N/A,TRUE,"general";"via3",#N/A,TRUE,"general"}</definedName>
    <definedName name="wyty" localSheetId="16" hidden="1">{"via1",#N/A,TRUE,"general";"via2",#N/A,TRUE,"general";"via3",#N/A,TRUE,"general"}</definedName>
    <definedName name="wyty" localSheetId="18" hidden="1">{"via1",#N/A,TRUE,"general";"via2",#N/A,TRUE,"general";"via3",#N/A,TRUE,"general"}</definedName>
    <definedName name="wyty" hidden="1">{"via1",#N/A,TRUE,"general";"via2",#N/A,TRUE,"general";"via3",#N/A,TRUE,"general"}</definedName>
    <definedName name="XA" hidden="1">#REF!</definedName>
    <definedName name="xcbvbs" localSheetId="15"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8"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SW" localSheetId="13" hidden="1">{#N/A,#N/A,TRUE,"1842CWN0"}</definedName>
    <definedName name="XSW" localSheetId="15" hidden="1">{#N/A,#N/A,TRUE,"1842CWN0"}</definedName>
    <definedName name="XSW" localSheetId="17" hidden="1">{#N/A,#N/A,TRUE,"1842CWN0"}</definedName>
    <definedName name="XSW" localSheetId="19" hidden="1">{#N/A,#N/A,TRUE,"1842CWN0"}</definedName>
    <definedName name="XSW" localSheetId="12" hidden="1">{#N/A,#N/A,TRUE,"1842CWN0"}</definedName>
    <definedName name="XSW" localSheetId="8" hidden="1">{#N/A,#N/A,TRUE,"1842CWN0"}</definedName>
    <definedName name="XSW" localSheetId="9" hidden="1">{#N/A,#N/A,TRUE,"1842CWN0"}</definedName>
    <definedName name="XSW" localSheetId="7" hidden="1">{#N/A,#N/A,TRUE,"1842CWN0"}</definedName>
    <definedName name="XSW" localSheetId="10" hidden="1">{#N/A,#N/A,TRUE,"1842CWN0"}</definedName>
    <definedName name="XSW" localSheetId="0" hidden="1">{#N/A,#N/A,TRUE,"1842CWN0"}</definedName>
    <definedName name="XSW" localSheetId="11" hidden="1">{#N/A,#N/A,TRUE,"1842CWN0"}</definedName>
    <definedName name="XSW" localSheetId="6" hidden="1">{#N/A,#N/A,TRUE,"1842CWN0"}</definedName>
    <definedName name="XSW" localSheetId="4" hidden="1">{#N/A,#N/A,TRUE,"1842CWN0"}</definedName>
    <definedName name="XSW" localSheetId="1" hidden="1">{#N/A,#N/A,TRUE,"1842CWN0"}</definedName>
    <definedName name="XSW" localSheetId="14" hidden="1">{#N/A,#N/A,TRUE,"1842CWN0"}</definedName>
    <definedName name="XSW" localSheetId="16" hidden="1">{#N/A,#N/A,TRUE,"1842CWN0"}</definedName>
    <definedName name="XSW" localSheetId="18" hidden="1">{#N/A,#N/A,TRUE,"1842CWN0"}</definedName>
    <definedName name="XSW" localSheetId="5" hidden="1">{#N/A,#N/A,TRUE,"1842CWN0"}</definedName>
    <definedName name="XSW" hidden="1">{#N/A,#N/A,TRUE,"1842CWN0"}</definedName>
    <definedName name="XSW_1" localSheetId="15" hidden="1">{#N/A,#N/A,TRUE,"1842CWN0"}</definedName>
    <definedName name="XSW_1" localSheetId="17" hidden="1">{#N/A,#N/A,TRUE,"1842CWN0"}</definedName>
    <definedName name="XSW_1" localSheetId="19" hidden="1">{#N/A,#N/A,TRUE,"1842CWN0"}</definedName>
    <definedName name="XSW_1" localSheetId="11" hidden="1">{#N/A,#N/A,TRUE,"1842CWN0"}</definedName>
    <definedName name="XSW_1" localSheetId="14" hidden="1">{#N/A,#N/A,TRUE,"1842CWN0"}</definedName>
    <definedName name="XSW_1" localSheetId="16" hidden="1">{#N/A,#N/A,TRUE,"1842CWN0"}</definedName>
    <definedName name="XSW_1" localSheetId="18" hidden="1">{#N/A,#N/A,TRUE,"1842CWN0"}</definedName>
    <definedName name="XSW_1" hidden="1">{#N/A,#N/A,TRUE,"1842CWN0"}</definedName>
    <definedName name="XSW_2" localSheetId="15" hidden="1">{#N/A,#N/A,TRUE,"1842CWN0"}</definedName>
    <definedName name="XSW_2" localSheetId="17" hidden="1">{#N/A,#N/A,TRUE,"1842CWN0"}</definedName>
    <definedName name="XSW_2" localSheetId="19" hidden="1">{#N/A,#N/A,TRUE,"1842CWN0"}</definedName>
    <definedName name="XSW_2" localSheetId="11" hidden="1">{#N/A,#N/A,TRUE,"1842CWN0"}</definedName>
    <definedName name="XSW_2" localSheetId="14" hidden="1">{#N/A,#N/A,TRUE,"1842CWN0"}</definedName>
    <definedName name="XSW_2" localSheetId="16" hidden="1">{#N/A,#N/A,TRUE,"1842CWN0"}</definedName>
    <definedName name="XSW_2" localSheetId="18" hidden="1">{#N/A,#N/A,TRUE,"1842CWN0"}</definedName>
    <definedName name="XSW_2" hidden="1">{#N/A,#N/A,TRUE,"1842CWN0"}</definedName>
    <definedName name="xsxs" localSheetId="15" hidden="1">{"TAB1",#N/A,TRUE,"GENERAL";"TAB2",#N/A,TRUE,"GENERAL";"TAB3",#N/A,TRUE,"GENERAL";"TAB4",#N/A,TRUE,"GENERAL";"TAB5",#N/A,TRUE,"GENERAL"}</definedName>
    <definedName name="xsxs" localSheetId="17" hidden="1">{"TAB1",#N/A,TRUE,"GENERAL";"TAB2",#N/A,TRUE,"GENERAL";"TAB3",#N/A,TRUE,"GENERAL";"TAB4",#N/A,TRUE,"GENERAL";"TAB5",#N/A,TRUE,"GENERAL"}</definedName>
    <definedName name="xsxs" localSheetId="19" hidden="1">{"TAB1",#N/A,TRUE,"GENERAL";"TAB2",#N/A,TRUE,"GENERAL";"TAB3",#N/A,TRUE,"GENERAL";"TAB4",#N/A,TRUE,"GENERAL";"TAB5",#N/A,TRUE,"GENERAL"}</definedName>
    <definedName name="xsxs" localSheetId="12"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4" hidden="1">{"TAB1",#N/A,TRUE,"GENERAL";"TAB2",#N/A,TRUE,"GENERAL";"TAB3",#N/A,TRUE,"GENERAL";"TAB4",#N/A,TRUE,"GENERAL";"TAB5",#N/A,TRUE,"GENERAL"}</definedName>
    <definedName name="xsxs" localSheetId="1" hidden="1">{"TAB1",#N/A,TRUE,"GENERAL";"TAB2",#N/A,TRUE,"GENERAL";"TAB3",#N/A,TRUE,"GENERAL";"TAB4",#N/A,TRUE,"GENERAL";"TAB5",#N/A,TRUE,"GENERAL"}</definedName>
    <definedName name="xsxs" localSheetId="14" hidden="1">{"TAB1",#N/A,TRUE,"GENERAL";"TAB2",#N/A,TRUE,"GENERAL";"TAB3",#N/A,TRUE,"GENERAL";"TAB4",#N/A,TRUE,"GENERAL";"TAB5",#N/A,TRUE,"GENERAL"}</definedName>
    <definedName name="xsxs" localSheetId="16" hidden="1">{"TAB1",#N/A,TRUE,"GENERAL";"TAB2",#N/A,TRUE,"GENERAL";"TAB3",#N/A,TRUE,"GENERAL";"TAB4",#N/A,TRUE,"GENERAL";"TAB5",#N/A,TRUE,"GENERAL"}</definedName>
    <definedName name="xsxs" localSheetId="18" hidden="1">{"TAB1",#N/A,TRUE,"GENERAL";"TAB2",#N/A,TRUE,"GENERAL";"TAB3",#N/A,TRUE,"GENERAL";"TAB4",#N/A,TRUE,"GENERAL";"TAB5",#N/A,TRUE,"GENERAL"}</definedName>
    <definedName name="xsxs" hidden="1">{"TAB1",#N/A,TRUE,"GENERAL";"TAB2",#N/A,TRUE,"GENERAL";"TAB3",#N/A,TRUE,"GENERAL";"TAB4",#N/A,TRUE,"GENERAL";"TAB5",#N/A,TRUE,"GENERAL"}</definedName>
    <definedName name="xxfg" localSheetId="15" hidden="1">{"via1",#N/A,TRUE,"general";"via2",#N/A,TRUE,"general";"via3",#N/A,TRUE,"general"}</definedName>
    <definedName name="xxfg" localSheetId="17" hidden="1">{"via1",#N/A,TRUE,"general";"via2",#N/A,TRUE,"general";"via3",#N/A,TRUE,"general"}</definedName>
    <definedName name="xxfg" localSheetId="19" hidden="1">{"via1",#N/A,TRUE,"general";"via2",#N/A,TRUE,"general";"via3",#N/A,TRUE,"general"}</definedName>
    <definedName name="xxfg" localSheetId="12"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4" hidden="1">{"via1",#N/A,TRUE,"general";"via2",#N/A,TRUE,"general";"via3",#N/A,TRUE,"general"}</definedName>
    <definedName name="xxfg" localSheetId="1" hidden="1">{"via1",#N/A,TRUE,"general";"via2",#N/A,TRUE,"general";"via3",#N/A,TRUE,"general"}</definedName>
    <definedName name="xxfg" localSheetId="14" hidden="1">{"via1",#N/A,TRUE,"general";"via2",#N/A,TRUE,"general";"via3",#N/A,TRUE,"general"}</definedName>
    <definedName name="xxfg" localSheetId="16" hidden="1">{"via1",#N/A,TRUE,"general";"via2",#N/A,TRUE,"general";"via3",#N/A,TRUE,"general"}</definedName>
    <definedName name="xxfg" localSheetId="18" hidden="1">{"via1",#N/A,TRUE,"general";"via2",#N/A,TRUE,"general";"via3",#N/A,TRUE,"general"}</definedName>
    <definedName name="xxfg" hidden="1">{"via1",#N/A,TRUE,"general";"via2",#N/A,TRUE,"general";"via3",#N/A,TRUE,"general"}</definedName>
    <definedName name="XXXX" localSheetId="13" hidden="1">#REF!</definedName>
    <definedName name="XXXX" localSheetId="15" hidden="1">#REF!</definedName>
    <definedName name="XXXX" localSheetId="17" hidden="1">#REF!</definedName>
    <definedName name="XXXX" localSheetId="19" hidden="1">#REF!</definedName>
    <definedName name="XXXX" localSheetId="12" hidden="1">#REF!</definedName>
    <definedName name="XXXX" localSheetId="8" hidden="1">#REF!</definedName>
    <definedName name="XXXX" localSheetId="9" hidden="1">#REF!</definedName>
    <definedName name="XXXX" localSheetId="7" hidden="1">#REF!</definedName>
    <definedName name="XXXX" localSheetId="10" hidden="1">#REF!</definedName>
    <definedName name="XXXX" localSheetId="0" hidden="1">#REF!</definedName>
    <definedName name="XXXX" localSheetId="6" hidden="1">#REF!</definedName>
    <definedName name="XXXX" localSheetId="4" hidden="1">#REF!</definedName>
    <definedName name="XXXX" localSheetId="1" hidden="1">#REF!</definedName>
    <definedName name="XXXX" localSheetId="14" hidden="1">#REF!</definedName>
    <definedName name="XXXX" localSheetId="16" hidden="1">#REF!</definedName>
    <definedName name="XXXX" localSheetId="18" hidden="1">#REF!</definedName>
    <definedName name="XXXX" localSheetId="5" hidden="1">#REF!</definedName>
    <definedName name="XXXX" hidden="1">#REF!</definedName>
    <definedName name="xxxxxds" localSheetId="15" hidden="1">{"via1",#N/A,TRUE,"general";"via2",#N/A,TRUE,"general";"via3",#N/A,TRUE,"general"}</definedName>
    <definedName name="xxxxxds" localSheetId="17" hidden="1">{"via1",#N/A,TRUE,"general";"via2",#N/A,TRUE,"general";"via3",#N/A,TRUE,"general"}</definedName>
    <definedName name="xxxxxds" localSheetId="19" hidden="1">{"via1",#N/A,TRUE,"general";"via2",#N/A,TRUE,"general";"via3",#N/A,TRUE,"general"}</definedName>
    <definedName name="xxxxxds" localSheetId="12"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4" hidden="1">{"via1",#N/A,TRUE,"general";"via2",#N/A,TRUE,"general";"via3",#N/A,TRUE,"general"}</definedName>
    <definedName name="xxxxxds" localSheetId="1" hidden="1">{"via1",#N/A,TRUE,"general";"via2",#N/A,TRUE,"general";"via3",#N/A,TRUE,"general"}</definedName>
    <definedName name="xxxxxds" localSheetId="14" hidden="1">{"via1",#N/A,TRUE,"general";"via2",#N/A,TRUE,"general";"via3",#N/A,TRUE,"general"}</definedName>
    <definedName name="xxxxxds" localSheetId="16" hidden="1">{"via1",#N/A,TRUE,"general";"via2",#N/A,TRUE,"general";"via3",#N/A,TRUE,"general"}</definedName>
    <definedName name="xxxxxds" localSheetId="18" hidden="1">{"via1",#N/A,TRUE,"general";"via2",#N/A,TRUE,"general";"via3",#N/A,TRUE,"general"}</definedName>
    <definedName name="xxxxxds" hidden="1">{"via1",#N/A,TRUE,"general";"via2",#N/A,TRUE,"general";"via3",#N/A,TRUE,"general"}</definedName>
    <definedName name="XXXXXX" localSheetId="12"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15" hidden="1">{"via1",#N/A,TRUE,"general";"via2",#N/A,TRUE,"general";"via3",#N/A,TRUE,"general"}</definedName>
    <definedName name="xxxxxxxxxx29" localSheetId="17" hidden="1">{"via1",#N/A,TRUE,"general";"via2",#N/A,TRUE,"general";"via3",#N/A,TRUE,"general"}</definedName>
    <definedName name="xxxxxxxxxx29" localSheetId="19" hidden="1">{"via1",#N/A,TRUE,"general";"via2",#N/A,TRUE,"general";"via3",#N/A,TRUE,"general"}</definedName>
    <definedName name="xxxxxxxxxx29" localSheetId="12"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4" hidden="1">{"via1",#N/A,TRUE,"general";"via2",#N/A,TRUE,"general";"via3",#N/A,TRUE,"general"}</definedName>
    <definedName name="xxxxxxxxxx29" localSheetId="1" hidden="1">{"via1",#N/A,TRUE,"general";"via2",#N/A,TRUE,"general";"via3",#N/A,TRUE,"general"}</definedName>
    <definedName name="xxxxxxxxxx29" localSheetId="14" hidden="1">{"via1",#N/A,TRUE,"general";"via2",#N/A,TRUE,"general";"via3",#N/A,TRUE,"general"}</definedName>
    <definedName name="xxxxxxxxxx29" localSheetId="16" hidden="1">{"via1",#N/A,TRUE,"general";"via2",#N/A,TRUE,"general";"via3",#N/A,TRUE,"general"}</definedName>
    <definedName name="xxxxxxxxxx29" localSheetId="18" hidden="1">{"via1",#N/A,TRUE,"general";"via2",#N/A,TRUE,"general";"via3",#N/A,TRUE,"general"}</definedName>
    <definedName name="xxxxxxxxxx29" hidden="1">{"via1",#N/A,TRUE,"general";"via2",#N/A,TRUE,"general";"via3",#N/A,TRUE,"general"}</definedName>
    <definedName name="XZS" localSheetId="13" hidden="1">#REF!</definedName>
    <definedName name="XZS" localSheetId="15" hidden="1">#REF!</definedName>
    <definedName name="XZS" localSheetId="17" hidden="1">#REF!</definedName>
    <definedName name="XZS" localSheetId="19" hidden="1">#REF!</definedName>
    <definedName name="XZS" localSheetId="12" hidden="1">#REF!</definedName>
    <definedName name="XZS" localSheetId="8" hidden="1">#REF!</definedName>
    <definedName name="XZS" localSheetId="9" hidden="1">#REF!</definedName>
    <definedName name="XZS" localSheetId="7" hidden="1">#REF!</definedName>
    <definedName name="XZS" localSheetId="10" hidden="1">#REF!</definedName>
    <definedName name="XZS" localSheetId="0" hidden="1">#REF!</definedName>
    <definedName name="XZS" localSheetId="6" hidden="1">#REF!</definedName>
    <definedName name="XZS" localSheetId="4" hidden="1">#REF!</definedName>
    <definedName name="XZS" localSheetId="1" hidden="1">#REF!</definedName>
    <definedName name="XZS" localSheetId="14" hidden="1">#REF!</definedName>
    <definedName name="XZS" localSheetId="16" hidden="1">#REF!</definedName>
    <definedName name="XZS" localSheetId="18" hidden="1">#REF!</definedName>
    <definedName name="XZS" localSheetId="5" hidden="1">#REF!</definedName>
    <definedName name="XZS" hidden="1">#REF!</definedName>
    <definedName name="XZXZV" localSheetId="15" hidden="1">{"via1",#N/A,TRUE,"general";"via2",#N/A,TRUE,"general";"via3",#N/A,TRUE,"general"}</definedName>
    <definedName name="XZXZV" localSheetId="17" hidden="1">{"via1",#N/A,TRUE,"general";"via2",#N/A,TRUE,"general";"via3",#N/A,TRUE,"general"}</definedName>
    <definedName name="XZXZV" localSheetId="19" hidden="1">{"via1",#N/A,TRUE,"general";"via2",#N/A,TRUE,"general";"via3",#N/A,TRUE,"general"}</definedName>
    <definedName name="XZXZV" localSheetId="12"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4" hidden="1">{"via1",#N/A,TRUE,"general";"via2",#N/A,TRUE,"general";"via3",#N/A,TRUE,"general"}</definedName>
    <definedName name="XZXZV" localSheetId="1" hidden="1">{"via1",#N/A,TRUE,"general";"via2",#N/A,TRUE,"general";"via3",#N/A,TRUE,"general"}</definedName>
    <definedName name="XZXZV" localSheetId="14" hidden="1">{"via1",#N/A,TRUE,"general";"via2",#N/A,TRUE,"general";"via3",#N/A,TRUE,"general"}</definedName>
    <definedName name="XZXZV" localSheetId="16" hidden="1">{"via1",#N/A,TRUE,"general";"via2",#N/A,TRUE,"general";"via3",#N/A,TRUE,"general"}</definedName>
    <definedName name="XZXZV" localSheetId="18" hidden="1">{"via1",#N/A,TRUE,"general";"via2",#N/A,TRUE,"general";"via3",#N/A,TRUE,"general"}</definedName>
    <definedName name="XZXZV" hidden="1">{"via1",#N/A,TRUE,"general";"via2",#N/A,TRUE,"general";"via3",#N/A,TRUE,"general"}</definedName>
    <definedName name="y6y6" localSheetId="15" hidden="1">{"via1",#N/A,TRUE,"general";"via2",#N/A,TRUE,"general";"via3",#N/A,TRUE,"general"}</definedName>
    <definedName name="y6y6" localSheetId="17" hidden="1">{"via1",#N/A,TRUE,"general";"via2",#N/A,TRUE,"general";"via3",#N/A,TRUE,"general"}</definedName>
    <definedName name="y6y6" localSheetId="19" hidden="1">{"via1",#N/A,TRUE,"general";"via2",#N/A,TRUE,"general";"via3",#N/A,TRUE,"general"}</definedName>
    <definedName name="y6y6" localSheetId="12"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4" hidden="1">{"via1",#N/A,TRUE,"general";"via2",#N/A,TRUE,"general";"via3",#N/A,TRUE,"general"}</definedName>
    <definedName name="y6y6" localSheetId="1" hidden="1">{"via1",#N/A,TRUE,"general";"via2",#N/A,TRUE,"general";"via3",#N/A,TRUE,"general"}</definedName>
    <definedName name="y6y6" localSheetId="14" hidden="1">{"via1",#N/A,TRUE,"general";"via2",#N/A,TRUE,"general";"via3",#N/A,TRUE,"general"}</definedName>
    <definedName name="y6y6" localSheetId="16" hidden="1">{"via1",#N/A,TRUE,"general";"via2",#N/A,TRUE,"general";"via3",#N/A,TRUE,"general"}</definedName>
    <definedName name="y6y6" localSheetId="18" hidden="1">{"via1",#N/A,TRUE,"general";"via2",#N/A,TRUE,"general";"via3",#N/A,TRUE,"general"}</definedName>
    <definedName name="y6y6" hidden="1">{"via1",#N/A,TRUE,"general";"via2",#N/A,TRUE,"general";"via3",#N/A,TRUE,"general"}</definedName>
    <definedName name="yery" localSheetId="15" hidden="1">{"via1",#N/A,TRUE,"general";"via2",#N/A,TRUE,"general";"via3",#N/A,TRUE,"general"}</definedName>
    <definedName name="yery" localSheetId="17" hidden="1">{"via1",#N/A,TRUE,"general";"via2",#N/A,TRUE,"general";"via3",#N/A,TRUE,"general"}</definedName>
    <definedName name="yery" localSheetId="19" hidden="1">{"via1",#N/A,TRUE,"general";"via2",#N/A,TRUE,"general";"via3",#N/A,TRUE,"general"}</definedName>
    <definedName name="yery" localSheetId="12"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4" hidden="1">{"via1",#N/A,TRUE,"general";"via2",#N/A,TRUE,"general";"via3",#N/A,TRUE,"general"}</definedName>
    <definedName name="yery" localSheetId="1" hidden="1">{"via1",#N/A,TRUE,"general";"via2",#N/A,TRUE,"general";"via3",#N/A,TRUE,"general"}</definedName>
    <definedName name="yery" localSheetId="14" hidden="1">{"via1",#N/A,TRUE,"general";"via2",#N/A,TRUE,"general";"via3",#N/A,TRUE,"general"}</definedName>
    <definedName name="yery" localSheetId="16" hidden="1">{"via1",#N/A,TRUE,"general";"via2",#N/A,TRUE,"general";"via3",#N/A,TRUE,"general"}</definedName>
    <definedName name="yery" localSheetId="18" hidden="1">{"via1",#N/A,TRUE,"general";"via2",#N/A,TRUE,"general";"via3",#N/A,TRUE,"general"}</definedName>
    <definedName name="yery" hidden="1">{"via1",#N/A,TRUE,"general";"via2",#N/A,TRUE,"general";"via3",#N/A,TRUE,"general"}</definedName>
    <definedName name="yhy" localSheetId="15" hidden="1">{"TAB1",#N/A,TRUE,"GENERAL";"TAB2",#N/A,TRUE,"GENERAL";"TAB3",#N/A,TRUE,"GENERAL";"TAB4",#N/A,TRUE,"GENERAL";"TAB5",#N/A,TRUE,"GENERAL"}</definedName>
    <definedName name="yhy" localSheetId="17" hidden="1">{"TAB1",#N/A,TRUE,"GENERAL";"TAB2",#N/A,TRUE,"GENERAL";"TAB3",#N/A,TRUE,"GENERAL";"TAB4",#N/A,TRUE,"GENERAL";"TAB5",#N/A,TRUE,"GENERAL"}</definedName>
    <definedName name="yhy" localSheetId="19" hidden="1">{"TAB1",#N/A,TRUE,"GENERAL";"TAB2",#N/A,TRUE,"GENERAL";"TAB3",#N/A,TRUE,"GENERAL";"TAB4",#N/A,TRUE,"GENERAL";"TAB5",#N/A,TRUE,"GENERAL"}</definedName>
    <definedName name="yhy" localSheetId="12"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4" hidden="1">{"TAB1",#N/A,TRUE,"GENERAL";"TAB2",#N/A,TRUE,"GENERAL";"TAB3",#N/A,TRUE,"GENERAL";"TAB4",#N/A,TRUE,"GENERAL";"TAB5",#N/A,TRUE,"GENERAL"}</definedName>
    <definedName name="yhy" localSheetId="1" hidden="1">{"TAB1",#N/A,TRUE,"GENERAL";"TAB2",#N/A,TRUE,"GENERAL";"TAB3",#N/A,TRUE,"GENERAL";"TAB4",#N/A,TRUE,"GENERAL";"TAB5",#N/A,TRUE,"GENERAL"}</definedName>
    <definedName name="yhy" localSheetId="14" hidden="1">{"TAB1",#N/A,TRUE,"GENERAL";"TAB2",#N/A,TRUE,"GENERAL";"TAB3",#N/A,TRUE,"GENERAL";"TAB4",#N/A,TRUE,"GENERAL";"TAB5",#N/A,TRUE,"GENERAL"}</definedName>
    <definedName name="yhy" localSheetId="16" hidden="1">{"TAB1",#N/A,TRUE,"GENERAL";"TAB2",#N/A,TRUE,"GENERAL";"TAB3",#N/A,TRUE,"GENERAL";"TAB4",#N/A,TRUE,"GENERAL";"TAB5",#N/A,TRUE,"GENERAL"}</definedName>
    <definedName name="yhy" localSheetId="18" hidden="1">{"TAB1",#N/A,TRUE,"GENERAL";"TAB2",#N/A,TRUE,"GENERAL";"TAB3",#N/A,TRUE,"GENERAL";"TAB4",#N/A,TRUE,"GENERAL";"TAB5",#N/A,TRUE,"GENERAL"}</definedName>
    <definedName name="yhy" hidden="1">{"TAB1",#N/A,TRUE,"GENERAL";"TAB2",#N/A,TRUE,"GENERAL";"TAB3",#N/A,TRUE,"GENERAL";"TAB4",#N/A,TRUE,"GENERAL";"TAB5",#N/A,TRUE,"GENERAL"}</definedName>
    <definedName name="yjyj" localSheetId="15" hidden="1">{"TAB1",#N/A,TRUE,"GENERAL";"TAB2",#N/A,TRUE,"GENERAL";"TAB3",#N/A,TRUE,"GENERAL";"TAB4",#N/A,TRUE,"GENERAL";"TAB5",#N/A,TRUE,"GENERAL"}</definedName>
    <definedName name="yjyj" localSheetId="17" hidden="1">{"TAB1",#N/A,TRUE,"GENERAL";"TAB2",#N/A,TRUE,"GENERAL";"TAB3",#N/A,TRUE,"GENERAL";"TAB4",#N/A,TRUE,"GENERAL";"TAB5",#N/A,TRUE,"GENERAL"}</definedName>
    <definedName name="yjyj" localSheetId="19" hidden="1">{"TAB1",#N/A,TRUE,"GENERAL";"TAB2",#N/A,TRUE,"GENERAL";"TAB3",#N/A,TRUE,"GENERAL";"TAB4",#N/A,TRUE,"GENERAL";"TAB5",#N/A,TRUE,"GENERAL"}</definedName>
    <definedName name="yjyj" localSheetId="12"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4" hidden="1">{"TAB1",#N/A,TRUE,"GENERAL";"TAB2",#N/A,TRUE,"GENERAL";"TAB3",#N/A,TRUE,"GENERAL";"TAB4",#N/A,TRUE,"GENERAL";"TAB5",#N/A,TRUE,"GENERAL"}</definedName>
    <definedName name="yjyj" localSheetId="1" hidden="1">{"TAB1",#N/A,TRUE,"GENERAL";"TAB2",#N/A,TRUE,"GENERAL";"TAB3",#N/A,TRUE,"GENERAL";"TAB4",#N/A,TRUE,"GENERAL";"TAB5",#N/A,TRUE,"GENERAL"}</definedName>
    <definedName name="yjyj" localSheetId="14" hidden="1">{"TAB1",#N/A,TRUE,"GENERAL";"TAB2",#N/A,TRUE,"GENERAL";"TAB3",#N/A,TRUE,"GENERAL";"TAB4",#N/A,TRUE,"GENERAL";"TAB5",#N/A,TRUE,"GENERAL"}</definedName>
    <definedName name="yjyj" localSheetId="16" hidden="1">{"TAB1",#N/A,TRUE,"GENERAL";"TAB2",#N/A,TRUE,"GENERAL";"TAB3",#N/A,TRUE,"GENERAL";"TAB4",#N/A,TRUE,"GENERAL";"TAB5",#N/A,TRUE,"GENERAL"}</definedName>
    <definedName name="yjyj" localSheetId="18" hidden="1">{"TAB1",#N/A,TRUE,"GENERAL";"TAB2",#N/A,TRUE,"GENERAL";"TAB3",#N/A,TRUE,"GENERAL";"TAB4",#N/A,TRUE,"GENERAL";"TAB5",#N/A,TRUE,"GENERAL"}</definedName>
    <definedName name="yjyj" hidden="1">{"TAB1",#N/A,TRUE,"GENERAL";"TAB2",#N/A,TRUE,"GENERAL";"TAB3",#N/A,TRUE,"GENERAL";"TAB4",#N/A,TRUE,"GENERAL";"TAB5",#N/A,TRUE,"GENERAL"}</definedName>
    <definedName name="YO" localSheetId="15" hidden="1">{#N/A,#N/A,FALSE,"GRAFICO";#N/A,#N/A,FALSE,"CAJA (2)";#N/A,#N/A,FALSE,"TERCEROS-PROMEDIO";#N/A,#N/A,FALSE,"CAJA";#N/A,#N/A,FALSE,"INGRESOS1995-2003";#N/A,#N/A,FALSE,"GASTOS1995-2003"}</definedName>
    <definedName name="YO" localSheetId="17" hidden="1">{#N/A,#N/A,FALSE,"GRAFICO";#N/A,#N/A,FALSE,"CAJA (2)";#N/A,#N/A,FALSE,"TERCEROS-PROMEDIO";#N/A,#N/A,FALSE,"CAJA";#N/A,#N/A,FALSE,"INGRESOS1995-2003";#N/A,#N/A,FALSE,"GASTOS1995-2003"}</definedName>
    <definedName name="YO" localSheetId="19" hidden="1">{#N/A,#N/A,FALSE,"GRAFICO";#N/A,#N/A,FALSE,"CAJA (2)";#N/A,#N/A,FALSE,"TERCEROS-PROMEDIO";#N/A,#N/A,FALSE,"CAJA";#N/A,#N/A,FALSE,"INGRESOS1995-2003";#N/A,#N/A,FALSE,"GASTOS1995-2003"}</definedName>
    <definedName name="YO" localSheetId="11" hidden="1">{#N/A,#N/A,FALSE,"GRAFICO";#N/A,#N/A,FALSE,"CAJA (2)";#N/A,#N/A,FALSE,"TERCEROS-PROMEDIO";#N/A,#N/A,FALSE,"CAJA";#N/A,#N/A,FALSE,"INGRESOS1995-2003";#N/A,#N/A,FALSE,"GASTOS1995-2003"}</definedName>
    <definedName name="YO" localSheetId="14" hidden="1">{#N/A,#N/A,FALSE,"GRAFICO";#N/A,#N/A,FALSE,"CAJA (2)";#N/A,#N/A,FALSE,"TERCEROS-PROMEDIO";#N/A,#N/A,FALSE,"CAJA";#N/A,#N/A,FALSE,"INGRESOS1995-2003";#N/A,#N/A,FALSE,"GASTOS1995-2003"}</definedName>
    <definedName name="YO" localSheetId="16" hidden="1">{#N/A,#N/A,FALSE,"GRAFICO";#N/A,#N/A,FALSE,"CAJA (2)";#N/A,#N/A,FALSE,"TERCEROS-PROMEDIO";#N/A,#N/A,FALSE,"CAJA";#N/A,#N/A,FALSE,"INGRESOS1995-2003";#N/A,#N/A,FALSE,"GASTOS1995-2003"}</definedName>
    <definedName name="YO" localSheetId="18"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5" hidden="1">{"via1",#N/A,TRUE,"general";"via2",#N/A,TRUE,"general";"via3",#N/A,TRUE,"general"}</definedName>
    <definedName name="yrey" localSheetId="17" hidden="1">{"via1",#N/A,TRUE,"general";"via2",#N/A,TRUE,"general";"via3",#N/A,TRUE,"general"}</definedName>
    <definedName name="yrey" localSheetId="19" hidden="1">{"via1",#N/A,TRUE,"general";"via2",#N/A,TRUE,"general";"via3",#N/A,TRUE,"general"}</definedName>
    <definedName name="yrey" localSheetId="12"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4" hidden="1">{"via1",#N/A,TRUE,"general";"via2",#N/A,TRUE,"general";"via3",#N/A,TRUE,"general"}</definedName>
    <definedName name="yrey" localSheetId="1" hidden="1">{"via1",#N/A,TRUE,"general";"via2",#N/A,TRUE,"general";"via3",#N/A,TRUE,"general"}</definedName>
    <definedName name="yrey" localSheetId="14" hidden="1">{"via1",#N/A,TRUE,"general";"via2",#N/A,TRUE,"general";"via3",#N/A,TRUE,"general"}</definedName>
    <definedName name="yrey" localSheetId="16" hidden="1">{"via1",#N/A,TRUE,"general";"via2",#N/A,TRUE,"general";"via3",#N/A,TRUE,"general"}</definedName>
    <definedName name="yrey" localSheetId="18" hidden="1">{"via1",#N/A,TRUE,"general";"via2",#N/A,TRUE,"general";"via3",#N/A,TRUE,"general"}</definedName>
    <definedName name="yrey" hidden="1">{"via1",#N/A,TRUE,"general";"via2",#N/A,TRUE,"general";"via3",#N/A,TRUE,"general"}</definedName>
    <definedName name="yry" localSheetId="15" hidden="1">{"via1",#N/A,TRUE,"general";"via2",#N/A,TRUE,"general";"via3",#N/A,TRUE,"general"}</definedName>
    <definedName name="yry" localSheetId="17" hidden="1">{"via1",#N/A,TRUE,"general";"via2",#N/A,TRUE,"general";"via3",#N/A,TRUE,"general"}</definedName>
    <definedName name="yry" localSheetId="19" hidden="1">{"via1",#N/A,TRUE,"general";"via2",#N/A,TRUE,"general";"via3",#N/A,TRUE,"general"}</definedName>
    <definedName name="yry" localSheetId="12"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4" hidden="1">{"via1",#N/A,TRUE,"general";"via2",#N/A,TRUE,"general";"via3",#N/A,TRUE,"general"}</definedName>
    <definedName name="yry" localSheetId="1" hidden="1">{"via1",#N/A,TRUE,"general";"via2",#N/A,TRUE,"general";"via3",#N/A,TRUE,"general"}</definedName>
    <definedName name="yry" localSheetId="14" hidden="1">{"via1",#N/A,TRUE,"general";"via2",#N/A,TRUE,"general";"via3",#N/A,TRUE,"general"}</definedName>
    <definedName name="yry" localSheetId="16" hidden="1">{"via1",#N/A,TRUE,"general";"via2",#N/A,TRUE,"general";"via3",#N/A,TRUE,"general"}</definedName>
    <definedName name="yry" localSheetId="18" hidden="1">{"via1",#N/A,TRUE,"general";"via2",#N/A,TRUE,"general";"via3",#N/A,TRUE,"general"}</definedName>
    <definedName name="yry" hidden="1">{"via1",#N/A,TRUE,"general";"via2",#N/A,TRUE,"general";"via3",#N/A,TRUE,"general"}</definedName>
    <definedName name="ytj" localSheetId="15" hidden="1">{"TAB1",#N/A,TRUE,"GENERAL";"TAB2",#N/A,TRUE,"GENERAL";"TAB3",#N/A,TRUE,"GENERAL";"TAB4",#N/A,TRUE,"GENERAL";"TAB5",#N/A,TRUE,"GENERAL"}</definedName>
    <definedName name="ytj" localSheetId="17" hidden="1">{"TAB1",#N/A,TRUE,"GENERAL";"TAB2",#N/A,TRUE,"GENERAL";"TAB3",#N/A,TRUE,"GENERAL";"TAB4",#N/A,TRUE,"GENERAL";"TAB5",#N/A,TRUE,"GENERAL"}</definedName>
    <definedName name="ytj" localSheetId="19" hidden="1">{"TAB1",#N/A,TRUE,"GENERAL";"TAB2",#N/A,TRUE,"GENERAL";"TAB3",#N/A,TRUE,"GENERAL";"TAB4",#N/A,TRUE,"GENERAL";"TAB5",#N/A,TRUE,"GENERAL"}</definedName>
    <definedName name="ytj" localSheetId="12"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4" hidden="1">{"TAB1",#N/A,TRUE,"GENERAL";"TAB2",#N/A,TRUE,"GENERAL";"TAB3",#N/A,TRUE,"GENERAL";"TAB4",#N/A,TRUE,"GENERAL";"TAB5",#N/A,TRUE,"GENERAL"}</definedName>
    <definedName name="ytj" localSheetId="1" hidden="1">{"TAB1",#N/A,TRUE,"GENERAL";"TAB2",#N/A,TRUE,"GENERAL";"TAB3",#N/A,TRUE,"GENERAL";"TAB4",#N/A,TRUE,"GENERAL";"TAB5",#N/A,TRUE,"GENERAL"}</definedName>
    <definedName name="ytj" localSheetId="14" hidden="1">{"TAB1",#N/A,TRUE,"GENERAL";"TAB2",#N/A,TRUE,"GENERAL";"TAB3",#N/A,TRUE,"GENERAL";"TAB4",#N/A,TRUE,"GENERAL";"TAB5",#N/A,TRUE,"GENERAL"}</definedName>
    <definedName name="ytj" localSheetId="16" hidden="1">{"TAB1",#N/A,TRUE,"GENERAL";"TAB2",#N/A,TRUE,"GENERAL";"TAB3",#N/A,TRUE,"GENERAL";"TAB4",#N/A,TRUE,"GENERAL";"TAB5",#N/A,TRUE,"GENERAL"}</definedName>
    <definedName name="ytj" localSheetId="18" hidden="1">{"TAB1",#N/A,TRUE,"GENERAL";"TAB2",#N/A,TRUE,"GENERAL";"TAB3",#N/A,TRUE,"GENERAL";"TAB4",#N/A,TRUE,"GENERAL";"TAB5",#N/A,TRUE,"GENERAL"}</definedName>
    <definedName name="ytj" hidden="1">{"TAB1",#N/A,TRUE,"GENERAL";"TAB2",#N/A,TRUE,"GENERAL";"TAB3",#N/A,TRUE,"GENERAL";"TAB4",#N/A,TRUE,"GENERAL";"TAB5",#N/A,TRUE,"GENERAL"}</definedName>
    <definedName name="ytjt6" localSheetId="15" hidden="1">{"via1",#N/A,TRUE,"general";"via2",#N/A,TRUE,"general";"via3",#N/A,TRUE,"general"}</definedName>
    <definedName name="ytjt6" localSheetId="17" hidden="1">{"via1",#N/A,TRUE,"general";"via2",#N/A,TRUE,"general";"via3",#N/A,TRUE,"general"}</definedName>
    <definedName name="ytjt6" localSheetId="19" hidden="1">{"via1",#N/A,TRUE,"general";"via2",#N/A,TRUE,"general";"via3",#N/A,TRUE,"general"}</definedName>
    <definedName name="ytjt6" localSheetId="12"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4" hidden="1">{"via1",#N/A,TRUE,"general";"via2",#N/A,TRUE,"general";"via3",#N/A,TRUE,"general"}</definedName>
    <definedName name="ytjt6" localSheetId="1" hidden="1">{"via1",#N/A,TRUE,"general";"via2",#N/A,TRUE,"general";"via3",#N/A,TRUE,"general"}</definedName>
    <definedName name="ytjt6" localSheetId="14" hidden="1">{"via1",#N/A,TRUE,"general";"via2",#N/A,TRUE,"general";"via3",#N/A,TRUE,"general"}</definedName>
    <definedName name="ytjt6" localSheetId="16" hidden="1">{"via1",#N/A,TRUE,"general";"via2",#N/A,TRUE,"general";"via3",#N/A,TRUE,"general"}</definedName>
    <definedName name="ytjt6" localSheetId="18" hidden="1">{"via1",#N/A,TRUE,"general";"via2",#N/A,TRUE,"general";"via3",#N/A,TRUE,"general"}</definedName>
    <definedName name="ytjt6" hidden="1">{"via1",#N/A,TRUE,"general";"via2",#N/A,TRUE,"general";"via3",#N/A,TRUE,"general"}</definedName>
    <definedName name="ytrwyr" localSheetId="15"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8" hidden="1">{"TAB1",#N/A,TRUE,"GENERAL";"TAB2",#N/A,TRUE,"GENERAL";"TAB3",#N/A,TRUE,"GENERAL";"TAB4",#N/A,TRUE,"GENERAL";"TAB5",#N/A,TRUE,"GENERAL"}</definedName>
    <definedName name="ytrwyr" hidden="1">{"TAB1",#N/A,TRUE,"GENERAL";"TAB2",#N/A,TRUE,"GENERAL";"TAB3",#N/A,TRUE,"GENERAL";"TAB4",#N/A,TRUE,"GENERAL";"TAB5",#N/A,TRUE,"GENERAL"}</definedName>
    <definedName name="ytry" localSheetId="15" hidden="1">{"via1",#N/A,TRUE,"general";"via2",#N/A,TRUE,"general";"via3",#N/A,TRUE,"general"}</definedName>
    <definedName name="ytry" localSheetId="17" hidden="1">{"via1",#N/A,TRUE,"general";"via2",#N/A,TRUE,"general";"via3",#N/A,TRUE,"general"}</definedName>
    <definedName name="ytry" localSheetId="19" hidden="1">{"via1",#N/A,TRUE,"general";"via2",#N/A,TRUE,"general";"via3",#N/A,TRUE,"general"}</definedName>
    <definedName name="ytry" localSheetId="12"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4" hidden="1">{"via1",#N/A,TRUE,"general";"via2",#N/A,TRUE,"general";"via3",#N/A,TRUE,"general"}</definedName>
    <definedName name="ytry" localSheetId="1" hidden="1">{"via1",#N/A,TRUE,"general";"via2",#N/A,TRUE,"general";"via3",#N/A,TRUE,"general"}</definedName>
    <definedName name="ytry" localSheetId="14" hidden="1">{"via1",#N/A,TRUE,"general";"via2",#N/A,TRUE,"general";"via3",#N/A,TRUE,"general"}</definedName>
    <definedName name="ytry" localSheetId="16" hidden="1">{"via1",#N/A,TRUE,"general";"via2",#N/A,TRUE,"general";"via3",#N/A,TRUE,"general"}</definedName>
    <definedName name="ytry" localSheetId="18" hidden="1">{"via1",#N/A,TRUE,"general";"via2",#N/A,TRUE,"general";"via3",#N/A,TRUE,"general"}</definedName>
    <definedName name="ytry" hidden="1">{"via1",#N/A,TRUE,"general";"via2",#N/A,TRUE,"general";"via3",#N/A,TRUE,"general"}</definedName>
    <definedName name="ytryrty" localSheetId="15" hidden="1">{"via1",#N/A,TRUE,"general";"via2",#N/A,TRUE,"general";"via3",#N/A,TRUE,"general"}</definedName>
    <definedName name="ytryrty" localSheetId="17" hidden="1">{"via1",#N/A,TRUE,"general";"via2",#N/A,TRUE,"general";"via3",#N/A,TRUE,"general"}</definedName>
    <definedName name="ytryrty" localSheetId="19" hidden="1">{"via1",#N/A,TRUE,"general";"via2",#N/A,TRUE,"general";"via3",#N/A,TRUE,"general"}</definedName>
    <definedName name="ytryrty" localSheetId="12"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4" hidden="1">{"via1",#N/A,TRUE,"general";"via2",#N/A,TRUE,"general";"via3",#N/A,TRUE,"general"}</definedName>
    <definedName name="ytryrty" localSheetId="1" hidden="1">{"via1",#N/A,TRUE,"general";"via2",#N/A,TRUE,"general";"via3",#N/A,TRUE,"general"}</definedName>
    <definedName name="ytryrty" localSheetId="14" hidden="1">{"via1",#N/A,TRUE,"general";"via2",#N/A,TRUE,"general";"via3",#N/A,TRUE,"general"}</definedName>
    <definedName name="ytryrty" localSheetId="16" hidden="1">{"via1",#N/A,TRUE,"general";"via2",#N/A,TRUE,"general";"via3",#N/A,TRUE,"general"}</definedName>
    <definedName name="ytryrty" localSheetId="18" hidden="1">{"via1",#N/A,TRUE,"general";"via2",#N/A,TRUE,"general";"via3",#N/A,TRUE,"general"}</definedName>
    <definedName name="ytryrty" hidden="1">{"via1",#N/A,TRUE,"general";"via2",#N/A,TRUE,"general";"via3",#N/A,TRUE,"general"}</definedName>
    <definedName name="YTRYUYT" localSheetId="15"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8" hidden="1">{"TAB1",#N/A,TRUE,"GENERAL";"TAB2",#N/A,TRUE,"GENERAL";"TAB3",#N/A,TRUE,"GENERAL";"TAB4",#N/A,TRUE,"GENERAL";"TAB5",#N/A,TRUE,"GENERAL"}</definedName>
    <definedName name="YTRYUYT"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8" hidden="1">{"TAB1",#N/A,TRUE,"GENERAL";"TAB2",#N/A,TRUE,"GENERAL";"TAB3",#N/A,TRUE,"GENERAL";"TAB4",#N/A,TRUE,"GENERAL";"TAB5",#N/A,TRUE,"GENERAL"}</definedName>
    <definedName name="ytudfgd"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8" hidden="1">{"TAB1",#N/A,TRUE,"GENERAL";"TAB2",#N/A,TRUE,"GENERAL";"TAB3",#N/A,TRUE,"GENERAL";"TAB4",#N/A,TRUE,"GENERAL";"TAB5",#N/A,TRUE,"GENERAL"}</definedName>
    <definedName name="yturtu7"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8" hidden="1">{"TAB1",#N/A,TRUE,"GENERAL";"TAB2",#N/A,TRUE,"GENERAL";"TAB3",#N/A,TRUE,"GENERAL";"TAB4",#N/A,TRUE,"GENERAL";"TAB5",#N/A,TRUE,"GENERAL"}</definedName>
    <definedName name="yturu" hidden="1">{"TAB1",#N/A,TRUE,"GENERAL";"TAB2",#N/A,TRUE,"GENERAL";"TAB3",#N/A,TRUE,"GENERAL";"TAB4",#N/A,TRUE,"GENERAL";"TAB5",#N/A,TRUE,"GENERAL"}</definedName>
    <definedName name="ytuytfgh" localSheetId="15" hidden="1">{"via1",#N/A,TRUE,"general";"via2",#N/A,TRUE,"general";"via3",#N/A,TRUE,"general"}</definedName>
    <definedName name="ytuytfgh" localSheetId="17" hidden="1">{"via1",#N/A,TRUE,"general";"via2",#N/A,TRUE,"general";"via3",#N/A,TRUE,"general"}</definedName>
    <definedName name="ytuytfgh" localSheetId="19" hidden="1">{"via1",#N/A,TRUE,"general";"via2",#N/A,TRUE,"general";"via3",#N/A,TRUE,"general"}</definedName>
    <definedName name="ytuytfgh" localSheetId="12"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4" hidden="1">{"via1",#N/A,TRUE,"general";"via2",#N/A,TRUE,"general";"via3",#N/A,TRUE,"general"}</definedName>
    <definedName name="ytuytfgh" localSheetId="1" hidden="1">{"via1",#N/A,TRUE,"general";"via2",#N/A,TRUE,"general";"via3",#N/A,TRUE,"general"}</definedName>
    <definedName name="ytuytfgh" localSheetId="14" hidden="1">{"via1",#N/A,TRUE,"general";"via2",#N/A,TRUE,"general";"via3",#N/A,TRUE,"general"}</definedName>
    <definedName name="ytuytfgh" localSheetId="16" hidden="1">{"via1",#N/A,TRUE,"general";"via2",#N/A,TRUE,"general";"via3",#N/A,TRUE,"general"}</definedName>
    <definedName name="ytuytfgh" localSheetId="18" hidden="1">{"via1",#N/A,TRUE,"general";"via2",#N/A,TRUE,"general";"via3",#N/A,TRUE,"general"}</definedName>
    <definedName name="ytuytfgh" hidden="1">{"via1",#N/A,TRUE,"general";"via2",#N/A,TRUE,"general";"via3",#N/A,TRUE,"general"}</definedName>
    <definedName name="yty" localSheetId="15" hidden="1">{"TAB1",#N/A,TRUE,"GENERAL";"TAB2",#N/A,TRUE,"GENERAL";"TAB3",#N/A,TRUE,"GENERAL";"TAB4",#N/A,TRUE,"GENERAL";"TAB5",#N/A,TRUE,"GENERAL"}</definedName>
    <definedName name="yty" localSheetId="17" hidden="1">{"TAB1",#N/A,TRUE,"GENERAL";"TAB2",#N/A,TRUE,"GENERAL";"TAB3",#N/A,TRUE,"GENERAL";"TAB4",#N/A,TRUE,"GENERAL";"TAB5",#N/A,TRUE,"GENERAL"}</definedName>
    <definedName name="yty" localSheetId="19" hidden="1">{"TAB1",#N/A,TRUE,"GENERAL";"TAB2",#N/A,TRUE,"GENERAL";"TAB3",#N/A,TRUE,"GENERAL";"TAB4",#N/A,TRUE,"GENERAL";"TAB5",#N/A,TRUE,"GENERAL"}</definedName>
    <definedName name="yty" localSheetId="12"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4" hidden="1">{"TAB1",#N/A,TRUE,"GENERAL";"TAB2",#N/A,TRUE,"GENERAL";"TAB3",#N/A,TRUE,"GENERAL";"TAB4",#N/A,TRUE,"GENERAL";"TAB5",#N/A,TRUE,"GENERAL"}</definedName>
    <definedName name="yty" localSheetId="1" hidden="1">{"TAB1",#N/A,TRUE,"GENERAL";"TAB2",#N/A,TRUE,"GENERAL";"TAB3",#N/A,TRUE,"GENERAL";"TAB4",#N/A,TRUE,"GENERAL";"TAB5",#N/A,TRUE,"GENERAL"}</definedName>
    <definedName name="yty" localSheetId="14" hidden="1">{"TAB1",#N/A,TRUE,"GENERAL";"TAB2",#N/A,TRUE,"GENERAL";"TAB3",#N/A,TRUE,"GENERAL";"TAB4",#N/A,TRUE,"GENERAL";"TAB5",#N/A,TRUE,"GENERAL"}</definedName>
    <definedName name="yty" localSheetId="16" hidden="1">{"TAB1",#N/A,TRUE,"GENERAL";"TAB2",#N/A,TRUE,"GENERAL";"TAB3",#N/A,TRUE,"GENERAL";"TAB4",#N/A,TRUE,"GENERAL";"TAB5",#N/A,TRUE,"GENERAL"}</definedName>
    <definedName name="yty" localSheetId="18" hidden="1">{"TAB1",#N/A,TRUE,"GENERAL";"TAB2",#N/A,TRUE,"GENERAL";"TAB3",#N/A,TRUE,"GENERAL";"TAB4",#N/A,TRUE,"GENERAL";"TAB5",#N/A,TRUE,"GENERAL"}</definedName>
    <definedName name="yty" hidden="1">{"TAB1",#N/A,TRUE,"GENERAL";"TAB2",#N/A,TRUE,"GENERAL";"TAB3",#N/A,TRUE,"GENERAL";"TAB4",#N/A,TRUE,"GENERAL";"TAB5",#N/A,TRUE,"GENERAL"}</definedName>
    <definedName name="ytyyh" localSheetId="15" hidden="1">{"via1",#N/A,TRUE,"general";"via2",#N/A,TRUE,"general";"via3",#N/A,TRUE,"general"}</definedName>
    <definedName name="ytyyh" localSheetId="17" hidden="1">{"via1",#N/A,TRUE,"general";"via2",#N/A,TRUE,"general";"via3",#N/A,TRUE,"general"}</definedName>
    <definedName name="ytyyh" localSheetId="19" hidden="1">{"via1",#N/A,TRUE,"general";"via2",#N/A,TRUE,"general";"via3",#N/A,TRUE,"general"}</definedName>
    <definedName name="ytyyh" localSheetId="12"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4" hidden="1">{"via1",#N/A,TRUE,"general";"via2",#N/A,TRUE,"general";"via3",#N/A,TRUE,"general"}</definedName>
    <definedName name="ytyyh" localSheetId="1" hidden="1">{"via1",#N/A,TRUE,"general";"via2",#N/A,TRUE,"general";"via3",#N/A,TRUE,"general"}</definedName>
    <definedName name="ytyyh" localSheetId="14" hidden="1">{"via1",#N/A,TRUE,"general";"via2",#N/A,TRUE,"general";"via3",#N/A,TRUE,"general"}</definedName>
    <definedName name="ytyyh" localSheetId="16" hidden="1">{"via1",#N/A,TRUE,"general";"via2",#N/A,TRUE,"general";"via3",#N/A,TRUE,"general"}</definedName>
    <definedName name="ytyyh" localSheetId="18" hidden="1">{"via1",#N/A,TRUE,"general";"via2",#N/A,TRUE,"general";"via3",#N/A,TRUE,"general"}</definedName>
    <definedName name="ytyyh" hidden="1">{"via1",#N/A,TRUE,"general";"via2",#N/A,TRUE,"general";"via3",#N/A,TRUE,"general"}</definedName>
    <definedName name="ytzacdfg" localSheetId="15"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8" hidden="1">{"TAB1",#N/A,TRUE,"GENERAL";"TAB2",#N/A,TRUE,"GENERAL";"TAB3",#N/A,TRUE,"GENERAL";"TAB4",#N/A,TRUE,"GENERAL";"TAB5",#N/A,TRUE,"GENERAL"}</definedName>
    <definedName name="ytzacdfg" hidden="1">{"TAB1",#N/A,TRUE,"GENERAL";"TAB2",#N/A,TRUE,"GENERAL";"TAB3",#N/A,TRUE,"GENERAL";"TAB4",#N/A,TRUE,"GENERAL";"TAB5",#N/A,TRUE,"GENERAL"}</definedName>
    <definedName name="yu" localSheetId="15" hidden="1">{"TAB1",#N/A,TRUE,"GENERAL";"TAB2",#N/A,TRUE,"GENERAL";"TAB3",#N/A,TRUE,"GENERAL";"TAB4",#N/A,TRUE,"GENERAL";"TAB5",#N/A,TRUE,"GENERAL"}</definedName>
    <definedName name="yu" localSheetId="17" hidden="1">{"TAB1",#N/A,TRUE,"GENERAL";"TAB2",#N/A,TRUE,"GENERAL";"TAB3",#N/A,TRUE,"GENERAL";"TAB4",#N/A,TRUE,"GENERAL";"TAB5",#N/A,TRUE,"GENERAL"}</definedName>
    <definedName name="yu" localSheetId="19" hidden="1">{"TAB1",#N/A,TRUE,"GENERAL";"TAB2",#N/A,TRUE,"GENERAL";"TAB3",#N/A,TRUE,"GENERAL";"TAB4",#N/A,TRUE,"GENERAL";"TAB5",#N/A,TRUE,"GENERAL"}</definedName>
    <definedName name="yu" localSheetId="12"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4" hidden="1">{"TAB1",#N/A,TRUE,"GENERAL";"TAB2",#N/A,TRUE,"GENERAL";"TAB3",#N/A,TRUE,"GENERAL";"TAB4",#N/A,TRUE,"GENERAL";"TAB5",#N/A,TRUE,"GENERAL"}</definedName>
    <definedName name="yu" localSheetId="1" hidden="1">{"TAB1",#N/A,TRUE,"GENERAL";"TAB2",#N/A,TRUE,"GENERAL";"TAB3",#N/A,TRUE,"GENERAL";"TAB4",#N/A,TRUE,"GENERAL";"TAB5",#N/A,TRUE,"GENERAL"}</definedName>
    <definedName name="yu" localSheetId="14" hidden="1">{"TAB1",#N/A,TRUE,"GENERAL";"TAB2",#N/A,TRUE,"GENERAL";"TAB3",#N/A,TRUE,"GENERAL";"TAB4",#N/A,TRUE,"GENERAL";"TAB5",#N/A,TRUE,"GENERAL"}</definedName>
    <definedName name="yu" localSheetId="16" hidden="1">{"TAB1",#N/A,TRUE,"GENERAL";"TAB2",#N/A,TRUE,"GENERAL";"TAB3",#N/A,TRUE,"GENERAL";"TAB4",#N/A,TRUE,"GENERAL";"TAB5",#N/A,TRUE,"GENERAL"}</definedName>
    <definedName name="yu" localSheetId="18" hidden="1">{"TAB1",#N/A,TRUE,"GENERAL";"TAB2",#N/A,TRUE,"GENERAL";"TAB3",#N/A,TRUE,"GENERAL";"TAB4",#N/A,TRUE,"GENERAL";"TAB5",#N/A,TRUE,"GENERAL"}</definedName>
    <definedName name="yu"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8" hidden="1">{"TAB1",#N/A,TRUE,"GENERAL";"TAB2",#N/A,TRUE,"GENERAL";"TAB3",#N/A,TRUE,"GENERAL";"TAB4",#N/A,TRUE,"GENERAL";"TAB5",#N/A,TRUE,"GENERAL"}</definedName>
    <definedName name="yudre5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8" hidden="1">{"TAB1",#N/A,TRUE,"GENERAL";"TAB2",#N/A,TRUE,"GENERAL";"TAB3",#N/A,TRUE,"GENERAL";"TAB4",#N/A,TRUE,"GENERAL";"TAB5",#N/A,TRUE,"GENERAL"}</definedName>
    <definedName name="yuhgh" hidden="1">{"TAB1",#N/A,TRUE,"GENERAL";"TAB2",#N/A,TRUE,"GENERAL";"TAB3",#N/A,TRUE,"GENERAL";"TAB4",#N/A,TRUE,"GENERAL";"TAB5",#N/A,TRUE,"GENERAL"}</definedName>
    <definedName name="yutu" localSheetId="15" hidden="1">{"via1",#N/A,TRUE,"general";"via2",#N/A,TRUE,"general";"via3",#N/A,TRUE,"general"}</definedName>
    <definedName name="yutu" localSheetId="17" hidden="1">{"via1",#N/A,TRUE,"general";"via2",#N/A,TRUE,"general";"via3",#N/A,TRUE,"general"}</definedName>
    <definedName name="yutu" localSheetId="19" hidden="1">{"via1",#N/A,TRUE,"general";"via2",#N/A,TRUE,"general";"via3",#N/A,TRUE,"general"}</definedName>
    <definedName name="yutu" localSheetId="12"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4" hidden="1">{"via1",#N/A,TRUE,"general";"via2",#N/A,TRUE,"general";"via3",#N/A,TRUE,"general"}</definedName>
    <definedName name="yutu" localSheetId="1" hidden="1">{"via1",#N/A,TRUE,"general";"via2",#N/A,TRUE,"general";"via3",#N/A,TRUE,"general"}</definedName>
    <definedName name="yutu" localSheetId="14" hidden="1">{"via1",#N/A,TRUE,"general";"via2",#N/A,TRUE,"general";"via3",#N/A,TRUE,"general"}</definedName>
    <definedName name="yutu" localSheetId="16" hidden="1">{"via1",#N/A,TRUE,"general";"via2",#N/A,TRUE,"general";"via3",#N/A,TRUE,"general"}</definedName>
    <definedName name="yutu" localSheetId="18" hidden="1">{"via1",#N/A,TRUE,"general";"via2",#N/A,TRUE,"general";"via3",#N/A,TRUE,"general"}</definedName>
    <definedName name="yutu" hidden="1">{"via1",#N/A,TRUE,"general";"via2",#N/A,TRUE,"general";"via3",#N/A,TRUE,"general"}</definedName>
    <definedName name="yuuiiy" localSheetId="15" hidden="1">{"via1",#N/A,TRUE,"general";"via2",#N/A,TRUE,"general";"via3",#N/A,TRUE,"general"}</definedName>
    <definedName name="yuuiiy" localSheetId="17" hidden="1">{"via1",#N/A,TRUE,"general";"via2",#N/A,TRUE,"general";"via3",#N/A,TRUE,"general"}</definedName>
    <definedName name="yuuiiy" localSheetId="19" hidden="1">{"via1",#N/A,TRUE,"general";"via2",#N/A,TRUE,"general";"via3",#N/A,TRUE,"general"}</definedName>
    <definedName name="yuuiiy" localSheetId="12"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4" hidden="1">{"via1",#N/A,TRUE,"general";"via2",#N/A,TRUE,"general";"via3",#N/A,TRUE,"general"}</definedName>
    <definedName name="yuuiiy" localSheetId="1" hidden="1">{"via1",#N/A,TRUE,"general";"via2",#N/A,TRUE,"general";"via3",#N/A,TRUE,"general"}</definedName>
    <definedName name="yuuiiy" localSheetId="14" hidden="1">{"via1",#N/A,TRUE,"general";"via2",#N/A,TRUE,"general";"via3",#N/A,TRUE,"general"}</definedName>
    <definedName name="yuuiiy" localSheetId="16" hidden="1">{"via1",#N/A,TRUE,"general";"via2",#N/A,TRUE,"general";"via3",#N/A,TRUE,"general"}</definedName>
    <definedName name="yuuiiy" localSheetId="18" hidden="1">{"via1",#N/A,TRUE,"general";"via2",#N/A,TRUE,"general";"via3",#N/A,TRUE,"general"}</definedName>
    <definedName name="yuuiiy" hidden="1">{"via1",#N/A,TRUE,"general";"via2",#N/A,TRUE,"general";"via3",#N/A,TRUE,"general"}</definedName>
    <definedName name="yuuuuuu" localSheetId="15" hidden="1">{"via1",#N/A,TRUE,"general";"via2",#N/A,TRUE,"general";"via3",#N/A,TRUE,"general"}</definedName>
    <definedName name="yuuuuuu" localSheetId="17" hidden="1">{"via1",#N/A,TRUE,"general";"via2",#N/A,TRUE,"general";"via3",#N/A,TRUE,"general"}</definedName>
    <definedName name="yuuuuuu" localSheetId="19" hidden="1">{"via1",#N/A,TRUE,"general";"via2",#N/A,TRUE,"general";"via3",#N/A,TRUE,"general"}</definedName>
    <definedName name="yuuuuuu" localSheetId="12"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4" hidden="1">{"via1",#N/A,TRUE,"general";"via2",#N/A,TRUE,"general";"via3",#N/A,TRUE,"general"}</definedName>
    <definedName name="yuuuuuu" localSheetId="1" hidden="1">{"via1",#N/A,TRUE,"general";"via2",#N/A,TRUE,"general";"via3",#N/A,TRUE,"general"}</definedName>
    <definedName name="yuuuuuu" localSheetId="14" hidden="1">{"via1",#N/A,TRUE,"general";"via2",#N/A,TRUE,"general";"via3",#N/A,TRUE,"general"}</definedName>
    <definedName name="yuuuuuu" localSheetId="16" hidden="1">{"via1",#N/A,TRUE,"general";"via2",#N/A,TRUE,"general";"via3",#N/A,TRUE,"general"}</definedName>
    <definedName name="yuuuuuu" localSheetId="18" hidden="1">{"via1",#N/A,TRUE,"general";"via2",#N/A,TRUE,"general";"via3",#N/A,TRUE,"general"}</definedName>
    <definedName name="yuuuuuu" hidden="1">{"via1",#N/A,TRUE,"general";"via2",#N/A,TRUE,"general";"via3",#N/A,TRUE,"general"}</definedName>
    <definedName name="yy" localSheetId="15" hidden="1">{"via1",#N/A,TRUE,"general";"via2",#N/A,TRUE,"general";"via3",#N/A,TRUE,"general"}</definedName>
    <definedName name="yy" localSheetId="17" hidden="1">{"via1",#N/A,TRUE,"general";"via2",#N/A,TRUE,"general";"via3",#N/A,TRUE,"general"}</definedName>
    <definedName name="yy" localSheetId="19" hidden="1">{"via1",#N/A,TRUE,"general";"via2",#N/A,TRUE,"general";"via3",#N/A,TRUE,"general"}</definedName>
    <definedName name="yy" localSheetId="12"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4" hidden="1">{"via1",#N/A,TRUE,"general";"via2",#N/A,TRUE,"general";"via3",#N/A,TRUE,"general"}</definedName>
    <definedName name="yy" localSheetId="1" hidden="1">{"via1",#N/A,TRUE,"general";"via2",#N/A,TRUE,"general";"via3",#N/A,TRUE,"general"}</definedName>
    <definedName name="yy" localSheetId="14" hidden="1">{"via1",#N/A,TRUE,"general";"via2",#N/A,TRUE,"general";"via3",#N/A,TRUE,"general"}</definedName>
    <definedName name="yy" localSheetId="16" hidden="1">{"via1",#N/A,TRUE,"general";"via2",#N/A,TRUE,"general";"via3",#N/A,TRUE,"general"}</definedName>
    <definedName name="yy" localSheetId="18" hidden="1">{"via1",#N/A,TRUE,"general";"via2",#N/A,TRUE,"general";"via3",#N/A,TRUE,"general"}</definedName>
    <definedName name="yy" hidden="1">{"via1",#N/A,TRUE,"general";"via2",#N/A,TRUE,"general";"via3",#N/A,TRUE,"general"}</definedName>
    <definedName name="yyy" localSheetId="15" hidden="1">{"TAB1",#N/A,TRUE,"GENERAL";"TAB2",#N/A,TRUE,"GENERAL";"TAB3",#N/A,TRUE,"GENERAL";"TAB4",#N/A,TRUE,"GENERAL";"TAB5",#N/A,TRUE,"GENERAL"}</definedName>
    <definedName name="yyy" localSheetId="17" hidden="1">{"TAB1",#N/A,TRUE,"GENERAL";"TAB2",#N/A,TRUE,"GENERAL";"TAB3",#N/A,TRUE,"GENERAL";"TAB4",#N/A,TRUE,"GENERAL";"TAB5",#N/A,TRUE,"GENERAL"}</definedName>
    <definedName name="yyy" localSheetId="19" hidden="1">{"TAB1",#N/A,TRUE,"GENERAL";"TAB2",#N/A,TRUE,"GENERAL";"TAB3",#N/A,TRUE,"GENERAL";"TAB4",#N/A,TRUE,"GENERAL";"TAB5",#N/A,TRUE,"GENERAL"}</definedName>
    <definedName name="yyy" localSheetId="12"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7"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4" hidden="1">{"TAB1",#N/A,TRUE,"GENERAL";"TAB2",#N/A,TRUE,"GENERAL";"TAB3",#N/A,TRUE,"GENERAL";"TAB4",#N/A,TRUE,"GENERAL";"TAB5",#N/A,TRUE,"GENERAL"}</definedName>
    <definedName name="yyy" localSheetId="1" hidden="1">{"TAB1",#N/A,TRUE,"GENERAL";"TAB2",#N/A,TRUE,"GENERAL";"TAB3",#N/A,TRUE,"GENERAL";"TAB4",#N/A,TRUE,"GENERAL";"TAB5",#N/A,TRUE,"GENERAL"}</definedName>
    <definedName name="yyy" localSheetId="14" hidden="1">{"TAB1",#N/A,TRUE,"GENERAL";"TAB2",#N/A,TRUE,"GENERAL";"TAB3",#N/A,TRUE,"GENERAL";"TAB4",#N/A,TRUE,"GENERAL";"TAB5",#N/A,TRUE,"GENERAL"}</definedName>
    <definedName name="yyy" localSheetId="16" hidden="1">{"TAB1",#N/A,TRUE,"GENERAL";"TAB2",#N/A,TRUE,"GENERAL";"TAB3",#N/A,TRUE,"GENERAL";"TAB4",#N/A,TRUE,"GENERAL";"TAB5",#N/A,TRUE,"GENERAL"}</definedName>
    <definedName name="yyy" localSheetId="18" hidden="1">{"TAB1",#N/A,TRUE,"GENERAL";"TAB2",#N/A,TRUE,"GENERAL";"TAB3",#N/A,TRUE,"GENERAL";"TAB4",#N/A,TRUE,"GENERAL";"TAB5",#N/A,TRUE,"GENERAL"}</definedName>
    <definedName name="yyy"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8" hidden="1">{"TAB1",#N/A,TRUE,"GENERAL";"TAB2",#N/A,TRUE,"GENERAL";"TAB3",#N/A,TRUE,"GENERAL";"TAB4",#N/A,TRUE,"GENERAL";"TAB5",#N/A,TRUE,"GENERAL"}</definedName>
    <definedName name="yyyuh"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8" hidden="1">{"TAB1",#N/A,TRUE,"GENERAL";"TAB2",#N/A,TRUE,"GENERAL";"TAB3",#N/A,TRUE,"GENERAL";"TAB4",#N/A,TRUE,"GENERAL";"TAB5",#N/A,TRUE,"GENERAL"}</definedName>
    <definedName name="yyyyhhh" hidden="1">{"TAB1",#N/A,TRUE,"GENERAL";"TAB2",#N/A,TRUE,"GENERAL";"TAB3",#N/A,TRUE,"GENERAL";"TAB4",#N/A,TRUE,"GENERAL";"TAB5",#N/A,TRUE,"GENERAL"}</definedName>
    <definedName name="yyyyyf" localSheetId="15" hidden="1">{"via1",#N/A,TRUE,"general";"via2",#N/A,TRUE,"general";"via3",#N/A,TRUE,"general"}</definedName>
    <definedName name="yyyyyf" localSheetId="17" hidden="1">{"via1",#N/A,TRUE,"general";"via2",#N/A,TRUE,"general";"via3",#N/A,TRUE,"general"}</definedName>
    <definedName name="yyyyyf" localSheetId="19" hidden="1">{"via1",#N/A,TRUE,"general";"via2",#N/A,TRUE,"general";"via3",#N/A,TRUE,"general"}</definedName>
    <definedName name="yyyyyf" localSheetId="12"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4" hidden="1">{"via1",#N/A,TRUE,"general";"via2",#N/A,TRUE,"general";"via3",#N/A,TRUE,"general"}</definedName>
    <definedName name="yyyyyf" localSheetId="1" hidden="1">{"via1",#N/A,TRUE,"general";"via2",#N/A,TRUE,"general";"via3",#N/A,TRUE,"general"}</definedName>
    <definedName name="yyyyyf" localSheetId="14" hidden="1">{"via1",#N/A,TRUE,"general";"via2",#N/A,TRUE,"general";"via3",#N/A,TRUE,"general"}</definedName>
    <definedName name="yyyyyf" localSheetId="16" hidden="1">{"via1",#N/A,TRUE,"general";"via2",#N/A,TRUE,"general";"via3",#N/A,TRUE,"general"}</definedName>
    <definedName name="yyyyyf" localSheetId="18" hidden="1">{"via1",#N/A,TRUE,"general";"via2",#N/A,TRUE,"general";"via3",#N/A,TRUE,"general"}</definedName>
    <definedName name="yyyyyf" hidden="1">{"via1",#N/A,TRUE,"general";"via2",#N/A,TRUE,"general";"via3",#N/A,TRUE,"general"}</definedName>
    <definedName name="Z_086A872D_15DF_436A_8459_CE22F6819FF4_.wvu.Rows" localSheetId="11" hidden="1">#REF!</definedName>
    <definedName name="Z_086A872D_15DF_436A_8459_CE22F6819FF4_.wvu.Rows" hidden="1">#REF!</definedName>
    <definedName name="Z_D55C8B2E_861A_459E_9D09_3AF38A1DE99E_.wvu.Rows" localSheetId="11" hidden="1">#REF!</definedName>
    <definedName name="Z_D55C8B2E_861A_459E_9D09_3AF38A1DE99E_.wvu.Rows" hidden="1">#REF!</definedName>
    <definedName name="Z_F540D718_D9AA_403F_AE49_60D937FD77E5_.wvu.Rows" localSheetId="11" hidden="1">#REF!</definedName>
    <definedName name="Z_F540D718_D9AA_403F_AE49_60D937FD77E5_.wvu.Rows" hidden="1">#REF!</definedName>
    <definedName name="ZAQ" localSheetId="13" hidden="1">{#N/A,#N/A,TRUE,"INGENIERIA";#N/A,#N/A,TRUE,"COMPRAS";#N/A,#N/A,TRUE,"DIRECCION";#N/A,#N/A,TRUE,"RESUMEN"}</definedName>
    <definedName name="ZAQ" localSheetId="15" hidden="1">{#N/A,#N/A,TRUE,"INGENIERIA";#N/A,#N/A,TRUE,"COMPRAS";#N/A,#N/A,TRUE,"DIRECCION";#N/A,#N/A,TRUE,"RESUMEN"}</definedName>
    <definedName name="ZAQ" localSheetId="17" hidden="1">{#N/A,#N/A,TRUE,"INGENIERIA";#N/A,#N/A,TRUE,"COMPRAS";#N/A,#N/A,TRUE,"DIRECCION";#N/A,#N/A,TRUE,"RESUMEN"}</definedName>
    <definedName name="ZAQ" localSheetId="19" hidden="1">{#N/A,#N/A,TRUE,"INGENIERIA";#N/A,#N/A,TRUE,"COMPRAS";#N/A,#N/A,TRUE,"DIRECCION";#N/A,#N/A,TRUE,"RESUMEN"}</definedName>
    <definedName name="ZAQ" localSheetId="12"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7" hidden="1">{#N/A,#N/A,TRUE,"INGENIERIA";#N/A,#N/A,TRUE,"COMPRAS";#N/A,#N/A,TRUE,"DIRECCION";#N/A,#N/A,TRUE,"RESUMEN"}</definedName>
    <definedName name="ZAQ" localSheetId="10" hidden="1">{#N/A,#N/A,TRUE,"INGENIERIA";#N/A,#N/A,TRUE,"COMPRAS";#N/A,#N/A,TRUE,"DIRECCION";#N/A,#N/A,TRUE,"RESUMEN"}</definedName>
    <definedName name="ZAQ" localSheetId="0" hidden="1">{#N/A,#N/A,TRUE,"INGENIERIA";#N/A,#N/A,TRUE,"COMPRAS";#N/A,#N/A,TRUE,"DIRECCION";#N/A,#N/A,TRUE,"RESUMEN"}</definedName>
    <definedName name="ZAQ" localSheetId="11" hidden="1">{#N/A,#N/A,TRUE,"INGENIERIA";#N/A,#N/A,TRUE,"COMPRAS";#N/A,#N/A,TRUE,"DIRECCION";#N/A,#N/A,TRUE,"RESUMEN"}</definedName>
    <definedName name="ZAQ" localSheetId="6" hidden="1">{#N/A,#N/A,TRUE,"INGENIERIA";#N/A,#N/A,TRUE,"COMPRAS";#N/A,#N/A,TRUE,"DIRECCION";#N/A,#N/A,TRUE,"RESUMEN"}</definedName>
    <definedName name="ZAQ" localSheetId="4" hidden="1">{#N/A,#N/A,TRUE,"INGENIERIA";#N/A,#N/A,TRUE,"COMPRAS";#N/A,#N/A,TRUE,"DIRECCION";#N/A,#N/A,TRUE,"RESUMEN"}</definedName>
    <definedName name="ZAQ" localSheetId="1" hidden="1">{#N/A,#N/A,TRUE,"INGENIERIA";#N/A,#N/A,TRUE,"COMPRAS";#N/A,#N/A,TRUE,"DIRECCION";#N/A,#N/A,TRUE,"RESUMEN"}</definedName>
    <definedName name="ZAQ" localSheetId="14" hidden="1">{#N/A,#N/A,TRUE,"INGENIERIA";#N/A,#N/A,TRUE,"COMPRAS";#N/A,#N/A,TRUE,"DIRECCION";#N/A,#N/A,TRUE,"RESUMEN"}</definedName>
    <definedName name="ZAQ" localSheetId="16" hidden="1">{#N/A,#N/A,TRUE,"INGENIERIA";#N/A,#N/A,TRUE,"COMPRAS";#N/A,#N/A,TRUE,"DIRECCION";#N/A,#N/A,TRUE,"RESUMEN"}</definedName>
    <definedName name="ZAQ" localSheetId="18"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AQ_1" localSheetId="15" hidden="1">{#N/A,#N/A,TRUE,"INGENIERIA";#N/A,#N/A,TRUE,"COMPRAS";#N/A,#N/A,TRUE,"DIRECCION";#N/A,#N/A,TRUE,"RESUMEN"}</definedName>
    <definedName name="ZAQ_1" localSheetId="17" hidden="1">{#N/A,#N/A,TRUE,"INGENIERIA";#N/A,#N/A,TRUE,"COMPRAS";#N/A,#N/A,TRUE,"DIRECCION";#N/A,#N/A,TRUE,"RESUMEN"}</definedName>
    <definedName name="ZAQ_1" localSheetId="19" hidden="1">{#N/A,#N/A,TRUE,"INGENIERIA";#N/A,#N/A,TRUE,"COMPRAS";#N/A,#N/A,TRUE,"DIRECCION";#N/A,#N/A,TRUE,"RESUMEN"}</definedName>
    <definedName name="ZAQ_1" localSheetId="11" hidden="1">{#N/A,#N/A,TRUE,"INGENIERIA";#N/A,#N/A,TRUE,"COMPRAS";#N/A,#N/A,TRUE,"DIRECCION";#N/A,#N/A,TRUE,"RESUMEN"}</definedName>
    <definedName name="ZAQ_1" localSheetId="14" hidden="1">{#N/A,#N/A,TRUE,"INGENIERIA";#N/A,#N/A,TRUE,"COMPRAS";#N/A,#N/A,TRUE,"DIRECCION";#N/A,#N/A,TRUE,"RESUMEN"}</definedName>
    <definedName name="ZAQ_1" localSheetId="16" hidden="1">{#N/A,#N/A,TRUE,"INGENIERIA";#N/A,#N/A,TRUE,"COMPRAS";#N/A,#N/A,TRUE,"DIRECCION";#N/A,#N/A,TRUE,"RESUMEN"}</definedName>
    <definedName name="ZAQ_1" localSheetId="18" hidden="1">{#N/A,#N/A,TRUE,"INGENIERIA";#N/A,#N/A,TRUE,"COMPRAS";#N/A,#N/A,TRUE,"DIRECCION";#N/A,#N/A,TRUE,"RESUMEN"}</definedName>
    <definedName name="ZAQ_1" hidden="1">{#N/A,#N/A,TRUE,"INGENIERIA";#N/A,#N/A,TRUE,"COMPRAS";#N/A,#N/A,TRUE,"DIRECCION";#N/A,#N/A,TRUE,"RESUMEN"}</definedName>
    <definedName name="ZAQ_2" localSheetId="15" hidden="1">{#N/A,#N/A,TRUE,"INGENIERIA";#N/A,#N/A,TRUE,"COMPRAS";#N/A,#N/A,TRUE,"DIRECCION";#N/A,#N/A,TRUE,"RESUMEN"}</definedName>
    <definedName name="ZAQ_2" localSheetId="17" hidden="1">{#N/A,#N/A,TRUE,"INGENIERIA";#N/A,#N/A,TRUE,"COMPRAS";#N/A,#N/A,TRUE,"DIRECCION";#N/A,#N/A,TRUE,"RESUMEN"}</definedName>
    <definedName name="ZAQ_2" localSheetId="19" hidden="1">{#N/A,#N/A,TRUE,"INGENIERIA";#N/A,#N/A,TRUE,"COMPRAS";#N/A,#N/A,TRUE,"DIRECCION";#N/A,#N/A,TRUE,"RESUMEN"}</definedName>
    <definedName name="ZAQ_2" localSheetId="11" hidden="1">{#N/A,#N/A,TRUE,"INGENIERIA";#N/A,#N/A,TRUE,"COMPRAS";#N/A,#N/A,TRUE,"DIRECCION";#N/A,#N/A,TRUE,"RESUMEN"}</definedName>
    <definedName name="ZAQ_2" localSheetId="14" hidden="1">{#N/A,#N/A,TRUE,"INGENIERIA";#N/A,#N/A,TRUE,"COMPRAS";#N/A,#N/A,TRUE,"DIRECCION";#N/A,#N/A,TRUE,"RESUMEN"}</definedName>
    <definedName name="ZAQ_2" localSheetId="16" hidden="1">{#N/A,#N/A,TRUE,"INGENIERIA";#N/A,#N/A,TRUE,"COMPRAS";#N/A,#N/A,TRUE,"DIRECCION";#N/A,#N/A,TRUE,"RESUMEN"}</definedName>
    <definedName name="ZAQ_2" localSheetId="18" hidden="1">{#N/A,#N/A,TRUE,"INGENIERIA";#N/A,#N/A,TRUE,"COMPRAS";#N/A,#N/A,TRUE,"DIRECCION";#N/A,#N/A,TRUE,"RESUMEN"}</definedName>
    <definedName name="ZAQ_2" hidden="1">{#N/A,#N/A,TRUE,"INGENIERIA";#N/A,#N/A,TRUE,"COMPRAS";#N/A,#N/A,TRUE,"DIRECCION";#N/A,#N/A,TRUE,"RESUMEN"}</definedName>
    <definedName name="zdervr" localSheetId="15" hidden="1">{"via1",#N/A,TRUE,"general";"via2",#N/A,TRUE,"general";"via3",#N/A,TRUE,"general"}</definedName>
    <definedName name="zdervr" localSheetId="17" hidden="1">{"via1",#N/A,TRUE,"general";"via2",#N/A,TRUE,"general";"via3",#N/A,TRUE,"general"}</definedName>
    <definedName name="zdervr" localSheetId="19" hidden="1">{"via1",#N/A,TRUE,"general";"via2",#N/A,TRUE,"general";"via3",#N/A,TRUE,"general"}</definedName>
    <definedName name="zdervr" localSheetId="12"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4" hidden="1">{"via1",#N/A,TRUE,"general";"via2",#N/A,TRUE,"general";"via3",#N/A,TRUE,"general"}</definedName>
    <definedName name="zdervr" localSheetId="1" hidden="1">{"via1",#N/A,TRUE,"general";"via2",#N/A,TRUE,"general";"via3",#N/A,TRUE,"general"}</definedName>
    <definedName name="zdervr" localSheetId="14" hidden="1">{"via1",#N/A,TRUE,"general";"via2",#N/A,TRUE,"general";"via3",#N/A,TRUE,"general"}</definedName>
    <definedName name="zdervr" localSheetId="16" hidden="1">{"via1",#N/A,TRUE,"general";"via2",#N/A,TRUE,"general";"via3",#N/A,TRUE,"general"}</definedName>
    <definedName name="zdervr" localSheetId="18" hidden="1">{"via1",#N/A,TRUE,"general";"via2",#N/A,TRUE,"general";"via3",#N/A,TRUE,"general"}</definedName>
    <definedName name="zdervr" hidden="1">{"via1",#N/A,TRUE,"general";"via2",#N/A,TRUE,"general";"via3",#N/A,TRUE,"general"}</definedName>
    <definedName name="zxczds" localSheetId="15"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8" hidden="1">{"TAB1",#N/A,TRUE,"GENERAL";"TAB2",#N/A,TRUE,"GENERAL";"TAB3",#N/A,TRUE,"GENERAL";"TAB4",#N/A,TRUE,"GENERAL";"TAB5",#N/A,TRUE,"GENERAL"}</definedName>
    <definedName name="zxczds" hidden="1">{"TAB1",#N/A,TRUE,"GENERAL";"TAB2",#N/A,TRUE,"GENERAL";"TAB3",#N/A,TRUE,"GENERAL";"TAB4",#N/A,TRUE,"GENERAL";"TAB5",#N/A,TRUE,"GENERAL"}</definedName>
    <definedName name="zxsdftyu" localSheetId="15" hidden="1">{"via1",#N/A,TRUE,"general";"via2",#N/A,TRUE,"general";"via3",#N/A,TRUE,"general"}</definedName>
    <definedName name="zxsdftyu" localSheetId="17" hidden="1">{"via1",#N/A,TRUE,"general";"via2",#N/A,TRUE,"general";"via3",#N/A,TRUE,"general"}</definedName>
    <definedName name="zxsdftyu" localSheetId="19" hidden="1">{"via1",#N/A,TRUE,"general";"via2",#N/A,TRUE,"general";"via3",#N/A,TRUE,"general"}</definedName>
    <definedName name="zxsdftyu" localSheetId="12"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4" hidden="1">{"via1",#N/A,TRUE,"general";"via2",#N/A,TRUE,"general";"via3",#N/A,TRUE,"general"}</definedName>
    <definedName name="zxsdftyu" localSheetId="1" hidden="1">{"via1",#N/A,TRUE,"general";"via2",#N/A,TRUE,"general";"via3",#N/A,TRUE,"general"}</definedName>
    <definedName name="zxsdftyu" localSheetId="14" hidden="1">{"via1",#N/A,TRUE,"general";"via2",#N/A,TRUE,"general";"via3",#N/A,TRUE,"general"}</definedName>
    <definedName name="zxsdftyu" localSheetId="16" hidden="1">{"via1",#N/A,TRUE,"general";"via2",#N/A,TRUE,"general";"via3",#N/A,TRUE,"general"}</definedName>
    <definedName name="zxsdftyu" localSheetId="18" hidden="1">{"via1",#N/A,TRUE,"general";"via2",#N/A,TRUE,"general";"via3",#N/A,TRUE,"general"}</definedName>
    <definedName name="zxsdftyu" hidden="1">{"via1",#N/A,TRUE,"general";"via2",#N/A,TRUE,"general";"via3",#N/A,TRUE,"general"}</definedName>
    <definedName name="zxvxczv" localSheetId="15" hidden="1">{"via1",#N/A,TRUE,"general";"via2",#N/A,TRUE,"general";"via3",#N/A,TRUE,"general"}</definedName>
    <definedName name="zxvxczv" localSheetId="17" hidden="1">{"via1",#N/A,TRUE,"general";"via2",#N/A,TRUE,"general";"via3",#N/A,TRUE,"general"}</definedName>
    <definedName name="zxvxczv" localSheetId="19" hidden="1">{"via1",#N/A,TRUE,"general";"via2",#N/A,TRUE,"general";"via3",#N/A,TRUE,"general"}</definedName>
    <definedName name="zxvxczv" localSheetId="12"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4" hidden="1">{"via1",#N/A,TRUE,"general";"via2",#N/A,TRUE,"general";"via3",#N/A,TRUE,"general"}</definedName>
    <definedName name="zxvxczv" localSheetId="1" hidden="1">{"via1",#N/A,TRUE,"general";"via2",#N/A,TRUE,"general";"via3",#N/A,TRUE,"general"}</definedName>
    <definedName name="zxvxczv" localSheetId="14" hidden="1">{"via1",#N/A,TRUE,"general";"via2",#N/A,TRUE,"general";"via3",#N/A,TRUE,"general"}</definedName>
    <definedName name="zxvxczv" localSheetId="16" hidden="1">{"via1",#N/A,TRUE,"general";"via2",#N/A,TRUE,"general";"via3",#N/A,TRUE,"general"}</definedName>
    <definedName name="zxvxczv" localSheetId="18"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DB_CONSULTORIA-cbfda9ad-7863-495e-b4e5-c7e16cdec3dc" name="DB_CONSULTORIA" connection="Consulta - DB_CONSULTORIA"/>
          <x15:modelTable id="DB_CONSULTORIA-8c9b8b3f-1708-41d9-a1e4-8e755a657d7f" name="DB_CONSULTORIA1" connection="Consulta - DB_CONSULTORIA (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9" i="35" l="1"/>
  <c r="K13" i="35"/>
  <c r="K14" i="35"/>
  <c r="K15" i="35"/>
  <c r="K16" i="35"/>
  <c r="K17" i="35"/>
  <c r="K18" i="35"/>
  <c r="K19" i="35"/>
  <c r="K20" i="35"/>
  <c r="K21" i="35"/>
  <c r="K22" i="35"/>
  <c r="K23" i="35"/>
  <c r="K24" i="35"/>
  <c r="K25" i="35"/>
  <c r="K26" i="35"/>
  <c r="K27" i="35"/>
  <c r="K28" i="35"/>
  <c r="K29" i="35"/>
  <c r="K30" i="35"/>
  <c r="K31" i="35"/>
  <c r="K32" i="35"/>
  <c r="K33" i="35"/>
  <c r="K34" i="35"/>
  <c r="K35" i="35"/>
  <c r="K36" i="35"/>
  <c r="K37" i="35"/>
  <c r="K38" i="35"/>
  <c r="K39" i="35"/>
  <c r="K40" i="35"/>
  <c r="K41" i="35"/>
  <c r="K42" i="35"/>
  <c r="K43" i="35"/>
  <c r="K44" i="35"/>
  <c r="K45" i="35"/>
  <c r="K46" i="35"/>
  <c r="K47" i="35"/>
  <c r="K48" i="35"/>
  <c r="K49" i="35"/>
  <c r="K50" i="35"/>
  <c r="K51" i="35"/>
  <c r="K52" i="35"/>
  <c r="K53" i="35"/>
  <c r="K54" i="35"/>
  <c r="K55" i="35"/>
  <c r="K56" i="35"/>
  <c r="K57" i="35"/>
  <c r="K58" i="35"/>
  <c r="K59" i="35"/>
  <c r="K60" i="35"/>
  <c r="K61" i="35"/>
  <c r="K62" i="35"/>
  <c r="K63" i="35"/>
  <c r="K64" i="35"/>
  <c r="K65" i="35"/>
  <c r="K66" i="35"/>
  <c r="K67" i="35"/>
  <c r="K68" i="35"/>
  <c r="K69" i="35"/>
  <c r="K70" i="35"/>
  <c r="K71" i="35"/>
  <c r="K72" i="35"/>
  <c r="K73" i="35"/>
  <c r="K74" i="35"/>
  <c r="K75" i="35"/>
  <c r="K76" i="35"/>
  <c r="K77" i="35"/>
  <c r="K78" i="35"/>
  <c r="K79" i="35"/>
  <c r="K80" i="35"/>
  <c r="K81" i="35"/>
  <c r="K82" i="35"/>
  <c r="K83" i="35"/>
  <c r="K84" i="35"/>
  <c r="K85" i="35"/>
  <c r="K86" i="35"/>
  <c r="K87" i="35"/>
  <c r="K88" i="35"/>
  <c r="K89" i="35"/>
  <c r="K90" i="35"/>
  <c r="K91" i="35"/>
  <c r="K92" i="35"/>
  <c r="K93" i="35"/>
  <c r="K94" i="35"/>
  <c r="K95" i="35"/>
  <c r="K96" i="35"/>
  <c r="K97" i="35"/>
  <c r="K98" i="35"/>
  <c r="K99" i="35"/>
  <c r="K100" i="35"/>
  <c r="K101" i="35"/>
  <c r="K102" i="35"/>
  <c r="K103" i="35"/>
  <c r="K104" i="35"/>
  <c r="K105" i="35"/>
  <c r="K106" i="35"/>
  <c r="K107" i="35"/>
  <c r="K108" i="35"/>
  <c r="K109" i="35"/>
  <c r="K110" i="35"/>
  <c r="K111" i="35"/>
  <c r="K112" i="35"/>
  <c r="K113" i="35"/>
  <c r="K114" i="35"/>
  <c r="K115" i="35"/>
  <c r="K116" i="35"/>
  <c r="K117" i="35"/>
  <c r="K118" i="35"/>
  <c r="K119" i="35"/>
  <c r="K120" i="35"/>
  <c r="K121" i="35"/>
  <c r="K122" i="35"/>
  <c r="K123" i="35"/>
  <c r="K124" i="35"/>
  <c r="K12" i="35"/>
  <c r="J13" i="35"/>
  <c r="J14" i="35"/>
  <c r="J15" i="35"/>
  <c r="J16" i="35"/>
  <c r="J17" i="35"/>
  <c r="J18" i="35"/>
  <c r="J19" i="35"/>
  <c r="J20" i="35"/>
  <c r="J21" i="35"/>
  <c r="J22" i="35"/>
  <c r="J23" i="35"/>
  <c r="J24" i="35"/>
  <c r="J25" i="35"/>
  <c r="J26" i="35"/>
  <c r="J27" i="35"/>
  <c r="J28" i="35"/>
  <c r="J29" i="35"/>
  <c r="J30" i="35"/>
  <c r="J31" i="35"/>
  <c r="J32" i="35"/>
  <c r="J33" i="35"/>
  <c r="J34" i="35"/>
  <c r="J35" i="35"/>
  <c r="J36" i="35"/>
  <c r="J37" i="35"/>
  <c r="J38" i="35"/>
  <c r="J39" i="35"/>
  <c r="J40" i="35"/>
  <c r="J41" i="35"/>
  <c r="J42" i="35"/>
  <c r="J43" i="35"/>
  <c r="J44" i="35"/>
  <c r="J45" i="35"/>
  <c r="J46" i="35"/>
  <c r="J47" i="35"/>
  <c r="J48" i="35"/>
  <c r="J49" i="35"/>
  <c r="J50" i="35"/>
  <c r="J51" i="35"/>
  <c r="J52" i="35"/>
  <c r="J53" i="35"/>
  <c r="J54" i="35"/>
  <c r="J55" i="35"/>
  <c r="J56" i="35"/>
  <c r="J57" i="35"/>
  <c r="J58" i="35"/>
  <c r="J59" i="35"/>
  <c r="J60" i="35"/>
  <c r="J61" i="35"/>
  <c r="J62" i="35"/>
  <c r="J63" i="35"/>
  <c r="J64" i="35"/>
  <c r="J65" i="35"/>
  <c r="J66" i="35"/>
  <c r="J67" i="35"/>
  <c r="J68" i="35"/>
  <c r="J69" i="35"/>
  <c r="J70" i="35"/>
  <c r="J71" i="35"/>
  <c r="J72" i="35"/>
  <c r="J73" i="35"/>
  <c r="J74" i="35"/>
  <c r="J75" i="35"/>
  <c r="J76" i="35"/>
  <c r="J77" i="35"/>
  <c r="J78" i="35"/>
  <c r="J79" i="35"/>
  <c r="J80" i="35"/>
  <c r="J81" i="35"/>
  <c r="J82" i="35"/>
  <c r="J83" i="35"/>
  <c r="J84" i="35"/>
  <c r="J85" i="35"/>
  <c r="J86" i="35"/>
  <c r="J87" i="35"/>
  <c r="J88" i="35"/>
  <c r="J89" i="35"/>
  <c r="J90" i="35"/>
  <c r="J91" i="35"/>
  <c r="J92" i="35"/>
  <c r="J93" i="35"/>
  <c r="J94" i="35"/>
  <c r="J95" i="35"/>
  <c r="J96" i="35"/>
  <c r="J97" i="35"/>
  <c r="J98" i="35"/>
  <c r="J99" i="35"/>
  <c r="J100" i="35"/>
  <c r="J101" i="35"/>
  <c r="J102" i="35"/>
  <c r="J103" i="35"/>
  <c r="J104" i="35"/>
  <c r="J105" i="35"/>
  <c r="J106" i="35"/>
  <c r="J107" i="35"/>
  <c r="J108" i="35"/>
  <c r="J109" i="35"/>
  <c r="J110" i="35"/>
  <c r="J111" i="35"/>
  <c r="J112" i="35"/>
  <c r="J113" i="35"/>
  <c r="J114" i="35"/>
  <c r="J115" i="35"/>
  <c r="J116" i="35"/>
  <c r="J117" i="35"/>
  <c r="J118" i="35"/>
  <c r="J119" i="35"/>
  <c r="J120" i="35"/>
  <c r="J121" i="35"/>
  <c r="J122" i="35"/>
  <c r="J123" i="35"/>
  <c r="J124" i="35"/>
  <c r="I13" i="35"/>
  <c r="I14" i="35"/>
  <c r="I15" i="35"/>
  <c r="I16" i="35"/>
  <c r="I17" i="35"/>
  <c r="I18" i="35"/>
  <c r="I19" i="35"/>
  <c r="I20" i="35"/>
  <c r="I21" i="35"/>
  <c r="I22" i="35"/>
  <c r="I23" i="35"/>
  <c r="I24" i="35"/>
  <c r="I25" i="35"/>
  <c r="I26" i="35"/>
  <c r="I27" i="35"/>
  <c r="I28" i="35"/>
  <c r="I29" i="35"/>
  <c r="I30" i="35"/>
  <c r="I31" i="35"/>
  <c r="I32" i="35"/>
  <c r="I33" i="35"/>
  <c r="I34" i="35"/>
  <c r="I35" i="35"/>
  <c r="I36" i="35"/>
  <c r="I37" i="35"/>
  <c r="I38" i="35"/>
  <c r="I39" i="35"/>
  <c r="I40" i="35"/>
  <c r="I41" i="35"/>
  <c r="I42" i="35"/>
  <c r="I43" i="35"/>
  <c r="I44" i="35"/>
  <c r="I45" i="35"/>
  <c r="I46" i="35"/>
  <c r="I47" i="35"/>
  <c r="I48" i="35"/>
  <c r="I49" i="35"/>
  <c r="I50" i="35"/>
  <c r="I51" i="35"/>
  <c r="I52" i="35"/>
  <c r="I53" i="35"/>
  <c r="I54" i="35"/>
  <c r="I55" i="35"/>
  <c r="I56" i="35"/>
  <c r="I57" i="35"/>
  <c r="I58" i="35"/>
  <c r="I59" i="35"/>
  <c r="I60" i="35"/>
  <c r="I61" i="35"/>
  <c r="I62" i="35"/>
  <c r="I63" i="35"/>
  <c r="I64" i="35"/>
  <c r="I65" i="35"/>
  <c r="I66" i="35"/>
  <c r="I67" i="35"/>
  <c r="I68" i="35"/>
  <c r="I69" i="35"/>
  <c r="I70" i="35"/>
  <c r="I71" i="35"/>
  <c r="I72" i="35"/>
  <c r="I73" i="35"/>
  <c r="I74" i="35"/>
  <c r="I75" i="35"/>
  <c r="I76" i="35"/>
  <c r="I77" i="35"/>
  <c r="I78" i="35"/>
  <c r="I79" i="35"/>
  <c r="I80" i="35"/>
  <c r="I81" i="35"/>
  <c r="I82" i="35"/>
  <c r="I83" i="35"/>
  <c r="I84" i="35"/>
  <c r="I85" i="35"/>
  <c r="I86" i="35"/>
  <c r="I87" i="35"/>
  <c r="I88" i="35"/>
  <c r="I89" i="35"/>
  <c r="I90" i="35"/>
  <c r="I91" i="35"/>
  <c r="I92" i="35"/>
  <c r="I93" i="35"/>
  <c r="I94" i="35"/>
  <c r="I95" i="35"/>
  <c r="I96" i="35"/>
  <c r="I97" i="35"/>
  <c r="I98" i="35"/>
  <c r="I99" i="35"/>
  <c r="I100" i="35"/>
  <c r="I101" i="35"/>
  <c r="I102" i="35"/>
  <c r="I103" i="35"/>
  <c r="I104" i="35"/>
  <c r="I105" i="35"/>
  <c r="I106" i="35"/>
  <c r="I107" i="35"/>
  <c r="I108" i="35"/>
  <c r="I109" i="35"/>
  <c r="I110" i="35"/>
  <c r="I111" i="35"/>
  <c r="I112" i="35"/>
  <c r="I113" i="35"/>
  <c r="I114" i="35"/>
  <c r="I115" i="35"/>
  <c r="I116" i="35"/>
  <c r="I117" i="35"/>
  <c r="I118" i="35"/>
  <c r="I119" i="35"/>
  <c r="I120" i="35"/>
  <c r="I121" i="35"/>
  <c r="I122" i="35"/>
  <c r="I123" i="35"/>
  <c r="I124" i="35"/>
  <c r="I12" i="35"/>
  <c r="H118" i="35"/>
  <c r="H119" i="35"/>
  <c r="H120" i="35"/>
  <c r="H121" i="35"/>
  <c r="H122" i="35"/>
  <c r="H123" i="35"/>
  <c r="G119" i="35"/>
  <c r="G120" i="35"/>
  <c r="G121" i="35"/>
  <c r="G122" i="35"/>
  <c r="BB3" i="34"/>
  <c r="BB4" i="34"/>
  <c r="BB5" i="34"/>
  <c r="BB6" i="34"/>
  <c r="BB7" i="34"/>
  <c r="BB8" i="34"/>
  <c r="BB9" i="34"/>
  <c r="BB10" i="34"/>
  <c r="BB11" i="34"/>
  <c r="BB12" i="34"/>
  <c r="BB13" i="34"/>
  <c r="BB14" i="34"/>
  <c r="BB15" i="34"/>
  <c r="BB16" i="34"/>
  <c r="BB17" i="34"/>
  <c r="BB18" i="34"/>
  <c r="BB19" i="34"/>
  <c r="BB20" i="34"/>
  <c r="BB21" i="34"/>
  <c r="BB22" i="34"/>
  <c r="BB23" i="34"/>
  <c r="BB24" i="34"/>
  <c r="BB25" i="34"/>
  <c r="BB26" i="34"/>
  <c r="BB27" i="34"/>
  <c r="BB28" i="34"/>
  <c r="BB29" i="34"/>
  <c r="BB30" i="34"/>
  <c r="BB31" i="34"/>
  <c r="BB32" i="34"/>
  <c r="BB33" i="34"/>
  <c r="BB34" i="34"/>
  <c r="BB35" i="34"/>
  <c r="BB36" i="34"/>
  <c r="BB37" i="34"/>
  <c r="BB38" i="34"/>
  <c r="BB39" i="34"/>
  <c r="BB40" i="34"/>
  <c r="BB41" i="34"/>
  <c r="BB42" i="34"/>
  <c r="BB43" i="34"/>
  <c r="BB44" i="34"/>
  <c r="BB45" i="34"/>
  <c r="BB46" i="34"/>
  <c r="BB47" i="34"/>
  <c r="BB48" i="34"/>
  <c r="BB49" i="34"/>
  <c r="BB50" i="34"/>
  <c r="BB51" i="34"/>
  <c r="BB52" i="34"/>
  <c r="BB53" i="34"/>
  <c r="BB54" i="34"/>
  <c r="BB55" i="34"/>
  <c r="BB56" i="34"/>
  <c r="BB57" i="34"/>
  <c r="BB58" i="34"/>
  <c r="BB59" i="34"/>
  <c r="BB60" i="34"/>
  <c r="BB61" i="34"/>
  <c r="BB62" i="34"/>
  <c r="BB63" i="34"/>
  <c r="BB64" i="34"/>
  <c r="BB65" i="34"/>
  <c r="BB66" i="34"/>
  <c r="BB67" i="34"/>
  <c r="BB68" i="34"/>
  <c r="BB69" i="34"/>
  <c r="BB70" i="34"/>
  <c r="BB71" i="34"/>
  <c r="BB72" i="34"/>
  <c r="BB73" i="34"/>
  <c r="BB74" i="34"/>
  <c r="BB75" i="34"/>
  <c r="BB76" i="34"/>
  <c r="BB77" i="34"/>
  <c r="BB78" i="34"/>
  <c r="BB79" i="34"/>
  <c r="BB80" i="34"/>
  <c r="BB81" i="34"/>
  <c r="BB82" i="34"/>
  <c r="BB83" i="34"/>
  <c r="BB84" i="34"/>
  <c r="BB85" i="34"/>
  <c r="BB86" i="34"/>
  <c r="BB87" i="34"/>
  <c r="BB88" i="34"/>
  <c r="BB89" i="34"/>
  <c r="BB90" i="34"/>
  <c r="BB91" i="34"/>
  <c r="BB92" i="34"/>
  <c r="BB93" i="34"/>
  <c r="BB94" i="34"/>
  <c r="BB95" i="34"/>
  <c r="BB96" i="34"/>
  <c r="BB97" i="34"/>
  <c r="BB98" i="34"/>
  <c r="BB99" i="34"/>
  <c r="BB100" i="34"/>
  <c r="BB101" i="34"/>
  <c r="BB102" i="34"/>
  <c r="BB103" i="34"/>
  <c r="BB104" i="34"/>
  <c r="BB105" i="34"/>
  <c r="BB106" i="34"/>
  <c r="BB107" i="34"/>
  <c r="BB108" i="34"/>
  <c r="BB109" i="34"/>
  <c r="BB110" i="34"/>
  <c r="BB111" i="34"/>
  <c r="BB112" i="34"/>
  <c r="BB113" i="34"/>
  <c r="BB114" i="34"/>
  <c r="BA3" i="34"/>
  <c r="BA4" i="34"/>
  <c r="BA5" i="34"/>
  <c r="BA6" i="34"/>
  <c r="BA7" i="34"/>
  <c r="BA8" i="34"/>
  <c r="BA9" i="34"/>
  <c r="BA10" i="34"/>
  <c r="BA11" i="34"/>
  <c r="BA12" i="34"/>
  <c r="BA13" i="34"/>
  <c r="BA14" i="34"/>
  <c r="BA15" i="34"/>
  <c r="BA16" i="34"/>
  <c r="BA17" i="34"/>
  <c r="BA18" i="34"/>
  <c r="BA19" i="34"/>
  <c r="BA20" i="34"/>
  <c r="BA21" i="34"/>
  <c r="BA22" i="34"/>
  <c r="BA23" i="34"/>
  <c r="BA24" i="34"/>
  <c r="BA25" i="34"/>
  <c r="BA26" i="34"/>
  <c r="BA27" i="34"/>
  <c r="BA28" i="34"/>
  <c r="BA29" i="34"/>
  <c r="BA30" i="34"/>
  <c r="BA31" i="34"/>
  <c r="BA32" i="34"/>
  <c r="BA33" i="34"/>
  <c r="BA34" i="34"/>
  <c r="BA35" i="34"/>
  <c r="BA36" i="34"/>
  <c r="BA37" i="34"/>
  <c r="BA38" i="34"/>
  <c r="BA39" i="34"/>
  <c r="BA40" i="34"/>
  <c r="BA41" i="34"/>
  <c r="BA42" i="34"/>
  <c r="BA43" i="34"/>
  <c r="BA44" i="34"/>
  <c r="BA45" i="34"/>
  <c r="BA46" i="34"/>
  <c r="BA47" i="34"/>
  <c r="BA48" i="34"/>
  <c r="BA49" i="34"/>
  <c r="BA50" i="34"/>
  <c r="BA51" i="34"/>
  <c r="BA52" i="34"/>
  <c r="BA53" i="34"/>
  <c r="BA54" i="34"/>
  <c r="BA55" i="34"/>
  <c r="BA56" i="34"/>
  <c r="BA57" i="34"/>
  <c r="BA58" i="34"/>
  <c r="BA59" i="34"/>
  <c r="BA60" i="34"/>
  <c r="BA61" i="34"/>
  <c r="BA62" i="34"/>
  <c r="BA63" i="34"/>
  <c r="BA64" i="34"/>
  <c r="BA65" i="34"/>
  <c r="BA66" i="34"/>
  <c r="BA67" i="34"/>
  <c r="BA68" i="34"/>
  <c r="BA69" i="34"/>
  <c r="BA70" i="34"/>
  <c r="BA71" i="34"/>
  <c r="BA72" i="34"/>
  <c r="BA73" i="34"/>
  <c r="BA74" i="34"/>
  <c r="BA75" i="34"/>
  <c r="BA76" i="34"/>
  <c r="BA77" i="34"/>
  <c r="BA78" i="34"/>
  <c r="BA79" i="34"/>
  <c r="BA80" i="34"/>
  <c r="BA81" i="34"/>
  <c r="BA82" i="34"/>
  <c r="BA83" i="34"/>
  <c r="BA84" i="34"/>
  <c r="BA85" i="34"/>
  <c r="BA86" i="34"/>
  <c r="BA87" i="34"/>
  <c r="BA88" i="34"/>
  <c r="BA89" i="34"/>
  <c r="BA90" i="34"/>
  <c r="BA91" i="34"/>
  <c r="BA92" i="34"/>
  <c r="BA93" i="34"/>
  <c r="BA94" i="34"/>
  <c r="BA95" i="34"/>
  <c r="BA96" i="34"/>
  <c r="BA97" i="34"/>
  <c r="BA98" i="34"/>
  <c r="BA99" i="34"/>
  <c r="BA100" i="34"/>
  <c r="BA101" i="34"/>
  <c r="BA102" i="34"/>
  <c r="BA103" i="34"/>
  <c r="BA104" i="34"/>
  <c r="BA105" i="34"/>
  <c r="BA106" i="34"/>
  <c r="BA107" i="34"/>
  <c r="BA108" i="34"/>
  <c r="BA109" i="34"/>
  <c r="BA110" i="34"/>
  <c r="BA111" i="34"/>
  <c r="BA112" i="34"/>
  <c r="BA113" i="34"/>
  <c r="BA114" i="34"/>
  <c r="BA2" i="34"/>
  <c r="BB2" i="34"/>
  <c r="K36" i="32"/>
  <c r="J36" i="32"/>
  <c r="I36" i="32"/>
  <c r="H36" i="32"/>
  <c r="S65" i="32"/>
  <c r="P64" i="32"/>
  <c r="Y106" i="32" l="1"/>
  <c r="O108" i="32"/>
  <c r="AA107" i="32"/>
  <c r="B105" i="34"/>
  <c r="C105" i="34"/>
  <c r="D105" i="34"/>
  <c r="B106" i="34"/>
  <c r="C106" i="34"/>
  <c r="D106" i="34"/>
  <c r="B107" i="34"/>
  <c r="C107" i="34"/>
  <c r="D107" i="34"/>
  <c r="E83" i="33"/>
  <c r="B78" i="33"/>
  <c r="C78" i="33"/>
  <c r="D78" i="33"/>
  <c r="E78" i="33"/>
  <c r="F78" i="33"/>
  <c r="G78" i="33"/>
  <c r="H78" i="33"/>
  <c r="I78" i="33"/>
  <c r="J78" i="33"/>
  <c r="K78" i="33"/>
  <c r="L78" i="33"/>
  <c r="M78" i="33"/>
  <c r="N78" i="33"/>
  <c r="O78" i="33"/>
  <c r="P78" i="33"/>
  <c r="Q78" i="33"/>
  <c r="R78" i="33"/>
  <c r="S78" i="33"/>
  <c r="T78" i="33"/>
  <c r="U78" i="33"/>
  <c r="V78" i="33"/>
  <c r="W78" i="33"/>
  <c r="X78" i="33"/>
  <c r="Y78" i="33"/>
  <c r="Z78" i="33"/>
  <c r="AA78" i="33"/>
  <c r="AB78" i="33"/>
  <c r="AC78" i="33"/>
  <c r="AD78" i="33"/>
  <c r="AE78" i="33"/>
  <c r="AF78" i="33"/>
  <c r="AG78" i="33"/>
  <c r="AH78" i="33"/>
  <c r="AI78" i="33"/>
  <c r="AJ78" i="33"/>
  <c r="AK78" i="33"/>
  <c r="AL78" i="33"/>
  <c r="AM78" i="33"/>
  <c r="AN78" i="33"/>
  <c r="AO78" i="33"/>
  <c r="AP78" i="33"/>
  <c r="AQ78" i="33"/>
  <c r="AR78" i="33"/>
  <c r="AS78" i="33"/>
  <c r="AT78" i="33"/>
  <c r="AU78" i="33"/>
  <c r="AV78" i="33"/>
  <c r="AW78" i="33"/>
  <c r="AX78" i="33"/>
  <c r="AY78" i="33"/>
  <c r="AZ78" i="33"/>
  <c r="B79" i="33"/>
  <c r="C79" i="33"/>
  <c r="D79" i="33"/>
  <c r="E79" i="33"/>
  <c r="F79" i="33"/>
  <c r="G79" i="33"/>
  <c r="H79" i="33"/>
  <c r="I79" i="33"/>
  <c r="J79" i="33"/>
  <c r="K79" i="33"/>
  <c r="L79" i="33"/>
  <c r="M79" i="33"/>
  <c r="N79" i="33"/>
  <c r="O79" i="33"/>
  <c r="P79" i="33"/>
  <c r="Q79" i="33"/>
  <c r="R79" i="33"/>
  <c r="S79" i="33"/>
  <c r="T79" i="33"/>
  <c r="U79" i="33"/>
  <c r="V79" i="33"/>
  <c r="W79" i="33"/>
  <c r="X79" i="33"/>
  <c r="Y79" i="33"/>
  <c r="Z79" i="33"/>
  <c r="AA79" i="33"/>
  <c r="AB79" i="33"/>
  <c r="AC79" i="33"/>
  <c r="AD79" i="33"/>
  <c r="AE79" i="33"/>
  <c r="AF79" i="33"/>
  <c r="AG79" i="33"/>
  <c r="AH79" i="33"/>
  <c r="AI79" i="33"/>
  <c r="AJ79" i="33"/>
  <c r="AK79" i="33"/>
  <c r="AL79" i="33"/>
  <c r="AM79" i="33"/>
  <c r="AN79" i="33"/>
  <c r="AO79" i="33"/>
  <c r="AP79" i="33"/>
  <c r="AQ79" i="33"/>
  <c r="AR79" i="33"/>
  <c r="AS79" i="33"/>
  <c r="AT79" i="33"/>
  <c r="AU79" i="33"/>
  <c r="AV79" i="33"/>
  <c r="AW79" i="33"/>
  <c r="AX79" i="33"/>
  <c r="AY79" i="33"/>
  <c r="AZ79" i="33"/>
  <c r="B80" i="33"/>
  <c r="C80" i="33"/>
  <c r="D80" i="33"/>
  <c r="E80" i="33"/>
  <c r="F80" i="33"/>
  <c r="G80" i="33"/>
  <c r="H80" i="33"/>
  <c r="I80" i="33"/>
  <c r="J80" i="33"/>
  <c r="K80" i="33"/>
  <c r="L80" i="33"/>
  <c r="M80" i="33"/>
  <c r="N80" i="33"/>
  <c r="O80" i="33"/>
  <c r="P80" i="33"/>
  <c r="Q80" i="33"/>
  <c r="R80" i="33"/>
  <c r="S80" i="33"/>
  <c r="T80" i="33"/>
  <c r="U80" i="33"/>
  <c r="V80" i="33"/>
  <c r="W80" i="33"/>
  <c r="X80" i="33"/>
  <c r="Y80" i="33"/>
  <c r="Z80" i="33"/>
  <c r="AA80" i="33"/>
  <c r="AB80" i="33"/>
  <c r="AC80" i="33"/>
  <c r="AD80" i="33"/>
  <c r="AE80" i="33"/>
  <c r="AF80" i="33"/>
  <c r="AG80" i="33"/>
  <c r="AH80" i="33"/>
  <c r="AI80" i="33"/>
  <c r="AJ80" i="33"/>
  <c r="AK80" i="33"/>
  <c r="AL80" i="33"/>
  <c r="AM80" i="33"/>
  <c r="AN80" i="33"/>
  <c r="AO80" i="33"/>
  <c r="AP80" i="33"/>
  <c r="AQ80" i="33"/>
  <c r="AR80" i="33"/>
  <c r="AS80" i="33"/>
  <c r="AT80" i="33"/>
  <c r="AU80" i="33"/>
  <c r="AV80" i="33"/>
  <c r="AW80" i="33"/>
  <c r="AX80" i="33"/>
  <c r="AY80" i="33"/>
  <c r="AZ80" i="33"/>
  <c r="J14" i="32"/>
  <c r="K14" i="32"/>
  <c r="M14" i="32"/>
  <c r="N14" i="32"/>
  <c r="O14" i="32"/>
  <c r="P14" i="32"/>
  <c r="Q14" i="32"/>
  <c r="R14" i="32"/>
  <c r="S14" i="32"/>
  <c r="T14" i="32"/>
  <c r="U14" i="32"/>
  <c r="V14" i="32"/>
  <c r="W14" i="32"/>
  <c r="X14" i="32"/>
  <c r="Y14" i="32"/>
  <c r="Z14" i="32"/>
  <c r="AA14" i="32"/>
  <c r="AB14" i="32"/>
  <c r="AC14" i="32"/>
  <c r="AD14" i="32"/>
  <c r="AE14" i="32"/>
  <c r="AF14" i="32"/>
  <c r="AG14" i="32"/>
  <c r="AH14" i="32"/>
  <c r="AI14" i="32"/>
  <c r="AJ14" i="32"/>
  <c r="AK14" i="32"/>
  <c r="AL14" i="32"/>
  <c r="AM14" i="32"/>
  <c r="G14" i="32"/>
  <c r="G22" i="32" s="1"/>
  <c r="G35" i="32"/>
  <c r="G30" i="32"/>
  <c r="G28" i="32"/>
  <c r="AK3" i="33"/>
  <c r="AK10" i="33"/>
  <c r="AK11" i="33"/>
  <c r="AK12" i="33"/>
  <c r="AK16" i="33"/>
  <c r="AK17" i="33"/>
  <c r="AK19" i="33"/>
  <c r="AK23" i="33"/>
  <c r="AK24" i="33"/>
  <c r="AK26" i="33"/>
  <c r="AK29" i="33"/>
  <c r="AK30" i="33"/>
  <c r="AK31" i="33"/>
  <c r="AK32" i="33"/>
  <c r="AK33" i="33"/>
  <c r="AK34" i="33"/>
  <c r="AK35" i="33"/>
  <c r="AK36" i="33"/>
  <c r="AK37" i="33"/>
  <c r="AK38" i="33"/>
  <c r="AK39" i="33"/>
  <c r="AK40" i="33"/>
  <c r="AK41" i="33"/>
  <c r="AK42" i="33"/>
  <c r="AK43" i="33"/>
  <c r="AK44" i="33"/>
  <c r="AK45" i="33"/>
  <c r="AK46" i="33"/>
  <c r="AK47" i="33"/>
  <c r="AK48" i="33"/>
  <c r="AK49" i="33"/>
  <c r="AK50" i="33"/>
  <c r="AK51" i="33"/>
  <c r="AK52" i="33"/>
  <c r="AK53" i="33"/>
  <c r="AK54" i="33"/>
  <c r="AK55" i="33"/>
  <c r="AK56" i="33"/>
  <c r="AK57" i="33"/>
  <c r="AK58" i="33"/>
  <c r="AK59" i="33"/>
  <c r="AK60" i="33"/>
  <c r="AK61" i="33"/>
  <c r="AK62" i="33"/>
  <c r="AK63" i="33"/>
  <c r="AK66" i="33"/>
  <c r="AK70" i="33"/>
  <c r="AK73" i="33"/>
  <c r="AK74" i="33"/>
  <c r="AK75" i="33"/>
  <c r="AK76" i="33"/>
  <c r="AK77" i="33"/>
  <c r="AK81" i="33"/>
  <c r="AK82" i="33"/>
  <c r="AK83" i="33"/>
  <c r="AK84" i="33"/>
  <c r="AK85" i="33"/>
  <c r="AK86" i="33"/>
  <c r="AK87" i="33"/>
  <c r="AK88" i="33"/>
  <c r="AK89" i="33"/>
  <c r="AK90" i="33"/>
  <c r="AK91" i="33"/>
  <c r="AK92" i="33"/>
  <c r="AK93" i="33"/>
  <c r="AK94" i="33"/>
  <c r="AK95" i="33"/>
  <c r="AK96" i="33"/>
  <c r="AK97" i="33"/>
  <c r="AK98" i="33"/>
  <c r="AK99" i="33"/>
  <c r="AK100" i="33"/>
  <c r="AK101" i="33"/>
  <c r="AK102" i="33"/>
  <c r="AK103" i="33"/>
  <c r="AK104" i="33"/>
  <c r="AK105" i="33"/>
  <c r="AK106" i="33"/>
  <c r="AK107" i="33"/>
  <c r="AK108" i="33"/>
  <c r="AK109" i="33"/>
  <c r="AK110" i="33"/>
  <c r="AK111" i="33"/>
  <c r="AK112" i="33"/>
  <c r="AK113" i="33"/>
  <c r="AK114" i="33"/>
  <c r="AK105" i="34" l="1"/>
  <c r="AK106" i="34"/>
  <c r="AK107" i="34"/>
  <c r="BA78" i="33"/>
  <c r="BB78" i="33" s="1"/>
  <c r="BA79" i="33"/>
  <c r="BB79" i="33" s="1"/>
  <c r="BA80" i="33"/>
  <c r="BB80" i="33" s="1"/>
  <c r="D106" i="32" l="1"/>
  <c r="E106" i="32"/>
  <c r="F106" i="32"/>
  <c r="D107" i="32"/>
  <c r="E107" i="32"/>
  <c r="F107" i="32"/>
  <c r="D108" i="32"/>
  <c r="E108" i="32"/>
  <c r="F108" i="32"/>
  <c r="AM100" i="32"/>
  <c r="AM96" i="32"/>
  <c r="AM86" i="32" s="1"/>
  <c r="AK64" i="33" s="1"/>
  <c r="AM95" i="32"/>
  <c r="AK72" i="33" s="1"/>
  <c r="AM94" i="32"/>
  <c r="AK71" i="33" s="1"/>
  <c r="AM42" i="32"/>
  <c r="AK28" i="33" s="1"/>
  <c r="AM41" i="32"/>
  <c r="AK27" i="33" s="1"/>
  <c r="AM39" i="32"/>
  <c r="AK25" i="33" s="1"/>
  <c r="AM36" i="32"/>
  <c r="AK22" i="33" s="1"/>
  <c r="AM34" i="32"/>
  <c r="AK20" i="33" s="1"/>
  <c r="AM32" i="32"/>
  <c r="AK18" i="33" s="1"/>
  <c r="AM29" i="32"/>
  <c r="AK15" i="33" s="1"/>
  <c r="AM28" i="32"/>
  <c r="AK14" i="33" s="1"/>
  <c r="AM27" i="32"/>
  <c r="AK13" i="33" s="1"/>
  <c r="AM21" i="32"/>
  <c r="AK7" i="33" s="1"/>
  <c r="AM16" i="32"/>
  <c r="AK2" i="33" s="1"/>
  <c r="AM11" i="32"/>
  <c r="AM35" i="32" s="1"/>
  <c r="AK21" i="33" s="1"/>
  <c r="AM23" i="32"/>
  <c r="AK9" i="33" s="1"/>
  <c r="K37" i="36"/>
  <c r="AM18" i="32" l="1"/>
  <c r="AK4" i="33" s="1"/>
  <c r="AM19" i="32"/>
  <c r="AM22" i="32"/>
  <c r="AK8" i="33" s="1"/>
  <c r="AM88" i="32"/>
  <c r="AM87" i="32"/>
  <c r="AM91" i="32"/>
  <c r="AK68" i="33" s="1"/>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H45" i="35"/>
  <c r="H46" i="35"/>
  <c r="H47" i="35"/>
  <c r="H48" i="35"/>
  <c r="H49" i="35"/>
  <c r="H50" i="35"/>
  <c r="H51" i="35"/>
  <c r="H52" i="35"/>
  <c r="H53" i="35"/>
  <c r="H54" i="35"/>
  <c r="H55" i="35"/>
  <c r="H56" i="35"/>
  <c r="H57" i="35"/>
  <c r="H58" i="35"/>
  <c r="H59" i="35"/>
  <c r="H60" i="35"/>
  <c r="H61" i="35"/>
  <c r="H62" i="35"/>
  <c r="H63" i="35"/>
  <c r="H64" i="35"/>
  <c r="H65" i="35"/>
  <c r="H66" i="35"/>
  <c r="H67" i="35"/>
  <c r="H68" i="35"/>
  <c r="H69" i="35"/>
  <c r="H70" i="35"/>
  <c r="H71" i="35"/>
  <c r="H72" i="35"/>
  <c r="H73" i="35"/>
  <c r="H74" i="35"/>
  <c r="H75" i="35"/>
  <c r="H76" i="35"/>
  <c r="H77" i="35"/>
  <c r="H78" i="35"/>
  <c r="H79" i="35"/>
  <c r="H80" i="35"/>
  <c r="H81" i="35"/>
  <c r="H82" i="35"/>
  <c r="H83" i="35"/>
  <c r="H84" i="35"/>
  <c r="H85" i="35"/>
  <c r="H86" i="35"/>
  <c r="H87" i="35"/>
  <c r="H88" i="35"/>
  <c r="H89" i="35"/>
  <c r="H90" i="35"/>
  <c r="H91" i="35"/>
  <c r="H92" i="35"/>
  <c r="H93" i="35"/>
  <c r="H94" i="35"/>
  <c r="H95" i="35"/>
  <c r="H96" i="35"/>
  <c r="H97" i="35"/>
  <c r="H98" i="35"/>
  <c r="H99" i="35"/>
  <c r="H100" i="35"/>
  <c r="H101" i="35"/>
  <c r="H102" i="35"/>
  <c r="H103" i="35"/>
  <c r="H104" i="35"/>
  <c r="H105" i="35"/>
  <c r="H106" i="35"/>
  <c r="H107" i="35"/>
  <c r="H108" i="35"/>
  <c r="H109" i="35"/>
  <c r="H110" i="35"/>
  <c r="H111" i="35"/>
  <c r="H112" i="35"/>
  <c r="H113" i="35"/>
  <c r="H114" i="35"/>
  <c r="H115" i="35"/>
  <c r="H116" i="35"/>
  <c r="H117" i="35"/>
  <c r="H124" i="35"/>
  <c r="H12" i="35"/>
  <c r="G13" i="35"/>
  <c r="G14" i="35"/>
  <c r="G15" i="35"/>
  <c r="G16" i="35"/>
  <c r="G17" i="35"/>
  <c r="G18" i="35"/>
  <c r="G19" i="35"/>
  <c r="G20" i="35"/>
  <c r="G21" i="35"/>
  <c r="G22" i="35"/>
  <c r="G23" i="35"/>
  <c r="G24" i="35"/>
  <c r="G25" i="35"/>
  <c r="G26" i="35"/>
  <c r="G27" i="35"/>
  <c r="G28" i="35"/>
  <c r="G29" i="35"/>
  <c r="G30" i="35"/>
  <c r="G31" i="35"/>
  <c r="G32" i="35"/>
  <c r="G33" i="35"/>
  <c r="G34" i="35"/>
  <c r="G35" i="35"/>
  <c r="G36" i="35"/>
  <c r="G37" i="35"/>
  <c r="G38" i="35"/>
  <c r="G39" i="35"/>
  <c r="G40" i="35"/>
  <c r="G41" i="35"/>
  <c r="G42" i="35"/>
  <c r="G43" i="35"/>
  <c r="G44" i="35"/>
  <c r="G45" i="35"/>
  <c r="G46" i="35"/>
  <c r="G47" i="35"/>
  <c r="G48" i="35"/>
  <c r="G49" i="35"/>
  <c r="G50" i="35"/>
  <c r="G51" i="35"/>
  <c r="G52" i="35"/>
  <c r="G53" i="35"/>
  <c r="G54" i="35"/>
  <c r="G55" i="35"/>
  <c r="G56" i="35"/>
  <c r="G57" i="35"/>
  <c r="G58" i="35"/>
  <c r="G59" i="35"/>
  <c r="G60" i="35"/>
  <c r="G61" i="35"/>
  <c r="G62" i="35"/>
  <c r="G63" i="35"/>
  <c r="G64" i="35"/>
  <c r="G65" i="35"/>
  <c r="G66" i="35"/>
  <c r="G67" i="35"/>
  <c r="G68" i="35"/>
  <c r="G69" i="35"/>
  <c r="G70" i="35"/>
  <c r="G71" i="35"/>
  <c r="G72" i="35"/>
  <c r="G73" i="35"/>
  <c r="G74" i="35"/>
  <c r="G75" i="35"/>
  <c r="G76" i="35"/>
  <c r="G77" i="35"/>
  <c r="G78" i="35"/>
  <c r="G79" i="35"/>
  <c r="G80" i="35"/>
  <c r="G81" i="35"/>
  <c r="G82" i="35"/>
  <c r="G83" i="35"/>
  <c r="G84" i="35"/>
  <c r="G85" i="35"/>
  <c r="G86" i="35"/>
  <c r="G87" i="35"/>
  <c r="G88" i="35"/>
  <c r="G89" i="35"/>
  <c r="G90" i="35"/>
  <c r="G91" i="35"/>
  <c r="G92" i="35"/>
  <c r="G93" i="35"/>
  <c r="G94" i="35"/>
  <c r="G95" i="35"/>
  <c r="G96" i="35"/>
  <c r="G97" i="35"/>
  <c r="G98" i="35"/>
  <c r="G99" i="35"/>
  <c r="G100" i="35"/>
  <c r="G101" i="35"/>
  <c r="G102" i="35"/>
  <c r="G103" i="35"/>
  <c r="G104" i="35"/>
  <c r="G105" i="35"/>
  <c r="G106" i="35"/>
  <c r="G107" i="35"/>
  <c r="G108" i="35"/>
  <c r="G109" i="35"/>
  <c r="G110" i="35"/>
  <c r="G111" i="35"/>
  <c r="G112" i="35"/>
  <c r="G113" i="35"/>
  <c r="G114" i="35"/>
  <c r="G115" i="35"/>
  <c r="G116" i="35"/>
  <c r="G117" i="35"/>
  <c r="G118" i="35"/>
  <c r="G123" i="35"/>
  <c r="G124" i="35"/>
  <c r="G12" i="35"/>
  <c r="Y23" i="32"/>
  <c r="AB46" i="32"/>
  <c r="AH19" i="32"/>
  <c r="AF5" i="33" s="1"/>
  <c r="O23" i="32"/>
  <c r="O32" i="32"/>
  <c r="O26" i="32"/>
  <c r="O24" i="32"/>
  <c r="Y41" i="32"/>
  <c r="Y33" i="32"/>
  <c r="Y26" i="32"/>
  <c r="Y24" i="32"/>
  <c r="AA32" i="32"/>
  <c r="AA26" i="32"/>
  <c r="AA27" i="32"/>
  <c r="G16" i="32"/>
  <c r="G21" i="32"/>
  <c r="AN113" i="32"/>
  <c r="AW136" i="32"/>
  <c r="BA139" i="32"/>
  <c r="AY114" i="33" s="1"/>
  <c r="BB139" i="32"/>
  <c r="BA126" i="32"/>
  <c r="AY101" i="33" s="1"/>
  <c r="BB126" i="32"/>
  <c r="AZ101" i="33" s="1"/>
  <c r="BA123" i="32"/>
  <c r="BB123" i="32"/>
  <c r="BA116" i="32"/>
  <c r="BB116" i="32"/>
  <c r="BA117" i="32"/>
  <c r="BB117" i="32"/>
  <c r="BA110" i="32"/>
  <c r="BB110" i="32"/>
  <c r="AZ87" i="33" s="1"/>
  <c r="AZ2" i="33"/>
  <c r="AZ3" i="33"/>
  <c r="AZ4" i="33"/>
  <c r="AZ5" i="33"/>
  <c r="AZ7" i="33"/>
  <c r="AZ8" i="33"/>
  <c r="AZ9" i="33"/>
  <c r="AZ10" i="33"/>
  <c r="AZ11" i="33"/>
  <c r="AZ12" i="33"/>
  <c r="AZ13" i="33"/>
  <c r="AZ14" i="33"/>
  <c r="AZ15" i="33"/>
  <c r="AZ16" i="33"/>
  <c r="AZ18" i="33"/>
  <c r="AZ19" i="33"/>
  <c r="AZ20" i="33"/>
  <c r="AZ21" i="33"/>
  <c r="AZ22" i="33"/>
  <c r="AZ23" i="33"/>
  <c r="AZ24" i="33"/>
  <c r="AZ25" i="33"/>
  <c r="AZ26" i="33"/>
  <c r="AZ27" i="33"/>
  <c r="AZ28" i="33"/>
  <c r="AZ29" i="33"/>
  <c r="AZ30" i="33"/>
  <c r="AZ31" i="33"/>
  <c r="AZ32" i="33"/>
  <c r="AZ33" i="33"/>
  <c r="AZ34" i="33"/>
  <c r="AZ35" i="33"/>
  <c r="AZ36" i="33"/>
  <c r="AZ37" i="33"/>
  <c r="AZ38" i="33"/>
  <c r="AZ39" i="33"/>
  <c r="AZ40" i="33"/>
  <c r="AZ41" i="33"/>
  <c r="AZ42" i="33"/>
  <c r="AZ43" i="33"/>
  <c r="AZ44" i="33"/>
  <c r="AZ45" i="33"/>
  <c r="AZ46" i="33"/>
  <c r="AZ47" i="33"/>
  <c r="AZ48" i="33"/>
  <c r="AZ49" i="33"/>
  <c r="AZ50" i="33"/>
  <c r="AZ51" i="33"/>
  <c r="AZ52" i="33"/>
  <c r="AZ53" i="33"/>
  <c r="AZ54" i="33"/>
  <c r="AZ55" i="33"/>
  <c r="AZ56" i="33"/>
  <c r="AZ57" i="33"/>
  <c r="AZ58" i="33"/>
  <c r="AZ59" i="33"/>
  <c r="AZ60" i="33"/>
  <c r="AZ61" i="33"/>
  <c r="AZ62" i="33"/>
  <c r="AZ63" i="33"/>
  <c r="AZ64" i="33"/>
  <c r="AZ65" i="33"/>
  <c r="AZ66" i="33"/>
  <c r="AZ67" i="33"/>
  <c r="AZ68" i="33"/>
  <c r="AZ69" i="33"/>
  <c r="AZ70" i="33"/>
  <c r="AZ71" i="33"/>
  <c r="AZ72" i="33"/>
  <c r="AZ73" i="33"/>
  <c r="AZ74" i="33"/>
  <c r="AZ75" i="33"/>
  <c r="AZ76" i="33"/>
  <c r="AZ77" i="33"/>
  <c r="AZ81" i="33"/>
  <c r="AZ82" i="33"/>
  <c r="AZ83" i="33"/>
  <c r="AZ84" i="33"/>
  <c r="AZ85" i="33"/>
  <c r="AZ86" i="33"/>
  <c r="AZ88" i="33"/>
  <c r="AZ89" i="33"/>
  <c r="AZ90" i="33"/>
  <c r="AZ91" i="33"/>
  <c r="AZ92" i="33"/>
  <c r="AZ93" i="33"/>
  <c r="AZ95" i="33"/>
  <c r="AZ97" i="33"/>
  <c r="AZ98" i="33"/>
  <c r="AZ99" i="33"/>
  <c r="AZ100" i="33"/>
  <c r="AZ102" i="33"/>
  <c r="AZ103" i="33"/>
  <c r="AZ104" i="33"/>
  <c r="AZ105" i="33"/>
  <c r="AZ105" i="34" s="1"/>
  <c r="AZ106" i="33"/>
  <c r="AZ106" i="34" s="1"/>
  <c r="AZ107" i="33"/>
  <c r="AZ107" i="34" s="1"/>
  <c r="AZ108" i="33"/>
  <c r="AZ109" i="33"/>
  <c r="AZ110" i="33"/>
  <c r="AZ111" i="33"/>
  <c r="AZ112" i="33"/>
  <c r="AZ113" i="33"/>
  <c r="AZ114" i="33"/>
  <c r="AY2" i="33"/>
  <c r="AY3" i="33"/>
  <c r="AY4" i="33"/>
  <c r="AY5" i="33"/>
  <c r="AY7" i="33"/>
  <c r="AY8" i="33"/>
  <c r="AY9" i="33"/>
  <c r="AY10" i="33"/>
  <c r="AY11" i="33"/>
  <c r="AY12" i="33"/>
  <c r="AY13" i="33"/>
  <c r="AY14" i="33"/>
  <c r="AY15" i="33"/>
  <c r="AY16" i="33"/>
  <c r="AY17" i="33"/>
  <c r="AY18" i="33"/>
  <c r="AY19" i="33"/>
  <c r="AY20" i="33"/>
  <c r="AY21" i="33"/>
  <c r="AY22" i="33"/>
  <c r="AY23" i="33"/>
  <c r="AY24" i="33"/>
  <c r="AY25" i="33"/>
  <c r="AY26" i="33"/>
  <c r="AY27" i="33"/>
  <c r="AY28" i="33"/>
  <c r="AY29" i="33"/>
  <c r="AY30" i="33"/>
  <c r="AY31" i="33"/>
  <c r="AY32" i="33"/>
  <c r="AY33" i="33"/>
  <c r="AY34" i="33"/>
  <c r="AY35" i="33"/>
  <c r="AY36" i="33"/>
  <c r="AY37" i="33"/>
  <c r="AY38" i="33"/>
  <c r="AY39" i="33"/>
  <c r="AY40" i="33"/>
  <c r="AY41" i="33"/>
  <c r="AY42" i="33"/>
  <c r="AY43" i="33"/>
  <c r="AY44" i="33"/>
  <c r="AY45" i="33"/>
  <c r="AY46" i="33"/>
  <c r="AY47" i="33"/>
  <c r="AY48" i="33"/>
  <c r="AY49" i="33"/>
  <c r="AY50" i="33"/>
  <c r="AY51" i="33"/>
  <c r="AY52" i="33"/>
  <c r="AY53" i="33"/>
  <c r="AY54" i="33"/>
  <c r="AY55" i="33"/>
  <c r="AY56" i="33"/>
  <c r="AY57" i="33"/>
  <c r="AY58" i="33"/>
  <c r="AY59" i="33"/>
  <c r="AY60" i="33"/>
  <c r="AY61" i="33"/>
  <c r="AY62" i="33"/>
  <c r="AY63" i="33"/>
  <c r="AY64" i="33"/>
  <c r="AY65" i="33"/>
  <c r="AY66" i="33"/>
  <c r="AY67" i="33"/>
  <c r="AY68" i="33"/>
  <c r="AY69" i="33"/>
  <c r="AY70" i="33"/>
  <c r="AY71" i="33"/>
  <c r="AY72" i="33"/>
  <c r="AY73" i="33"/>
  <c r="AY74" i="33"/>
  <c r="AY75" i="33"/>
  <c r="AY76" i="33"/>
  <c r="AY77" i="33"/>
  <c r="AY81" i="33"/>
  <c r="AY82" i="33"/>
  <c r="AY83" i="33"/>
  <c r="AY84" i="33"/>
  <c r="AY85" i="33"/>
  <c r="AY86" i="33"/>
  <c r="AY87" i="33"/>
  <c r="AY88" i="33"/>
  <c r="AY89" i="33"/>
  <c r="AY90" i="33"/>
  <c r="AY91" i="33"/>
  <c r="AY92" i="33"/>
  <c r="AY93" i="33"/>
  <c r="AY95" i="33"/>
  <c r="AY97" i="33"/>
  <c r="AY98" i="33"/>
  <c r="AY99" i="33"/>
  <c r="AY100" i="33"/>
  <c r="AY102" i="33"/>
  <c r="AY103" i="33"/>
  <c r="AY104" i="33"/>
  <c r="AY105" i="33"/>
  <c r="AY105" i="34" s="1"/>
  <c r="AY106" i="33"/>
  <c r="AY106" i="34" s="1"/>
  <c r="AY107" i="33"/>
  <c r="AY107" i="34" s="1"/>
  <c r="AY108" i="33"/>
  <c r="AY109" i="33"/>
  <c r="AY110" i="33"/>
  <c r="AY111" i="33"/>
  <c r="AY112" i="33"/>
  <c r="AY113" i="33"/>
  <c r="AX2" i="33"/>
  <c r="AX3" i="33"/>
  <c r="AX4" i="33"/>
  <c r="AX5" i="33"/>
  <c r="AX7" i="33"/>
  <c r="AX8" i="33"/>
  <c r="AX10" i="33"/>
  <c r="AX11" i="33"/>
  <c r="AX12" i="33"/>
  <c r="AX13" i="33"/>
  <c r="AX14" i="33"/>
  <c r="AX15" i="33"/>
  <c r="AX16" i="33"/>
  <c r="AX18" i="33"/>
  <c r="AX19" i="33"/>
  <c r="AX20" i="33"/>
  <c r="AX21" i="33"/>
  <c r="AX22" i="33"/>
  <c r="AX23" i="33"/>
  <c r="AX24" i="33"/>
  <c r="AX25" i="33"/>
  <c r="AX26" i="33"/>
  <c r="AX27" i="33"/>
  <c r="AX28" i="33"/>
  <c r="AX29" i="33"/>
  <c r="AX30" i="33"/>
  <c r="AX31" i="33"/>
  <c r="AX32" i="33"/>
  <c r="AX33" i="33"/>
  <c r="AX34" i="33"/>
  <c r="AX35" i="33"/>
  <c r="AX36" i="33"/>
  <c r="AX37" i="33"/>
  <c r="AX38" i="33"/>
  <c r="AX39" i="33"/>
  <c r="AX40" i="33"/>
  <c r="AX41" i="33"/>
  <c r="AX42" i="33"/>
  <c r="AX43" i="33"/>
  <c r="AX44" i="33"/>
  <c r="AX45" i="33"/>
  <c r="AX46" i="33"/>
  <c r="AX47" i="33"/>
  <c r="AX48" i="33"/>
  <c r="AX49" i="33"/>
  <c r="AX50" i="33"/>
  <c r="AX51" i="33"/>
  <c r="AX52" i="33"/>
  <c r="AX53" i="33"/>
  <c r="AX54" i="33"/>
  <c r="AX55" i="33"/>
  <c r="AX56" i="33"/>
  <c r="AX57" i="33"/>
  <c r="AX58" i="33"/>
  <c r="AX59" i="33"/>
  <c r="AX60" i="33"/>
  <c r="AX61" i="33"/>
  <c r="AX62" i="33"/>
  <c r="AX63" i="33"/>
  <c r="AX64" i="33"/>
  <c r="AX65" i="33"/>
  <c r="AX66" i="33"/>
  <c r="AX67" i="33"/>
  <c r="AX68" i="33"/>
  <c r="AX69" i="33"/>
  <c r="AX70" i="33"/>
  <c r="AX71" i="33"/>
  <c r="AX72" i="33"/>
  <c r="AX73" i="33"/>
  <c r="AX74" i="33"/>
  <c r="AX75" i="33"/>
  <c r="AX76" i="33"/>
  <c r="AX77" i="33"/>
  <c r="AX81" i="33"/>
  <c r="AX82" i="33"/>
  <c r="AX83" i="33"/>
  <c r="AX84" i="33"/>
  <c r="AX85" i="33"/>
  <c r="AX86" i="33"/>
  <c r="AX88" i="33"/>
  <c r="AX89" i="33"/>
  <c r="AX90" i="33"/>
  <c r="AX91" i="33"/>
  <c r="AX92" i="33"/>
  <c r="AX95" i="33"/>
  <c r="AX97" i="33"/>
  <c r="AX99" i="33"/>
  <c r="AX100" i="33"/>
  <c r="AX102" i="33"/>
  <c r="AX103" i="33"/>
  <c r="AX105" i="33"/>
  <c r="AX105" i="34" s="1"/>
  <c r="AX106" i="33"/>
  <c r="AX106" i="34" s="1"/>
  <c r="AX107" i="33"/>
  <c r="AX107" i="34" s="1"/>
  <c r="AX108" i="33"/>
  <c r="AX109" i="33"/>
  <c r="AX110" i="33"/>
  <c r="AX111" i="33"/>
  <c r="AX112" i="33"/>
  <c r="AX113" i="33"/>
  <c r="AJ3" i="33"/>
  <c r="AJ10" i="33"/>
  <c r="AJ11" i="33"/>
  <c r="AJ12" i="33"/>
  <c r="AJ16" i="33"/>
  <c r="AJ17" i="33"/>
  <c r="AJ19" i="33"/>
  <c r="AJ23" i="33"/>
  <c r="AJ24" i="33"/>
  <c r="AJ26" i="33"/>
  <c r="AJ29" i="33"/>
  <c r="AJ30" i="33"/>
  <c r="AJ31" i="33"/>
  <c r="AJ32" i="33"/>
  <c r="AJ33" i="33"/>
  <c r="AJ34" i="33"/>
  <c r="AJ35" i="33"/>
  <c r="AJ36" i="33"/>
  <c r="AJ37" i="33"/>
  <c r="AJ38" i="33"/>
  <c r="AJ39" i="33"/>
  <c r="AJ40" i="33"/>
  <c r="AJ41" i="33"/>
  <c r="AJ42" i="33"/>
  <c r="AJ43" i="33"/>
  <c r="AJ44" i="33"/>
  <c r="AJ45" i="33"/>
  <c r="AJ46" i="33"/>
  <c r="AJ47" i="33"/>
  <c r="AJ48" i="33"/>
  <c r="AJ49" i="33"/>
  <c r="AJ50" i="33"/>
  <c r="AJ51" i="33"/>
  <c r="AJ52" i="33"/>
  <c r="AJ53" i="33"/>
  <c r="AJ54" i="33"/>
  <c r="AJ55" i="33"/>
  <c r="AJ56" i="33"/>
  <c r="AJ57" i="33"/>
  <c r="AJ58" i="33"/>
  <c r="AJ59" i="33"/>
  <c r="AJ60" i="33"/>
  <c r="AJ61" i="33"/>
  <c r="AJ62" i="33"/>
  <c r="AJ63" i="33"/>
  <c r="AJ66" i="33"/>
  <c r="AJ70" i="33"/>
  <c r="AJ74" i="33"/>
  <c r="AJ75" i="33"/>
  <c r="AJ76" i="33"/>
  <c r="AJ81" i="33"/>
  <c r="AJ82" i="33"/>
  <c r="AJ83" i="33"/>
  <c r="AJ84" i="33"/>
  <c r="AJ85" i="33"/>
  <c r="AJ86" i="33"/>
  <c r="AJ87" i="33"/>
  <c r="AJ88" i="33"/>
  <c r="AJ89" i="33"/>
  <c r="AJ90" i="33"/>
  <c r="AJ91" i="33"/>
  <c r="AJ92" i="33"/>
  <c r="AJ93" i="33"/>
  <c r="AJ94" i="33"/>
  <c r="AJ95" i="33"/>
  <c r="AJ96" i="33"/>
  <c r="AJ97" i="33"/>
  <c r="AJ98" i="33"/>
  <c r="AJ99" i="33"/>
  <c r="AJ100" i="33"/>
  <c r="AJ101" i="33"/>
  <c r="AJ102" i="33"/>
  <c r="AJ103" i="33"/>
  <c r="AJ104" i="33"/>
  <c r="AJ105" i="33"/>
  <c r="AJ105" i="34" s="1"/>
  <c r="AJ106" i="33"/>
  <c r="AJ106" i="34" s="1"/>
  <c r="AJ107" i="33"/>
  <c r="AJ107" i="34" s="1"/>
  <c r="AJ108" i="33"/>
  <c r="AJ109" i="33"/>
  <c r="AJ110" i="33"/>
  <c r="AJ111" i="33"/>
  <c r="AJ112" i="33"/>
  <c r="AJ113" i="33"/>
  <c r="AJ114" i="33"/>
  <c r="AI3" i="33"/>
  <c r="AI10" i="33"/>
  <c r="AI11" i="33"/>
  <c r="AI12" i="33"/>
  <c r="AI16" i="33"/>
  <c r="AI17" i="33"/>
  <c r="AI19" i="33"/>
  <c r="AI23" i="33"/>
  <c r="AI24" i="33"/>
  <c r="AI26" i="33"/>
  <c r="AI29" i="33"/>
  <c r="AI30" i="33"/>
  <c r="AI31" i="33"/>
  <c r="AI32" i="33"/>
  <c r="AI33" i="33"/>
  <c r="AI34" i="33"/>
  <c r="AI35" i="33"/>
  <c r="AI36" i="33"/>
  <c r="AI37" i="33"/>
  <c r="AI38" i="33"/>
  <c r="AI39" i="33"/>
  <c r="AI40" i="33"/>
  <c r="AI41" i="33"/>
  <c r="AI42" i="33"/>
  <c r="AI43" i="33"/>
  <c r="AI44" i="33"/>
  <c r="AI45" i="33"/>
  <c r="AI46" i="33"/>
  <c r="AI47" i="33"/>
  <c r="AI48" i="33"/>
  <c r="AI49" i="33"/>
  <c r="AI50" i="33"/>
  <c r="AI51" i="33"/>
  <c r="AI52" i="33"/>
  <c r="AI53" i="33"/>
  <c r="AI54" i="33"/>
  <c r="AI55" i="33"/>
  <c r="AI56" i="33"/>
  <c r="AI57" i="33"/>
  <c r="AI58" i="33"/>
  <c r="AI59" i="33"/>
  <c r="AI60" i="33"/>
  <c r="AI61" i="33"/>
  <c r="AI62" i="33"/>
  <c r="AI63" i="33"/>
  <c r="AI64" i="33"/>
  <c r="AI65" i="33"/>
  <c r="AI66" i="33"/>
  <c r="AI67" i="33"/>
  <c r="AI68" i="33"/>
  <c r="AI69" i="33"/>
  <c r="AI70" i="33"/>
  <c r="AI71" i="33"/>
  <c r="AI72" i="33"/>
  <c r="AI73" i="33"/>
  <c r="AI74" i="33"/>
  <c r="AI75" i="33"/>
  <c r="AI76" i="33"/>
  <c r="AI77" i="33"/>
  <c r="AI81" i="33"/>
  <c r="AI82" i="33"/>
  <c r="AI83" i="33"/>
  <c r="AI84" i="33"/>
  <c r="AI85" i="33"/>
  <c r="AI86" i="33"/>
  <c r="AI87" i="33"/>
  <c r="AI88" i="33"/>
  <c r="AI89" i="33"/>
  <c r="AI90" i="33"/>
  <c r="AI91" i="33"/>
  <c r="AI92" i="33"/>
  <c r="AI93" i="33"/>
  <c r="AI94" i="33"/>
  <c r="AI95" i="33"/>
  <c r="AI96" i="33"/>
  <c r="AI97" i="33"/>
  <c r="AI98" i="33"/>
  <c r="AI99" i="33"/>
  <c r="AI100" i="33"/>
  <c r="AI101" i="33"/>
  <c r="AI102" i="33"/>
  <c r="AI103" i="33"/>
  <c r="AI104" i="33"/>
  <c r="AI105" i="33"/>
  <c r="AI105" i="34" s="1"/>
  <c r="AI106" i="33"/>
  <c r="AI106" i="34" s="1"/>
  <c r="AI107" i="33"/>
  <c r="AI107" i="34" s="1"/>
  <c r="AI108" i="33"/>
  <c r="AI109" i="33"/>
  <c r="AI110" i="33"/>
  <c r="AI111" i="33"/>
  <c r="AI112" i="33"/>
  <c r="AI113" i="33"/>
  <c r="AI114" i="33"/>
  <c r="AH3" i="33"/>
  <c r="AH10" i="33"/>
  <c r="AH11" i="33"/>
  <c r="AH12" i="33"/>
  <c r="AH16" i="33"/>
  <c r="AH17" i="33"/>
  <c r="AH19" i="33"/>
  <c r="AH23" i="33"/>
  <c r="AH24" i="33"/>
  <c r="AH26" i="33"/>
  <c r="AH29" i="33"/>
  <c r="AH30" i="33"/>
  <c r="AH31" i="33"/>
  <c r="AH32" i="33"/>
  <c r="AH33" i="33"/>
  <c r="AH34" i="33"/>
  <c r="AH35" i="33"/>
  <c r="AH36" i="33"/>
  <c r="AH37" i="33"/>
  <c r="AH38" i="33"/>
  <c r="AH39" i="33"/>
  <c r="AH40" i="33"/>
  <c r="AH41" i="33"/>
  <c r="AH42" i="33"/>
  <c r="AH43" i="33"/>
  <c r="AH44" i="33"/>
  <c r="AH45" i="33"/>
  <c r="AH46" i="33"/>
  <c r="AH47" i="33"/>
  <c r="AH48" i="33"/>
  <c r="AH49" i="33"/>
  <c r="AH50" i="33"/>
  <c r="AH51" i="33"/>
  <c r="AH52" i="33"/>
  <c r="AH53" i="33"/>
  <c r="AH54" i="33"/>
  <c r="AH55" i="33"/>
  <c r="AH56" i="33"/>
  <c r="AH57" i="33"/>
  <c r="AH58" i="33"/>
  <c r="AH59" i="33"/>
  <c r="AH60" i="33"/>
  <c r="AH61" i="33"/>
  <c r="AH62" i="33"/>
  <c r="AH63" i="33"/>
  <c r="AH64" i="33"/>
  <c r="AH65" i="33"/>
  <c r="AH66" i="33"/>
  <c r="AH67" i="33"/>
  <c r="AH68" i="33"/>
  <c r="AH69" i="33"/>
  <c r="AH70" i="33"/>
  <c r="AH71" i="33"/>
  <c r="AH72" i="33"/>
  <c r="AH73" i="33"/>
  <c r="AH74" i="33"/>
  <c r="AH75" i="33"/>
  <c r="AH76" i="33"/>
  <c r="AH77" i="33"/>
  <c r="AH81" i="33"/>
  <c r="AH82" i="33"/>
  <c r="AH83" i="33"/>
  <c r="AH84" i="33"/>
  <c r="AH85" i="33"/>
  <c r="AH86" i="33"/>
  <c r="AH87" i="33"/>
  <c r="AH88" i="33"/>
  <c r="AH89" i="33"/>
  <c r="AH90" i="33"/>
  <c r="AH91" i="33"/>
  <c r="AH92" i="33"/>
  <c r="AH93" i="33"/>
  <c r="AH94" i="33"/>
  <c r="AH95" i="33"/>
  <c r="AH96" i="33"/>
  <c r="AH97" i="33"/>
  <c r="AH98" i="33"/>
  <c r="AH99" i="33"/>
  <c r="AH100" i="33"/>
  <c r="AH101" i="33"/>
  <c r="AH102" i="33"/>
  <c r="AH103" i="33"/>
  <c r="AH104" i="33"/>
  <c r="AH105" i="33"/>
  <c r="AH105" i="34" s="1"/>
  <c r="AH106" i="33"/>
  <c r="AH106" i="34" s="1"/>
  <c r="AH107" i="33"/>
  <c r="AH107" i="34" s="1"/>
  <c r="AH108" i="33"/>
  <c r="AH109" i="33"/>
  <c r="AH110" i="33"/>
  <c r="AH111" i="33"/>
  <c r="AH112" i="33"/>
  <c r="AH113" i="33"/>
  <c r="AH114" i="33"/>
  <c r="AG3" i="33"/>
  <c r="AG10" i="33"/>
  <c r="AG11" i="33"/>
  <c r="AG12" i="33"/>
  <c r="AG16" i="33"/>
  <c r="AG17" i="33"/>
  <c r="AG19" i="33"/>
  <c r="AG23" i="33"/>
  <c r="AG24" i="33"/>
  <c r="AG26" i="33"/>
  <c r="AG29" i="33"/>
  <c r="AG30" i="33"/>
  <c r="AG31" i="33"/>
  <c r="AG32" i="33"/>
  <c r="AG33" i="33"/>
  <c r="AG34" i="33"/>
  <c r="AG35" i="33"/>
  <c r="AG36" i="33"/>
  <c r="AG37" i="33"/>
  <c r="AG38" i="33"/>
  <c r="AG39" i="33"/>
  <c r="AG40" i="33"/>
  <c r="AG41" i="33"/>
  <c r="AG42" i="33"/>
  <c r="AG43" i="33"/>
  <c r="AG44" i="33"/>
  <c r="AG45" i="33"/>
  <c r="AG46" i="33"/>
  <c r="AG47" i="33"/>
  <c r="AG48" i="33"/>
  <c r="AG49" i="33"/>
  <c r="AG50" i="33"/>
  <c r="AG51" i="33"/>
  <c r="AG52" i="33"/>
  <c r="AG53" i="33"/>
  <c r="AG54" i="33"/>
  <c r="AG55" i="33"/>
  <c r="AG56" i="33"/>
  <c r="AG57" i="33"/>
  <c r="AG58" i="33"/>
  <c r="AG59" i="33"/>
  <c r="AG60" i="33"/>
  <c r="AG61" i="33"/>
  <c r="AG62" i="33"/>
  <c r="AG63" i="33"/>
  <c r="AG64" i="33"/>
  <c r="AG65" i="33"/>
  <c r="AG66" i="33"/>
  <c r="AG67" i="33"/>
  <c r="AG68" i="33"/>
  <c r="AG69" i="33"/>
  <c r="AG70" i="33"/>
  <c r="AG71" i="33"/>
  <c r="AG72" i="33"/>
  <c r="AG73" i="33"/>
  <c r="AG74" i="33"/>
  <c r="AG75" i="33"/>
  <c r="AG76" i="33"/>
  <c r="AG77" i="33"/>
  <c r="AG81" i="33"/>
  <c r="AG82" i="33"/>
  <c r="AG83" i="33"/>
  <c r="AG84" i="33"/>
  <c r="AG85" i="33"/>
  <c r="AG86" i="33"/>
  <c r="AG87" i="33"/>
  <c r="AG88" i="33"/>
  <c r="AG89" i="33"/>
  <c r="AG90" i="33"/>
  <c r="AG91" i="33"/>
  <c r="AG92" i="33"/>
  <c r="AG93" i="33"/>
  <c r="AG94" i="33"/>
  <c r="AG95" i="33"/>
  <c r="AG96" i="33"/>
  <c r="AG97" i="33"/>
  <c r="AG98" i="33"/>
  <c r="AG99" i="33"/>
  <c r="AG100" i="33"/>
  <c r="AG101" i="33"/>
  <c r="AG102" i="33"/>
  <c r="AG103" i="33"/>
  <c r="AG104" i="33"/>
  <c r="AG105" i="33"/>
  <c r="AG105" i="34" s="1"/>
  <c r="AG106" i="33"/>
  <c r="AG106" i="34" s="1"/>
  <c r="AG107" i="33"/>
  <c r="AG107" i="34" s="1"/>
  <c r="AG108" i="33"/>
  <c r="AG109" i="33"/>
  <c r="AG110" i="33"/>
  <c r="AG111" i="33"/>
  <c r="AG112" i="33"/>
  <c r="AG113" i="33"/>
  <c r="AG114" i="33"/>
  <c r="AF3" i="33"/>
  <c r="AF10" i="33"/>
  <c r="AF11" i="33"/>
  <c r="AF12" i="33"/>
  <c r="AF16" i="33"/>
  <c r="AF17" i="33"/>
  <c r="AF19" i="33"/>
  <c r="AF23" i="33"/>
  <c r="AF24" i="33"/>
  <c r="AF26" i="33"/>
  <c r="AF29" i="33"/>
  <c r="AF30" i="33"/>
  <c r="AF31" i="33"/>
  <c r="AF32" i="33"/>
  <c r="AF33" i="33"/>
  <c r="AF34" i="33"/>
  <c r="AF35" i="33"/>
  <c r="AF36" i="33"/>
  <c r="AF37" i="33"/>
  <c r="AF38" i="33"/>
  <c r="AF39" i="33"/>
  <c r="AF40" i="33"/>
  <c r="AF41" i="33"/>
  <c r="AF42" i="33"/>
  <c r="AF43" i="33"/>
  <c r="AF44" i="33"/>
  <c r="AF45" i="33"/>
  <c r="AF46" i="33"/>
  <c r="AF47" i="33"/>
  <c r="AF48" i="33"/>
  <c r="AF49" i="33"/>
  <c r="AF50" i="33"/>
  <c r="AF51" i="33"/>
  <c r="AF52" i="33"/>
  <c r="AF53" i="33"/>
  <c r="AF54" i="33"/>
  <c r="AF55" i="33"/>
  <c r="AF56" i="33"/>
  <c r="AF57" i="33"/>
  <c r="AF58" i="33"/>
  <c r="AF59" i="33"/>
  <c r="AF60" i="33"/>
  <c r="AF61" i="33"/>
  <c r="AF62" i="33"/>
  <c r="AF63" i="33"/>
  <c r="AF64" i="33"/>
  <c r="AF65" i="33"/>
  <c r="AF66" i="33"/>
  <c r="AF67" i="33"/>
  <c r="AF68" i="33"/>
  <c r="AF69" i="33"/>
  <c r="AF70" i="33"/>
  <c r="AF71" i="33"/>
  <c r="AF72" i="33"/>
  <c r="AF73" i="33"/>
  <c r="AF74" i="33"/>
  <c r="AF75" i="33"/>
  <c r="AF76" i="33"/>
  <c r="AF77" i="33"/>
  <c r="AF81" i="33"/>
  <c r="AF82" i="33"/>
  <c r="AF83" i="33"/>
  <c r="AF84" i="33"/>
  <c r="AF85" i="33"/>
  <c r="AF86" i="33"/>
  <c r="AF87" i="33"/>
  <c r="AF88" i="33"/>
  <c r="AF89" i="33"/>
  <c r="AF90" i="33"/>
  <c r="AF91" i="33"/>
  <c r="AF92" i="33"/>
  <c r="AF93" i="33"/>
  <c r="AF94" i="33"/>
  <c r="AF95" i="33"/>
  <c r="AF96" i="33"/>
  <c r="AF97" i="33"/>
  <c r="AF98" i="33"/>
  <c r="AF99" i="33"/>
  <c r="AF100" i="33"/>
  <c r="AF101" i="33"/>
  <c r="AF102" i="33"/>
  <c r="AF103" i="33"/>
  <c r="AF104" i="33"/>
  <c r="AF105" i="33"/>
  <c r="AF105" i="34" s="1"/>
  <c r="AF106" i="33"/>
  <c r="AF106" i="34" s="1"/>
  <c r="AF107" i="33"/>
  <c r="AF107" i="34" s="1"/>
  <c r="AF108" i="33"/>
  <c r="AF109" i="33"/>
  <c r="AF110" i="33"/>
  <c r="AF111" i="33"/>
  <c r="AF112" i="33"/>
  <c r="AF113" i="33"/>
  <c r="AF114" i="33"/>
  <c r="AH21" i="32"/>
  <c r="AF7" i="33" s="1"/>
  <c r="AI21" i="32"/>
  <c r="AG7" i="33" s="1"/>
  <c r="AJ21" i="32"/>
  <c r="AH7" i="33" s="1"/>
  <c r="AK21" i="32"/>
  <c r="AI7" i="33" s="1"/>
  <c r="AL21" i="32"/>
  <c r="AJ7" i="33" s="1"/>
  <c r="AJ23" i="32"/>
  <c r="AH9" i="33" s="1"/>
  <c r="AK23" i="32"/>
  <c r="AI9" i="33" s="1"/>
  <c r="AH27" i="32"/>
  <c r="AF13" i="33" s="1"/>
  <c r="AI27" i="32"/>
  <c r="AG13" i="33" s="1"/>
  <c r="AJ27" i="32"/>
  <c r="AH13" i="33" s="1"/>
  <c r="AK27" i="32"/>
  <c r="AI13" i="33" s="1"/>
  <c r="AL27" i="32"/>
  <c r="AJ13" i="33" s="1"/>
  <c r="AH28" i="32"/>
  <c r="AF14" i="33" s="1"/>
  <c r="AI28" i="32"/>
  <c r="AG14" i="33" s="1"/>
  <c r="AJ28" i="32"/>
  <c r="AH14" i="33" s="1"/>
  <c r="AK28" i="32"/>
  <c r="AI14" i="33" s="1"/>
  <c r="AL28" i="32"/>
  <c r="AJ14" i="33" s="1"/>
  <c r="AH29" i="32"/>
  <c r="AF15" i="33" s="1"/>
  <c r="AI29" i="32"/>
  <c r="AG15" i="33" s="1"/>
  <c r="AJ29" i="32"/>
  <c r="AH15" i="33" s="1"/>
  <c r="AK29" i="32"/>
  <c r="AI15" i="33" s="1"/>
  <c r="AL29" i="32"/>
  <c r="AJ15" i="33" s="1"/>
  <c r="AH32" i="32"/>
  <c r="AF18" i="33" s="1"/>
  <c r="AI32" i="32"/>
  <c r="AG18" i="33" s="1"/>
  <c r="AJ32" i="32"/>
  <c r="AH18" i="33" s="1"/>
  <c r="AK32" i="32"/>
  <c r="AI18" i="33" s="1"/>
  <c r="AL32" i="32"/>
  <c r="AJ18" i="33" s="1"/>
  <c r="AH34" i="32"/>
  <c r="AF20" i="33" s="1"/>
  <c r="AI34" i="32"/>
  <c r="AG20" i="33" s="1"/>
  <c r="AJ34" i="32"/>
  <c r="AH20" i="33" s="1"/>
  <c r="AK34" i="32"/>
  <c r="AI20" i="33" s="1"/>
  <c r="AL34" i="32"/>
  <c r="AJ20" i="33" s="1"/>
  <c r="AH35" i="32"/>
  <c r="AF21" i="33" s="1"/>
  <c r="AI35" i="32"/>
  <c r="AG21" i="33" s="1"/>
  <c r="AJ35" i="32"/>
  <c r="AH21" i="33" s="1"/>
  <c r="AK35" i="32"/>
  <c r="AI21" i="33" s="1"/>
  <c r="AL36" i="32"/>
  <c r="AJ22" i="33" s="1"/>
  <c r="AH39" i="32"/>
  <c r="AF25" i="33" s="1"/>
  <c r="AI39" i="32"/>
  <c r="AG25" i="33" s="1"/>
  <c r="AJ39" i="32"/>
  <c r="AH25" i="33" s="1"/>
  <c r="AK39" i="32"/>
  <c r="AI25" i="33" s="1"/>
  <c r="AL39" i="32"/>
  <c r="AJ25" i="33" s="1"/>
  <c r="AH41" i="32"/>
  <c r="AF27" i="33" s="1"/>
  <c r="AI41" i="32"/>
  <c r="AG27" i="33" s="1"/>
  <c r="AJ41" i="32"/>
  <c r="AH27" i="33" s="1"/>
  <c r="AK41" i="32"/>
  <c r="AI27" i="33" s="1"/>
  <c r="AL41" i="32"/>
  <c r="AJ27" i="33" s="1"/>
  <c r="AH42" i="32"/>
  <c r="AF28" i="33" s="1"/>
  <c r="AI42" i="32"/>
  <c r="AG28" i="33" s="1"/>
  <c r="AJ42" i="32"/>
  <c r="AH28" i="33" s="1"/>
  <c r="AK42" i="32"/>
  <c r="AI28" i="33" s="1"/>
  <c r="AL42" i="32"/>
  <c r="AJ28" i="33" s="1"/>
  <c r="AH45" i="32"/>
  <c r="AI45" i="32"/>
  <c r="AJ45" i="32"/>
  <c r="AK45" i="32"/>
  <c r="AL45" i="32"/>
  <c r="AH16" i="32"/>
  <c r="AI16" i="32"/>
  <c r="AJ16" i="32"/>
  <c r="AK16" i="32"/>
  <c r="AL16" i="32"/>
  <c r="AG16" i="32"/>
  <c r="H11" i="32"/>
  <c r="I11" i="32"/>
  <c r="J11" i="32"/>
  <c r="K11" i="32"/>
  <c r="L11" i="32"/>
  <c r="M11" i="32"/>
  <c r="N11" i="32"/>
  <c r="O11" i="32"/>
  <c r="P11" i="32"/>
  <c r="Q11" i="32"/>
  <c r="R11" i="32"/>
  <c r="S11" i="32"/>
  <c r="T11" i="32"/>
  <c r="U11" i="32"/>
  <c r="V11" i="32"/>
  <c r="W11" i="32"/>
  <c r="X11" i="32"/>
  <c r="Y11" i="32"/>
  <c r="Y35" i="32" s="1"/>
  <c r="Z11" i="32"/>
  <c r="AA11" i="32"/>
  <c r="AB11" i="32"/>
  <c r="AC11" i="32"/>
  <c r="AD11" i="32"/>
  <c r="AE11" i="32"/>
  <c r="AF11" i="32"/>
  <c r="AG11" i="32"/>
  <c r="AH11" i="32"/>
  <c r="AH36" i="32" s="1"/>
  <c r="AF22" i="33" s="1"/>
  <c r="AI11" i="32"/>
  <c r="AI36" i="32" s="1"/>
  <c r="AG22" i="33" s="1"/>
  <c r="AJ11" i="32"/>
  <c r="AJ36" i="32" s="1"/>
  <c r="AH22" i="33" s="1"/>
  <c r="AK11" i="32"/>
  <c r="AK36" i="32" s="1"/>
  <c r="AI22" i="33" s="1"/>
  <c r="AL11" i="32"/>
  <c r="AL35" i="32" s="1"/>
  <c r="AJ21" i="33" s="1"/>
  <c r="H23" i="32"/>
  <c r="I23" i="32"/>
  <c r="L23" i="32"/>
  <c r="AI22" i="32"/>
  <c r="AG8" i="33" s="1"/>
  <c r="AJ22" i="32"/>
  <c r="AH8" i="33" s="1"/>
  <c r="AK22" i="32"/>
  <c r="AI8" i="33" s="1"/>
  <c r="AL22" i="32"/>
  <c r="AJ8" i="33" s="1"/>
  <c r="AB100" i="32"/>
  <c r="AB97" i="32"/>
  <c r="AB86" i="32" s="1"/>
  <c r="AB91" i="32" s="1"/>
  <c r="AB95" i="32"/>
  <c r="AB94" i="32"/>
  <c r="AB62" i="32"/>
  <c r="AB61" i="32"/>
  <c r="AB60" i="32"/>
  <c r="AB55" i="32"/>
  <c r="AB53" i="32"/>
  <c r="AB52" i="32"/>
  <c r="AB47" i="32"/>
  <c r="AB59" i="32" s="1"/>
  <c r="AB45" i="32"/>
  <c r="AB54" i="32" s="1"/>
  <c r="D2" i="34"/>
  <c r="AK2" i="34" s="1"/>
  <c r="D3" i="34"/>
  <c r="AK3" i="34" s="1"/>
  <c r="D4" i="34"/>
  <c r="D5" i="34"/>
  <c r="D6" i="34"/>
  <c r="D7" i="34"/>
  <c r="AK7" i="34" s="1"/>
  <c r="D8" i="34"/>
  <c r="D9" i="34"/>
  <c r="AK9" i="34" s="1"/>
  <c r="D10" i="34"/>
  <c r="AK10" i="34" s="1"/>
  <c r="D11" i="34"/>
  <c r="AK11" i="34" s="1"/>
  <c r="D12" i="34"/>
  <c r="AK12" i="34" s="1"/>
  <c r="D13" i="34"/>
  <c r="AK13" i="34" s="1"/>
  <c r="D14" i="34"/>
  <c r="AK14" i="34" s="1"/>
  <c r="D15" i="34"/>
  <c r="AK15" i="34" s="1"/>
  <c r="D16" i="34"/>
  <c r="AK16" i="34" s="1"/>
  <c r="D17" i="34"/>
  <c r="AK17" i="34" s="1"/>
  <c r="D18" i="34"/>
  <c r="AK18" i="34" s="1"/>
  <c r="D19" i="34"/>
  <c r="AK19" i="34" s="1"/>
  <c r="D20" i="34"/>
  <c r="AK20" i="34" s="1"/>
  <c r="D21" i="34"/>
  <c r="AK21" i="34" s="1"/>
  <c r="D22" i="34"/>
  <c r="AK22" i="34" s="1"/>
  <c r="D23" i="34"/>
  <c r="AK23" i="34" s="1"/>
  <c r="D24" i="34"/>
  <c r="AK24" i="34" s="1"/>
  <c r="D25" i="34"/>
  <c r="AK25" i="34" s="1"/>
  <c r="D26" i="34"/>
  <c r="AK26" i="34" s="1"/>
  <c r="D27" i="34"/>
  <c r="AK27" i="34" s="1"/>
  <c r="D28" i="34"/>
  <c r="AK28" i="34" s="1"/>
  <c r="D29" i="34"/>
  <c r="AK29" i="34" s="1"/>
  <c r="D30" i="34"/>
  <c r="AK30" i="34" s="1"/>
  <c r="D31" i="34"/>
  <c r="AK31" i="34" s="1"/>
  <c r="D32" i="34"/>
  <c r="AK32" i="34" s="1"/>
  <c r="D33" i="34"/>
  <c r="AK33" i="34" s="1"/>
  <c r="D34" i="34"/>
  <c r="AK34" i="34" s="1"/>
  <c r="D35" i="34"/>
  <c r="AK35" i="34" s="1"/>
  <c r="D36" i="34"/>
  <c r="AK36" i="34" s="1"/>
  <c r="D37" i="34"/>
  <c r="AK37" i="34" s="1"/>
  <c r="D38" i="34"/>
  <c r="AK38" i="34" s="1"/>
  <c r="D39" i="34"/>
  <c r="AK39" i="34" s="1"/>
  <c r="D40" i="34"/>
  <c r="AK40" i="34" s="1"/>
  <c r="D41" i="34"/>
  <c r="AK41" i="34" s="1"/>
  <c r="D42" i="34"/>
  <c r="AK42" i="34" s="1"/>
  <c r="D43" i="34"/>
  <c r="AK43" i="34" s="1"/>
  <c r="D44" i="34"/>
  <c r="AK44" i="34" s="1"/>
  <c r="D45" i="34"/>
  <c r="AK45" i="34" s="1"/>
  <c r="D46" i="34"/>
  <c r="AK46" i="34" s="1"/>
  <c r="D47" i="34"/>
  <c r="AK47" i="34" s="1"/>
  <c r="D48" i="34"/>
  <c r="AK48" i="34" s="1"/>
  <c r="D49" i="34"/>
  <c r="AK49" i="34" s="1"/>
  <c r="D50" i="34"/>
  <c r="AK50" i="34" s="1"/>
  <c r="D51" i="34"/>
  <c r="AK51" i="34" s="1"/>
  <c r="D52" i="34"/>
  <c r="AK52" i="34" s="1"/>
  <c r="D53" i="34"/>
  <c r="AK53" i="34" s="1"/>
  <c r="D54" i="34"/>
  <c r="AK54" i="34" s="1"/>
  <c r="D55" i="34"/>
  <c r="AK55" i="34" s="1"/>
  <c r="D56" i="34"/>
  <c r="AK56" i="34" s="1"/>
  <c r="D57" i="34"/>
  <c r="AK57" i="34" s="1"/>
  <c r="D58" i="34"/>
  <c r="AK58" i="34" s="1"/>
  <c r="D59" i="34"/>
  <c r="AK59" i="34" s="1"/>
  <c r="D60" i="34"/>
  <c r="AK60" i="34" s="1"/>
  <c r="D61" i="34"/>
  <c r="AK61" i="34" s="1"/>
  <c r="D62" i="34"/>
  <c r="AK62" i="34" s="1"/>
  <c r="D63" i="34"/>
  <c r="AK63" i="34" s="1"/>
  <c r="D64" i="34"/>
  <c r="AK64" i="34" s="1"/>
  <c r="D65" i="34"/>
  <c r="D66" i="34"/>
  <c r="AK66" i="34" s="1"/>
  <c r="D67" i="34"/>
  <c r="D68" i="34"/>
  <c r="D69" i="34"/>
  <c r="D70" i="34"/>
  <c r="AK70" i="34" s="1"/>
  <c r="D71" i="34"/>
  <c r="AK71" i="34" s="1"/>
  <c r="D72" i="34"/>
  <c r="AK72" i="34" s="1"/>
  <c r="D73" i="34"/>
  <c r="AK73" i="34" s="1"/>
  <c r="D74" i="34"/>
  <c r="AK74" i="34" s="1"/>
  <c r="D75" i="34"/>
  <c r="AK75" i="34" s="1"/>
  <c r="D76" i="34"/>
  <c r="AK76" i="34" s="1"/>
  <c r="D77" i="34"/>
  <c r="AK77" i="34" s="1"/>
  <c r="D78" i="34"/>
  <c r="AK78" i="34" s="1"/>
  <c r="D79" i="34"/>
  <c r="AK79" i="34" s="1"/>
  <c r="D80" i="34"/>
  <c r="AK80" i="34" s="1"/>
  <c r="D81" i="34"/>
  <c r="AK81" i="34" s="1"/>
  <c r="D82" i="34"/>
  <c r="AK82" i="34" s="1"/>
  <c r="D83" i="34"/>
  <c r="AK83" i="34" s="1"/>
  <c r="D84" i="34"/>
  <c r="AK84" i="34" s="1"/>
  <c r="D85" i="34"/>
  <c r="AK85" i="34" s="1"/>
  <c r="D86" i="34"/>
  <c r="AK86" i="34" s="1"/>
  <c r="D87" i="34"/>
  <c r="AK87" i="34" s="1"/>
  <c r="D88" i="34"/>
  <c r="AK88" i="34" s="1"/>
  <c r="D89" i="34"/>
  <c r="AK89" i="34" s="1"/>
  <c r="D90" i="34"/>
  <c r="AK90" i="34" s="1"/>
  <c r="D91" i="34"/>
  <c r="AK91" i="34" s="1"/>
  <c r="D92" i="34"/>
  <c r="AK92" i="34" s="1"/>
  <c r="D93" i="34"/>
  <c r="AK93" i="34" s="1"/>
  <c r="D94" i="34"/>
  <c r="AK94" i="34" s="1"/>
  <c r="D95" i="34"/>
  <c r="AK95" i="34" s="1"/>
  <c r="D96" i="34"/>
  <c r="AK96" i="34" s="1"/>
  <c r="D97" i="34"/>
  <c r="AK97" i="34" s="1"/>
  <c r="D98" i="34"/>
  <c r="AK98" i="34" s="1"/>
  <c r="D99" i="34"/>
  <c r="AK99" i="34" s="1"/>
  <c r="D100" i="34"/>
  <c r="AK100" i="34" s="1"/>
  <c r="D101" i="34"/>
  <c r="AK101" i="34" s="1"/>
  <c r="D102" i="34"/>
  <c r="AK102" i="34" s="1"/>
  <c r="D103" i="34"/>
  <c r="AK103" i="34" s="1"/>
  <c r="D104" i="34"/>
  <c r="AK104" i="34" s="1"/>
  <c r="D108" i="34"/>
  <c r="AK108" i="34" s="1"/>
  <c r="D109" i="34"/>
  <c r="AK109" i="34" s="1"/>
  <c r="D110" i="34"/>
  <c r="AK110" i="34" s="1"/>
  <c r="D111" i="34"/>
  <c r="AK111" i="34" s="1"/>
  <c r="D112" i="34"/>
  <c r="AK112" i="34" s="1"/>
  <c r="D113" i="34"/>
  <c r="AK113" i="34" s="1"/>
  <c r="D114" i="34"/>
  <c r="AK114" i="34" s="1"/>
  <c r="C2" i="34"/>
  <c r="C3" i="34"/>
  <c r="C4" i="34"/>
  <c r="C5" i="34"/>
  <c r="C6" i="34"/>
  <c r="C7" i="34"/>
  <c r="C8" i="34"/>
  <c r="C9" i="34"/>
  <c r="C10" i="34"/>
  <c r="C11" i="34"/>
  <c r="C12" i="34"/>
  <c r="C13" i="34"/>
  <c r="C14" i="34"/>
  <c r="C15" i="34"/>
  <c r="C16" i="34"/>
  <c r="C17" i="34"/>
  <c r="C18" i="34"/>
  <c r="C19" i="34"/>
  <c r="C20" i="34"/>
  <c r="C21" i="34"/>
  <c r="C22" i="34"/>
  <c r="C23" i="34"/>
  <c r="C24" i="34"/>
  <c r="C25" i="34"/>
  <c r="C26" i="34"/>
  <c r="C27" i="34"/>
  <c r="C28" i="34"/>
  <c r="C29" i="34"/>
  <c r="C30" i="34"/>
  <c r="C31" i="34"/>
  <c r="C32" i="34"/>
  <c r="C33" i="34"/>
  <c r="C34" i="34"/>
  <c r="C35" i="34"/>
  <c r="C36" i="34"/>
  <c r="C37" i="34"/>
  <c r="C38" i="34"/>
  <c r="C39" i="34"/>
  <c r="C40" i="34"/>
  <c r="C41" i="34"/>
  <c r="C42" i="34"/>
  <c r="C43" i="34"/>
  <c r="C44" i="34"/>
  <c r="C45" i="34"/>
  <c r="C46" i="34"/>
  <c r="C47" i="34"/>
  <c r="C48" i="34"/>
  <c r="C49" i="34"/>
  <c r="C50" i="34"/>
  <c r="C51" i="34"/>
  <c r="C52" i="34"/>
  <c r="C53" i="34"/>
  <c r="C54" i="34"/>
  <c r="C55" i="34"/>
  <c r="C56" i="34"/>
  <c r="C57" i="34"/>
  <c r="C58" i="34"/>
  <c r="C59" i="34"/>
  <c r="C60" i="34"/>
  <c r="C61" i="34"/>
  <c r="C62" i="34"/>
  <c r="C63" i="34"/>
  <c r="C64" i="34"/>
  <c r="C65" i="34"/>
  <c r="C66" i="34"/>
  <c r="C67" i="34"/>
  <c r="C68" i="34"/>
  <c r="C69" i="34"/>
  <c r="C70" i="34"/>
  <c r="C71" i="34"/>
  <c r="C72" i="34"/>
  <c r="C73" i="34"/>
  <c r="C74" i="34"/>
  <c r="C75" i="34"/>
  <c r="C76" i="34"/>
  <c r="C77" i="34"/>
  <c r="C78" i="34"/>
  <c r="C79" i="34"/>
  <c r="C80" i="34"/>
  <c r="C81" i="34"/>
  <c r="C82" i="34"/>
  <c r="C83" i="34"/>
  <c r="C84" i="34"/>
  <c r="C85" i="34"/>
  <c r="C86" i="34"/>
  <c r="C87" i="34"/>
  <c r="C88" i="34"/>
  <c r="C89" i="34"/>
  <c r="C90" i="34"/>
  <c r="C91" i="34"/>
  <c r="C92" i="34"/>
  <c r="C93" i="34"/>
  <c r="C94" i="34"/>
  <c r="C95" i="34"/>
  <c r="C96" i="34"/>
  <c r="C97" i="34"/>
  <c r="C98" i="34"/>
  <c r="C99" i="34"/>
  <c r="C100" i="34"/>
  <c r="C101" i="34"/>
  <c r="C102" i="34"/>
  <c r="C103" i="34"/>
  <c r="C104" i="34"/>
  <c r="C108" i="34"/>
  <c r="C109" i="34"/>
  <c r="C110" i="34"/>
  <c r="C111" i="34"/>
  <c r="C112" i="34"/>
  <c r="C113" i="34"/>
  <c r="C114" i="34"/>
  <c r="B2" i="34"/>
  <c r="B3" i="34"/>
  <c r="B4" i="34"/>
  <c r="B5" i="34"/>
  <c r="B6" i="34"/>
  <c r="B7" i="34"/>
  <c r="B8" i="34"/>
  <c r="B9" i="34"/>
  <c r="B10" i="34"/>
  <c r="B11" i="34"/>
  <c r="B12" i="34"/>
  <c r="B13" i="34"/>
  <c r="B14" i="34"/>
  <c r="B15" i="34"/>
  <c r="B16" i="34"/>
  <c r="B17" i="34"/>
  <c r="B18" i="34"/>
  <c r="B19" i="34"/>
  <c r="B20" i="34"/>
  <c r="B21" i="34"/>
  <c r="B22" i="34"/>
  <c r="B23" i="34"/>
  <c r="B24" i="34"/>
  <c r="B25" i="34"/>
  <c r="B26" i="34"/>
  <c r="B27" i="34"/>
  <c r="B28" i="34"/>
  <c r="B29" i="34"/>
  <c r="B30" i="34"/>
  <c r="B31" i="34"/>
  <c r="B32" i="34"/>
  <c r="B33" i="34"/>
  <c r="B34" i="34"/>
  <c r="B35" i="34"/>
  <c r="B36" i="34"/>
  <c r="B37" i="34"/>
  <c r="B38" i="34"/>
  <c r="B39" i="34"/>
  <c r="B40" i="34"/>
  <c r="B41" i="34"/>
  <c r="B42" i="34"/>
  <c r="B43" i="34"/>
  <c r="B44" i="34"/>
  <c r="B45" i="34"/>
  <c r="B46" i="34"/>
  <c r="B47" i="34"/>
  <c r="B48" i="34"/>
  <c r="B49" i="34"/>
  <c r="B50" i="34"/>
  <c r="B51" i="34"/>
  <c r="B52" i="34"/>
  <c r="B53" i="34"/>
  <c r="B54" i="34"/>
  <c r="B55" i="34"/>
  <c r="B56" i="34"/>
  <c r="B57" i="34"/>
  <c r="B58" i="34"/>
  <c r="B59" i="34"/>
  <c r="B60" i="34"/>
  <c r="B61" i="34"/>
  <c r="B62" i="34"/>
  <c r="B63" i="34"/>
  <c r="B64" i="34"/>
  <c r="B65" i="34"/>
  <c r="B66" i="34"/>
  <c r="B67" i="34"/>
  <c r="B68" i="34"/>
  <c r="B69" i="34"/>
  <c r="B70" i="34"/>
  <c r="B71" i="34"/>
  <c r="B72" i="34"/>
  <c r="B73" i="34"/>
  <c r="B74" i="34"/>
  <c r="B75" i="34"/>
  <c r="B76" i="34"/>
  <c r="B77" i="34"/>
  <c r="B78" i="34"/>
  <c r="B79" i="34"/>
  <c r="B80" i="34"/>
  <c r="B81" i="34"/>
  <c r="B82" i="34"/>
  <c r="B83" i="34"/>
  <c r="B84" i="34"/>
  <c r="B85" i="34"/>
  <c r="B86" i="34"/>
  <c r="B87" i="34"/>
  <c r="B88" i="34"/>
  <c r="B89" i="34"/>
  <c r="B90" i="34"/>
  <c r="B91" i="34"/>
  <c r="B92" i="34"/>
  <c r="B93" i="34"/>
  <c r="B94" i="34"/>
  <c r="B95" i="34"/>
  <c r="B96" i="34"/>
  <c r="B97" i="34"/>
  <c r="B98" i="34"/>
  <c r="B99" i="34"/>
  <c r="B100" i="34"/>
  <c r="B101" i="34"/>
  <c r="B102" i="34"/>
  <c r="B103" i="34"/>
  <c r="B104" i="34"/>
  <c r="B108" i="34"/>
  <c r="B109" i="34"/>
  <c r="B110" i="34"/>
  <c r="B111" i="34"/>
  <c r="B112" i="34"/>
  <c r="B113" i="34"/>
  <c r="B114" i="34"/>
  <c r="D2" i="33"/>
  <c r="D3" i="33"/>
  <c r="D4" i="33"/>
  <c r="D5" i="33"/>
  <c r="D6" i="33"/>
  <c r="D7" i="33"/>
  <c r="D8" i="33"/>
  <c r="D9" i="33"/>
  <c r="D10" i="33"/>
  <c r="D11" i="33"/>
  <c r="D12" i="33"/>
  <c r="D13" i="33"/>
  <c r="D14" i="33"/>
  <c r="D15" i="33"/>
  <c r="D16" i="33"/>
  <c r="D17" i="33"/>
  <c r="D18" i="33"/>
  <c r="D19" i="33"/>
  <c r="D20" i="33"/>
  <c r="D21" i="33"/>
  <c r="D22" i="33"/>
  <c r="D23" i="33"/>
  <c r="D24" i="33"/>
  <c r="D25" i="33"/>
  <c r="D26" i="33"/>
  <c r="D27" i="33"/>
  <c r="D28" i="33"/>
  <c r="D29" i="33"/>
  <c r="D30" i="33"/>
  <c r="D31" i="33"/>
  <c r="D32" i="33"/>
  <c r="D33" i="33"/>
  <c r="D34" i="33"/>
  <c r="D35" i="33"/>
  <c r="D36" i="33"/>
  <c r="D37" i="33"/>
  <c r="D38" i="33"/>
  <c r="D39" i="33"/>
  <c r="D40" i="33"/>
  <c r="D41" i="33"/>
  <c r="D42" i="33"/>
  <c r="D43" i="33"/>
  <c r="D44" i="33"/>
  <c r="D45" i="33"/>
  <c r="D46" i="33"/>
  <c r="D47" i="33"/>
  <c r="D48" i="33"/>
  <c r="D49" i="33"/>
  <c r="D50" i="33"/>
  <c r="D51" i="33"/>
  <c r="D52" i="33"/>
  <c r="D53" i="33"/>
  <c r="D54" i="33"/>
  <c r="D55" i="33"/>
  <c r="D56" i="33"/>
  <c r="D57" i="33"/>
  <c r="D58" i="33"/>
  <c r="D59" i="33"/>
  <c r="D60" i="33"/>
  <c r="D61" i="33"/>
  <c r="D62" i="33"/>
  <c r="D63" i="33"/>
  <c r="D64" i="33"/>
  <c r="D65" i="33"/>
  <c r="D66" i="33"/>
  <c r="D67" i="33"/>
  <c r="D68" i="33"/>
  <c r="D69" i="33"/>
  <c r="D70" i="33"/>
  <c r="D71" i="33"/>
  <c r="D72" i="33"/>
  <c r="D73" i="33"/>
  <c r="D74" i="33"/>
  <c r="D75" i="33"/>
  <c r="D76" i="33"/>
  <c r="D77" i="33"/>
  <c r="D81" i="33"/>
  <c r="D82" i="33"/>
  <c r="D83" i="33"/>
  <c r="D84" i="33"/>
  <c r="D85" i="33"/>
  <c r="D86" i="33"/>
  <c r="D87" i="33"/>
  <c r="D88" i="33"/>
  <c r="D89" i="33"/>
  <c r="D90" i="33"/>
  <c r="D91" i="33"/>
  <c r="D92" i="33"/>
  <c r="D93" i="33"/>
  <c r="D94" i="33"/>
  <c r="D95" i="33"/>
  <c r="D96" i="33"/>
  <c r="D97" i="33"/>
  <c r="D98" i="33"/>
  <c r="D99" i="33"/>
  <c r="D100" i="33"/>
  <c r="D101" i="33"/>
  <c r="D102" i="33"/>
  <c r="D103" i="33"/>
  <c r="D104" i="33"/>
  <c r="D105" i="33"/>
  <c r="D106" i="33"/>
  <c r="D107" i="33"/>
  <c r="D108" i="33"/>
  <c r="D109" i="33"/>
  <c r="D110" i="33"/>
  <c r="D111" i="33"/>
  <c r="D112" i="33"/>
  <c r="D113" i="33"/>
  <c r="D114" i="33"/>
  <c r="C2" i="33"/>
  <c r="C3" i="33"/>
  <c r="C4" i="33"/>
  <c r="C5" i="33"/>
  <c r="C6" i="33"/>
  <c r="C7" i="33"/>
  <c r="C8" i="33"/>
  <c r="C9" i="33"/>
  <c r="C10" i="33"/>
  <c r="C11" i="33"/>
  <c r="C12" i="33"/>
  <c r="C13" i="33"/>
  <c r="C14" i="33"/>
  <c r="C15" i="33"/>
  <c r="C16" i="33"/>
  <c r="C17" i="33"/>
  <c r="C18" i="33"/>
  <c r="C19" i="33"/>
  <c r="C20" i="33"/>
  <c r="C21" i="33"/>
  <c r="C22" i="33"/>
  <c r="C23" i="33"/>
  <c r="C24" i="33"/>
  <c r="C25" i="33"/>
  <c r="C26" i="33"/>
  <c r="C27" i="33"/>
  <c r="C28" i="33"/>
  <c r="C29" i="33"/>
  <c r="C30" i="33"/>
  <c r="C31" i="33"/>
  <c r="C32" i="33"/>
  <c r="C33" i="33"/>
  <c r="C34" i="33"/>
  <c r="C35" i="33"/>
  <c r="C36" i="33"/>
  <c r="C37" i="33"/>
  <c r="C38" i="33"/>
  <c r="C39" i="33"/>
  <c r="C40" i="33"/>
  <c r="C41" i="33"/>
  <c r="C42" i="33"/>
  <c r="C43" i="33"/>
  <c r="C44" i="33"/>
  <c r="C45" i="33"/>
  <c r="C46" i="33"/>
  <c r="C47" i="33"/>
  <c r="C48" i="33"/>
  <c r="C49" i="33"/>
  <c r="C50" i="33"/>
  <c r="C51" i="33"/>
  <c r="C52" i="33"/>
  <c r="C53" i="33"/>
  <c r="C54" i="33"/>
  <c r="C55" i="33"/>
  <c r="C56" i="33"/>
  <c r="C57" i="33"/>
  <c r="C58" i="33"/>
  <c r="C59" i="33"/>
  <c r="C60" i="33"/>
  <c r="C61" i="33"/>
  <c r="C62" i="33"/>
  <c r="C63" i="33"/>
  <c r="C64" i="33"/>
  <c r="C65" i="33"/>
  <c r="C66" i="33"/>
  <c r="C67" i="33"/>
  <c r="C68" i="33"/>
  <c r="C69" i="33"/>
  <c r="C70" i="33"/>
  <c r="C71" i="33"/>
  <c r="C72" i="33"/>
  <c r="C73" i="33"/>
  <c r="C74" i="33"/>
  <c r="C75" i="33"/>
  <c r="C76" i="33"/>
  <c r="C77" i="33"/>
  <c r="C81" i="33"/>
  <c r="C82" i="33"/>
  <c r="C83" i="33"/>
  <c r="C84" i="33"/>
  <c r="C85" i="33"/>
  <c r="C86" i="33"/>
  <c r="C87" i="33"/>
  <c r="C88" i="33"/>
  <c r="C89" i="33"/>
  <c r="C90" i="33"/>
  <c r="C91" i="33"/>
  <c r="C92" i="33"/>
  <c r="C93" i="33"/>
  <c r="C94" i="33"/>
  <c r="C95" i="33"/>
  <c r="C96" i="33"/>
  <c r="C97" i="33"/>
  <c r="C98" i="33"/>
  <c r="C99" i="33"/>
  <c r="C100" i="33"/>
  <c r="C101" i="33"/>
  <c r="C102" i="33"/>
  <c r="C103" i="33"/>
  <c r="C104" i="33"/>
  <c r="C105" i="33"/>
  <c r="C106" i="33"/>
  <c r="C107" i="33"/>
  <c r="C108" i="33"/>
  <c r="C109" i="33"/>
  <c r="C110" i="33"/>
  <c r="C111" i="33"/>
  <c r="C112" i="33"/>
  <c r="C113" i="33"/>
  <c r="C114" i="33"/>
  <c r="B2" i="33"/>
  <c r="B3" i="33"/>
  <c r="B4" i="33"/>
  <c r="B5" i="33"/>
  <c r="B6" i="33"/>
  <c r="B7" i="33"/>
  <c r="B8" i="33"/>
  <c r="B9" i="33"/>
  <c r="B10" i="33"/>
  <c r="B11" i="33"/>
  <c r="B12" i="33"/>
  <c r="B13" i="33"/>
  <c r="B14" i="33"/>
  <c r="B15" i="33"/>
  <c r="B16" i="33"/>
  <c r="B17" i="33"/>
  <c r="B18" i="33"/>
  <c r="B19" i="33"/>
  <c r="B20" i="33"/>
  <c r="B21" i="33"/>
  <c r="B22" i="33"/>
  <c r="B23" i="33"/>
  <c r="B24" i="33"/>
  <c r="B25" i="33"/>
  <c r="B26" i="33"/>
  <c r="B27" i="33"/>
  <c r="B28" i="33"/>
  <c r="B29" i="33"/>
  <c r="B30" i="33"/>
  <c r="B31" i="33"/>
  <c r="B32" i="33"/>
  <c r="B33" i="33"/>
  <c r="B34" i="33"/>
  <c r="B35" i="33"/>
  <c r="B36" i="33"/>
  <c r="B37" i="33"/>
  <c r="B38" i="33"/>
  <c r="B39" i="33"/>
  <c r="B40" i="33"/>
  <c r="B41" i="33"/>
  <c r="B42" i="33"/>
  <c r="B43" i="33"/>
  <c r="B44" i="33"/>
  <c r="B45" i="33"/>
  <c r="B46" i="33"/>
  <c r="B47" i="33"/>
  <c r="B48" i="33"/>
  <c r="B49" i="33"/>
  <c r="B50" i="33"/>
  <c r="B51" i="33"/>
  <c r="B52" i="33"/>
  <c r="B53" i="33"/>
  <c r="B54" i="33"/>
  <c r="B55" i="33"/>
  <c r="B56" i="33"/>
  <c r="B57" i="33"/>
  <c r="B58" i="33"/>
  <c r="B59" i="33"/>
  <c r="B60" i="33"/>
  <c r="B61" i="33"/>
  <c r="B62" i="33"/>
  <c r="B63" i="33"/>
  <c r="B64" i="33"/>
  <c r="B65" i="33"/>
  <c r="B66" i="33"/>
  <c r="B67" i="33"/>
  <c r="B68" i="33"/>
  <c r="B69" i="33"/>
  <c r="B70" i="33"/>
  <c r="B71" i="33"/>
  <c r="B72" i="33"/>
  <c r="B73" i="33"/>
  <c r="B74" i="33"/>
  <c r="B75" i="33"/>
  <c r="B76" i="33"/>
  <c r="B77" i="33"/>
  <c r="B81" i="33"/>
  <c r="B82" i="33"/>
  <c r="B83" i="33"/>
  <c r="B84" i="33"/>
  <c r="B85" i="33"/>
  <c r="B86" i="33"/>
  <c r="B87" i="33"/>
  <c r="B88" i="33"/>
  <c r="B89" i="33"/>
  <c r="B90" i="33"/>
  <c r="B91" i="33"/>
  <c r="B92" i="33"/>
  <c r="B93" i="33"/>
  <c r="B94" i="33"/>
  <c r="B95" i="33"/>
  <c r="B96" i="33"/>
  <c r="B97" i="33"/>
  <c r="B98" i="33"/>
  <c r="B99" i="33"/>
  <c r="B100" i="33"/>
  <c r="B101" i="33"/>
  <c r="B102" i="33"/>
  <c r="B103" i="33"/>
  <c r="B104" i="33"/>
  <c r="B105" i="33"/>
  <c r="B106" i="33"/>
  <c r="B107" i="33"/>
  <c r="B108" i="33"/>
  <c r="B109" i="33"/>
  <c r="B110" i="33"/>
  <c r="B111" i="33"/>
  <c r="B112" i="33"/>
  <c r="B113" i="33"/>
  <c r="B114" i="33"/>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F54" i="32"/>
  <c r="F55" i="32"/>
  <c r="F56" i="32"/>
  <c r="F57" i="32"/>
  <c r="F58" i="32"/>
  <c r="F59" i="32"/>
  <c r="F60" i="32"/>
  <c r="F61" i="32"/>
  <c r="F62" i="32"/>
  <c r="F63" i="32"/>
  <c r="F64" i="32"/>
  <c r="F65" i="32"/>
  <c r="F66" i="32"/>
  <c r="F67" i="32"/>
  <c r="F68" i="32"/>
  <c r="F69" i="32"/>
  <c r="F70" i="32"/>
  <c r="F71" i="32"/>
  <c r="F72" i="32"/>
  <c r="F73" i="32"/>
  <c r="F74" i="32"/>
  <c r="F75" i="32"/>
  <c r="F76" i="32"/>
  <c r="F77" i="32"/>
  <c r="F78" i="32"/>
  <c r="F79" i="32"/>
  <c r="F80" i="32"/>
  <c r="F81" i="32"/>
  <c r="F82" i="32"/>
  <c r="F83" i="32"/>
  <c r="F84" i="32"/>
  <c r="F85" i="32"/>
  <c r="F86" i="32"/>
  <c r="F87" i="32"/>
  <c r="F88" i="32"/>
  <c r="F89" i="32"/>
  <c r="F90" i="32"/>
  <c r="F91" i="32"/>
  <c r="F92" i="32"/>
  <c r="F93" i="32"/>
  <c r="F94" i="32"/>
  <c r="F95" i="32"/>
  <c r="F96" i="32"/>
  <c r="F97" i="32"/>
  <c r="F98" i="32"/>
  <c r="F99" i="32"/>
  <c r="F100" i="32"/>
  <c r="F101" i="32"/>
  <c r="F102" i="32"/>
  <c r="F103" i="32"/>
  <c r="F104" i="32"/>
  <c r="F105" i="32"/>
  <c r="F109" i="32"/>
  <c r="F110" i="32"/>
  <c r="F111" i="32"/>
  <c r="F112" i="32"/>
  <c r="F113" i="32"/>
  <c r="F114" i="32"/>
  <c r="F115" i="32"/>
  <c r="F116" i="32"/>
  <c r="F117" i="32"/>
  <c r="F118" i="32"/>
  <c r="F119" i="32"/>
  <c r="F120" i="32"/>
  <c r="F121" i="32"/>
  <c r="F122" i="32"/>
  <c r="F123" i="32"/>
  <c r="F124" i="32"/>
  <c r="F125" i="32"/>
  <c r="F126" i="32"/>
  <c r="F127" i="32"/>
  <c r="F128" i="32"/>
  <c r="F129" i="32"/>
  <c r="F130" i="32"/>
  <c r="F131" i="32"/>
  <c r="F132" i="32"/>
  <c r="F133" i="32"/>
  <c r="F134" i="32"/>
  <c r="F135" i="32"/>
  <c r="F136" i="32"/>
  <c r="F137" i="32"/>
  <c r="F138" i="32"/>
  <c r="F139" i="32"/>
  <c r="E17" i="32"/>
  <c r="E18" i="32"/>
  <c r="E19" i="32"/>
  <c r="E20" i="32"/>
  <c r="E21" i="32"/>
  <c r="E22" i="32"/>
  <c r="E23" i="32"/>
  <c r="E24" i="32"/>
  <c r="E25" i="32"/>
  <c r="E26" i="32"/>
  <c r="E27" i="32"/>
  <c r="E28" i="32"/>
  <c r="E29" i="32"/>
  <c r="E30" i="32"/>
  <c r="E31" i="32"/>
  <c r="E32" i="32"/>
  <c r="E33" i="32"/>
  <c r="E34" i="32"/>
  <c r="E35" i="32"/>
  <c r="E36" i="32"/>
  <c r="E37" i="32"/>
  <c r="E38" i="32"/>
  <c r="E39" i="32"/>
  <c r="E40" i="32"/>
  <c r="E41" i="32"/>
  <c r="E42" i="32"/>
  <c r="E43" i="32"/>
  <c r="E44" i="32"/>
  <c r="E45" i="32"/>
  <c r="E46" i="32"/>
  <c r="E47" i="32"/>
  <c r="E48" i="32"/>
  <c r="E49" i="32"/>
  <c r="E50" i="32"/>
  <c r="E51" i="32"/>
  <c r="E52" i="32"/>
  <c r="E53" i="32"/>
  <c r="E54" i="32"/>
  <c r="E55" i="32"/>
  <c r="E56" i="32"/>
  <c r="E57" i="32"/>
  <c r="E58" i="32"/>
  <c r="E59" i="32"/>
  <c r="E60" i="32"/>
  <c r="E61" i="32"/>
  <c r="E62" i="32"/>
  <c r="E63" i="32"/>
  <c r="E64" i="32"/>
  <c r="E65" i="32"/>
  <c r="E66" i="32"/>
  <c r="E67" i="32"/>
  <c r="E68" i="32"/>
  <c r="E69" i="32"/>
  <c r="E70" i="32"/>
  <c r="E71" i="32"/>
  <c r="E72" i="32"/>
  <c r="E73" i="32"/>
  <c r="E74" i="32"/>
  <c r="E75" i="32"/>
  <c r="E76" i="32"/>
  <c r="E77" i="32"/>
  <c r="E78" i="32"/>
  <c r="E79" i="32"/>
  <c r="E80" i="32"/>
  <c r="E81" i="32"/>
  <c r="E82" i="32"/>
  <c r="E83" i="32"/>
  <c r="E84" i="32"/>
  <c r="E85" i="32"/>
  <c r="E86" i="32"/>
  <c r="E87" i="32"/>
  <c r="E88" i="32"/>
  <c r="E89" i="32"/>
  <c r="E90" i="32"/>
  <c r="E91" i="32"/>
  <c r="E92" i="32"/>
  <c r="E93" i="32"/>
  <c r="E94" i="32"/>
  <c r="E95" i="32"/>
  <c r="E96" i="32"/>
  <c r="E97" i="32"/>
  <c r="E98" i="32"/>
  <c r="E99" i="32"/>
  <c r="E100" i="32"/>
  <c r="E101" i="32"/>
  <c r="E102" i="32"/>
  <c r="E103" i="32"/>
  <c r="E104" i="32"/>
  <c r="E105" i="32"/>
  <c r="E109" i="32"/>
  <c r="E110" i="32"/>
  <c r="E111" i="32"/>
  <c r="E112" i="32"/>
  <c r="E113" i="32"/>
  <c r="E114" i="32"/>
  <c r="E115" i="32"/>
  <c r="E116" i="32"/>
  <c r="E117" i="32"/>
  <c r="E118" i="32"/>
  <c r="E119" i="32"/>
  <c r="E120" i="32"/>
  <c r="E121" i="32"/>
  <c r="E122" i="32"/>
  <c r="E123" i="32"/>
  <c r="E124" i="32"/>
  <c r="E125" i="32"/>
  <c r="E126" i="32"/>
  <c r="E127" i="32"/>
  <c r="E128" i="32"/>
  <c r="E129" i="32"/>
  <c r="E130" i="32"/>
  <c r="E131" i="32"/>
  <c r="E132" i="32"/>
  <c r="E133" i="32"/>
  <c r="E134" i="32"/>
  <c r="E135" i="32"/>
  <c r="E136" i="32"/>
  <c r="E137" i="32"/>
  <c r="E138" i="32"/>
  <c r="E139" i="32"/>
  <c r="F16" i="32"/>
  <c r="E16" i="32"/>
  <c r="D17" i="32"/>
  <c r="D18" i="32"/>
  <c r="D19" i="32"/>
  <c r="D20" i="32"/>
  <c r="D21" i="32"/>
  <c r="D22" i="32"/>
  <c r="D23" i="32"/>
  <c r="D24" i="32"/>
  <c r="D25" i="32"/>
  <c r="D26" i="32"/>
  <c r="D27" i="32"/>
  <c r="D28" i="32"/>
  <c r="D29" i="32"/>
  <c r="D30" i="32"/>
  <c r="D31" i="32"/>
  <c r="D32" i="32"/>
  <c r="D33" i="32"/>
  <c r="D34" i="32"/>
  <c r="D35" i="32"/>
  <c r="D36" i="32"/>
  <c r="D37" i="32"/>
  <c r="D38" i="32"/>
  <c r="D39" i="32"/>
  <c r="D40" i="32"/>
  <c r="D41" i="32"/>
  <c r="D42" i="32"/>
  <c r="D43" i="32"/>
  <c r="D44" i="32"/>
  <c r="D45" i="32"/>
  <c r="D46" i="32"/>
  <c r="D47" i="32"/>
  <c r="D48" i="32"/>
  <c r="D49" i="32"/>
  <c r="D50" i="32"/>
  <c r="D51" i="32"/>
  <c r="D52" i="32"/>
  <c r="D53" i="32"/>
  <c r="D54" i="32"/>
  <c r="D55" i="32"/>
  <c r="D56" i="32"/>
  <c r="D57" i="32"/>
  <c r="D58" i="32"/>
  <c r="D59" i="32"/>
  <c r="D60" i="32"/>
  <c r="D61" i="32"/>
  <c r="D62" i="32"/>
  <c r="D63" i="32"/>
  <c r="D64" i="32"/>
  <c r="D65" i="32"/>
  <c r="D66" i="32"/>
  <c r="D67" i="32"/>
  <c r="D68" i="32"/>
  <c r="D69" i="32"/>
  <c r="D70" i="32"/>
  <c r="D71" i="32"/>
  <c r="D72" i="32"/>
  <c r="D73" i="32"/>
  <c r="D74" i="32"/>
  <c r="D75" i="32"/>
  <c r="D76" i="32"/>
  <c r="D77" i="32"/>
  <c r="D78" i="32"/>
  <c r="D79" i="32"/>
  <c r="D80" i="32"/>
  <c r="D81" i="32"/>
  <c r="D82" i="32"/>
  <c r="D83" i="32"/>
  <c r="D84" i="32"/>
  <c r="D85" i="32"/>
  <c r="D86" i="32"/>
  <c r="D87" i="32"/>
  <c r="D88" i="32"/>
  <c r="D89" i="32"/>
  <c r="D90" i="32"/>
  <c r="D91" i="32"/>
  <c r="D92" i="32"/>
  <c r="D93" i="32"/>
  <c r="D94" i="32"/>
  <c r="D95" i="32"/>
  <c r="D96" i="32"/>
  <c r="D97" i="32"/>
  <c r="D98" i="32"/>
  <c r="D99" i="32"/>
  <c r="D100" i="32"/>
  <c r="D101" i="32"/>
  <c r="D102" i="32"/>
  <c r="D103" i="32"/>
  <c r="D104" i="32"/>
  <c r="D105" i="32"/>
  <c r="D109" i="32"/>
  <c r="D110" i="32"/>
  <c r="D111" i="32"/>
  <c r="D112" i="32"/>
  <c r="D113" i="32"/>
  <c r="D114" i="32"/>
  <c r="D115" i="32"/>
  <c r="D116" i="32"/>
  <c r="D117" i="32"/>
  <c r="D118" i="32"/>
  <c r="D119" i="32"/>
  <c r="D120" i="32"/>
  <c r="D121" i="32"/>
  <c r="D122" i="32"/>
  <c r="D123" i="32"/>
  <c r="D124" i="32"/>
  <c r="D125" i="32"/>
  <c r="D126" i="32"/>
  <c r="D127" i="32"/>
  <c r="D128" i="32"/>
  <c r="D129" i="32"/>
  <c r="D130" i="32"/>
  <c r="D131" i="32"/>
  <c r="D132" i="32"/>
  <c r="D133" i="32"/>
  <c r="D134" i="32"/>
  <c r="D135" i="32"/>
  <c r="D136" i="32"/>
  <c r="D137" i="32"/>
  <c r="D138" i="32"/>
  <c r="D139" i="32"/>
  <c r="D16" i="32"/>
  <c r="BA14" i="32"/>
  <c r="BB14" i="32"/>
  <c r="BA12" i="32"/>
  <c r="BA121" i="32" s="1"/>
  <c r="AY96" i="33" s="1"/>
  <c r="BB12" i="32"/>
  <c r="BB121" i="32" s="1"/>
  <c r="AZ96" i="33" s="1"/>
  <c r="BA11" i="32"/>
  <c r="BB11" i="32"/>
  <c r="AK68" i="34" l="1"/>
  <c r="AF77" i="34"/>
  <c r="AF65" i="34"/>
  <c r="AF53" i="34"/>
  <c r="AF41" i="34"/>
  <c r="AF29" i="34"/>
  <c r="AG74" i="34"/>
  <c r="AG62" i="34"/>
  <c r="AG50" i="34"/>
  <c r="AG38" i="34"/>
  <c r="AG23" i="34"/>
  <c r="AH71" i="34"/>
  <c r="AH59" i="34"/>
  <c r="AH47" i="34"/>
  <c r="AH35" i="34"/>
  <c r="AH16" i="34"/>
  <c r="AI80" i="34"/>
  <c r="AI68" i="34"/>
  <c r="AI56" i="34"/>
  <c r="AI44" i="34"/>
  <c r="AI32" i="34"/>
  <c r="AI10" i="34"/>
  <c r="AJ76" i="34"/>
  <c r="AJ56" i="34"/>
  <c r="AJ44" i="34"/>
  <c r="AJ32" i="34"/>
  <c r="AJ10" i="34"/>
  <c r="AX7" i="34"/>
  <c r="AY76" i="34"/>
  <c r="AY64" i="34"/>
  <c r="AY52" i="34"/>
  <c r="AY40" i="34"/>
  <c r="AY28" i="34"/>
  <c r="AY16" i="34"/>
  <c r="AY3" i="34"/>
  <c r="AZ73" i="34"/>
  <c r="AZ61" i="34"/>
  <c r="AZ49" i="34"/>
  <c r="AZ37" i="34"/>
  <c r="AZ25" i="34"/>
  <c r="AZ12" i="34"/>
  <c r="AG28" i="34"/>
  <c r="AJ22" i="34"/>
  <c r="AH18" i="34"/>
  <c r="AF14" i="34"/>
  <c r="AF7" i="34"/>
  <c r="AK8" i="34"/>
  <c r="AK4" i="34"/>
  <c r="AF101" i="34"/>
  <c r="AF89" i="34"/>
  <c r="AG113" i="34"/>
  <c r="AG98" i="34"/>
  <c r="AG86" i="34"/>
  <c r="AH95" i="34"/>
  <c r="AH83" i="34"/>
  <c r="AI104" i="34"/>
  <c r="AI92" i="34"/>
  <c r="AH110" i="34"/>
  <c r="AJ101" i="34"/>
  <c r="AJ89" i="34"/>
  <c r="AY103" i="34"/>
  <c r="AY88" i="34"/>
  <c r="AZ101" i="34"/>
  <c r="AZ86" i="34"/>
  <c r="AM90" i="32"/>
  <c r="AK65" i="33"/>
  <c r="AK65" i="34" s="1"/>
  <c r="AM20" i="32"/>
  <c r="AK6" i="33" s="1"/>
  <c r="AK6" i="34" s="1"/>
  <c r="AK5" i="33"/>
  <c r="AK5" i="34" s="1"/>
  <c r="AF22" i="34"/>
  <c r="AJ25" i="34"/>
  <c r="AH20" i="34"/>
  <c r="AF15" i="34"/>
  <c r="AF109" i="34"/>
  <c r="AF94" i="34"/>
  <c r="AF82" i="34"/>
  <c r="AF70" i="34"/>
  <c r="AF58" i="34"/>
  <c r="AF46" i="34"/>
  <c r="AF34" i="34"/>
  <c r="AF12" i="34"/>
  <c r="AG91" i="34"/>
  <c r="AG79" i="34"/>
  <c r="AG67" i="34"/>
  <c r="AG55" i="34"/>
  <c r="AG43" i="34"/>
  <c r="AG31" i="34"/>
  <c r="AG3" i="34"/>
  <c r="AH64" i="34"/>
  <c r="AH40" i="34"/>
  <c r="AI8" i="34"/>
  <c r="AJ28" i="34"/>
  <c r="AH25" i="34"/>
  <c r="AF20" i="34"/>
  <c r="AI14" i="34"/>
  <c r="AI7" i="34"/>
  <c r="AF104" i="34"/>
  <c r="AF92" i="34"/>
  <c r="AF80" i="34"/>
  <c r="AF68" i="34"/>
  <c r="AF56" i="34"/>
  <c r="AF44" i="34"/>
  <c r="AF32" i="34"/>
  <c r="AF10" i="34"/>
  <c r="AG101" i="34"/>
  <c r="AG89" i="34"/>
  <c r="AG77" i="34"/>
  <c r="AG65" i="34"/>
  <c r="AG53" i="34"/>
  <c r="AG41" i="34"/>
  <c r="AG29" i="34"/>
  <c r="AH113" i="34"/>
  <c r="AH98" i="34"/>
  <c r="AH86" i="34"/>
  <c r="AH74" i="34"/>
  <c r="AH62" i="34"/>
  <c r="AH50" i="34"/>
  <c r="AH38" i="34"/>
  <c r="AH23" i="34"/>
  <c r="AI110" i="34"/>
  <c r="AI95" i="34"/>
  <c r="AI83" i="34"/>
  <c r="AI71" i="34"/>
  <c r="AI59" i="34"/>
  <c r="AI47" i="34"/>
  <c r="AI35" i="34"/>
  <c r="AI16" i="34"/>
  <c r="AJ104" i="34"/>
  <c r="AJ92" i="34"/>
  <c r="AJ80" i="34"/>
  <c r="AJ59" i="34"/>
  <c r="AJ47" i="34"/>
  <c r="AJ35" i="34"/>
  <c r="AJ16" i="34"/>
  <c r="AX72" i="34"/>
  <c r="AX60" i="34"/>
  <c r="AX48" i="34"/>
  <c r="AX36" i="34"/>
  <c r="AX24" i="34"/>
  <c r="AX11" i="34"/>
  <c r="AY109" i="34"/>
  <c r="AY79" i="34"/>
  <c r="AY67" i="34"/>
  <c r="AY55" i="34"/>
  <c r="AY43" i="34"/>
  <c r="AY31" i="34"/>
  <c r="AY19" i="34"/>
  <c r="AY7" i="34"/>
  <c r="AZ104" i="34"/>
  <c r="AZ89" i="34"/>
  <c r="AZ76" i="34"/>
  <c r="AZ64" i="34"/>
  <c r="AZ52" i="34"/>
  <c r="AZ40" i="34"/>
  <c r="AZ28" i="34"/>
  <c r="AZ15" i="34"/>
  <c r="AZ2" i="34"/>
  <c r="AY114" i="34"/>
  <c r="AH8" i="34"/>
  <c r="AI28" i="34"/>
  <c r="AG25" i="34"/>
  <c r="AJ18" i="34"/>
  <c r="AH14" i="34"/>
  <c r="AH7" i="34"/>
  <c r="AF103" i="34"/>
  <c r="AF91" i="34"/>
  <c r="AF79" i="34"/>
  <c r="AF67" i="34"/>
  <c r="AF55" i="34"/>
  <c r="AF43" i="34"/>
  <c r="AF31" i="34"/>
  <c r="AF3" i="34"/>
  <c r="AG100" i="34"/>
  <c r="AG88" i="34"/>
  <c r="AG76" i="34"/>
  <c r="AG64" i="34"/>
  <c r="AG52" i="34"/>
  <c r="AG40" i="34"/>
  <c r="AG26" i="34"/>
  <c r="AH112" i="34"/>
  <c r="AH97" i="34"/>
  <c r="AH85" i="34"/>
  <c r="AH73" i="34"/>
  <c r="AH61" i="34"/>
  <c r="AH49" i="34"/>
  <c r="AH37" i="34"/>
  <c r="AH19" i="34"/>
  <c r="AI109" i="34"/>
  <c r="AI94" i="34"/>
  <c r="AI82" i="34"/>
  <c r="AI70" i="34"/>
  <c r="AI58" i="34"/>
  <c r="AI46" i="34"/>
  <c r="AI34" i="34"/>
  <c r="AI12" i="34"/>
  <c r="AJ103" i="34"/>
  <c r="AJ91" i="34"/>
  <c r="AJ79" i="34"/>
  <c r="AJ58" i="34"/>
  <c r="AJ46" i="34"/>
  <c r="AJ34" i="34"/>
  <c r="AJ12" i="34"/>
  <c r="AX83" i="34"/>
  <c r="AX71" i="34"/>
  <c r="AX59" i="34"/>
  <c r="AX47" i="34"/>
  <c r="AX35" i="34"/>
  <c r="AX23" i="34"/>
  <c r="AX10" i="34"/>
  <c r="AY108" i="34"/>
  <c r="AY90" i="34"/>
  <c r="AY78" i="34"/>
  <c r="AY66" i="34"/>
  <c r="AY54" i="34"/>
  <c r="AY42" i="34"/>
  <c r="AY30" i="34"/>
  <c r="AY18" i="34"/>
  <c r="AY5" i="34"/>
  <c r="AZ103" i="34"/>
  <c r="AZ88" i="34"/>
  <c r="AZ75" i="34"/>
  <c r="AZ63" i="34"/>
  <c r="AZ51" i="34"/>
  <c r="AZ39" i="34"/>
  <c r="AZ27" i="34"/>
  <c r="AZ14" i="34"/>
  <c r="AZ84" i="34"/>
  <c r="AG8" i="34"/>
  <c r="AH28" i="34"/>
  <c r="AF25" i="34"/>
  <c r="AI18" i="34"/>
  <c r="AG14" i="34"/>
  <c r="AG7" i="34"/>
  <c r="AF102" i="34"/>
  <c r="AF90" i="34"/>
  <c r="AF78" i="34"/>
  <c r="AF66" i="34"/>
  <c r="AF54" i="34"/>
  <c r="AF42" i="34"/>
  <c r="AF30" i="34"/>
  <c r="AG114" i="34"/>
  <c r="AG99" i="34"/>
  <c r="AG87" i="34"/>
  <c r="AG75" i="34"/>
  <c r="AG63" i="34"/>
  <c r="AG51" i="34"/>
  <c r="AG39" i="34"/>
  <c r="AG24" i="34"/>
  <c r="AH111" i="34"/>
  <c r="AH96" i="34"/>
  <c r="AH84" i="34"/>
  <c r="AH72" i="34"/>
  <c r="AH60" i="34"/>
  <c r="AH48" i="34"/>
  <c r="AH36" i="34"/>
  <c r="AH17" i="34"/>
  <c r="AI108" i="34"/>
  <c r="AI93" i="34"/>
  <c r="AI81" i="34"/>
  <c r="AI69" i="34"/>
  <c r="AI57" i="34"/>
  <c r="AI45" i="34"/>
  <c r="AI33" i="34"/>
  <c r="AI11" i="34"/>
  <c r="AJ102" i="34"/>
  <c r="AJ90" i="34"/>
  <c r="AJ78" i="34"/>
  <c r="AJ57" i="34"/>
  <c r="AJ45" i="34"/>
  <c r="AJ33" i="34"/>
  <c r="AJ11" i="34"/>
  <c r="AX82" i="34"/>
  <c r="AX70" i="34"/>
  <c r="AX58" i="34"/>
  <c r="AX46" i="34"/>
  <c r="AX34" i="34"/>
  <c r="AX22" i="34"/>
  <c r="AX8" i="34"/>
  <c r="AY104" i="34"/>
  <c r="AY89" i="34"/>
  <c r="AY77" i="34"/>
  <c r="AY65" i="34"/>
  <c r="AY53" i="34"/>
  <c r="AY41" i="34"/>
  <c r="AY29" i="34"/>
  <c r="AY17" i="34"/>
  <c r="AY4" i="34"/>
  <c r="AZ102" i="34"/>
  <c r="AZ87" i="34"/>
  <c r="AZ74" i="34"/>
  <c r="AZ62" i="34"/>
  <c r="AZ50" i="34"/>
  <c r="AZ38" i="34"/>
  <c r="AZ26" i="34"/>
  <c r="AZ13" i="34"/>
  <c r="AX45" i="34"/>
  <c r="AF28" i="34"/>
  <c r="AI21" i="34"/>
  <c r="AG18" i="34"/>
  <c r="AJ13" i="34"/>
  <c r="AF100" i="34"/>
  <c r="AF88" i="34"/>
  <c r="AF76" i="34"/>
  <c r="AF64" i="34"/>
  <c r="AF52" i="34"/>
  <c r="AF40" i="34"/>
  <c r="AF26" i="34"/>
  <c r="AG112" i="34"/>
  <c r="AG97" i="34"/>
  <c r="AG85" i="34"/>
  <c r="AG73" i="34"/>
  <c r="AG61" i="34"/>
  <c r="AG49" i="34"/>
  <c r="AG37" i="34"/>
  <c r="AG19" i="34"/>
  <c r="AH109" i="34"/>
  <c r="AH94" i="34"/>
  <c r="AH82" i="34"/>
  <c r="AH70" i="34"/>
  <c r="AH58" i="34"/>
  <c r="AH46" i="34"/>
  <c r="AH34" i="34"/>
  <c r="AH12" i="34"/>
  <c r="AI103" i="34"/>
  <c r="AI91" i="34"/>
  <c r="AI79" i="34"/>
  <c r="AI67" i="34"/>
  <c r="AI55" i="34"/>
  <c r="AI43" i="34"/>
  <c r="AI31" i="34"/>
  <c r="AI3" i="34"/>
  <c r="AJ100" i="34"/>
  <c r="AJ88" i="34"/>
  <c r="AJ75" i="34"/>
  <c r="AJ55" i="34"/>
  <c r="AJ43" i="34"/>
  <c r="AJ31" i="34"/>
  <c r="AJ3" i="34"/>
  <c r="AX80" i="34"/>
  <c r="AX68" i="34"/>
  <c r="AX56" i="34"/>
  <c r="AX44" i="34"/>
  <c r="AX32" i="34"/>
  <c r="AX20" i="34"/>
  <c r="AX5" i="34"/>
  <c r="AY102" i="34"/>
  <c r="AY87" i="34"/>
  <c r="AY75" i="34"/>
  <c r="AY63" i="34"/>
  <c r="AY51" i="34"/>
  <c r="AY39" i="34"/>
  <c r="AY27" i="34"/>
  <c r="AY15" i="34"/>
  <c r="AY2" i="34"/>
  <c r="AZ100" i="34"/>
  <c r="AZ85" i="34"/>
  <c r="AZ72" i="34"/>
  <c r="AZ60" i="34"/>
  <c r="AZ48" i="34"/>
  <c r="AZ36" i="34"/>
  <c r="AZ24" i="34"/>
  <c r="AZ11" i="34"/>
  <c r="AX69" i="34"/>
  <c r="AJ27" i="34"/>
  <c r="AH21" i="34"/>
  <c r="AF18" i="34"/>
  <c r="AI13" i="34"/>
  <c r="AF114" i="34"/>
  <c r="AF99" i="34"/>
  <c r="AF87" i="34"/>
  <c r="AF75" i="34"/>
  <c r="AF63" i="34"/>
  <c r="AF51" i="34"/>
  <c r="AF39" i="34"/>
  <c r="AF24" i="34"/>
  <c r="AG111" i="34"/>
  <c r="AG96" i="34"/>
  <c r="AG84" i="34"/>
  <c r="AG72" i="34"/>
  <c r="AG60" i="34"/>
  <c r="AG48" i="34"/>
  <c r="AG36" i="34"/>
  <c r="AG17" i="34"/>
  <c r="AH108" i="34"/>
  <c r="AH93" i="34"/>
  <c r="AH81" i="34"/>
  <c r="AH69" i="34"/>
  <c r="AH57" i="34"/>
  <c r="AH45" i="34"/>
  <c r="AH33" i="34"/>
  <c r="AH11" i="34"/>
  <c r="AI102" i="34"/>
  <c r="AI90" i="34"/>
  <c r="AI78" i="34"/>
  <c r="AI66" i="34"/>
  <c r="AI54" i="34"/>
  <c r="AI42" i="34"/>
  <c r="AI30" i="34"/>
  <c r="AJ114" i="34"/>
  <c r="AJ99" i="34"/>
  <c r="AJ87" i="34"/>
  <c r="AJ74" i="34"/>
  <c r="AJ54" i="34"/>
  <c r="AJ42" i="34"/>
  <c r="AJ30" i="34"/>
  <c r="AX113" i="34"/>
  <c r="AX79" i="34"/>
  <c r="AX67" i="34"/>
  <c r="AX55" i="34"/>
  <c r="AX43" i="34"/>
  <c r="AX31" i="34"/>
  <c r="AX19" i="34"/>
  <c r="AX4" i="34"/>
  <c r="AY101" i="34"/>
  <c r="AY86" i="34"/>
  <c r="AY74" i="34"/>
  <c r="AY62" i="34"/>
  <c r="AY50" i="34"/>
  <c r="AY38" i="34"/>
  <c r="AY26" i="34"/>
  <c r="AY14" i="34"/>
  <c r="AZ114" i="34"/>
  <c r="AZ99" i="34"/>
  <c r="AZ83" i="34"/>
  <c r="AZ71" i="34"/>
  <c r="AZ59" i="34"/>
  <c r="AZ47" i="34"/>
  <c r="AZ35" i="34"/>
  <c r="AZ23" i="34"/>
  <c r="AZ10" i="34"/>
  <c r="AX81" i="34"/>
  <c r="AX33" i="34"/>
  <c r="AJ21" i="34"/>
  <c r="AI27" i="34"/>
  <c r="AG21" i="34"/>
  <c r="AJ15" i="34"/>
  <c r="AH13" i="34"/>
  <c r="AF113" i="34"/>
  <c r="AF98" i="34"/>
  <c r="AF86" i="34"/>
  <c r="AF74" i="34"/>
  <c r="AF62" i="34"/>
  <c r="AF50" i="34"/>
  <c r="AF38" i="34"/>
  <c r="AF23" i="34"/>
  <c r="AG110" i="34"/>
  <c r="AG95" i="34"/>
  <c r="AG83" i="34"/>
  <c r="AG71" i="34"/>
  <c r="AG59" i="34"/>
  <c r="AG47" i="34"/>
  <c r="AG35" i="34"/>
  <c r="AG16" i="34"/>
  <c r="AH104" i="34"/>
  <c r="AH92" i="34"/>
  <c r="AH80" i="34"/>
  <c r="AH68" i="34"/>
  <c r="AH56" i="34"/>
  <c r="AH44" i="34"/>
  <c r="AH32" i="34"/>
  <c r="AH10" i="34"/>
  <c r="AI101" i="34"/>
  <c r="AI89" i="34"/>
  <c r="AI77" i="34"/>
  <c r="AI65" i="34"/>
  <c r="AI53" i="34"/>
  <c r="AI41" i="34"/>
  <c r="AI29" i="34"/>
  <c r="AJ113" i="34"/>
  <c r="AJ98" i="34"/>
  <c r="AJ86" i="34"/>
  <c r="AJ70" i="34"/>
  <c r="AJ53" i="34"/>
  <c r="AJ41" i="34"/>
  <c r="AJ29" i="34"/>
  <c r="AX112" i="34"/>
  <c r="AX78" i="34"/>
  <c r="AX66" i="34"/>
  <c r="AX54" i="34"/>
  <c r="AX42" i="34"/>
  <c r="AX30" i="34"/>
  <c r="AX18" i="34"/>
  <c r="AX3" i="34"/>
  <c r="AY100" i="34"/>
  <c r="AY85" i="34"/>
  <c r="AY73" i="34"/>
  <c r="AY61" i="34"/>
  <c r="AY49" i="34"/>
  <c r="AY37" i="34"/>
  <c r="AY25" i="34"/>
  <c r="AY13" i="34"/>
  <c r="AZ113" i="34"/>
  <c r="AZ97" i="34"/>
  <c r="AZ82" i="34"/>
  <c r="AZ70" i="34"/>
  <c r="AZ58" i="34"/>
  <c r="AZ46" i="34"/>
  <c r="AZ34" i="34"/>
  <c r="AZ22" i="34"/>
  <c r="AZ9" i="34"/>
  <c r="AX57" i="34"/>
  <c r="AX21" i="34"/>
  <c r="AI22" i="34"/>
  <c r="AH27" i="34"/>
  <c r="AF21" i="34"/>
  <c r="AI15" i="34"/>
  <c r="AG13" i="34"/>
  <c r="AF112" i="34"/>
  <c r="AF97" i="34"/>
  <c r="AF85" i="34"/>
  <c r="AF73" i="34"/>
  <c r="AF61" i="34"/>
  <c r="AF49" i="34"/>
  <c r="AF37" i="34"/>
  <c r="AF19" i="34"/>
  <c r="AG109" i="34"/>
  <c r="AG94" i="34"/>
  <c r="AG82" i="34"/>
  <c r="AG70" i="34"/>
  <c r="AG58" i="34"/>
  <c r="AG46" i="34"/>
  <c r="AG34" i="34"/>
  <c r="AG12" i="34"/>
  <c r="AH103" i="34"/>
  <c r="AH91" i="34"/>
  <c r="AH79" i="34"/>
  <c r="AH67" i="34"/>
  <c r="AH55" i="34"/>
  <c r="AH43" i="34"/>
  <c r="AH31" i="34"/>
  <c r="AH3" i="34"/>
  <c r="AI100" i="34"/>
  <c r="AI88" i="34"/>
  <c r="AI76" i="34"/>
  <c r="AI64" i="34"/>
  <c r="AI52" i="34"/>
  <c r="AI40" i="34"/>
  <c r="AI26" i="34"/>
  <c r="AJ112" i="34"/>
  <c r="AJ97" i="34"/>
  <c r="AJ85" i="34"/>
  <c r="AJ66" i="34"/>
  <c r="AJ52" i="34"/>
  <c r="AJ40" i="34"/>
  <c r="AJ26" i="34"/>
  <c r="AX111" i="34"/>
  <c r="AX77" i="34"/>
  <c r="AX65" i="34"/>
  <c r="AX53" i="34"/>
  <c r="AX41" i="34"/>
  <c r="AX29" i="34"/>
  <c r="AX16" i="34"/>
  <c r="AX2" i="34"/>
  <c r="AY99" i="34"/>
  <c r="AY84" i="34"/>
  <c r="AY72" i="34"/>
  <c r="AY60" i="34"/>
  <c r="AY48" i="34"/>
  <c r="AY36" i="34"/>
  <c r="AY24" i="34"/>
  <c r="AY12" i="34"/>
  <c r="AZ112" i="34"/>
  <c r="AZ96" i="34"/>
  <c r="AZ81" i="34"/>
  <c r="AZ69" i="34"/>
  <c r="AZ57" i="34"/>
  <c r="AZ45" i="34"/>
  <c r="AZ33" i="34"/>
  <c r="AZ21" i="34"/>
  <c r="AZ8" i="34"/>
  <c r="AH22" i="34"/>
  <c r="AG27" i="34"/>
  <c r="AJ20" i="34"/>
  <c r="AH15" i="34"/>
  <c r="AF13" i="34"/>
  <c r="AF111" i="34"/>
  <c r="AF96" i="34"/>
  <c r="AF84" i="34"/>
  <c r="AF72" i="34"/>
  <c r="AF60" i="34"/>
  <c r="AF48" i="34"/>
  <c r="AF36" i="34"/>
  <c r="AF17" i="34"/>
  <c r="AG108" i="34"/>
  <c r="AG93" i="34"/>
  <c r="AG81" i="34"/>
  <c r="AG69" i="34"/>
  <c r="AG57" i="34"/>
  <c r="AG45" i="34"/>
  <c r="AG33" i="34"/>
  <c r="AG11" i="34"/>
  <c r="AH102" i="34"/>
  <c r="AH90" i="34"/>
  <c r="AH78" i="34"/>
  <c r="AH66" i="34"/>
  <c r="AH54" i="34"/>
  <c r="AH42" i="34"/>
  <c r="AH30" i="34"/>
  <c r="AI114" i="34"/>
  <c r="AI99" i="34"/>
  <c r="AI87" i="34"/>
  <c r="AI75" i="34"/>
  <c r="AI63" i="34"/>
  <c r="AI51" i="34"/>
  <c r="AI39" i="34"/>
  <c r="AI24" i="34"/>
  <c r="AJ111" i="34"/>
  <c r="AJ96" i="34"/>
  <c r="AJ84" i="34"/>
  <c r="AJ63" i="34"/>
  <c r="AJ51" i="34"/>
  <c r="AJ39" i="34"/>
  <c r="AJ24" i="34"/>
  <c r="AX110" i="34"/>
  <c r="AX89" i="34"/>
  <c r="AX76" i="34"/>
  <c r="AX64" i="34"/>
  <c r="AX52" i="34"/>
  <c r="AX40" i="34"/>
  <c r="AX28" i="34"/>
  <c r="AX15" i="34"/>
  <c r="AY113" i="34"/>
  <c r="AY97" i="34"/>
  <c r="AY83" i="34"/>
  <c r="AY71" i="34"/>
  <c r="AY59" i="34"/>
  <c r="AY47" i="34"/>
  <c r="AY35" i="34"/>
  <c r="AY23" i="34"/>
  <c r="AY11" i="34"/>
  <c r="AZ111" i="34"/>
  <c r="AZ95" i="34"/>
  <c r="AZ80" i="34"/>
  <c r="AZ68" i="34"/>
  <c r="AZ56" i="34"/>
  <c r="AZ44" i="34"/>
  <c r="AZ32" i="34"/>
  <c r="AZ20" i="34"/>
  <c r="AZ7" i="34"/>
  <c r="AG22" i="34"/>
  <c r="AF27" i="34"/>
  <c r="AI20" i="34"/>
  <c r="AG15" i="34"/>
  <c r="AI9" i="34"/>
  <c r="AF110" i="34"/>
  <c r="AF95" i="34"/>
  <c r="AF83" i="34"/>
  <c r="AF71" i="34"/>
  <c r="AF59" i="34"/>
  <c r="AF47" i="34"/>
  <c r="AF35" i="34"/>
  <c r="AF16" i="34"/>
  <c r="AG104" i="34"/>
  <c r="AG92" i="34"/>
  <c r="AG80" i="34"/>
  <c r="AG68" i="34"/>
  <c r="AG56" i="34"/>
  <c r="AG44" i="34"/>
  <c r="AG32" i="34"/>
  <c r="AG10" i="34"/>
  <c r="AH101" i="34"/>
  <c r="AH89" i="34"/>
  <c r="AH77" i="34"/>
  <c r="AH65" i="34"/>
  <c r="AH53" i="34"/>
  <c r="AH41" i="34"/>
  <c r="AH29" i="34"/>
  <c r="AI113" i="34"/>
  <c r="AI98" i="34"/>
  <c r="AI86" i="34"/>
  <c r="AI74" i="34"/>
  <c r="AI62" i="34"/>
  <c r="AI50" i="34"/>
  <c r="AI38" i="34"/>
  <c r="AI23" i="34"/>
  <c r="AJ110" i="34"/>
  <c r="AJ95" i="34"/>
  <c r="AJ83" i="34"/>
  <c r="AJ62" i="34"/>
  <c r="AJ50" i="34"/>
  <c r="AJ38" i="34"/>
  <c r="AJ23" i="34"/>
  <c r="AX109" i="34"/>
  <c r="AX88" i="34"/>
  <c r="AX75" i="34"/>
  <c r="AX63" i="34"/>
  <c r="AX51" i="34"/>
  <c r="AX39" i="34"/>
  <c r="AX27" i="34"/>
  <c r="AX14" i="34"/>
  <c r="AY112" i="34"/>
  <c r="AY96" i="34"/>
  <c r="AY82" i="34"/>
  <c r="AY70" i="34"/>
  <c r="AY58" i="34"/>
  <c r="AY46" i="34"/>
  <c r="AY34" i="34"/>
  <c r="AY22" i="34"/>
  <c r="AY10" i="34"/>
  <c r="AZ110" i="34"/>
  <c r="AZ79" i="34"/>
  <c r="AZ67" i="34"/>
  <c r="AZ55" i="34"/>
  <c r="AZ43" i="34"/>
  <c r="AZ31" i="34"/>
  <c r="AZ19" i="34"/>
  <c r="AZ5" i="34"/>
  <c r="AZ98" i="34"/>
  <c r="AF5" i="34"/>
  <c r="AH9" i="34"/>
  <c r="AG103" i="34"/>
  <c r="AH100" i="34"/>
  <c r="AH88" i="34"/>
  <c r="AH76" i="34"/>
  <c r="AH52" i="34"/>
  <c r="AH26" i="34"/>
  <c r="AI112" i="34"/>
  <c r="AI97" i="34"/>
  <c r="AI85" i="34"/>
  <c r="AI73" i="34"/>
  <c r="AI61" i="34"/>
  <c r="AI49" i="34"/>
  <c r="AI37" i="34"/>
  <c r="AI19" i="34"/>
  <c r="AJ109" i="34"/>
  <c r="AJ94" i="34"/>
  <c r="AJ82" i="34"/>
  <c r="AJ61" i="34"/>
  <c r="AJ49" i="34"/>
  <c r="AJ37" i="34"/>
  <c r="AJ19" i="34"/>
  <c r="AX108" i="34"/>
  <c r="AX74" i="34"/>
  <c r="AX62" i="34"/>
  <c r="AX50" i="34"/>
  <c r="AX38" i="34"/>
  <c r="AX26" i="34"/>
  <c r="AX13" i="34"/>
  <c r="AY111" i="34"/>
  <c r="AY95" i="34"/>
  <c r="AY81" i="34"/>
  <c r="AY69" i="34"/>
  <c r="AY57" i="34"/>
  <c r="AY45" i="34"/>
  <c r="AY33" i="34"/>
  <c r="AY21" i="34"/>
  <c r="AY9" i="34"/>
  <c r="AZ109" i="34"/>
  <c r="AZ92" i="34"/>
  <c r="AZ78" i="34"/>
  <c r="AZ66" i="34"/>
  <c r="AZ54" i="34"/>
  <c r="AZ42" i="34"/>
  <c r="AZ30" i="34"/>
  <c r="AZ18" i="34"/>
  <c r="AZ4" i="34"/>
  <c r="AY98" i="34"/>
  <c r="AJ8" i="34"/>
  <c r="AI25" i="34"/>
  <c r="AG20" i="34"/>
  <c r="AJ14" i="34"/>
  <c r="AJ7" i="34"/>
  <c r="AF108" i="34"/>
  <c r="AF93" i="34"/>
  <c r="AF81" i="34"/>
  <c r="AF69" i="34"/>
  <c r="AF57" i="34"/>
  <c r="AF45" i="34"/>
  <c r="AF33" i="34"/>
  <c r="AF11" i="34"/>
  <c r="AG102" i="34"/>
  <c r="AG90" i="34"/>
  <c r="AG78" i="34"/>
  <c r="AG66" i="34"/>
  <c r="AG54" i="34"/>
  <c r="AG42" i="34"/>
  <c r="AG30" i="34"/>
  <c r="AH114" i="34"/>
  <c r="AH99" i="34"/>
  <c r="AH87" i="34"/>
  <c r="AH75" i="34"/>
  <c r="AH63" i="34"/>
  <c r="AH51" i="34"/>
  <c r="AH39" i="34"/>
  <c r="AH24" i="34"/>
  <c r="AI111" i="34"/>
  <c r="AI96" i="34"/>
  <c r="AI84" i="34"/>
  <c r="AI72" i="34"/>
  <c r="AI60" i="34"/>
  <c r="AI48" i="34"/>
  <c r="AI36" i="34"/>
  <c r="AI17" i="34"/>
  <c r="AJ108" i="34"/>
  <c r="AJ93" i="34"/>
  <c r="AJ81" i="34"/>
  <c r="AJ60" i="34"/>
  <c r="AJ48" i="34"/>
  <c r="AJ36" i="34"/>
  <c r="AJ17" i="34"/>
  <c r="AX73" i="34"/>
  <c r="AX61" i="34"/>
  <c r="AX49" i="34"/>
  <c r="AX37" i="34"/>
  <c r="AX25" i="34"/>
  <c r="AX12" i="34"/>
  <c r="AY110" i="34"/>
  <c r="AY80" i="34"/>
  <c r="AY68" i="34"/>
  <c r="AY56" i="34"/>
  <c r="AY44" i="34"/>
  <c r="AY32" i="34"/>
  <c r="AY20" i="34"/>
  <c r="AY8" i="34"/>
  <c r="AZ108" i="34"/>
  <c r="AZ90" i="34"/>
  <c r="AZ77" i="34"/>
  <c r="AZ65" i="34"/>
  <c r="AZ53" i="34"/>
  <c r="AZ41" i="34"/>
  <c r="AZ29" i="34"/>
  <c r="AZ16" i="34"/>
  <c r="AZ3" i="34"/>
  <c r="AB49" i="32"/>
  <c r="AH22" i="32"/>
  <c r="AF8" i="33" s="1"/>
  <c r="AF8" i="34" s="1"/>
  <c r="AL23" i="32"/>
  <c r="AJ9" i="33" s="1"/>
  <c r="AJ9" i="34" s="1"/>
  <c r="AL18" i="32"/>
  <c r="AJ4" i="33" s="1"/>
  <c r="AJ4" i="34" s="1"/>
  <c r="AJ18" i="32"/>
  <c r="AH4" i="33" s="1"/>
  <c r="AH4" i="34" s="1"/>
  <c r="AI18" i="32"/>
  <c r="AG4" i="33" s="1"/>
  <c r="AG4" i="34" s="1"/>
  <c r="AI23" i="32"/>
  <c r="AG9" i="33" s="1"/>
  <c r="AG9" i="34" s="1"/>
  <c r="AL19" i="32"/>
  <c r="AJ5" i="33" s="1"/>
  <c r="AJ5" i="34" s="1"/>
  <c r="AK18" i="32"/>
  <c r="AI4" i="33" s="1"/>
  <c r="AI4" i="34" s="1"/>
  <c r="AH18" i="32"/>
  <c r="AF4" i="33" s="1"/>
  <c r="AF4" i="34" s="1"/>
  <c r="AH23" i="32"/>
  <c r="AF9" i="33" s="1"/>
  <c r="AF9" i="34" s="1"/>
  <c r="AK19" i="32"/>
  <c r="AI5" i="33" s="1"/>
  <c r="AI5" i="34" s="1"/>
  <c r="AJ19" i="32"/>
  <c r="AH5" i="33" s="1"/>
  <c r="BB119" i="32"/>
  <c r="AZ94" i="33" s="1"/>
  <c r="AZ91" i="34" s="1"/>
  <c r="AI19" i="32"/>
  <c r="BA119" i="32"/>
  <c r="AG2" i="33"/>
  <c r="AG2" i="34" s="1"/>
  <c r="AF2" i="33"/>
  <c r="AF2" i="34" s="1"/>
  <c r="AH2" i="33"/>
  <c r="AH2" i="34" s="1"/>
  <c r="AJ2" i="33"/>
  <c r="AJ2" i="34" s="1"/>
  <c r="AI2" i="33"/>
  <c r="AI2" i="34" s="1"/>
  <c r="AZ17" i="33"/>
  <c r="AZ17" i="34" s="1"/>
  <c r="AB58" i="32"/>
  <c r="AB48" i="32"/>
  <c r="AB87" i="32"/>
  <c r="AB88" i="32"/>
  <c r="AB90" i="32" s="1"/>
  <c r="AB92" i="32" s="1"/>
  <c r="AB51" i="32"/>
  <c r="AZ94" i="34" l="1"/>
  <c r="AZ93" i="34"/>
  <c r="AI20" i="32"/>
  <c r="AG6" i="33" s="1"/>
  <c r="AG6" i="34" s="1"/>
  <c r="AB50" i="32"/>
  <c r="AM92" i="32"/>
  <c r="AK69" i="33" s="1"/>
  <c r="AK69" i="34" s="1"/>
  <c r="AK67" i="33"/>
  <c r="AK67" i="34" s="1"/>
  <c r="BB118" i="32"/>
  <c r="AZ6" i="33" s="1"/>
  <c r="AZ6" i="34" s="1"/>
  <c r="AK20" i="32"/>
  <c r="AI6" i="33" s="1"/>
  <c r="AI6" i="34" s="1"/>
  <c r="AI115" i="34" s="1"/>
  <c r="AJ20" i="32"/>
  <c r="AH6" i="33" s="1"/>
  <c r="AH6" i="34" s="1"/>
  <c r="AH20" i="32"/>
  <c r="AF6" i="33" s="1"/>
  <c r="AF6" i="34" s="1"/>
  <c r="AF115" i="34" s="1"/>
  <c r="AL20" i="32"/>
  <c r="AG5" i="33"/>
  <c r="AG5" i="34" s="1"/>
  <c r="BA118" i="32"/>
  <c r="AY6" i="33" s="1"/>
  <c r="AY6" i="34" s="1"/>
  <c r="AY94" i="33"/>
  <c r="AH5" i="34"/>
  <c r="AY93" i="34" l="1"/>
  <c r="AY94" i="34"/>
  <c r="AY91" i="34"/>
  <c r="AY92" i="34"/>
  <c r="AG115" i="34"/>
  <c r="AK115" i="34"/>
  <c r="AH115" i="34"/>
  <c r="U31" i="22"/>
  <c r="H31" i="22"/>
  <c r="E31" i="22"/>
  <c r="D31" i="22"/>
  <c r="H30" i="22"/>
  <c r="E30" i="22"/>
  <c r="D30" i="22"/>
  <c r="H26" i="22"/>
  <c r="H27" i="22"/>
  <c r="H28" i="22"/>
  <c r="H29" i="22"/>
  <c r="E29" i="22"/>
  <c r="D29" i="22"/>
  <c r="E28" i="22"/>
  <c r="D28" i="22"/>
  <c r="E27" i="22"/>
  <c r="D27" i="22"/>
  <c r="E26" i="22"/>
  <c r="D26" i="22"/>
  <c r="H25" i="22"/>
  <c r="E25" i="22"/>
  <c r="D25" i="22"/>
  <c r="H23" i="22" l="1"/>
  <c r="E23" i="22"/>
  <c r="D23" i="22"/>
  <c r="H22" i="22"/>
  <c r="E22" i="22"/>
  <c r="D22" i="22"/>
  <c r="H19" i="22"/>
  <c r="E19" i="22"/>
  <c r="D19" i="22"/>
  <c r="H17" i="22"/>
  <c r="E17" i="22"/>
  <c r="D17" i="22"/>
  <c r="H15" i="22"/>
  <c r="E15" i="22"/>
  <c r="F44" i="19"/>
  <c r="E44" i="19"/>
  <c r="D44" i="19"/>
  <c r="F43" i="19"/>
  <c r="E43" i="19"/>
  <c r="D43" i="19"/>
  <c r="F42" i="19"/>
  <c r="E42" i="19"/>
  <c r="D42" i="19"/>
  <c r="F41" i="19"/>
  <c r="E41" i="19"/>
  <c r="D41" i="19"/>
  <c r="F40" i="19"/>
  <c r="E40" i="19"/>
  <c r="D40" i="19"/>
  <c r="F39" i="19"/>
  <c r="F38" i="19"/>
  <c r="E39" i="19"/>
  <c r="E38" i="19"/>
  <c r="D39" i="19"/>
  <c r="D38" i="19"/>
  <c r="F37" i="19"/>
  <c r="E37" i="19"/>
  <c r="D37" i="19"/>
  <c r="F36" i="19"/>
  <c r="E36" i="19"/>
  <c r="D36" i="19"/>
  <c r="F30" i="19"/>
  <c r="E30" i="19"/>
  <c r="D30" i="19"/>
  <c r="F29" i="19"/>
  <c r="F28" i="19"/>
  <c r="F27" i="19"/>
  <c r="E29" i="19"/>
  <c r="E28" i="19"/>
  <c r="E27" i="19"/>
  <c r="D29" i="19"/>
  <c r="D28" i="19"/>
  <c r="D27" i="19"/>
  <c r="F26" i="19"/>
  <c r="F25" i="19"/>
  <c r="E26" i="19"/>
  <c r="E25" i="19"/>
  <c r="D26" i="19"/>
  <c r="D25" i="19"/>
  <c r="F21" i="19"/>
  <c r="E21" i="19"/>
  <c r="F22" i="19"/>
  <c r="E22" i="19"/>
  <c r="D22" i="19"/>
  <c r="D21" i="19"/>
  <c r="F15" i="19"/>
  <c r="F14" i="19"/>
  <c r="E15" i="19"/>
  <c r="E14" i="19"/>
  <c r="D6" i="20"/>
  <c r="J9" i="20"/>
  <c r="K99" i="17"/>
  <c r="K98" i="17"/>
  <c r="K97" i="17"/>
  <c r="K96" i="17"/>
  <c r="H99" i="17"/>
  <c r="H98" i="17"/>
  <c r="H97" i="17"/>
  <c r="H96" i="17"/>
  <c r="K86" i="17"/>
  <c r="K87" i="17"/>
  <c r="K88" i="17"/>
  <c r="H86" i="17"/>
  <c r="H87" i="17"/>
  <c r="H88" i="17"/>
  <c r="K85" i="17"/>
  <c r="H85" i="17"/>
  <c r="K66" i="17"/>
  <c r="K67" i="17"/>
  <c r="K68" i="17"/>
  <c r="K69" i="17"/>
  <c r="K70" i="17"/>
  <c r="K71" i="17"/>
  <c r="K72" i="17"/>
  <c r="K73" i="17"/>
  <c r="K74" i="17"/>
  <c r="K75" i="17"/>
  <c r="K76" i="17"/>
  <c r="K77" i="17"/>
  <c r="K78" i="17"/>
  <c r="K79" i="17"/>
  <c r="K80" i="17"/>
  <c r="K81" i="17"/>
  <c r="K82" i="17"/>
  <c r="K83" i="17"/>
  <c r="H66" i="17"/>
  <c r="H67" i="17"/>
  <c r="H68" i="17"/>
  <c r="H69" i="17"/>
  <c r="H70" i="17"/>
  <c r="H71" i="17"/>
  <c r="H72" i="17"/>
  <c r="H73" i="17"/>
  <c r="H74" i="17"/>
  <c r="H75" i="17"/>
  <c r="H76" i="17"/>
  <c r="H77" i="17"/>
  <c r="H78" i="17"/>
  <c r="H79" i="17"/>
  <c r="H80" i="17"/>
  <c r="H81" i="17"/>
  <c r="H82" i="17"/>
  <c r="H83" i="17"/>
  <c r="K65" i="17"/>
  <c r="H65" i="17"/>
  <c r="N56" i="17"/>
  <c r="K57" i="17"/>
  <c r="K58" i="17"/>
  <c r="H57" i="17"/>
  <c r="H58" i="17"/>
  <c r="K56" i="17"/>
  <c r="H56" i="17"/>
  <c r="K52" i="17"/>
  <c r="H52" i="17"/>
  <c r="K51" i="17"/>
  <c r="H51" i="17"/>
  <c r="K45" i="17"/>
  <c r="K46" i="17"/>
  <c r="K47" i="17"/>
  <c r="H45" i="17"/>
  <c r="H46" i="17"/>
  <c r="H47" i="17"/>
  <c r="K44" i="17"/>
  <c r="H44" i="17"/>
  <c r="K39" i="17"/>
  <c r="K40" i="17"/>
  <c r="H39" i="17"/>
  <c r="H40" i="17"/>
  <c r="K38" i="17"/>
  <c r="H38" i="17"/>
  <c r="H34" i="17"/>
  <c r="K34" i="17"/>
  <c r="K33" i="17"/>
  <c r="H33" i="17"/>
  <c r="G97" i="17"/>
  <c r="G98" i="17"/>
  <c r="G99" i="17"/>
  <c r="G96" i="17"/>
  <c r="D86" i="17"/>
  <c r="D87" i="17"/>
  <c r="D88" i="17"/>
  <c r="D85" i="17"/>
  <c r="D66" i="17"/>
  <c r="D67" i="17"/>
  <c r="D68" i="17"/>
  <c r="D69" i="17"/>
  <c r="D70" i="17"/>
  <c r="D71" i="17"/>
  <c r="D72" i="17"/>
  <c r="D73" i="17"/>
  <c r="D74" i="17"/>
  <c r="D75" i="17"/>
  <c r="D76" i="17"/>
  <c r="D77" i="17"/>
  <c r="D78" i="17"/>
  <c r="D79" i="17"/>
  <c r="D80" i="17"/>
  <c r="D81" i="17"/>
  <c r="D82" i="17"/>
  <c r="D83" i="17"/>
  <c r="D65" i="17"/>
  <c r="G58" i="17"/>
  <c r="G57" i="17"/>
  <c r="G56" i="17"/>
  <c r="G52" i="17"/>
  <c r="G51" i="17"/>
  <c r="G47" i="17"/>
  <c r="G46" i="17"/>
  <c r="G45" i="17"/>
  <c r="G44" i="17"/>
  <c r="G40" i="17"/>
  <c r="G39" i="17"/>
  <c r="G38" i="17"/>
  <c r="G34" i="17"/>
  <c r="G33" i="17"/>
  <c r="K27" i="17"/>
  <c r="K26" i="17"/>
  <c r="H27" i="17"/>
  <c r="H26" i="17"/>
  <c r="G27" i="17"/>
  <c r="G26" i="17"/>
  <c r="M20" i="17"/>
  <c r="M18" i="17"/>
  <c r="M16" i="17"/>
  <c r="M15" i="17"/>
  <c r="M14" i="17"/>
  <c r="H20" i="17"/>
  <c r="H18" i="17"/>
  <c r="H16" i="17"/>
  <c r="H15" i="17"/>
  <c r="H14" i="17"/>
  <c r="J42" i="16"/>
  <c r="J41" i="16"/>
  <c r="J40" i="16"/>
  <c r="J39" i="16"/>
  <c r="J38" i="16"/>
  <c r="J37" i="16"/>
  <c r="J36" i="16"/>
  <c r="I32" i="16"/>
  <c r="I31" i="16"/>
  <c r="I29" i="16"/>
  <c r="I28" i="16"/>
  <c r="I27" i="16"/>
  <c r="I26" i="16"/>
  <c r="I25" i="16"/>
  <c r="I23" i="16"/>
  <c r="I22" i="16"/>
  <c r="I21" i="16"/>
  <c r="I20" i="16"/>
  <c r="I19" i="16"/>
  <c r="I18" i="16"/>
  <c r="C42" i="16"/>
  <c r="C41" i="16"/>
  <c r="C40" i="16"/>
  <c r="C39" i="16"/>
  <c r="C38" i="16"/>
  <c r="C37" i="16"/>
  <c r="C36" i="16"/>
  <c r="C32" i="16"/>
  <c r="C31" i="16"/>
  <c r="C29" i="16"/>
  <c r="C28" i="16"/>
  <c r="C27" i="16"/>
  <c r="C26" i="16"/>
  <c r="C25" i="16"/>
  <c r="F28" i="25"/>
  <c r="F27" i="25"/>
  <c r="F26" i="25"/>
  <c r="F25" i="25"/>
  <c r="F23" i="25"/>
  <c r="F22" i="25"/>
  <c r="F20" i="25"/>
  <c r="F19" i="25"/>
  <c r="F18" i="25"/>
  <c r="F17" i="25"/>
  <c r="F16" i="25"/>
  <c r="F15" i="25"/>
  <c r="F14" i="25"/>
  <c r="F12" i="25"/>
  <c r="E28" i="25"/>
  <c r="E27" i="25"/>
  <c r="E26" i="25"/>
  <c r="E25" i="25"/>
  <c r="E23" i="25"/>
  <c r="E22" i="25"/>
  <c r="E20" i="25"/>
  <c r="E19" i="25"/>
  <c r="E18" i="25"/>
  <c r="E17" i="25"/>
  <c r="E16" i="25"/>
  <c r="E15" i="25"/>
  <c r="E14" i="25"/>
  <c r="E12" i="25"/>
  <c r="C28" i="25"/>
  <c r="C27" i="25"/>
  <c r="C26" i="25"/>
  <c r="C25" i="25"/>
  <c r="C23" i="25"/>
  <c r="C22" i="25"/>
  <c r="C15" i="25"/>
  <c r="C16" i="25"/>
  <c r="C17" i="25"/>
  <c r="C18" i="25"/>
  <c r="C19" i="25"/>
  <c r="C20" i="25"/>
  <c r="C14" i="25"/>
  <c r="C12" i="25"/>
  <c r="K6" i="36"/>
  <c r="K7" i="36"/>
  <c r="K8" i="36"/>
  <c r="K9" i="36"/>
  <c r="K10" i="36"/>
  <c r="K11" i="36"/>
  <c r="K12" i="36"/>
  <c r="K13" i="36"/>
  <c r="K14" i="36"/>
  <c r="K15" i="36"/>
  <c r="K16" i="36"/>
  <c r="K17" i="36"/>
  <c r="K18" i="36"/>
  <c r="K19" i="36"/>
  <c r="K20" i="36"/>
  <c r="K21" i="36"/>
  <c r="K22" i="36"/>
  <c r="K23" i="36"/>
  <c r="K24" i="36"/>
  <c r="K25" i="36"/>
  <c r="K26" i="36"/>
  <c r="K27" i="36"/>
  <c r="K28" i="36"/>
  <c r="K29" i="36"/>
  <c r="K30" i="36"/>
  <c r="K31" i="36"/>
  <c r="K32" i="36"/>
  <c r="K33" i="36"/>
  <c r="K34" i="36"/>
  <c r="K35" i="36"/>
  <c r="K36" i="36"/>
  <c r="K5" i="36"/>
  <c r="F46" i="15" l="1"/>
  <c r="F41" i="15"/>
  <c r="F42" i="15"/>
  <c r="F43" i="15"/>
  <c r="F44" i="15"/>
  <c r="F40" i="15"/>
  <c r="F37" i="15"/>
  <c r="F38" i="15"/>
  <c r="F36" i="15"/>
  <c r="F32" i="15"/>
  <c r="F33" i="15"/>
  <c r="F34" i="15"/>
  <c r="F31" i="15"/>
  <c r="F16" i="15"/>
  <c r="F17" i="15"/>
  <c r="F18" i="15"/>
  <c r="F19" i="15"/>
  <c r="F20" i="15"/>
  <c r="F21" i="15"/>
  <c r="F22" i="15"/>
  <c r="F23" i="15"/>
  <c r="F24" i="15"/>
  <c r="F25" i="15"/>
  <c r="F26" i="15"/>
  <c r="F27" i="15"/>
  <c r="F28" i="15"/>
  <c r="F29" i="15"/>
  <c r="F15" i="15"/>
  <c r="F8" i="15"/>
  <c r="F9" i="15"/>
  <c r="F10" i="15"/>
  <c r="F11" i="15"/>
  <c r="F12" i="15"/>
  <c r="F13" i="15"/>
  <c r="F7" i="15"/>
  <c r="D46" i="15"/>
  <c r="D41" i="15"/>
  <c r="D42" i="15"/>
  <c r="D43" i="15"/>
  <c r="D44" i="15"/>
  <c r="D40" i="15"/>
  <c r="D37" i="15"/>
  <c r="D38" i="15"/>
  <c r="D36" i="15"/>
  <c r="D32" i="15"/>
  <c r="D33" i="15"/>
  <c r="D34" i="15"/>
  <c r="D31" i="15"/>
  <c r="D16" i="15"/>
  <c r="D17" i="15"/>
  <c r="D18" i="15"/>
  <c r="D19" i="15"/>
  <c r="D20" i="15"/>
  <c r="D21" i="15"/>
  <c r="D22" i="15"/>
  <c r="D23" i="15"/>
  <c r="D24" i="15"/>
  <c r="D25" i="15"/>
  <c r="D26" i="15"/>
  <c r="D27" i="15"/>
  <c r="D28" i="15"/>
  <c r="D29" i="15"/>
  <c r="D15" i="15"/>
  <c r="D8" i="15"/>
  <c r="D9" i="15"/>
  <c r="D10" i="15"/>
  <c r="D11" i="15"/>
  <c r="D12" i="15"/>
  <c r="D13" i="15"/>
  <c r="D7" i="15"/>
  <c r="K7" i="15"/>
  <c r="K6" i="15"/>
  <c r="D3" i="14"/>
  <c r="D4" i="14"/>
  <c r="D5" i="14"/>
  <c r="D6" i="14"/>
  <c r="D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2" i="14"/>
  <c r="C3" i="14"/>
  <c r="C4" i="14"/>
  <c r="C5" i="14"/>
  <c r="C6" i="14"/>
  <c r="C7" i="14"/>
  <c r="C8"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2" i="14"/>
  <c r="B9" i="14" l="1"/>
  <c r="B10" i="14"/>
  <c r="B11" i="14"/>
  <c r="B12" i="14"/>
  <c r="B13" i="14"/>
  <c r="B14" i="14"/>
  <c r="B15" i="14"/>
  <c r="B16" i="14"/>
  <c r="B17" i="14"/>
  <c r="B18" i="14"/>
  <c r="B19" i="14"/>
  <c r="B20" i="14"/>
  <c r="B21" i="14"/>
  <c r="B22" i="14"/>
  <c r="B23" i="14"/>
  <c r="B24" i="14"/>
  <c r="B25" i="14"/>
  <c r="B26" i="14"/>
  <c r="B27" i="14"/>
  <c r="B28" i="14"/>
  <c r="B29" i="14"/>
  <c r="B30" i="14"/>
  <c r="B31" i="14"/>
  <c r="B32" i="14"/>
  <c r="B33" i="14"/>
  <c r="B3" i="14"/>
  <c r="B4" i="14"/>
  <c r="B5" i="14"/>
  <c r="B6" i="14"/>
  <c r="B7" i="14"/>
  <c r="B8" i="14"/>
  <c r="B2" i="14"/>
  <c r="W19" i="16"/>
  <c r="W18" i="16"/>
  <c r="W20" i="16" l="1"/>
  <c r="E61" i="16" l="1"/>
  <c r="G11" i="32" l="1"/>
  <c r="G27" i="32"/>
  <c r="G18" i="32" l="1"/>
  <c r="G19" i="32"/>
  <c r="G20" i="32" l="1"/>
  <c r="I61" i="33"/>
  <c r="I61" i="34" s="1"/>
  <c r="Y62" i="33"/>
  <c r="Y62" i="34" s="1"/>
  <c r="E112" i="33"/>
  <c r="E113" i="33"/>
  <c r="E114" i="33"/>
  <c r="F112" i="33"/>
  <c r="F113" i="33"/>
  <c r="F114" i="33"/>
  <c r="G112" i="33"/>
  <c r="G113" i="33"/>
  <c r="G114" i="33"/>
  <c r="H112" i="33"/>
  <c r="H113" i="33"/>
  <c r="H114" i="33"/>
  <c r="I112" i="33"/>
  <c r="I113" i="33"/>
  <c r="I114" i="33"/>
  <c r="J112" i="33"/>
  <c r="J113" i="33"/>
  <c r="J114" i="33"/>
  <c r="K112" i="33"/>
  <c r="K113" i="33"/>
  <c r="K114" i="33"/>
  <c r="L112" i="33"/>
  <c r="L113" i="33"/>
  <c r="L114" i="33"/>
  <c r="M112" i="33"/>
  <c r="M113" i="33"/>
  <c r="M114" i="33"/>
  <c r="N112" i="33"/>
  <c r="N113" i="33"/>
  <c r="N114" i="33"/>
  <c r="O112" i="33"/>
  <c r="O113" i="33"/>
  <c r="O114" i="33"/>
  <c r="P112" i="33"/>
  <c r="P113" i="33"/>
  <c r="P114" i="33"/>
  <c r="Q112" i="33"/>
  <c r="Q113" i="33"/>
  <c r="Q114" i="33"/>
  <c r="R112" i="33"/>
  <c r="R113" i="33"/>
  <c r="R114" i="33"/>
  <c r="S112" i="33"/>
  <c r="S113" i="33"/>
  <c r="S114" i="33"/>
  <c r="T112" i="33"/>
  <c r="T113" i="33"/>
  <c r="T114" i="33"/>
  <c r="U112" i="33"/>
  <c r="U113" i="33"/>
  <c r="U114" i="33"/>
  <c r="V112" i="33"/>
  <c r="V113" i="33"/>
  <c r="V114" i="33"/>
  <c r="W112" i="33"/>
  <c r="W113" i="33"/>
  <c r="W114" i="33"/>
  <c r="X112" i="33"/>
  <c r="X113" i="33"/>
  <c r="X114" i="33"/>
  <c r="Y112" i="33"/>
  <c r="Y113" i="33"/>
  <c r="Y114" i="33"/>
  <c r="Z112" i="33"/>
  <c r="Z113" i="33"/>
  <c r="Z114" i="33"/>
  <c r="AA112" i="33"/>
  <c r="AA113" i="33"/>
  <c r="AA114" i="33"/>
  <c r="AB112" i="33"/>
  <c r="AB113" i="33"/>
  <c r="AB114" i="33"/>
  <c r="AC112" i="33"/>
  <c r="AC113" i="33"/>
  <c r="AC114" i="33"/>
  <c r="AD112" i="33"/>
  <c r="AD113" i="33"/>
  <c r="AD114" i="33"/>
  <c r="AE112" i="33"/>
  <c r="AE113" i="33"/>
  <c r="AE114" i="33"/>
  <c r="AL112" i="33"/>
  <c r="AL113" i="33"/>
  <c r="AL114" i="33"/>
  <c r="AM112" i="33"/>
  <c r="AM113" i="33"/>
  <c r="AM114" i="33"/>
  <c r="AN112" i="33"/>
  <c r="AN113" i="33"/>
  <c r="AO114" i="33"/>
  <c r="AP112" i="33"/>
  <c r="AP113" i="33"/>
  <c r="AQ112" i="33"/>
  <c r="AQ113" i="33"/>
  <c r="AR112" i="33"/>
  <c r="AR113" i="33"/>
  <c r="AS114" i="33"/>
  <c r="AT112" i="33"/>
  <c r="AT113" i="33"/>
  <c r="AU112" i="33"/>
  <c r="AU113" i="33"/>
  <c r="AV112" i="33"/>
  <c r="AV113" i="33"/>
  <c r="AW112" i="33"/>
  <c r="AW113" i="33"/>
  <c r="AN116" i="32"/>
  <c r="T39" i="32"/>
  <c r="R25" i="33" s="1"/>
  <c r="R25" i="34" s="1"/>
  <c r="U39" i="32"/>
  <c r="S25" i="33" s="1"/>
  <c r="S25" i="34" s="1"/>
  <c r="V39" i="32"/>
  <c r="T25" i="33" s="1"/>
  <c r="T25" i="34" s="1"/>
  <c r="W39" i="32"/>
  <c r="U25" i="33" s="1"/>
  <c r="U25" i="34" s="1"/>
  <c r="X39" i="32"/>
  <c r="V25" i="33" s="1"/>
  <c r="V25" i="34" s="1"/>
  <c r="Y39" i="32"/>
  <c r="W24" i="33" s="1"/>
  <c r="W24" i="34" s="1"/>
  <c r="Z39" i="32"/>
  <c r="X25" i="33" s="1"/>
  <c r="X25" i="34" s="1"/>
  <c r="AA39" i="32"/>
  <c r="Y25" i="33" s="1"/>
  <c r="Y25" i="34" s="1"/>
  <c r="AB39" i="32"/>
  <c r="Z25" i="33" s="1"/>
  <c r="Z25" i="34" s="1"/>
  <c r="AC39" i="32"/>
  <c r="AA24" i="33" s="1"/>
  <c r="AA24" i="34" s="1"/>
  <c r="AD39" i="32"/>
  <c r="AB24" i="33" s="1"/>
  <c r="AB24" i="34" s="1"/>
  <c r="AE39" i="32"/>
  <c r="AC25" i="33" s="1"/>
  <c r="AC25" i="34" s="1"/>
  <c r="AF39" i="32"/>
  <c r="AD25" i="33" s="1"/>
  <c r="AD25" i="34" s="1"/>
  <c r="AG39" i="32"/>
  <c r="AE25" i="33" s="1"/>
  <c r="AE25" i="34" s="1"/>
  <c r="G39" i="32"/>
  <c r="E25" i="33" s="1"/>
  <c r="E25" i="34" s="1"/>
  <c r="H39" i="32"/>
  <c r="I39" i="32"/>
  <c r="G24" i="33" s="1"/>
  <c r="G24" i="34" s="1"/>
  <c r="J39" i="32"/>
  <c r="H25" i="33" s="1"/>
  <c r="H25" i="34" s="1"/>
  <c r="K39" i="32"/>
  <c r="I25" i="33" s="1"/>
  <c r="I25" i="34" s="1"/>
  <c r="L39" i="32"/>
  <c r="J25" i="33" s="1"/>
  <c r="J25" i="34" s="1"/>
  <c r="M39" i="32"/>
  <c r="K24" i="33" s="1"/>
  <c r="K24" i="34" s="1"/>
  <c r="N39" i="32"/>
  <c r="L24" i="33" s="1"/>
  <c r="L24" i="34" s="1"/>
  <c r="O39" i="32"/>
  <c r="M24" i="33" s="1"/>
  <c r="M24" i="34" s="1"/>
  <c r="P39" i="32"/>
  <c r="N25" i="33" s="1"/>
  <c r="N25" i="34" s="1"/>
  <c r="Q39" i="32"/>
  <c r="O25" i="33" s="1"/>
  <c r="O25" i="34" s="1"/>
  <c r="R39" i="32"/>
  <c r="P24" i="33" s="1"/>
  <c r="P24" i="34" s="1"/>
  <c r="R24" i="33"/>
  <c r="R24" i="34" s="1"/>
  <c r="K23" i="32"/>
  <c r="AD23" i="32"/>
  <c r="AL9" i="33"/>
  <c r="AL9" i="34" s="1"/>
  <c r="AM30" i="33"/>
  <c r="AM30" i="34" s="1"/>
  <c r="AN30" i="33"/>
  <c r="AN30" i="34" s="1"/>
  <c r="AO30" i="33"/>
  <c r="AO30" i="34" s="1"/>
  <c r="AP9" i="33"/>
  <c r="AP9" i="34" s="1"/>
  <c r="AQ9" i="33"/>
  <c r="AQ9" i="34" s="1"/>
  <c r="AR9" i="33"/>
  <c r="AR9" i="34" s="1"/>
  <c r="AS9" i="33"/>
  <c r="AS9" i="34" s="1"/>
  <c r="AT30" i="33"/>
  <c r="AT30" i="34" s="1"/>
  <c r="AU30" i="33"/>
  <c r="AU30" i="34" s="1"/>
  <c r="AW9" i="33"/>
  <c r="AW9" i="34" s="1"/>
  <c r="AX9" i="33"/>
  <c r="AX9" i="34" s="1"/>
  <c r="K22" i="32"/>
  <c r="I8" i="33" s="1"/>
  <c r="I8" i="34" s="1"/>
  <c r="AD22" i="32"/>
  <c r="AE101" i="32"/>
  <c r="AC81" i="33" s="1"/>
  <c r="AC78" i="34" s="1"/>
  <c r="AC101" i="32"/>
  <c r="Z98" i="32"/>
  <c r="X75" i="33" s="1"/>
  <c r="X75" i="34" s="1"/>
  <c r="U103" i="32"/>
  <c r="S83" i="33" s="1"/>
  <c r="S104" i="32"/>
  <c r="Q84" i="33" s="1"/>
  <c r="N105" i="32"/>
  <c r="L85" i="33" s="1"/>
  <c r="K102" i="32"/>
  <c r="I82" i="33" s="1"/>
  <c r="K99" i="32"/>
  <c r="K86" i="32" s="1"/>
  <c r="K88" i="32" s="1"/>
  <c r="J3" i="33"/>
  <c r="J3" i="34" s="1"/>
  <c r="K3" i="33"/>
  <c r="K3" i="34" s="1"/>
  <c r="L3" i="33"/>
  <c r="L3" i="34" s="1"/>
  <c r="M3" i="33"/>
  <c r="M3" i="34" s="1"/>
  <c r="N3" i="33"/>
  <c r="N3" i="34" s="1"/>
  <c r="O3" i="33"/>
  <c r="O3" i="34" s="1"/>
  <c r="P3" i="33"/>
  <c r="P3" i="34" s="1"/>
  <c r="Q3" i="33"/>
  <c r="Q3" i="34" s="1"/>
  <c r="R3" i="33"/>
  <c r="R3" i="34" s="1"/>
  <c r="S3" i="33"/>
  <c r="S3" i="34" s="1"/>
  <c r="T3" i="33"/>
  <c r="T3" i="34" s="1"/>
  <c r="U3" i="33"/>
  <c r="U3" i="34" s="1"/>
  <c r="V3" i="33"/>
  <c r="V3" i="34" s="1"/>
  <c r="W3" i="33"/>
  <c r="W3" i="34" s="1"/>
  <c r="X3" i="33"/>
  <c r="X3" i="34" s="1"/>
  <c r="Y3" i="33"/>
  <c r="Y3" i="34" s="1"/>
  <c r="Z3" i="33"/>
  <c r="Z3" i="34" s="1"/>
  <c r="AA3" i="33"/>
  <c r="AA3" i="34" s="1"/>
  <c r="AB3" i="33"/>
  <c r="AB3" i="34" s="1"/>
  <c r="AC3" i="33"/>
  <c r="AC3" i="34" s="1"/>
  <c r="AD3" i="33"/>
  <c r="AD3" i="34" s="1"/>
  <c r="AE3" i="33"/>
  <c r="AE3" i="34" s="1"/>
  <c r="AL3" i="33"/>
  <c r="AL3" i="34" s="1"/>
  <c r="AM3" i="33"/>
  <c r="AM3" i="34" s="1"/>
  <c r="AN3" i="33"/>
  <c r="AN3" i="34" s="1"/>
  <c r="AO3" i="33"/>
  <c r="AO3" i="34" s="1"/>
  <c r="AP3" i="33"/>
  <c r="AP3" i="34" s="1"/>
  <c r="AQ3" i="33"/>
  <c r="AQ3" i="34" s="1"/>
  <c r="AR3" i="33"/>
  <c r="AR3" i="34" s="1"/>
  <c r="AS3" i="33"/>
  <c r="AS3" i="34" s="1"/>
  <c r="AT3" i="33"/>
  <c r="AT3" i="34" s="1"/>
  <c r="AU3" i="33"/>
  <c r="AU3" i="34" s="1"/>
  <c r="AV3" i="33"/>
  <c r="AV3" i="34" s="1"/>
  <c r="AW3" i="33"/>
  <c r="AW3" i="34" s="1"/>
  <c r="AL4" i="33"/>
  <c r="AL4" i="34" s="1"/>
  <c r="AM4" i="33"/>
  <c r="AM4" i="34" s="1"/>
  <c r="AN4" i="33"/>
  <c r="AN4" i="34" s="1"/>
  <c r="AO4" i="33"/>
  <c r="AO4" i="34" s="1"/>
  <c r="AP4" i="33"/>
  <c r="AP4" i="34" s="1"/>
  <c r="AQ4" i="33"/>
  <c r="AQ4" i="34" s="1"/>
  <c r="AR4" i="33"/>
  <c r="AR4" i="34" s="1"/>
  <c r="AS4" i="33"/>
  <c r="AS4" i="34" s="1"/>
  <c r="AT4" i="33"/>
  <c r="AT4" i="34" s="1"/>
  <c r="AU4" i="33"/>
  <c r="AU4" i="34" s="1"/>
  <c r="AV4" i="33"/>
  <c r="AV4" i="34" s="1"/>
  <c r="AW4" i="33"/>
  <c r="AW4" i="34" s="1"/>
  <c r="AL5" i="33"/>
  <c r="AL5" i="34" s="1"/>
  <c r="AM5" i="33"/>
  <c r="AM5" i="34" s="1"/>
  <c r="AN5" i="33"/>
  <c r="AN5" i="34" s="1"/>
  <c r="AO5" i="33"/>
  <c r="AO5" i="34" s="1"/>
  <c r="AP5" i="33"/>
  <c r="AP5" i="34" s="1"/>
  <c r="AQ5" i="33"/>
  <c r="AQ5" i="34" s="1"/>
  <c r="AR5" i="33"/>
  <c r="AR5" i="34" s="1"/>
  <c r="AS5" i="33"/>
  <c r="AS5" i="34" s="1"/>
  <c r="AT5" i="33"/>
  <c r="AT5" i="34" s="1"/>
  <c r="AU5" i="33"/>
  <c r="AU5" i="34" s="1"/>
  <c r="AV5" i="33"/>
  <c r="AV5" i="34" s="1"/>
  <c r="AW5" i="33"/>
  <c r="AW5" i="34" s="1"/>
  <c r="AL7" i="33"/>
  <c r="AL7" i="34" s="1"/>
  <c r="AM7" i="33"/>
  <c r="AM7" i="34" s="1"/>
  <c r="AN7" i="33"/>
  <c r="AN7" i="34" s="1"/>
  <c r="AO7" i="33"/>
  <c r="AO7" i="34" s="1"/>
  <c r="AP7" i="33"/>
  <c r="AP7" i="34" s="1"/>
  <c r="AQ7" i="33"/>
  <c r="AQ7" i="34" s="1"/>
  <c r="AR7" i="33"/>
  <c r="AR7" i="34" s="1"/>
  <c r="AS7" i="33"/>
  <c r="AS7" i="34" s="1"/>
  <c r="AT7" i="33"/>
  <c r="AT7" i="34" s="1"/>
  <c r="AU7" i="33"/>
  <c r="AU7" i="34" s="1"/>
  <c r="AV7" i="33"/>
  <c r="AV7" i="34" s="1"/>
  <c r="AW7" i="33"/>
  <c r="AW7" i="34" s="1"/>
  <c r="AL8" i="33"/>
  <c r="AL8" i="34" s="1"/>
  <c r="AM8" i="33"/>
  <c r="AM8" i="34" s="1"/>
  <c r="AN8" i="33"/>
  <c r="AN8" i="34" s="1"/>
  <c r="AO8" i="33"/>
  <c r="AO8" i="34" s="1"/>
  <c r="AP8" i="33"/>
  <c r="AP8" i="34" s="1"/>
  <c r="AQ8" i="33"/>
  <c r="AQ8" i="34" s="1"/>
  <c r="AR8" i="33"/>
  <c r="AR8" i="34" s="1"/>
  <c r="AS8" i="33"/>
  <c r="AS8" i="34" s="1"/>
  <c r="AT8" i="33"/>
  <c r="AT8" i="34" s="1"/>
  <c r="AU8" i="33"/>
  <c r="AU8" i="34" s="1"/>
  <c r="AV8" i="33"/>
  <c r="AV8" i="34" s="1"/>
  <c r="AW8" i="33"/>
  <c r="AW8" i="34" s="1"/>
  <c r="AV9" i="33"/>
  <c r="AV9" i="34" s="1"/>
  <c r="J10" i="33"/>
  <c r="J10" i="34" s="1"/>
  <c r="K10" i="33"/>
  <c r="K10" i="34" s="1"/>
  <c r="L10" i="33"/>
  <c r="L10" i="34" s="1"/>
  <c r="M10" i="33"/>
  <c r="M10" i="34" s="1"/>
  <c r="N10" i="33"/>
  <c r="N10" i="34" s="1"/>
  <c r="O10" i="33"/>
  <c r="O10" i="34" s="1"/>
  <c r="P10" i="33"/>
  <c r="P10" i="34" s="1"/>
  <c r="Q10" i="33"/>
  <c r="Q10" i="34" s="1"/>
  <c r="R10" i="33"/>
  <c r="R10" i="34" s="1"/>
  <c r="S10" i="33"/>
  <c r="S10" i="34" s="1"/>
  <c r="T10" i="33"/>
  <c r="T10" i="34" s="1"/>
  <c r="U10" i="33"/>
  <c r="U10" i="34" s="1"/>
  <c r="V10" i="33"/>
  <c r="V10" i="34" s="1"/>
  <c r="W10" i="33"/>
  <c r="W10" i="34" s="1"/>
  <c r="X10" i="33"/>
  <c r="X10" i="34" s="1"/>
  <c r="Y10" i="33"/>
  <c r="Y10" i="34" s="1"/>
  <c r="Z10" i="33"/>
  <c r="Z10" i="34" s="1"/>
  <c r="AA10" i="33"/>
  <c r="AA10" i="34" s="1"/>
  <c r="AB10" i="33"/>
  <c r="AB10" i="34" s="1"/>
  <c r="AC10" i="33"/>
  <c r="AC10" i="34" s="1"/>
  <c r="AD10" i="33"/>
  <c r="AD10" i="34" s="1"/>
  <c r="AE10" i="33"/>
  <c r="AE10" i="34" s="1"/>
  <c r="AL10" i="33"/>
  <c r="AL10" i="34" s="1"/>
  <c r="AM10" i="33"/>
  <c r="AM10" i="34" s="1"/>
  <c r="AN10" i="33"/>
  <c r="AN10" i="34" s="1"/>
  <c r="AO10" i="33"/>
  <c r="AO10" i="34" s="1"/>
  <c r="AP10" i="33"/>
  <c r="AP10" i="34" s="1"/>
  <c r="AQ10" i="33"/>
  <c r="AQ10" i="34" s="1"/>
  <c r="AR10" i="33"/>
  <c r="AR10" i="34" s="1"/>
  <c r="AS10" i="33"/>
  <c r="AS10" i="34" s="1"/>
  <c r="AT10" i="33"/>
  <c r="AT10" i="34" s="1"/>
  <c r="AU10" i="33"/>
  <c r="AU10" i="34" s="1"/>
  <c r="AV10" i="33"/>
  <c r="AV10" i="34" s="1"/>
  <c r="AW10" i="33"/>
  <c r="AW10" i="34" s="1"/>
  <c r="J11" i="33"/>
  <c r="J11" i="34" s="1"/>
  <c r="K11" i="33"/>
  <c r="K11" i="34" s="1"/>
  <c r="L11" i="33"/>
  <c r="L11" i="34" s="1"/>
  <c r="M11" i="33"/>
  <c r="M11" i="34" s="1"/>
  <c r="N11" i="33"/>
  <c r="N11" i="34" s="1"/>
  <c r="O11" i="33"/>
  <c r="O11" i="34" s="1"/>
  <c r="P11" i="33"/>
  <c r="P11" i="34" s="1"/>
  <c r="Q11" i="33"/>
  <c r="Q11" i="34" s="1"/>
  <c r="R11" i="33"/>
  <c r="R11" i="34" s="1"/>
  <c r="S11" i="33"/>
  <c r="S11" i="34" s="1"/>
  <c r="T11" i="33"/>
  <c r="T11" i="34" s="1"/>
  <c r="U11" i="33"/>
  <c r="U11" i="34" s="1"/>
  <c r="V11" i="33"/>
  <c r="V11" i="34" s="1"/>
  <c r="W11" i="33"/>
  <c r="W11" i="34" s="1"/>
  <c r="X11" i="33"/>
  <c r="X11" i="34" s="1"/>
  <c r="Y11" i="33"/>
  <c r="Y11" i="34" s="1"/>
  <c r="Z11" i="33"/>
  <c r="Z11" i="34" s="1"/>
  <c r="AA11" i="33"/>
  <c r="AA11" i="34" s="1"/>
  <c r="AB11" i="33"/>
  <c r="AB11" i="34" s="1"/>
  <c r="AC11" i="33"/>
  <c r="AC11" i="34" s="1"/>
  <c r="AD11" i="33"/>
  <c r="AD11" i="34" s="1"/>
  <c r="AE11" i="33"/>
  <c r="AE11" i="34" s="1"/>
  <c r="AL11" i="33"/>
  <c r="AL11" i="34" s="1"/>
  <c r="AM11" i="33"/>
  <c r="AM11" i="34" s="1"/>
  <c r="AN11" i="33"/>
  <c r="AN11" i="34" s="1"/>
  <c r="AO11" i="33"/>
  <c r="AO11" i="34" s="1"/>
  <c r="AP11" i="33"/>
  <c r="AP11" i="34" s="1"/>
  <c r="AQ11" i="33"/>
  <c r="AQ11" i="34" s="1"/>
  <c r="AR11" i="33"/>
  <c r="AR11" i="34" s="1"/>
  <c r="AS11" i="33"/>
  <c r="AS11" i="34" s="1"/>
  <c r="AT11" i="33"/>
  <c r="AT11" i="34" s="1"/>
  <c r="AU11" i="33"/>
  <c r="AU11" i="34" s="1"/>
  <c r="AV11" i="33"/>
  <c r="AV11" i="34" s="1"/>
  <c r="AW11" i="33"/>
  <c r="AW11" i="34" s="1"/>
  <c r="AL12" i="33"/>
  <c r="AL12" i="34" s="1"/>
  <c r="AM12" i="33"/>
  <c r="AM12" i="34" s="1"/>
  <c r="AN12" i="33"/>
  <c r="AN12" i="34" s="1"/>
  <c r="AO12" i="33"/>
  <c r="AO12" i="34" s="1"/>
  <c r="AP12" i="33"/>
  <c r="AP12" i="34" s="1"/>
  <c r="AQ12" i="33"/>
  <c r="AQ12" i="34" s="1"/>
  <c r="AR12" i="33"/>
  <c r="AR12" i="34" s="1"/>
  <c r="AS12" i="33"/>
  <c r="AS12" i="34" s="1"/>
  <c r="AT12" i="33"/>
  <c r="AT12" i="34" s="1"/>
  <c r="AU12" i="33"/>
  <c r="AU12" i="34" s="1"/>
  <c r="AV12" i="33"/>
  <c r="AV12" i="34" s="1"/>
  <c r="AW12" i="33"/>
  <c r="AW12" i="34" s="1"/>
  <c r="AL13" i="33"/>
  <c r="AL13" i="34" s="1"/>
  <c r="AM13" i="33"/>
  <c r="AM13" i="34" s="1"/>
  <c r="AN13" i="33"/>
  <c r="AN13" i="34" s="1"/>
  <c r="AO13" i="33"/>
  <c r="AO13" i="34" s="1"/>
  <c r="AP13" i="33"/>
  <c r="AP13" i="34" s="1"/>
  <c r="AQ13" i="33"/>
  <c r="AQ13" i="34" s="1"/>
  <c r="AR13" i="33"/>
  <c r="AR13" i="34" s="1"/>
  <c r="AS13" i="33"/>
  <c r="AS13" i="34" s="1"/>
  <c r="AT13" i="33"/>
  <c r="AT13" i="34" s="1"/>
  <c r="AU13" i="33"/>
  <c r="AU13" i="34" s="1"/>
  <c r="AV13" i="33"/>
  <c r="AV13" i="34" s="1"/>
  <c r="AW13" i="33"/>
  <c r="AW13" i="34" s="1"/>
  <c r="AL14" i="33"/>
  <c r="AL14" i="34" s="1"/>
  <c r="AM14" i="33"/>
  <c r="AM14" i="34" s="1"/>
  <c r="AN14" i="33"/>
  <c r="AN14" i="34" s="1"/>
  <c r="AO14" i="33"/>
  <c r="AO14" i="34" s="1"/>
  <c r="AP14" i="33"/>
  <c r="AP14" i="34" s="1"/>
  <c r="AQ14" i="33"/>
  <c r="AQ14" i="34" s="1"/>
  <c r="AR14" i="33"/>
  <c r="AR14" i="34" s="1"/>
  <c r="AS14" i="33"/>
  <c r="AS14" i="34" s="1"/>
  <c r="AT14" i="33"/>
  <c r="AT14" i="34" s="1"/>
  <c r="AU14" i="33"/>
  <c r="AU14" i="34" s="1"/>
  <c r="AV14" i="33"/>
  <c r="AV14" i="34" s="1"/>
  <c r="AW14" i="33"/>
  <c r="AW14" i="34" s="1"/>
  <c r="AL15" i="33"/>
  <c r="AL15" i="34" s="1"/>
  <c r="AM15" i="33"/>
  <c r="AM15" i="34" s="1"/>
  <c r="AN15" i="33"/>
  <c r="AN15" i="34" s="1"/>
  <c r="AO15" i="33"/>
  <c r="AO15" i="34" s="1"/>
  <c r="AP15" i="33"/>
  <c r="AP15" i="34" s="1"/>
  <c r="AQ15" i="33"/>
  <c r="AQ15" i="34" s="1"/>
  <c r="AR15" i="33"/>
  <c r="AR15" i="34" s="1"/>
  <c r="AS15" i="33"/>
  <c r="AS15" i="34" s="1"/>
  <c r="AT15" i="33"/>
  <c r="AT15" i="34" s="1"/>
  <c r="AU15" i="33"/>
  <c r="AU15" i="34" s="1"/>
  <c r="AV15" i="33"/>
  <c r="AV15" i="34" s="1"/>
  <c r="AW15" i="33"/>
  <c r="AW15" i="34" s="1"/>
  <c r="W16" i="33"/>
  <c r="W16" i="34" s="1"/>
  <c r="X16" i="33"/>
  <c r="X16" i="34" s="1"/>
  <c r="AD16" i="33"/>
  <c r="AD16" i="34" s="1"/>
  <c r="AE16" i="33"/>
  <c r="AE16" i="34" s="1"/>
  <c r="AL16" i="33"/>
  <c r="AL16" i="34" s="1"/>
  <c r="AM16" i="33"/>
  <c r="AM16" i="34" s="1"/>
  <c r="AL17" i="33"/>
  <c r="AL17" i="34" s="1"/>
  <c r="AM17" i="33"/>
  <c r="AM17" i="34" s="1"/>
  <c r="AL18" i="33"/>
  <c r="AL18" i="34" s="1"/>
  <c r="AM18" i="33"/>
  <c r="AM18" i="34" s="1"/>
  <c r="AN18" i="33"/>
  <c r="AN18" i="34" s="1"/>
  <c r="AO18" i="33"/>
  <c r="AO18" i="34" s="1"/>
  <c r="AP18" i="33"/>
  <c r="AP18" i="34" s="1"/>
  <c r="AQ18" i="33"/>
  <c r="AQ18" i="34" s="1"/>
  <c r="AR18" i="33"/>
  <c r="AR18" i="34" s="1"/>
  <c r="AS18" i="33"/>
  <c r="AS18" i="34" s="1"/>
  <c r="AT18" i="33"/>
  <c r="AT18" i="34" s="1"/>
  <c r="AU18" i="33"/>
  <c r="AU18" i="34" s="1"/>
  <c r="AV18" i="33"/>
  <c r="AV18" i="34" s="1"/>
  <c r="AW18" i="33"/>
  <c r="AW18" i="34" s="1"/>
  <c r="AL19" i="33"/>
  <c r="AL19" i="34" s="1"/>
  <c r="AM19" i="33"/>
  <c r="AM19" i="34" s="1"/>
  <c r="AN19" i="33"/>
  <c r="AN19" i="34" s="1"/>
  <c r="AO19" i="33"/>
  <c r="AO19" i="34" s="1"/>
  <c r="AP19" i="33"/>
  <c r="AP19" i="34" s="1"/>
  <c r="AQ19" i="33"/>
  <c r="AQ19" i="34" s="1"/>
  <c r="AR19" i="33"/>
  <c r="AR19" i="34" s="1"/>
  <c r="AS19" i="33"/>
  <c r="AS19" i="34" s="1"/>
  <c r="AT19" i="33"/>
  <c r="AT19" i="34" s="1"/>
  <c r="AU19" i="33"/>
  <c r="AU19" i="34" s="1"/>
  <c r="AV19" i="33"/>
  <c r="AV19" i="34" s="1"/>
  <c r="AW19" i="33"/>
  <c r="AW19" i="34" s="1"/>
  <c r="AL20" i="33"/>
  <c r="AL20" i="34" s="1"/>
  <c r="AM20" i="33"/>
  <c r="AM20" i="34" s="1"/>
  <c r="AN20" i="33"/>
  <c r="AN20" i="34" s="1"/>
  <c r="AO20" i="33"/>
  <c r="AO20" i="34" s="1"/>
  <c r="AP20" i="33"/>
  <c r="AP20" i="34" s="1"/>
  <c r="AQ20" i="33"/>
  <c r="AQ20" i="34" s="1"/>
  <c r="AR20" i="33"/>
  <c r="AR20" i="34" s="1"/>
  <c r="AS20" i="33"/>
  <c r="AS20" i="34" s="1"/>
  <c r="AT20" i="33"/>
  <c r="AT20" i="34" s="1"/>
  <c r="AU20" i="33"/>
  <c r="AU20" i="34" s="1"/>
  <c r="AV20" i="33"/>
  <c r="AV20" i="34" s="1"/>
  <c r="AW20" i="33"/>
  <c r="AW20" i="34" s="1"/>
  <c r="Q21" i="33"/>
  <c r="Q21" i="34" s="1"/>
  <c r="AL21" i="33"/>
  <c r="AL21" i="34" s="1"/>
  <c r="AM21" i="33"/>
  <c r="AM21" i="34" s="1"/>
  <c r="AN21" i="33"/>
  <c r="AN21" i="34" s="1"/>
  <c r="AO21" i="33"/>
  <c r="AO21" i="34" s="1"/>
  <c r="AP21" i="33"/>
  <c r="AP21" i="34" s="1"/>
  <c r="AQ21" i="33"/>
  <c r="AQ21" i="34" s="1"/>
  <c r="AR21" i="33"/>
  <c r="AR21" i="34" s="1"/>
  <c r="AS21" i="33"/>
  <c r="AS21" i="34" s="1"/>
  <c r="AT21" i="33"/>
  <c r="AT21" i="34" s="1"/>
  <c r="AU21" i="33"/>
  <c r="AU21" i="34" s="1"/>
  <c r="AV21" i="33"/>
  <c r="AV21" i="34" s="1"/>
  <c r="AW21" i="33"/>
  <c r="AW21" i="34" s="1"/>
  <c r="AL22" i="33"/>
  <c r="AL22" i="34" s="1"/>
  <c r="AM22" i="33"/>
  <c r="AM22" i="34" s="1"/>
  <c r="AN22" i="33"/>
  <c r="AN22" i="34" s="1"/>
  <c r="AO22" i="33"/>
  <c r="AO22" i="34" s="1"/>
  <c r="AP22" i="33"/>
  <c r="AP22" i="34" s="1"/>
  <c r="AQ22" i="33"/>
  <c r="AQ22" i="34" s="1"/>
  <c r="AR22" i="33"/>
  <c r="AR22" i="34" s="1"/>
  <c r="AS22" i="33"/>
  <c r="AS22" i="34" s="1"/>
  <c r="AT22" i="33"/>
  <c r="AT22" i="34" s="1"/>
  <c r="AU22" i="33"/>
  <c r="AU22" i="34" s="1"/>
  <c r="AV22" i="33"/>
  <c r="AV22" i="34" s="1"/>
  <c r="AW22" i="33"/>
  <c r="AW22" i="34" s="1"/>
  <c r="J23" i="33"/>
  <c r="J23" i="34" s="1"/>
  <c r="O23" i="33"/>
  <c r="O23" i="34" s="1"/>
  <c r="P23" i="33"/>
  <c r="P23" i="34" s="1"/>
  <c r="T23" i="33"/>
  <c r="T23" i="34" s="1"/>
  <c r="U23" i="33"/>
  <c r="U23" i="34" s="1"/>
  <c r="W23" i="33"/>
  <c r="W23" i="34" s="1"/>
  <c r="X23" i="33"/>
  <c r="X23" i="34" s="1"/>
  <c r="AB23" i="33"/>
  <c r="AB23" i="34" s="1"/>
  <c r="AC23" i="33"/>
  <c r="AC23" i="34" s="1"/>
  <c r="AD23" i="33"/>
  <c r="AD23" i="34" s="1"/>
  <c r="AE23" i="33"/>
  <c r="AE23" i="34" s="1"/>
  <c r="AL23" i="33"/>
  <c r="AL23" i="34" s="1"/>
  <c r="AM23" i="33"/>
  <c r="AM23" i="34" s="1"/>
  <c r="AN23" i="33"/>
  <c r="AN23" i="34" s="1"/>
  <c r="AO23" i="33"/>
  <c r="AO23" i="34" s="1"/>
  <c r="AP23" i="33"/>
  <c r="AP23" i="34" s="1"/>
  <c r="AQ23" i="33"/>
  <c r="AQ23" i="34" s="1"/>
  <c r="AR23" i="33"/>
  <c r="AR23" i="34" s="1"/>
  <c r="AS23" i="33"/>
  <c r="AS23" i="34" s="1"/>
  <c r="AT23" i="33"/>
  <c r="AT23" i="34" s="1"/>
  <c r="AU23" i="33"/>
  <c r="AU23" i="34" s="1"/>
  <c r="AV23" i="33"/>
  <c r="AV23" i="34" s="1"/>
  <c r="AW23" i="33"/>
  <c r="AW23" i="34" s="1"/>
  <c r="J24" i="33"/>
  <c r="J24" i="34" s="1"/>
  <c r="N24" i="33"/>
  <c r="N24" i="34" s="1"/>
  <c r="O24" i="33"/>
  <c r="O24" i="34" s="1"/>
  <c r="S24" i="33"/>
  <c r="S24" i="34" s="1"/>
  <c r="T24" i="33"/>
  <c r="T24" i="34" s="1"/>
  <c r="U24" i="33"/>
  <c r="U24" i="34" s="1"/>
  <c r="V24" i="33"/>
  <c r="V24" i="34" s="1"/>
  <c r="X24" i="33"/>
  <c r="X24" i="34" s="1"/>
  <c r="Y24" i="33"/>
  <c r="Y24" i="34" s="1"/>
  <c r="Z24" i="33"/>
  <c r="Z24" i="34" s="1"/>
  <c r="AC24" i="33"/>
  <c r="AC24" i="34" s="1"/>
  <c r="AD24" i="33"/>
  <c r="AD24" i="34" s="1"/>
  <c r="AE24" i="33"/>
  <c r="AE24" i="34" s="1"/>
  <c r="AL24" i="33"/>
  <c r="AL24" i="34" s="1"/>
  <c r="AM24" i="33"/>
  <c r="AM24" i="34" s="1"/>
  <c r="AN24" i="33"/>
  <c r="AN24" i="34" s="1"/>
  <c r="AO24" i="33"/>
  <c r="AO24" i="34" s="1"/>
  <c r="AP24" i="33"/>
  <c r="AP24" i="34" s="1"/>
  <c r="AQ24" i="33"/>
  <c r="AQ24" i="34" s="1"/>
  <c r="AR24" i="33"/>
  <c r="AR24" i="34" s="1"/>
  <c r="AS24" i="33"/>
  <c r="AS24" i="34" s="1"/>
  <c r="AT24" i="33"/>
  <c r="AT24" i="34" s="1"/>
  <c r="AU24" i="33"/>
  <c r="AU24" i="34" s="1"/>
  <c r="AV24" i="33"/>
  <c r="AV24" i="34" s="1"/>
  <c r="AW24" i="33"/>
  <c r="AW24" i="34" s="1"/>
  <c r="AL25" i="33"/>
  <c r="AL25" i="34" s="1"/>
  <c r="AM25" i="33"/>
  <c r="AM25" i="34" s="1"/>
  <c r="AN25" i="33"/>
  <c r="AN25" i="34" s="1"/>
  <c r="AO25" i="33"/>
  <c r="AO25" i="34" s="1"/>
  <c r="AP25" i="33"/>
  <c r="AP25" i="34" s="1"/>
  <c r="AQ25" i="33"/>
  <c r="AQ25" i="34" s="1"/>
  <c r="AR25" i="33"/>
  <c r="AR25" i="34" s="1"/>
  <c r="AS25" i="33"/>
  <c r="AS25" i="34" s="1"/>
  <c r="AT25" i="33"/>
  <c r="AT25" i="34" s="1"/>
  <c r="AU25" i="33"/>
  <c r="AU25" i="34" s="1"/>
  <c r="AV25" i="33"/>
  <c r="AV25" i="34" s="1"/>
  <c r="AW25" i="33"/>
  <c r="AW25" i="34" s="1"/>
  <c r="L26" i="33"/>
  <c r="L26" i="34" s="1"/>
  <c r="M26" i="33"/>
  <c r="M26" i="34" s="1"/>
  <c r="O26" i="33"/>
  <c r="O26" i="34" s="1"/>
  <c r="R26" i="33"/>
  <c r="R26" i="34" s="1"/>
  <c r="S26" i="33"/>
  <c r="S26" i="34" s="1"/>
  <c r="T26" i="33"/>
  <c r="T26" i="34" s="1"/>
  <c r="W26" i="33"/>
  <c r="W26" i="34" s="1"/>
  <c r="X26" i="33"/>
  <c r="X26" i="34" s="1"/>
  <c r="Y26" i="33"/>
  <c r="Y26" i="34" s="1"/>
  <c r="Z26" i="33"/>
  <c r="Z26" i="34" s="1"/>
  <c r="AC26" i="33"/>
  <c r="AC26" i="34" s="1"/>
  <c r="AL26" i="33"/>
  <c r="AL26" i="34" s="1"/>
  <c r="AM26" i="33"/>
  <c r="AM26" i="34" s="1"/>
  <c r="AN26" i="33"/>
  <c r="AN26" i="34" s="1"/>
  <c r="AO26" i="33"/>
  <c r="AO26" i="34" s="1"/>
  <c r="AP26" i="33"/>
  <c r="AP26" i="34" s="1"/>
  <c r="AQ26" i="33"/>
  <c r="AQ26" i="34" s="1"/>
  <c r="AR26" i="33"/>
  <c r="AR26" i="34" s="1"/>
  <c r="AS26" i="33"/>
  <c r="AS26" i="34" s="1"/>
  <c r="AT26" i="33"/>
  <c r="AT26" i="34" s="1"/>
  <c r="AU26" i="33"/>
  <c r="AU26" i="34" s="1"/>
  <c r="AV26" i="33"/>
  <c r="AV26" i="34" s="1"/>
  <c r="AW26" i="33"/>
  <c r="AW26" i="34" s="1"/>
  <c r="AL27" i="33"/>
  <c r="AL27" i="34" s="1"/>
  <c r="AM27" i="33"/>
  <c r="AM27" i="34" s="1"/>
  <c r="AN27" i="33"/>
  <c r="AN27" i="34" s="1"/>
  <c r="AO27" i="33"/>
  <c r="AO27" i="34" s="1"/>
  <c r="AP27" i="33"/>
  <c r="AP27" i="34" s="1"/>
  <c r="AQ27" i="33"/>
  <c r="AQ27" i="34" s="1"/>
  <c r="AR27" i="33"/>
  <c r="AR27" i="34" s="1"/>
  <c r="AS27" i="33"/>
  <c r="AS27" i="34" s="1"/>
  <c r="AT27" i="33"/>
  <c r="AT27" i="34" s="1"/>
  <c r="AU27" i="33"/>
  <c r="AU27" i="34" s="1"/>
  <c r="AV27" i="33"/>
  <c r="AV27" i="34" s="1"/>
  <c r="AW27" i="33"/>
  <c r="AW27" i="34" s="1"/>
  <c r="AL28" i="33"/>
  <c r="AL28" i="34" s="1"/>
  <c r="AM28" i="33"/>
  <c r="AM28" i="34" s="1"/>
  <c r="AN28" i="33"/>
  <c r="AN28" i="34" s="1"/>
  <c r="AO28" i="33"/>
  <c r="AO28" i="34" s="1"/>
  <c r="AP28" i="33"/>
  <c r="AP28" i="34" s="1"/>
  <c r="AQ28" i="33"/>
  <c r="AQ28" i="34" s="1"/>
  <c r="AR28" i="33"/>
  <c r="AR28" i="34" s="1"/>
  <c r="AS28" i="33"/>
  <c r="AS28" i="34" s="1"/>
  <c r="AT28" i="33"/>
  <c r="AT28" i="34" s="1"/>
  <c r="AU28" i="33"/>
  <c r="AU28" i="34" s="1"/>
  <c r="AV28" i="33"/>
  <c r="AV28" i="34" s="1"/>
  <c r="AW28" i="33"/>
  <c r="AW28" i="34" s="1"/>
  <c r="J29" i="33"/>
  <c r="J29" i="34" s="1"/>
  <c r="K29" i="33"/>
  <c r="K29" i="34" s="1"/>
  <c r="L29" i="33"/>
  <c r="L29" i="34" s="1"/>
  <c r="M29" i="33"/>
  <c r="M29" i="34" s="1"/>
  <c r="N29" i="33"/>
  <c r="N29" i="34" s="1"/>
  <c r="O29" i="33"/>
  <c r="O29" i="34" s="1"/>
  <c r="P29" i="33"/>
  <c r="P29" i="34" s="1"/>
  <c r="Q29" i="33"/>
  <c r="Q29" i="34" s="1"/>
  <c r="R29" i="33"/>
  <c r="R29" i="34" s="1"/>
  <c r="S29" i="33"/>
  <c r="S29" i="34" s="1"/>
  <c r="T29" i="33"/>
  <c r="T29" i="34" s="1"/>
  <c r="U29" i="33"/>
  <c r="U29" i="34" s="1"/>
  <c r="V29" i="33"/>
  <c r="V29" i="34" s="1"/>
  <c r="W29" i="33"/>
  <c r="W29" i="34" s="1"/>
  <c r="X29" i="33"/>
  <c r="X29" i="34" s="1"/>
  <c r="Y29" i="33"/>
  <c r="Y29" i="34" s="1"/>
  <c r="Z29" i="33"/>
  <c r="Z29" i="34" s="1"/>
  <c r="AA29" i="33"/>
  <c r="AA29" i="34" s="1"/>
  <c r="AB29" i="33"/>
  <c r="AB29" i="34" s="1"/>
  <c r="AC29" i="33"/>
  <c r="AC29" i="34" s="1"/>
  <c r="AD29" i="33"/>
  <c r="AD29" i="34" s="1"/>
  <c r="AE29" i="33"/>
  <c r="AE29" i="34" s="1"/>
  <c r="AL29" i="33"/>
  <c r="AL29" i="34" s="1"/>
  <c r="AM29" i="33"/>
  <c r="AM29" i="34" s="1"/>
  <c r="AN29" i="33"/>
  <c r="AN29" i="34" s="1"/>
  <c r="AO29" i="33"/>
  <c r="AO29" i="34" s="1"/>
  <c r="AP29" i="33"/>
  <c r="AP29" i="34" s="1"/>
  <c r="AQ29" i="33"/>
  <c r="AQ29" i="34" s="1"/>
  <c r="AR29" i="33"/>
  <c r="AR29" i="34" s="1"/>
  <c r="AS29" i="33"/>
  <c r="AS29" i="34" s="1"/>
  <c r="AT29" i="33"/>
  <c r="AT29" i="34" s="1"/>
  <c r="AU29" i="33"/>
  <c r="AU29" i="34" s="1"/>
  <c r="AV29" i="33"/>
  <c r="AV29" i="34" s="1"/>
  <c r="AW29" i="33"/>
  <c r="AW29" i="34" s="1"/>
  <c r="M30" i="33"/>
  <c r="M30" i="34" s="1"/>
  <c r="N30" i="33"/>
  <c r="N30" i="34" s="1"/>
  <c r="O30" i="33"/>
  <c r="O30" i="34" s="1"/>
  <c r="P30" i="33"/>
  <c r="P30" i="34" s="1"/>
  <c r="S30" i="33"/>
  <c r="S30" i="34" s="1"/>
  <c r="T30" i="33"/>
  <c r="T30" i="34" s="1"/>
  <c r="U30" i="33"/>
  <c r="U30" i="34" s="1"/>
  <c r="Y30" i="33"/>
  <c r="Y30" i="34" s="1"/>
  <c r="Z30" i="33"/>
  <c r="Z30" i="34" s="1"/>
  <c r="AA30" i="33"/>
  <c r="AA30" i="34" s="1"/>
  <c r="AE30" i="33"/>
  <c r="AE30" i="34" s="1"/>
  <c r="AL30" i="33"/>
  <c r="AL30" i="34" s="1"/>
  <c r="AP30" i="33"/>
  <c r="AP30" i="34" s="1"/>
  <c r="AQ30" i="33"/>
  <c r="AQ30" i="34" s="1"/>
  <c r="AR30" i="33"/>
  <c r="AR30" i="34" s="1"/>
  <c r="AS30" i="33"/>
  <c r="AS30" i="34" s="1"/>
  <c r="AV30" i="33"/>
  <c r="AV30" i="34" s="1"/>
  <c r="AW30" i="33"/>
  <c r="AW30" i="34" s="1"/>
  <c r="J31" i="33"/>
  <c r="J31" i="34" s="1"/>
  <c r="K31" i="33"/>
  <c r="K31" i="34" s="1"/>
  <c r="L31" i="33"/>
  <c r="L31" i="34" s="1"/>
  <c r="M31" i="33"/>
  <c r="M31" i="34" s="1"/>
  <c r="N31" i="33"/>
  <c r="N31" i="34" s="1"/>
  <c r="O31" i="33"/>
  <c r="O31" i="34" s="1"/>
  <c r="P31" i="33"/>
  <c r="P31" i="34" s="1"/>
  <c r="Q31" i="33"/>
  <c r="Q31" i="34" s="1"/>
  <c r="R31" i="33"/>
  <c r="R31" i="34" s="1"/>
  <c r="S31" i="33"/>
  <c r="S31" i="34" s="1"/>
  <c r="T31" i="33"/>
  <c r="T31" i="34" s="1"/>
  <c r="U31" i="33"/>
  <c r="U31" i="34" s="1"/>
  <c r="V31" i="33"/>
  <c r="V31" i="34" s="1"/>
  <c r="W31" i="33"/>
  <c r="W31" i="34" s="1"/>
  <c r="X31" i="33"/>
  <c r="X31" i="34" s="1"/>
  <c r="Y31" i="33"/>
  <c r="Y31" i="34" s="1"/>
  <c r="Z31" i="33"/>
  <c r="Z31" i="34" s="1"/>
  <c r="AA31" i="33"/>
  <c r="AA31" i="34" s="1"/>
  <c r="AC31" i="33"/>
  <c r="AC31" i="34" s="1"/>
  <c r="AD31" i="33"/>
  <c r="AD31" i="34" s="1"/>
  <c r="AE31" i="33"/>
  <c r="AE31" i="34" s="1"/>
  <c r="AL31" i="33"/>
  <c r="AL31" i="34" s="1"/>
  <c r="AM31" i="33"/>
  <c r="AM31" i="34" s="1"/>
  <c r="AN31" i="33"/>
  <c r="AN31" i="34" s="1"/>
  <c r="AO31" i="33"/>
  <c r="AO31" i="34" s="1"/>
  <c r="AP31" i="33"/>
  <c r="AP31" i="34" s="1"/>
  <c r="AQ31" i="33"/>
  <c r="AQ31" i="34" s="1"/>
  <c r="AR31" i="33"/>
  <c r="AR31" i="34" s="1"/>
  <c r="AS31" i="33"/>
  <c r="AS31" i="34" s="1"/>
  <c r="AT31" i="33"/>
  <c r="AT31" i="34" s="1"/>
  <c r="AU31" i="33"/>
  <c r="AU31" i="34" s="1"/>
  <c r="AV31" i="33"/>
  <c r="AV31" i="34" s="1"/>
  <c r="AW31" i="33"/>
  <c r="AW31" i="34" s="1"/>
  <c r="J32" i="33"/>
  <c r="J32" i="34" s="1"/>
  <c r="K32" i="33"/>
  <c r="K32" i="34" s="1"/>
  <c r="L32" i="33"/>
  <c r="L32" i="34" s="1"/>
  <c r="M32" i="33"/>
  <c r="M32" i="34" s="1"/>
  <c r="N32" i="33"/>
  <c r="N32" i="34" s="1"/>
  <c r="O32" i="33"/>
  <c r="O32" i="34" s="1"/>
  <c r="P32" i="33"/>
  <c r="P32" i="34" s="1"/>
  <c r="Q32" i="33"/>
  <c r="Q32" i="34" s="1"/>
  <c r="R32" i="33"/>
  <c r="R32" i="34" s="1"/>
  <c r="S32" i="33"/>
  <c r="S32" i="34" s="1"/>
  <c r="T32" i="33"/>
  <c r="T32" i="34" s="1"/>
  <c r="U32" i="33"/>
  <c r="U32" i="34" s="1"/>
  <c r="V32" i="33"/>
  <c r="V32" i="34" s="1"/>
  <c r="W32" i="33"/>
  <c r="W32" i="34" s="1"/>
  <c r="X32" i="33"/>
  <c r="X32" i="34" s="1"/>
  <c r="Y32" i="33"/>
  <c r="Y32" i="34" s="1"/>
  <c r="Z32" i="33"/>
  <c r="Z32" i="34" s="1"/>
  <c r="AA32" i="33"/>
  <c r="AA32" i="34" s="1"/>
  <c r="AC32" i="33"/>
  <c r="AC32" i="34" s="1"/>
  <c r="AD32" i="33"/>
  <c r="AD32" i="34" s="1"/>
  <c r="AE32" i="33"/>
  <c r="AE32" i="34" s="1"/>
  <c r="AL32" i="33"/>
  <c r="AL32" i="34" s="1"/>
  <c r="AM32" i="33"/>
  <c r="AM32" i="34" s="1"/>
  <c r="AN32" i="33"/>
  <c r="AN32" i="34" s="1"/>
  <c r="AO32" i="33"/>
  <c r="AO32" i="34" s="1"/>
  <c r="AP32" i="33"/>
  <c r="AP32" i="34" s="1"/>
  <c r="AQ32" i="33"/>
  <c r="AQ32" i="34" s="1"/>
  <c r="AR32" i="33"/>
  <c r="AR32" i="34" s="1"/>
  <c r="AS32" i="33"/>
  <c r="AS32" i="34" s="1"/>
  <c r="AT32" i="33"/>
  <c r="AT32" i="34" s="1"/>
  <c r="AU32" i="33"/>
  <c r="AU32" i="34" s="1"/>
  <c r="AV32" i="33"/>
  <c r="AV32" i="34" s="1"/>
  <c r="AW32" i="33"/>
  <c r="AW32" i="34" s="1"/>
  <c r="J33" i="33"/>
  <c r="J33" i="34" s="1"/>
  <c r="K33" i="33"/>
  <c r="K33" i="34" s="1"/>
  <c r="L33" i="33"/>
  <c r="L33" i="34" s="1"/>
  <c r="M33" i="33"/>
  <c r="M33" i="34" s="1"/>
  <c r="N33" i="33"/>
  <c r="N33" i="34" s="1"/>
  <c r="O33" i="33"/>
  <c r="O33" i="34" s="1"/>
  <c r="P33" i="33"/>
  <c r="P33" i="34" s="1"/>
  <c r="Q33" i="33"/>
  <c r="Q33" i="34" s="1"/>
  <c r="R33" i="33"/>
  <c r="R33" i="34" s="1"/>
  <c r="S33" i="33"/>
  <c r="S33" i="34" s="1"/>
  <c r="T33" i="33"/>
  <c r="T33" i="34" s="1"/>
  <c r="U33" i="33"/>
  <c r="U33" i="34" s="1"/>
  <c r="V33" i="33"/>
  <c r="V33" i="34" s="1"/>
  <c r="W33" i="33"/>
  <c r="W33" i="34" s="1"/>
  <c r="X33" i="33"/>
  <c r="X33" i="34" s="1"/>
  <c r="Y33" i="33"/>
  <c r="Y33" i="34" s="1"/>
  <c r="Z33" i="33"/>
  <c r="Z33" i="34" s="1"/>
  <c r="AA33" i="33"/>
  <c r="AA33" i="34" s="1"/>
  <c r="AC33" i="33"/>
  <c r="AC33" i="34" s="1"/>
  <c r="AD33" i="33"/>
  <c r="AD33" i="34" s="1"/>
  <c r="AE33" i="33"/>
  <c r="AE33" i="34" s="1"/>
  <c r="AL33" i="33"/>
  <c r="AL33" i="34" s="1"/>
  <c r="AM33" i="33"/>
  <c r="AM33" i="34" s="1"/>
  <c r="AN33" i="33"/>
  <c r="AN33" i="34" s="1"/>
  <c r="AO33" i="33"/>
  <c r="AO33" i="34" s="1"/>
  <c r="AP33" i="33"/>
  <c r="AP33" i="34" s="1"/>
  <c r="AQ33" i="33"/>
  <c r="AQ33" i="34" s="1"/>
  <c r="AR33" i="33"/>
  <c r="AR33" i="34" s="1"/>
  <c r="AS33" i="33"/>
  <c r="AS33" i="34" s="1"/>
  <c r="AT33" i="33"/>
  <c r="AT33" i="34" s="1"/>
  <c r="AU33" i="33"/>
  <c r="AU33" i="34" s="1"/>
  <c r="AV33" i="33"/>
  <c r="AV33" i="34" s="1"/>
  <c r="AW33" i="33"/>
  <c r="AW33" i="34" s="1"/>
  <c r="J34" i="33"/>
  <c r="J34" i="34" s="1"/>
  <c r="K34" i="33"/>
  <c r="K34" i="34" s="1"/>
  <c r="L34" i="33"/>
  <c r="L34" i="34" s="1"/>
  <c r="M34" i="33"/>
  <c r="M34" i="34" s="1"/>
  <c r="N34" i="33"/>
  <c r="N34" i="34" s="1"/>
  <c r="O34" i="33"/>
  <c r="O34" i="34" s="1"/>
  <c r="P34" i="33"/>
  <c r="P34" i="34" s="1"/>
  <c r="Q34" i="33"/>
  <c r="Q34" i="34" s="1"/>
  <c r="R34" i="33"/>
  <c r="R34" i="34" s="1"/>
  <c r="S34" i="33"/>
  <c r="S34" i="34" s="1"/>
  <c r="T34" i="33"/>
  <c r="T34" i="34" s="1"/>
  <c r="U34" i="33"/>
  <c r="U34" i="34" s="1"/>
  <c r="V34" i="33"/>
  <c r="V34" i="34" s="1"/>
  <c r="W34" i="33"/>
  <c r="W34" i="34" s="1"/>
  <c r="X34" i="33"/>
  <c r="X34" i="34" s="1"/>
  <c r="Y34" i="33"/>
  <c r="Y34" i="34" s="1"/>
  <c r="Z34" i="33"/>
  <c r="Z34" i="34" s="1"/>
  <c r="AA34" i="33"/>
  <c r="AA34" i="34" s="1"/>
  <c r="AC34" i="33"/>
  <c r="AC34" i="34" s="1"/>
  <c r="AD34" i="33"/>
  <c r="AD34" i="34" s="1"/>
  <c r="AE34" i="33"/>
  <c r="AE34" i="34" s="1"/>
  <c r="AL34" i="33"/>
  <c r="AL34" i="34" s="1"/>
  <c r="AM34" i="33"/>
  <c r="AM34" i="34" s="1"/>
  <c r="AN34" i="33"/>
  <c r="AN34" i="34" s="1"/>
  <c r="AO34" i="33"/>
  <c r="AO34" i="34" s="1"/>
  <c r="AP34" i="33"/>
  <c r="AP34" i="34" s="1"/>
  <c r="AQ34" i="33"/>
  <c r="AQ34" i="34" s="1"/>
  <c r="AR34" i="33"/>
  <c r="AR34" i="34" s="1"/>
  <c r="AS34" i="33"/>
  <c r="AS34" i="34" s="1"/>
  <c r="AT34" i="33"/>
  <c r="AT34" i="34" s="1"/>
  <c r="AU34" i="33"/>
  <c r="AU34" i="34" s="1"/>
  <c r="AV34" i="33"/>
  <c r="AV34" i="34" s="1"/>
  <c r="AW34" i="33"/>
  <c r="AW34" i="34" s="1"/>
  <c r="J35" i="33"/>
  <c r="J35" i="34" s="1"/>
  <c r="K35" i="33"/>
  <c r="K35" i="34" s="1"/>
  <c r="L35" i="33"/>
  <c r="L35" i="34" s="1"/>
  <c r="M35" i="33"/>
  <c r="M35" i="34" s="1"/>
  <c r="N35" i="33"/>
  <c r="N35" i="34" s="1"/>
  <c r="O35" i="33"/>
  <c r="O35" i="34" s="1"/>
  <c r="P35" i="33"/>
  <c r="P35" i="34" s="1"/>
  <c r="Q35" i="33"/>
  <c r="Q35" i="34" s="1"/>
  <c r="R35" i="33"/>
  <c r="R35" i="34" s="1"/>
  <c r="S35" i="33"/>
  <c r="S35" i="34" s="1"/>
  <c r="T35" i="33"/>
  <c r="T35" i="34" s="1"/>
  <c r="U35" i="33"/>
  <c r="U35" i="34" s="1"/>
  <c r="V35" i="33"/>
  <c r="V35" i="34" s="1"/>
  <c r="W35" i="33"/>
  <c r="W35" i="34" s="1"/>
  <c r="X35" i="33"/>
  <c r="X35" i="34" s="1"/>
  <c r="Y35" i="33"/>
  <c r="Y35" i="34" s="1"/>
  <c r="Z35" i="33"/>
  <c r="Z35" i="34" s="1"/>
  <c r="AA35" i="33"/>
  <c r="AA35" i="34" s="1"/>
  <c r="AC35" i="33"/>
  <c r="AC35" i="34" s="1"/>
  <c r="AD35" i="33"/>
  <c r="AD35" i="34" s="1"/>
  <c r="AE35" i="33"/>
  <c r="AE35" i="34" s="1"/>
  <c r="AL35" i="33"/>
  <c r="AL35" i="34" s="1"/>
  <c r="AM35" i="33"/>
  <c r="AM35" i="34" s="1"/>
  <c r="AN35" i="33"/>
  <c r="AN35" i="34" s="1"/>
  <c r="AO35" i="33"/>
  <c r="AO35" i="34" s="1"/>
  <c r="AP35" i="33"/>
  <c r="AP35" i="34" s="1"/>
  <c r="AQ35" i="33"/>
  <c r="AQ35" i="34" s="1"/>
  <c r="AR35" i="33"/>
  <c r="AR35" i="34" s="1"/>
  <c r="AS35" i="33"/>
  <c r="AS35" i="34" s="1"/>
  <c r="AT35" i="33"/>
  <c r="AT35" i="34" s="1"/>
  <c r="AU35" i="33"/>
  <c r="AU35" i="34" s="1"/>
  <c r="AV35" i="33"/>
  <c r="AV35" i="34" s="1"/>
  <c r="AW35" i="33"/>
  <c r="AW35" i="34" s="1"/>
  <c r="J36" i="33"/>
  <c r="J36" i="34" s="1"/>
  <c r="K36" i="33"/>
  <c r="K36" i="34" s="1"/>
  <c r="L36" i="33"/>
  <c r="L36" i="34" s="1"/>
  <c r="M36" i="33"/>
  <c r="M36" i="34" s="1"/>
  <c r="N36" i="33"/>
  <c r="N36" i="34" s="1"/>
  <c r="O36" i="33"/>
  <c r="O36" i="34" s="1"/>
  <c r="P36" i="33"/>
  <c r="P36" i="34" s="1"/>
  <c r="Q36" i="33"/>
  <c r="Q36" i="34" s="1"/>
  <c r="R36" i="33"/>
  <c r="R36" i="34" s="1"/>
  <c r="S36" i="33"/>
  <c r="S36" i="34" s="1"/>
  <c r="T36" i="33"/>
  <c r="T36" i="34" s="1"/>
  <c r="U36" i="33"/>
  <c r="U36" i="34" s="1"/>
  <c r="V36" i="33"/>
  <c r="V36" i="34" s="1"/>
  <c r="W36" i="33"/>
  <c r="W36" i="34" s="1"/>
  <c r="X36" i="33"/>
  <c r="X36" i="34" s="1"/>
  <c r="Y36" i="33"/>
  <c r="Y36" i="34" s="1"/>
  <c r="Z36" i="33"/>
  <c r="Z36" i="34" s="1"/>
  <c r="AA36" i="33"/>
  <c r="AA36" i="34" s="1"/>
  <c r="AC36" i="33"/>
  <c r="AC36" i="34" s="1"/>
  <c r="AD36" i="33"/>
  <c r="AD36" i="34" s="1"/>
  <c r="AE36" i="33"/>
  <c r="AE36" i="34" s="1"/>
  <c r="AL36" i="33"/>
  <c r="AL36" i="34" s="1"/>
  <c r="AM36" i="33"/>
  <c r="AM36" i="34" s="1"/>
  <c r="AN36" i="33"/>
  <c r="AN36" i="34" s="1"/>
  <c r="AO36" i="33"/>
  <c r="AO36" i="34" s="1"/>
  <c r="AP36" i="33"/>
  <c r="AP36" i="34" s="1"/>
  <c r="AQ36" i="33"/>
  <c r="AQ36" i="34" s="1"/>
  <c r="AR36" i="33"/>
  <c r="AR36" i="34" s="1"/>
  <c r="AS36" i="33"/>
  <c r="AS36" i="34" s="1"/>
  <c r="AT36" i="33"/>
  <c r="AT36" i="34" s="1"/>
  <c r="AU36" i="33"/>
  <c r="AU36" i="34" s="1"/>
  <c r="AV36" i="33"/>
  <c r="AV36" i="34" s="1"/>
  <c r="AW36" i="33"/>
  <c r="AW36" i="34" s="1"/>
  <c r="J37" i="33"/>
  <c r="J37" i="34" s="1"/>
  <c r="K37" i="33"/>
  <c r="K37" i="34" s="1"/>
  <c r="L37" i="33"/>
  <c r="L37" i="34" s="1"/>
  <c r="M37" i="33"/>
  <c r="M37" i="34" s="1"/>
  <c r="N37" i="33"/>
  <c r="N37" i="34" s="1"/>
  <c r="O37" i="33"/>
  <c r="O37" i="34" s="1"/>
  <c r="P37" i="33"/>
  <c r="P37" i="34" s="1"/>
  <c r="Q37" i="33"/>
  <c r="Q37" i="34" s="1"/>
  <c r="R37" i="33"/>
  <c r="R37" i="34" s="1"/>
  <c r="S37" i="33"/>
  <c r="S37" i="34" s="1"/>
  <c r="T37" i="33"/>
  <c r="T37" i="34" s="1"/>
  <c r="U37" i="33"/>
  <c r="U37" i="34" s="1"/>
  <c r="V37" i="33"/>
  <c r="V37" i="34" s="1"/>
  <c r="W37" i="33"/>
  <c r="W37" i="34" s="1"/>
  <c r="X37" i="33"/>
  <c r="X37" i="34" s="1"/>
  <c r="Y37" i="33"/>
  <c r="Y37" i="34" s="1"/>
  <c r="Z37" i="33"/>
  <c r="Z37" i="34" s="1"/>
  <c r="AA37" i="33"/>
  <c r="AA37" i="34" s="1"/>
  <c r="AB37" i="33"/>
  <c r="AB37" i="34" s="1"/>
  <c r="AC37" i="33"/>
  <c r="AC37" i="34" s="1"/>
  <c r="AD37" i="33"/>
  <c r="AD37" i="34" s="1"/>
  <c r="AE37" i="33"/>
  <c r="AE37" i="34" s="1"/>
  <c r="AL37" i="33"/>
  <c r="AL37" i="34" s="1"/>
  <c r="AM37" i="33"/>
  <c r="AM37" i="34" s="1"/>
  <c r="AN37" i="33"/>
  <c r="AN37" i="34" s="1"/>
  <c r="AO37" i="33"/>
  <c r="AO37" i="34" s="1"/>
  <c r="AP37" i="33"/>
  <c r="AP37" i="34" s="1"/>
  <c r="AQ37" i="33"/>
  <c r="AQ37" i="34" s="1"/>
  <c r="AR37" i="33"/>
  <c r="AR37" i="34" s="1"/>
  <c r="AS37" i="33"/>
  <c r="AS37" i="34" s="1"/>
  <c r="AT37" i="33"/>
  <c r="AT37" i="34" s="1"/>
  <c r="AU37" i="33"/>
  <c r="AU37" i="34" s="1"/>
  <c r="AV37" i="33"/>
  <c r="AV37" i="34" s="1"/>
  <c r="AW37" i="33"/>
  <c r="AW37" i="34" s="1"/>
  <c r="J38" i="33"/>
  <c r="J38" i="34" s="1"/>
  <c r="K38" i="33"/>
  <c r="K38" i="34" s="1"/>
  <c r="L38" i="33"/>
  <c r="L38" i="34" s="1"/>
  <c r="M38" i="33"/>
  <c r="M38" i="34" s="1"/>
  <c r="N38" i="33"/>
  <c r="N38" i="34" s="1"/>
  <c r="O38" i="33"/>
  <c r="O38" i="34" s="1"/>
  <c r="P38" i="33"/>
  <c r="P38" i="34" s="1"/>
  <c r="Q38" i="33"/>
  <c r="Q38" i="34" s="1"/>
  <c r="R38" i="33"/>
  <c r="R38" i="34" s="1"/>
  <c r="S38" i="33"/>
  <c r="S38" i="34" s="1"/>
  <c r="T38" i="33"/>
  <c r="T38" i="34" s="1"/>
  <c r="U38" i="33"/>
  <c r="U38" i="34" s="1"/>
  <c r="V38" i="33"/>
  <c r="V38" i="34" s="1"/>
  <c r="W38" i="33"/>
  <c r="W38" i="34" s="1"/>
  <c r="X38" i="33"/>
  <c r="X38" i="34" s="1"/>
  <c r="Y38" i="33"/>
  <c r="Y38" i="34" s="1"/>
  <c r="Z38" i="33"/>
  <c r="Z38" i="34" s="1"/>
  <c r="AA38" i="33"/>
  <c r="AA38" i="34" s="1"/>
  <c r="AB38" i="33"/>
  <c r="AB38" i="34" s="1"/>
  <c r="AC38" i="33"/>
  <c r="AC38" i="34" s="1"/>
  <c r="AD38" i="33"/>
  <c r="AD38" i="34" s="1"/>
  <c r="AE38" i="33"/>
  <c r="AE38" i="34" s="1"/>
  <c r="AL38" i="33"/>
  <c r="AL38" i="34" s="1"/>
  <c r="AM38" i="33"/>
  <c r="AM38" i="34" s="1"/>
  <c r="AN38" i="33"/>
  <c r="AN38" i="34" s="1"/>
  <c r="AO38" i="33"/>
  <c r="AO38" i="34" s="1"/>
  <c r="AP38" i="33"/>
  <c r="AP38" i="34" s="1"/>
  <c r="AQ38" i="33"/>
  <c r="AQ38" i="34" s="1"/>
  <c r="AR38" i="33"/>
  <c r="AR38" i="34" s="1"/>
  <c r="AS38" i="33"/>
  <c r="AS38" i="34" s="1"/>
  <c r="AT38" i="33"/>
  <c r="AT38" i="34" s="1"/>
  <c r="AU38" i="33"/>
  <c r="AU38" i="34" s="1"/>
  <c r="AV38" i="33"/>
  <c r="AV38" i="34" s="1"/>
  <c r="AW38" i="33"/>
  <c r="AW38" i="34" s="1"/>
  <c r="J39" i="33"/>
  <c r="J39" i="34" s="1"/>
  <c r="K39" i="33"/>
  <c r="K39" i="34" s="1"/>
  <c r="L39" i="33"/>
  <c r="L39" i="34" s="1"/>
  <c r="M39" i="33"/>
  <c r="M39" i="34" s="1"/>
  <c r="N39" i="33"/>
  <c r="N39" i="34" s="1"/>
  <c r="O39" i="33"/>
  <c r="O39" i="34" s="1"/>
  <c r="P39" i="33"/>
  <c r="P39" i="34" s="1"/>
  <c r="Q39" i="33"/>
  <c r="Q39" i="34" s="1"/>
  <c r="R39" i="33"/>
  <c r="R39" i="34" s="1"/>
  <c r="S39" i="33"/>
  <c r="S39" i="34" s="1"/>
  <c r="T39" i="33"/>
  <c r="T39" i="34" s="1"/>
  <c r="U39" i="33"/>
  <c r="U39" i="34" s="1"/>
  <c r="V39" i="33"/>
  <c r="V39" i="34" s="1"/>
  <c r="W39" i="33"/>
  <c r="W39" i="34" s="1"/>
  <c r="X39" i="33"/>
  <c r="X39" i="34" s="1"/>
  <c r="Y39" i="33"/>
  <c r="Y39" i="34" s="1"/>
  <c r="Z39" i="33"/>
  <c r="Z39" i="34" s="1"/>
  <c r="AA39" i="33"/>
  <c r="AA39" i="34" s="1"/>
  <c r="AC39" i="33"/>
  <c r="AC39" i="34" s="1"/>
  <c r="AD39" i="33"/>
  <c r="AD39" i="34" s="1"/>
  <c r="AE39" i="33"/>
  <c r="AE39" i="34" s="1"/>
  <c r="AL39" i="33"/>
  <c r="AL39" i="34" s="1"/>
  <c r="AM39" i="33"/>
  <c r="AM39" i="34" s="1"/>
  <c r="AN39" i="33"/>
  <c r="AN39" i="34" s="1"/>
  <c r="AO39" i="33"/>
  <c r="AO39" i="34" s="1"/>
  <c r="AP39" i="33"/>
  <c r="AP39" i="34" s="1"/>
  <c r="AQ39" i="33"/>
  <c r="AQ39" i="34" s="1"/>
  <c r="AR39" i="33"/>
  <c r="AR39" i="34" s="1"/>
  <c r="AS39" i="33"/>
  <c r="AS39" i="34" s="1"/>
  <c r="AT39" i="33"/>
  <c r="AT39" i="34" s="1"/>
  <c r="AU39" i="33"/>
  <c r="AU39" i="34" s="1"/>
  <c r="AV39" i="33"/>
  <c r="AV39" i="34" s="1"/>
  <c r="AW39" i="33"/>
  <c r="AW39" i="34" s="1"/>
  <c r="J40" i="33"/>
  <c r="J40" i="34" s="1"/>
  <c r="K40" i="33"/>
  <c r="K40" i="34" s="1"/>
  <c r="L40" i="33"/>
  <c r="L40" i="34" s="1"/>
  <c r="M40" i="33"/>
  <c r="M40" i="34" s="1"/>
  <c r="N40" i="33"/>
  <c r="N40" i="34" s="1"/>
  <c r="O40" i="33"/>
  <c r="O40" i="34" s="1"/>
  <c r="P40" i="33"/>
  <c r="P40" i="34" s="1"/>
  <c r="Q40" i="33"/>
  <c r="Q40" i="34" s="1"/>
  <c r="R40" i="33"/>
  <c r="R40" i="34" s="1"/>
  <c r="S40" i="33"/>
  <c r="S40" i="34" s="1"/>
  <c r="T40" i="33"/>
  <c r="T40" i="34" s="1"/>
  <c r="U40" i="33"/>
  <c r="U40" i="34" s="1"/>
  <c r="V40" i="33"/>
  <c r="V40" i="34" s="1"/>
  <c r="W40" i="33"/>
  <c r="W40" i="34" s="1"/>
  <c r="X40" i="33"/>
  <c r="X40" i="34" s="1"/>
  <c r="Y40" i="33"/>
  <c r="Y40" i="34" s="1"/>
  <c r="Z40" i="33"/>
  <c r="Z40" i="34" s="1"/>
  <c r="AA40" i="33"/>
  <c r="AA40" i="34" s="1"/>
  <c r="AC40" i="33"/>
  <c r="AC40" i="34" s="1"/>
  <c r="AD40" i="33"/>
  <c r="AD40" i="34" s="1"/>
  <c r="AE40" i="33"/>
  <c r="AE40" i="34" s="1"/>
  <c r="AL40" i="33"/>
  <c r="AL40" i="34" s="1"/>
  <c r="AM40" i="33"/>
  <c r="AM40" i="34" s="1"/>
  <c r="AN40" i="33"/>
  <c r="AN40" i="34" s="1"/>
  <c r="AO40" i="33"/>
  <c r="AO40" i="34" s="1"/>
  <c r="AP40" i="33"/>
  <c r="AP40" i="34" s="1"/>
  <c r="AQ40" i="33"/>
  <c r="AQ40" i="34" s="1"/>
  <c r="AR40" i="33"/>
  <c r="AR40" i="34" s="1"/>
  <c r="AS40" i="33"/>
  <c r="AS40" i="34" s="1"/>
  <c r="AT40" i="33"/>
  <c r="AT40" i="34" s="1"/>
  <c r="AU40" i="33"/>
  <c r="AU40" i="34" s="1"/>
  <c r="AV40" i="33"/>
  <c r="AV40" i="34" s="1"/>
  <c r="AW40" i="33"/>
  <c r="AW40" i="34" s="1"/>
  <c r="J41" i="33"/>
  <c r="J41" i="34" s="1"/>
  <c r="K41" i="33"/>
  <c r="K41" i="34" s="1"/>
  <c r="L41" i="33"/>
  <c r="L41" i="34" s="1"/>
  <c r="M41" i="33"/>
  <c r="M41" i="34" s="1"/>
  <c r="N41" i="33"/>
  <c r="N41" i="34" s="1"/>
  <c r="O41" i="33"/>
  <c r="O41" i="34" s="1"/>
  <c r="P41" i="33"/>
  <c r="P41" i="34" s="1"/>
  <c r="Q41" i="33"/>
  <c r="Q41" i="34" s="1"/>
  <c r="R41" i="33"/>
  <c r="R41" i="34" s="1"/>
  <c r="S41" i="33"/>
  <c r="S41" i="34" s="1"/>
  <c r="T41" i="33"/>
  <c r="T41" i="34" s="1"/>
  <c r="U41" i="33"/>
  <c r="U41" i="34" s="1"/>
  <c r="V41" i="33"/>
  <c r="V41" i="34" s="1"/>
  <c r="W41" i="33"/>
  <c r="W41" i="34" s="1"/>
  <c r="X41" i="33"/>
  <c r="X41" i="34" s="1"/>
  <c r="Y41" i="33"/>
  <c r="Y41" i="34" s="1"/>
  <c r="Z41" i="33"/>
  <c r="Z41" i="34" s="1"/>
  <c r="AA41" i="33"/>
  <c r="AA41" i="34" s="1"/>
  <c r="AC41" i="33"/>
  <c r="AC41" i="34" s="1"/>
  <c r="AD41" i="33"/>
  <c r="AD41" i="34" s="1"/>
  <c r="AE41" i="33"/>
  <c r="AE41" i="34" s="1"/>
  <c r="AL41" i="33"/>
  <c r="AL41" i="34" s="1"/>
  <c r="AM41" i="33"/>
  <c r="AM41" i="34" s="1"/>
  <c r="AN41" i="33"/>
  <c r="AN41" i="34" s="1"/>
  <c r="AO41" i="33"/>
  <c r="AO41" i="34" s="1"/>
  <c r="AP41" i="33"/>
  <c r="AP41" i="34" s="1"/>
  <c r="AQ41" i="33"/>
  <c r="AQ41" i="34" s="1"/>
  <c r="AR41" i="33"/>
  <c r="AR41" i="34" s="1"/>
  <c r="AS41" i="33"/>
  <c r="AS41" i="34" s="1"/>
  <c r="AT41" i="33"/>
  <c r="AT41" i="34" s="1"/>
  <c r="AU41" i="33"/>
  <c r="AU41" i="34" s="1"/>
  <c r="AV41" i="33"/>
  <c r="AV41" i="34" s="1"/>
  <c r="AW41" i="33"/>
  <c r="AW41" i="34" s="1"/>
  <c r="J42" i="33"/>
  <c r="J42" i="34" s="1"/>
  <c r="K42" i="33"/>
  <c r="K42" i="34" s="1"/>
  <c r="L42" i="33"/>
  <c r="L42" i="34" s="1"/>
  <c r="M42" i="33"/>
  <c r="M42" i="34" s="1"/>
  <c r="N42" i="33"/>
  <c r="N42" i="34" s="1"/>
  <c r="O42" i="33"/>
  <c r="O42" i="34" s="1"/>
  <c r="P42" i="33"/>
  <c r="P42" i="34" s="1"/>
  <c r="Q42" i="33"/>
  <c r="Q42" i="34" s="1"/>
  <c r="R42" i="33"/>
  <c r="R42" i="34" s="1"/>
  <c r="S42" i="33"/>
  <c r="S42" i="34" s="1"/>
  <c r="T42" i="33"/>
  <c r="T42" i="34" s="1"/>
  <c r="U42" i="33"/>
  <c r="U42" i="34" s="1"/>
  <c r="V42" i="33"/>
  <c r="V42" i="34" s="1"/>
  <c r="W42" i="33"/>
  <c r="W42" i="34" s="1"/>
  <c r="X42" i="33"/>
  <c r="X42" i="34" s="1"/>
  <c r="Y42" i="33"/>
  <c r="Y42" i="34" s="1"/>
  <c r="Z42" i="33"/>
  <c r="Z42" i="34" s="1"/>
  <c r="AA42" i="33"/>
  <c r="AA42" i="34" s="1"/>
  <c r="AB42" i="33"/>
  <c r="AB42" i="34" s="1"/>
  <c r="AC42" i="33"/>
  <c r="AC42" i="34" s="1"/>
  <c r="AD42" i="33"/>
  <c r="AD42" i="34" s="1"/>
  <c r="AE42" i="33"/>
  <c r="AE42" i="34" s="1"/>
  <c r="AL42" i="33"/>
  <c r="AL42" i="34" s="1"/>
  <c r="AM42" i="33"/>
  <c r="AM42" i="34" s="1"/>
  <c r="AN42" i="33"/>
  <c r="AN42" i="34" s="1"/>
  <c r="AO42" i="33"/>
  <c r="AO42" i="34" s="1"/>
  <c r="AP42" i="33"/>
  <c r="AP42" i="34" s="1"/>
  <c r="AQ42" i="33"/>
  <c r="AQ42" i="34" s="1"/>
  <c r="AR42" i="33"/>
  <c r="AR42" i="34" s="1"/>
  <c r="AS42" i="33"/>
  <c r="AS42" i="34" s="1"/>
  <c r="AT42" i="33"/>
  <c r="AT42" i="34" s="1"/>
  <c r="AU42" i="33"/>
  <c r="AU42" i="34" s="1"/>
  <c r="AV42" i="33"/>
  <c r="AV42" i="34" s="1"/>
  <c r="AW42" i="33"/>
  <c r="AW42" i="34" s="1"/>
  <c r="J43" i="33"/>
  <c r="J43" i="34" s="1"/>
  <c r="K43" i="33"/>
  <c r="K43" i="34" s="1"/>
  <c r="L43" i="33"/>
  <c r="L43" i="34" s="1"/>
  <c r="M43" i="33"/>
  <c r="M43" i="34" s="1"/>
  <c r="N43" i="33"/>
  <c r="N43" i="34" s="1"/>
  <c r="O43" i="33"/>
  <c r="O43" i="34" s="1"/>
  <c r="P43" i="33"/>
  <c r="P43" i="34" s="1"/>
  <c r="Q43" i="33"/>
  <c r="Q43" i="34" s="1"/>
  <c r="R43" i="33"/>
  <c r="R43" i="34" s="1"/>
  <c r="S43" i="33"/>
  <c r="S43" i="34" s="1"/>
  <c r="T43" i="33"/>
  <c r="T43" i="34" s="1"/>
  <c r="U43" i="33"/>
  <c r="U43" i="34" s="1"/>
  <c r="V43" i="33"/>
  <c r="V43" i="34" s="1"/>
  <c r="W43" i="33"/>
  <c r="W43" i="34" s="1"/>
  <c r="X43" i="33"/>
  <c r="X43" i="34" s="1"/>
  <c r="Y43" i="33"/>
  <c r="Y43" i="34" s="1"/>
  <c r="Z43" i="33"/>
  <c r="Z43" i="34" s="1"/>
  <c r="AA43" i="33"/>
  <c r="AA43" i="34" s="1"/>
  <c r="AB43" i="33"/>
  <c r="AB43" i="34" s="1"/>
  <c r="AC43" i="33"/>
  <c r="AC43" i="34" s="1"/>
  <c r="AD43" i="33"/>
  <c r="AD43" i="34" s="1"/>
  <c r="AE43" i="33"/>
  <c r="AE43" i="34" s="1"/>
  <c r="AL43" i="33"/>
  <c r="AL43" i="34" s="1"/>
  <c r="AM43" i="33"/>
  <c r="AM43" i="34" s="1"/>
  <c r="AN43" i="33"/>
  <c r="AN43" i="34" s="1"/>
  <c r="AO43" i="33"/>
  <c r="AO43" i="34" s="1"/>
  <c r="AP43" i="33"/>
  <c r="AP43" i="34" s="1"/>
  <c r="AQ43" i="33"/>
  <c r="AQ43" i="34" s="1"/>
  <c r="AR43" i="33"/>
  <c r="AR43" i="34" s="1"/>
  <c r="AS43" i="33"/>
  <c r="AS43" i="34" s="1"/>
  <c r="AT43" i="33"/>
  <c r="AT43" i="34" s="1"/>
  <c r="AU43" i="33"/>
  <c r="AU43" i="34" s="1"/>
  <c r="AV43" i="33"/>
  <c r="AV43" i="34" s="1"/>
  <c r="AW43" i="33"/>
  <c r="AW43" i="34" s="1"/>
  <c r="J44" i="33"/>
  <c r="J44" i="34" s="1"/>
  <c r="K44" i="33"/>
  <c r="K44" i="34" s="1"/>
  <c r="L44" i="33"/>
  <c r="L44" i="34" s="1"/>
  <c r="M44" i="33"/>
  <c r="M44" i="34" s="1"/>
  <c r="N44" i="33"/>
  <c r="N44" i="34" s="1"/>
  <c r="O44" i="33"/>
  <c r="O44" i="34" s="1"/>
  <c r="P44" i="33"/>
  <c r="P44" i="34" s="1"/>
  <c r="Q44" i="33"/>
  <c r="Q44" i="34" s="1"/>
  <c r="R44" i="33"/>
  <c r="R44" i="34" s="1"/>
  <c r="S44" i="33"/>
  <c r="S44" i="34" s="1"/>
  <c r="T44" i="33"/>
  <c r="T44" i="34" s="1"/>
  <c r="U44" i="33"/>
  <c r="U44" i="34" s="1"/>
  <c r="V44" i="33"/>
  <c r="V44" i="34" s="1"/>
  <c r="W44" i="33"/>
  <c r="W44" i="34" s="1"/>
  <c r="X44" i="33"/>
  <c r="X44" i="34" s="1"/>
  <c r="Y44" i="33"/>
  <c r="Y44" i="34" s="1"/>
  <c r="Z44" i="33"/>
  <c r="Z44" i="34" s="1"/>
  <c r="AA44" i="33"/>
  <c r="AA44" i="34" s="1"/>
  <c r="AB44" i="33"/>
  <c r="AB44" i="34" s="1"/>
  <c r="AC44" i="33"/>
  <c r="AC44" i="34" s="1"/>
  <c r="AD44" i="33"/>
  <c r="AD44" i="34" s="1"/>
  <c r="AE44" i="33"/>
  <c r="AE44" i="34" s="1"/>
  <c r="AL44" i="33"/>
  <c r="AL44" i="34" s="1"/>
  <c r="AM44" i="33"/>
  <c r="AM44" i="34" s="1"/>
  <c r="AN44" i="33"/>
  <c r="AN44" i="34" s="1"/>
  <c r="AO44" i="33"/>
  <c r="AO44" i="34" s="1"/>
  <c r="AP44" i="33"/>
  <c r="AP44" i="34" s="1"/>
  <c r="AQ44" i="33"/>
  <c r="AQ44" i="34" s="1"/>
  <c r="AR44" i="33"/>
  <c r="AR44" i="34" s="1"/>
  <c r="AS44" i="33"/>
  <c r="AS44" i="34" s="1"/>
  <c r="AT44" i="33"/>
  <c r="AT44" i="34" s="1"/>
  <c r="AU44" i="33"/>
  <c r="AU44" i="34" s="1"/>
  <c r="AV44" i="33"/>
  <c r="AV44" i="34" s="1"/>
  <c r="AW44" i="33"/>
  <c r="AW44" i="34" s="1"/>
  <c r="J45" i="33"/>
  <c r="J45" i="34" s="1"/>
  <c r="K45" i="33"/>
  <c r="K45" i="34" s="1"/>
  <c r="L45" i="33"/>
  <c r="L45" i="34" s="1"/>
  <c r="M45" i="33"/>
  <c r="M45" i="34" s="1"/>
  <c r="N45" i="33"/>
  <c r="N45" i="34" s="1"/>
  <c r="O45" i="33"/>
  <c r="O45" i="34" s="1"/>
  <c r="P45" i="33"/>
  <c r="P45" i="34" s="1"/>
  <c r="Q45" i="33"/>
  <c r="Q45" i="34" s="1"/>
  <c r="R45" i="33"/>
  <c r="R45" i="34" s="1"/>
  <c r="S45" i="33"/>
  <c r="S45" i="34" s="1"/>
  <c r="T45" i="33"/>
  <c r="T45" i="34" s="1"/>
  <c r="U45" i="33"/>
  <c r="U45" i="34" s="1"/>
  <c r="V45" i="33"/>
  <c r="V45" i="34" s="1"/>
  <c r="W45" i="33"/>
  <c r="W45" i="34" s="1"/>
  <c r="X45" i="33"/>
  <c r="X45" i="34" s="1"/>
  <c r="Y45" i="33"/>
  <c r="Y45" i="34" s="1"/>
  <c r="Z45" i="33"/>
  <c r="Z45" i="34" s="1"/>
  <c r="AA45" i="33"/>
  <c r="AA45" i="34" s="1"/>
  <c r="AB45" i="33"/>
  <c r="AB45" i="34" s="1"/>
  <c r="AC45" i="33"/>
  <c r="AC45" i="34" s="1"/>
  <c r="AD45" i="33"/>
  <c r="AD45" i="34" s="1"/>
  <c r="AE45" i="33"/>
  <c r="AE45" i="34" s="1"/>
  <c r="AL45" i="33"/>
  <c r="AL45" i="34" s="1"/>
  <c r="AM45" i="33"/>
  <c r="AM45" i="34" s="1"/>
  <c r="AN45" i="33"/>
  <c r="AN45" i="34" s="1"/>
  <c r="AO45" i="33"/>
  <c r="AO45" i="34" s="1"/>
  <c r="AP45" i="33"/>
  <c r="AP45" i="34" s="1"/>
  <c r="AQ45" i="33"/>
  <c r="AQ45" i="34" s="1"/>
  <c r="AR45" i="33"/>
  <c r="AR45" i="34" s="1"/>
  <c r="AS45" i="33"/>
  <c r="AS45" i="34" s="1"/>
  <c r="AT45" i="33"/>
  <c r="AT45" i="34" s="1"/>
  <c r="AU45" i="33"/>
  <c r="AU45" i="34" s="1"/>
  <c r="AV45" i="33"/>
  <c r="AV45" i="34" s="1"/>
  <c r="AW45" i="33"/>
  <c r="AW45" i="34" s="1"/>
  <c r="J46" i="33"/>
  <c r="J46" i="34" s="1"/>
  <c r="K46" i="33"/>
  <c r="K46" i="34" s="1"/>
  <c r="L46" i="33"/>
  <c r="L46" i="34" s="1"/>
  <c r="M46" i="33"/>
  <c r="M46" i="34" s="1"/>
  <c r="N46" i="33"/>
  <c r="N46" i="34" s="1"/>
  <c r="O46" i="33"/>
  <c r="O46" i="34" s="1"/>
  <c r="P46" i="33"/>
  <c r="P46" i="34" s="1"/>
  <c r="Q46" i="33"/>
  <c r="Q46" i="34" s="1"/>
  <c r="R46" i="33"/>
  <c r="R46" i="34" s="1"/>
  <c r="S46" i="33"/>
  <c r="S46" i="34" s="1"/>
  <c r="T46" i="33"/>
  <c r="T46" i="34" s="1"/>
  <c r="U46" i="33"/>
  <c r="U46" i="34" s="1"/>
  <c r="V46" i="33"/>
  <c r="V46" i="34" s="1"/>
  <c r="W46" i="33"/>
  <c r="W46" i="34" s="1"/>
  <c r="X46" i="33"/>
  <c r="X46" i="34" s="1"/>
  <c r="Y46" i="33"/>
  <c r="Y46" i="34" s="1"/>
  <c r="Z46" i="33"/>
  <c r="Z46" i="34" s="1"/>
  <c r="AA46" i="33"/>
  <c r="AA46" i="34" s="1"/>
  <c r="AB46" i="33"/>
  <c r="AB46" i="34" s="1"/>
  <c r="AC46" i="33"/>
  <c r="AC46" i="34" s="1"/>
  <c r="AD46" i="33"/>
  <c r="AD46" i="34" s="1"/>
  <c r="AE46" i="33"/>
  <c r="AE46" i="34" s="1"/>
  <c r="AL46" i="33"/>
  <c r="AL46" i="34" s="1"/>
  <c r="AM46" i="33"/>
  <c r="AM46" i="34" s="1"/>
  <c r="AN46" i="33"/>
  <c r="AN46" i="34" s="1"/>
  <c r="AO46" i="33"/>
  <c r="AO46" i="34" s="1"/>
  <c r="AP46" i="33"/>
  <c r="AP46" i="34" s="1"/>
  <c r="AQ46" i="33"/>
  <c r="AQ46" i="34" s="1"/>
  <c r="AR46" i="33"/>
  <c r="AR46" i="34" s="1"/>
  <c r="AS46" i="33"/>
  <c r="AS46" i="34" s="1"/>
  <c r="AT46" i="33"/>
  <c r="AT46" i="34" s="1"/>
  <c r="AU46" i="33"/>
  <c r="AU46" i="34" s="1"/>
  <c r="AV46" i="33"/>
  <c r="AV46" i="34" s="1"/>
  <c r="AW46" i="33"/>
  <c r="AW46" i="34" s="1"/>
  <c r="J47" i="33"/>
  <c r="J47" i="34" s="1"/>
  <c r="K47" i="33"/>
  <c r="K47" i="34" s="1"/>
  <c r="L47" i="33"/>
  <c r="L47" i="34" s="1"/>
  <c r="M47" i="33"/>
  <c r="M47" i="34" s="1"/>
  <c r="N47" i="33"/>
  <c r="N47" i="34" s="1"/>
  <c r="O47" i="33"/>
  <c r="O47" i="34" s="1"/>
  <c r="P47" i="33"/>
  <c r="P47" i="34" s="1"/>
  <c r="Q47" i="33"/>
  <c r="Q47" i="34" s="1"/>
  <c r="R47" i="33"/>
  <c r="R47" i="34" s="1"/>
  <c r="S47" i="33"/>
  <c r="S47" i="34" s="1"/>
  <c r="T47" i="33"/>
  <c r="T47" i="34" s="1"/>
  <c r="U47" i="33"/>
  <c r="U47" i="34" s="1"/>
  <c r="V47" i="33"/>
  <c r="V47" i="34" s="1"/>
  <c r="W47" i="33"/>
  <c r="W47" i="34" s="1"/>
  <c r="X47" i="33"/>
  <c r="X47" i="34" s="1"/>
  <c r="Y47" i="33"/>
  <c r="Y47" i="34" s="1"/>
  <c r="Z47" i="33"/>
  <c r="Z47" i="34" s="1"/>
  <c r="AA47" i="33"/>
  <c r="AA47" i="34" s="1"/>
  <c r="AB47" i="33"/>
  <c r="AB47" i="34" s="1"/>
  <c r="AC47" i="33"/>
  <c r="AC47" i="34" s="1"/>
  <c r="AD47" i="33"/>
  <c r="AD47" i="34" s="1"/>
  <c r="AE47" i="33"/>
  <c r="AE47" i="34" s="1"/>
  <c r="AL47" i="33"/>
  <c r="AL47" i="34" s="1"/>
  <c r="AM47" i="33"/>
  <c r="AM47" i="34" s="1"/>
  <c r="AN47" i="33"/>
  <c r="AN47" i="34" s="1"/>
  <c r="AO47" i="33"/>
  <c r="AO47" i="34" s="1"/>
  <c r="AP47" i="33"/>
  <c r="AP47" i="34" s="1"/>
  <c r="AQ47" i="33"/>
  <c r="AQ47" i="34" s="1"/>
  <c r="AR47" i="33"/>
  <c r="AR47" i="34" s="1"/>
  <c r="AS47" i="33"/>
  <c r="AS47" i="34" s="1"/>
  <c r="AT47" i="33"/>
  <c r="AT47" i="34" s="1"/>
  <c r="AU47" i="33"/>
  <c r="AU47" i="34" s="1"/>
  <c r="AV47" i="33"/>
  <c r="AV47" i="34" s="1"/>
  <c r="AW47" i="33"/>
  <c r="AW47" i="34" s="1"/>
  <c r="J48" i="33"/>
  <c r="J48" i="34" s="1"/>
  <c r="K48" i="33"/>
  <c r="K48" i="34" s="1"/>
  <c r="L48" i="33"/>
  <c r="L48" i="34" s="1"/>
  <c r="M48" i="33"/>
  <c r="M48" i="34" s="1"/>
  <c r="N48" i="33"/>
  <c r="N48" i="34" s="1"/>
  <c r="O48" i="33"/>
  <c r="O48" i="34" s="1"/>
  <c r="P48" i="33"/>
  <c r="P48" i="34" s="1"/>
  <c r="Q48" i="33"/>
  <c r="Q48" i="34" s="1"/>
  <c r="R48" i="33"/>
  <c r="R48" i="34" s="1"/>
  <c r="S48" i="33"/>
  <c r="S48" i="34" s="1"/>
  <c r="T48" i="33"/>
  <c r="T48" i="34" s="1"/>
  <c r="U48" i="33"/>
  <c r="U48" i="34" s="1"/>
  <c r="V48" i="33"/>
  <c r="V48" i="34" s="1"/>
  <c r="W48" i="33"/>
  <c r="W48" i="34" s="1"/>
  <c r="X48" i="33"/>
  <c r="X48" i="34" s="1"/>
  <c r="Y48" i="33"/>
  <c r="Y48" i="34" s="1"/>
  <c r="Z48" i="33"/>
  <c r="Z48" i="34" s="1"/>
  <c r="AA48" i="33"/>
  <c r="AA48" i="34" s="1"/>
  <c r="AB48" i="33"/>
  <c r="AB48" i="34" s="1"/>
  <c r="AC48" i="33"/>
  <c r="AC48" i="34" s="1"/>
  <c r="AD48" i="33"/>
  <c r="AD48" i="34" s="1"/>
  <c r="AE48" i="33"/>
  <c r="AE48" i="34" s="1"/>
  <c r="AL48" i="33"/>
  <c r="AL48" i="34" s="1"/>
  <c r="AM48" i="33"/>
  <c r="AM48" i="34" s="1"/>
  <c r="AN48" i="33"/>
  <c r="AN48" i="34" s="1"/>
  <c r="AO48" i="33"/>
  <c r="AO48" i="34" s="1"/>
  <c r="AP48" i="33"/>
  <c r="AP48" i="34" s="1"/>
  <c r="AQ48" i="33"/>
  <c r="AQ48" i="34" s="1"/>
  <c r="AR48" i="33"/>
  <c r="AR48" i="34" s="1"/>
  <c r="AS48" i="33"/>
  <c r="AS48" i="34" s="1"/>
  <c r="AT48" i="33"/>
  <c r="AT48" i="34" s="1"/>
  <c r="AU48" i="33"/>
  <c r="AU48" i="34" s="1"/>
  <c r="AV48" i="33"/>
  <c r="AV48" i="34" s="1"/>
  <c r="AW48" i="33"/>
  <c r="AW48" i="34" s="1"/>
  <c r="J49" i="33"/>
  <c r="J49" i="34" s="1"/>
  <c r="K49" i="33"/>
  <c r="K49" i="34" s="1"/>
  <c r="L49" i="33"/>
  <c r="L49" i="34" s="1"/>
  <c r="M49" i="33"/>
  <c r="M49" i="34" s="1"/>
  <c r="N49" i="33"/>
  <c r="N49" i="34" s="1"/>
  <c r="O49" i="33"/>
  <c r="O49" i="34" s="1"/>
  <c r="P49" i="33"/>
  <c r="P49" i="34" s="1"/>
  <c r="Q49" i="33"/>
  <c r="Q49" i="34" s="1"/>
  <c r="R49" i="33"/>
  <c r="R49" i="34" s="1"/>
  <c r="S49" i="33"/>
  <c r="S49" i="34" s="1"/>
  <c r="T49" i="33"/>
  <c r="T49" i="34" s="1"/>
  <c r="U49" i="33"/>
  <c r="U49" i="34" s="1"/>
  <c r="V49" i="33"/>
  <c r="V49" i="34" s="1"/>
  <c r="W49" i="33"/>
  <c r="W49" i="34" s="1"/>
  <c r="X49" i="33"/>
  <c r="X49" i="34" s="1"/>
  <c r="Y49" i="33"/>
  <c r="Y49" i="34" s="1"/>
  <c r="Z49" i="33"/>
  <c r="Z49" i="34" s="1"/>
  <c r="AA49" i="33"/>
  <c r="AA49" i="34" s="1"/>
  <c r="AB49" i="33"/>
  <c r="AB49" i="34" s="1"/>
  <c r="AC49" i="33"/>
  <c r="AC49" i="34" s="1"/>
  <c r="AD49" i="33"/>
  <c r="AD49" i="34" s="1"/>
  <c r="AE49" i="33"/>
  <c r="AE49" i="34" s="1"/>
  <c r="AL49" i="33"/>
  <c r="AL49" i="34" s="1"/>
  <c r="AM49" i="33"/>
  <c r="AM49" i="34" s="1"/>
  <c r="AN49" i="33"/>
  <c r="AN49" i="34" s="1"/>
  <c r="AO49" i="33"/>
  <c r="AO49" i="34" s="1"/>
  <c r="AP49" i="33"/>
  <c r="AP49" i="34" s="1"/>
  <c r="AQ49" i="33"/>
  <c r="AQ49" i="34" s="1"/>
  <c r="AR49" i="33"/>
  <c r="AR49" i="34" s="1"/>
  <c r="AS49" i="33"/>
  <c r="AS49" i="34" s="1"/>
  <c r="AT49" i="33"/>
  <c r="AT49" i="34" s="1"/>
  <c r="AU49" i="33"/>
  <c r="AU49" i="34" s="1"/>
  <c r="AV49" i="33"/>
  <c r="AV49" i="34" s="1"/>
  <c r="AW49" i="33"/>
  <c r="AW49" i="34" s="1"/>
  <c r="J50" i="33"/>
  <c r="J50" i="34" s="1"/>
  <c r="K50" i="33"/>
  <c r="K50" i="34" s="1"/>
  <c r="L50" i="33"/>
  <c r="L50" i="34" s="1"/>
  <c r="M50" i="33"/>
  <c r="M50" i="34" s="1"/>
  <c r="N50" i="33"/>
  <c r="N50" i="34" s="1"/>
  <c r="O50" i="33"/>
  <c r="O50" i="34" s="1"/>
  <c r="P50" i="33"/>
  <c r="P50" i="34" s="1"/>
  <c r="Q50" i="33"/>
  <c r="Q50" i="34" s="1"/>
  <c r="R50" i="33"/>
  <c r="R50" i="34" s="1"/>
  <c r="S50" i="33"/>
  <c r="S50" i="34" s="1"/>
  <c r="T50" i="33"/>
  <c r="T50" i="34" s="1"/>
  <c r="U50" i="33"/>
  <c r="U50" i="34" s="1"/>
  <c r="V50" i="33"/>
  <c r="V50" i="34" s="1"/>
  <c r="W50" i="33"/>
  <c r="W50" i="34" s="1"/>
  <c r="X50" i="33"/>
  <c r="X50" i="34" s="1"/>
  <c r="Y50" i="33"/>
  <c r="Y50" i="34" s="1"/>
  <c r="Z50" i="33"/>
  <c r="Z50" i="34" s="1"/>
  <c r="AA50" i="33"/>
  <c r="AA50" i="34" s="1"/>
  <c r="AB50" i="33"/>
  <c r="AB50" i="34" s="1"/>
  <c r="AC50" i="33"/>
  <c r="AC50" i="34" s="1"/>
  <c r="AD50" i="33"/>
  <c r="AD50" i="34" s="1"/>
  <c r="AE50" i="33"/>
  <c r="AE50" i="34" s="1"/>
  <c r="AL50" i="33"/>
  <c r="AL50" i="34" s="1"/>
  <c r="AM50" i="33"/>
  <c r="AM50" i="34" s="1"/>
  <c r="AN50" i="33"/>
  <c r="AN50" i="34" s="1"/>
  <c r="AO50" i="33"/>
  <c r="AO50" i="34" s="1"/>
  <c r="AP50" i="33"/>
  <c r="AP50" i="34" s="1"/>
  <c r="AQ50" i="33"/>
  <c r="AQ50" i="34" s="1"/>
  <c r="AR50" i="33"/>
  <c r="AR50" i="34" s="1"/>
  <c r="AS50" i="33"/>
  <c r="AS50" i="34" s="1"/>
  <c r="AT50" i="33"/>
  <c r="AT50" i="34" s="1"/>
  <c r="AU50" i="33"/>
  <c r="AU50" i="34" s="1"/>
  <c r="AV50" i="33"/>
  <c r="AV50" i="34" s="1"/>
  <c r="AW50" i="33"/>
  <c r="AW50" i="34" s="1"/>
  <c r="J51" i="33"/>
  <c r="J51" i="34" s="1"/>
  <c r="K51" i="33"/>
  <c r="K51" i="34" s="1"/>
  <c r="L51" i="33"/>
  <c r="L51" i="34" s="1"/>
  <c r="M51" i="33"/>
  <c r="M51" i="34" s="1"/>
  <c r="N51" i="33"/>
  <c r="N51" i="34" s="1"/>
  <c r="O51" i="33"/>
  <c r="O51" i="34" s="1"/>
  <c r="P51" i="33"/>
  <c r="P51" i="34" s="1"/>
  <c r="Q51" i="33"/>
  <c r="Q51" i="34" s="1"/>
  <c r="R51" i="33"/>
  <c r="R51" i="34" s="1"/>
  <c r="S51" i="33"/>
  <c r="S51" i="34" s="1"/>
  <c r="T51" i="33"/>
  <c r="T51" i="34" s="1"/>
  <c r="U51" i="33"/>
  <c r="U51" i="34" s="1"/>
  <c r="V51" i="33"/>
  <c r="V51" i="34" s="1"/>
  <c r="W51" i="33"/>
  <c r="W51" i="34" s="1"/>
  <c r="X51" i="33"/>
  <c r="X51" i="34" s="1"/>
  <c r="Y51" i="33"/>
  <c r="Y51" i="34" s="1"/>
  <c r="Z51" i="33"/>
  <c r="Z51" i="34" s="1"/>
  <c r="AA51" i="33"/>
  <c r="AA51" i="34" s="1"/>
  <c r="AB51" i="33"/>
  <c r="AB51" i="34" s="1"/>
  <c r="AC51" i="33"/>
  <c r="AC51" i="34" s="1"/>
  <c r="AD51" i="33"/>
  <c r="AD51" i="34" s="1"/>
  <c r="AE51" i="33"/>
  <c r="AE51" i="34" s="1"/>
  <c r="AL51" i="33"/>
  <c r="AL51" i="34" s="1"/>
  <c r="AM51" i="33"/>
  <c r="AM51" i="34" s="1"/>
  <c r="AN51" i="33"/>
  <c r="AN51" i="34" s="1"/>
  <c r="AO51" i="33"/>
  <c r="AO51" i="34" s="1"/>
  <c r="AP51" i="33"/>
  <c r="AP51" i="34" s="1"/>
  <c r="AQ51" i="33"/>
  <c r="AQ51" i="34" s="1"/>
  <c r="AR51" i="33"/>
  <c r="AR51" i="34" s="1"/>
  <c r="AS51" i="33"/>
  <c r="AS51" i="34" s="1"/>
  <c r="AT51" i="33"/>
  <c r="AT51" i="34" s="1"/>
  <c r="AU51" i="33"/>
  <c r="AU51" i="34" s="1"/>
  <c r="AV51" i="33"/>
  <c r="AV51" i="34" s="1"/>
  <c r="AW51" i="33"/>
  <c r="AW51" i="34" s="1"/>
  <c r="J52" i="33"/>
  <c r="J52" i="34" s="1"/>
  <c r="K52" i="33"/>
  <c r="K52" i="34" s="1"/>
  <c r="L52" i="33"/>
  <c r="L52" i="34" s="1"/>
  <c r="M52" i="33"/>
  <c r="M52" i="34" s="1"/>
  <c r="N52" i="33"/>
  <c r="N52" i="34" s="1"/>
  <c r="O52" i="33"/>
  <c r="O52" i="34" s="1"/>
  <c r="P52" i="33"/>
  <c r="P52" i="34" s="1"/>
  <c r="Q52" i="33"/>
  <c r="Q52" i="34" s="1"/>
  <c r="R52" i="33"/>
  <c r="R52" i="34" s="1"/>
  <c r="S52" i="33"/>
  <c r="S52" i="34" s="1"/>
  <c r="T52" i="33"/>
  <c r="T52" i="34" s="1"/>
  <c r="U52" i="33"/>
  <c r="U52" i="34" s="1"/>
  <c r="V52" i="33"/>
  <c r="V52" i="34" s="1"/>
  <c r="W52" i="33"/>
  <c r="W52" i="34" s="1"/>
  <c r="X52" i="33"/>
  <c r="X52" i="34" s="1"/>
  <c r="Y52" i="33"/>
  <c r="Y52" i="34" s="1"/>
  <c r="Z52" i="33"/>
  <c r="Z52" i="34" s="1"/>
  <c r="AA52" i="33"/>
  <c r="AA52" i="34" s="1"/>
  <c r="AB52" i="33"/>
  <c r="AB52" i="34" s="1"/>
  <c r="AC52" i="33"/>
  <c r="AC52" i="34" s="1"/>
  <c r="AD52" i="33"/>
  <c r="AD52" i="34" s="1"/>
  <c r="AE52" i="33"/>
  <c r="AE52" i="34" s="1"/>
  <c r="AL52" i="33"/>
  <c r="AL52" i="34" s="1"/>
  <c r="AM52" i="33"/>
  <c r="AM52" i="34" s="1"/>
  <c r="AN52" i="33"/>
  <c r="AN52" i="34" s="1"/>
  <c r="AO52" i="33"/>
  <c r="AO52" i="34" s="1"/>
  <c r="AP52" i="33"/>
  <c r="AP52" i="34" s="1"/>
  <c r="AQ52" i="33"/>
  <c r="AQ52" i="34" s="1"/>
  <c r="AR52" i="33"/>
  <c r="AR52" i="34" s="1"/>
  <c r="AS52" i="33"/>
  <c r="AS52" i="34" s="1"/>
  <c r="AT52" i="33"/>
  <c r="AT52" i="34" s="1"/>
  <c r="AU52" i="33"/>
  <c r="AU52" i="34" s="1"/>
  <c r="AV52" i="33"/>
  <c r="AV52" i="34" s="1"/>
  <c r="AW52" i="33"/>
  <c r="AW52" i="34" s="1"/>
  <c r="J53" i="33"/>
  <c r="J53" i="34" s="1"/>
  <c r="K53" i="33"/>
  <c r="K53" i="34" s="1"/>
  <c r="L53" i="33"/>
  <c r="L53" i="34" s="1"/>
  <c r="M53" i="33"/>
  <c r="M53" i="34" s="1"/>
  <c r="N53" i="33"/>
  <c r="N53" i="34" s="1"/>
  <c r="O53" i="33"/>
  <c r="O53" i="34" s="1"/>
  <c r="P53" i="33"/>
  <c r="P53" i="34" s="1"/>
  <c r="Q53" i="33"/>
  <c r="Q53" i="34" s="1"/>
  <c r="R53" i="33"/>
  <c r="R53" i="34" s="1"/>
  <c r="S53" i="33"/>
  <c r="S53" i="34" s="1"/>
  <c r="T53" i="33"/>
  <c r="T53" i="34" s="1"/>
  <c r="U53" i="33"/>
  <c r="U53" i="34" s="1"/>
  <c r="V53" i="33"/>
  <c r="V53" i="34" s="1"/>
  <c r="W53" i="33"/>
  <c r="W53" i="34" s="1"/>
  <c r="X53" i="33"/>
  <c r="X53" i="34" s="1"/>
  <c r="Y53" i="33"/>
  <c r="Y53" i="34" s="1"/>
  <c r="Z53" i="33"/>
  <c r="Z53" i="34" s="1"/>
  <c r="AA53" i="33"/>
  <c r="AA53" i="34" s="1"/>
  <c r="AB53" i="33"/>
  <c r="AB53" i="34" s="1"/>
  <c r="AC53" i="33"/>
  <c r="AC53" i="34" s="1"/>
  <c r="AD53" i="33"/>
  <c r="AD53" i="34" s="1"/>
  <c r="AE53" i="33"/>
  <c r="AE53" i="34" s="1"/>
  <c r="AL53" i="33"/>
  <c r="AL53" i="34" s="1"/>
  <c r="AM53" i="33"/>
  <c r="AM53" i="34" s="1"/>
  <c r="AN53" i="33"/>
  <c r="AN53" i="34" s="1"/>
  <c r="AO53" i="33"/>
  <c r="AO53" i="34" s="1"/>
  <c r="AP53" i="33"/>
  <c r="AP53" i="34" s="1"/>
  <c r="AQ53" i="33"/>
  <c r="AQ53" i="34" s="1"/>
  <c r="AR53" i="33"/>
  <c r="AR53" i="34" s="1"/>
  <c r="AS53" i="33"/>
  <c r="AS53" i="34" s="1"/>
  <c r="AT53" i="33"/>
  <c r="AT53" i="34" s="1"/>
  <c r="AU53" i="33"/>
  <c r="AU53" i="34" s="1"/>
  <c r="AV53" i="33"/>
  <c r="AV53" i="34" s="1"/>
  <c r="AW53" i="33"/>
  <c r="AW53" i="34" s="1"/>
  <c r="J54" i="33"/>
  <c r="J54" i="34" s="1"/>
  <c r="K54" i="33"/>
  <c r="K54" i="34" s="1"/>
  <c r="L54" i="33"/>
  <c r="L54" i="34" s="1"/>
  <c r="M54" i="33"/>
  <c r="M54" i="34" s="1"/>
  <c r="N54" i="33"/>
  <c r="N54" i="34" s="1"/>
  <c r="O54" i="33"/>
  <c r="O54" i="34" s="1"/>
  <c r="P54" i="33"/>
  <c r="P54" i="34" s="1"/>
  <c r="Q54" i="33"/>
  <c r="Q54" i="34" s="1"/>
  <c r="R54" i="33"/>
  <c r="R54" i="34" s="1"/>
  <c r="S54" i="33"/>
  <c r="S54" i="34" s="1"/>
  <c r="T54" i="33"/>
  <c r="T54" i="34" s="1"/>
  <c r="U54" i="33"/>
  <c r="U54" i="34" s="1"/>
  <c r="V54" i="33"/>
  <c r="V54" i="34" s="1"/>
  <c r="W54" i="33"/>
  <c r="W54" i="34" s="1"/>
  <c r="X54" i="33"/>
  <c r="X54" i="34" s="1"/>
  <c r="Y54" i="33"/>
  <c r="Y54" i="34" s="1"/>
  <c r="Z54" i="33"/>
  <c r="Z54" i="34" s="1"/>
  <c r="AA54" i="33"/>
  <c r="AA54" i="34" s="1"/>
  <c r="AB54" i="33"/>
  <c r="AB54" i="34" s="1"/>
  <c r="AC54" i="33"/>
  <c r="AC54" i="34" s="1"/>
  <c r="AD54" i="33"/>
  <c r="AD54" i="34" s="1"/>
  <c r="AE54" i="33"/>
  <c r="AE54" i="34" s="1"/>
  <c r="AL54" i="33"/>
  <c r="AL54" i="34" s="1"/>
  <c r="AM54" i="33"/>
  <c r="AM54" i="34" s="1"/>
  <c r="AN54" i="33"/>
  <c r="AN54" i="34" s="1"/>
  <c r="AO54" i="33"/>
  <c r="AO54" i="34" s="1"/>
  <c r="AP54" i="33"/>
  <c r="AP54" i="34" s="1"/>
  <c r="AQ54" i="33"/>
  <c r="AQ54" i="34" s="1"/>
  <c r="AR54" i="33"/>
  <c r="AR54" i="34" s="1"/>
  <c r="AS54" i="33"/>
  <c r="AS54" i="34" s="1"/>
  <c r="AT54" i="33"/>
  <c r="AT54" i="34" s="1"/>
  <c r="AU54" i="33"/>
  <c r="AU54" i="34" s="1"/>
  <c r="AV54" i="33"/>
  <c r="AV54" i="34" s="1"/>
  <c r="AW54" i="33"/>
  <c r="AW54" i="34" s="1"/>
  <c r="J55" i="33"/>
  <c r="J55" i="34" s="1"/>
  <c r="K55" i="33"/>
  <c r="K55" i="34" s="1"/>
  <c r="L55" i="33"/>
  <c r="L55" i="34" s="1"/>
  <c r="M55" i="33"/>
  <c r="M55" i="34" s="1"/>
  <c r="N55" i="33"/>
  <c r="N55" i="34" s="1"/>
  <c r="O55" i="33"/>
  <c r="O55" i="34" s="1"/>
  <c r="P55" i="33"/>
  <c r="P55" i="34" s="1"/>
  <c r="Q55" i="33"/>
  <c r="Q55" i="34" s="1"/>
  <c r="R55" i="33"/>
  <c r="R55" i="34" s="1"/>
  <c r="S55" i="33"/>
  <c r="S55" i="34" s="1"/>
  <c r="T55" i="33"/>
  <c r="T55" i="34" s="1"/>
  <c r="U55" i="33"/>
  <c r="U55" i="34" s="1"/>
  <c r="V55" i="33"/>
  <c r="V55" i="34" s="1"/>
  <c r="W55" i="33"/>
  <c r="W55" i="34" s="1"/>
  <c r="X55" i="33"/>
  <c r="X55" i="34" s="1"/>
  <c r="Y55" i="33"/>
  <c r="Y55" i="34" s="1"/>
  <c r="Z55" i="33"/>
  <c r="Z55" i="34" s="1"/>
  <c r="AA55" i="33"/>
  <c r="AA55" i="34" s="1"/>
  <c r="AB55" i="33"/>
  <c r="AB55" i="34" s="1"/>
  <c r="AC55" i="33"/>
  <c r="AC55" i="34" s="1"/>
  <c r="AD55" i="33"/>
  <c r="AD55" i="34" s="1"/>
  <c r="AE55" i="33"/>
  <c r="AE55" i="34" s="1"/>
  <c r="AL55" i="33"/>
  <c r="AL55" i="34" s="1"/>
  <c r="AM55" i="33"/>
  <c r="AM55" i="34" s="1"/>
  <c r="AN55" i="33"/>
  <c r="AN55" i="34" s="1"/>
  <c r="AO55" i="33"/>
  <c r="AO55" i="34" s="1"/>
  <c r="AP55" i="33"/>
  <c r="AP55" i="34" s="1"/>
  <c r="AQ55" i="33"/>
  <c r="AQ55" i="34" s="1"/>
  <c r="AR55" i="33"/>
  <c r="AR55" i="34" s="1"/>
  <c r="AS55" i="33"/>
  <c r="AS55" i="34" s="1"/>
  <c r="AT55" i="33"/>
  <c r="AT55" i="34" s="1"/>
  <c r="AU55" i="33"/>
  <c r="AU55" i="34" s="1"/>
  <c r="AV55" i="33"/>
  <c r="AV55" i="34" s="1"/>
  <c r="AW55" i="33"/>
  <c r="AW55" i="34" s="1"/>
  <c r="J56" i="33"/>
  <c r="J56" i="34" s="1"/>
  <c r="K56" i="33"/>
  <c r="K56" i="34" s="1"/>
  <c r="L56" i="33"/>
  <c r="L56" i="34" s="1"/>
  <c r="M56" i="33"/>
  <c r="M56" i="34" s="1"/>
  <c r="N56" i="33"/>
  <c r="N56" i="34" s="1"/>
  <c r="O56" i="33"/>
  <c r="O56" i="34" s="1"/>
  <c r="P56" i="33"/>
  <c r="P56" i="34" s="1"/>
  <c r="Q56" i="33"/>
  <c r="Q56" i="34" s="1"/>
  <c r="R56" i="33"/>
  <c r="R56" i="34" s="1"/>
  <c r="S56" i="33"/>
  <c r="S56" i="34" s="1"/>
  <c r="T56" i="33"/>
  <c r="T56" i="34" s="1"/>
  <c r="U56" i="33"/>
  <c r="U56" i="34" s="1"/>
  <c r="V56" i="33"/>
  <c r="V56" i="34" s="1"/>
  <c r="W56" i="33"/>
  <c r="W56" i="34" s="1"/>
  <c r="X56" i="33"/>
  <c r="X56" i="34" s="1"/>
  <c r="Y56" i="33"/>
  <c r="Y56" i="34" s="1"/>
  <c r="Z56" i="33"/>
  <c r="Z56" i="34" s="1"/>
  <c r="AA56" i="33"/>
  <c r="AA56" i="34" s="1"/>
  <c r="AB56" i="33"/>
  <c r="AB56" i="34" s="1"/>
  <c r="AC56" i="33"/>
  <c r="AC56" i="34" s="1"/>
  <c r="AD56" i="33"/>
  <c r="AD56" i="34" s="1"/>
  <c r="AE56" i="33"/>
  <c r="AE56" i="34" s="1"/>
  <c r="AL56" i="33"/>
  <c r="AL56" i="34" s="1"/>
  <c r="AM56" i="33"/>
  <c r="AM56" i="34" s="1"/>
  <c r="AN56" i="33"/>
  <c r="AN56" i="34" s="1"/>
  <c r="AO56" i="33"/>
  <c r="AO56" i="34" s="1"/>
  <c r="AP56" i="33"/>
  <c r="AP56" i="34" s="1"/>
  <c r="AQ56" i="33"/>
  <c r="AQ56" i="34" s="1"/>
  <c r="AR56" i="33"/>
  <c r="AR56" i="34" s="1"/>
  <c r="AS56" i="33"/>
  <c r="AS56" i="34" s="1"/>
  <c r="AT56" i="33"/>
  <c r="AT56" i="34" s="1"/>
  <c r="AU56" i="33"/>
  <c r="AU56" i="34" s="1"/>
  <c r="AV56" i="33"/>
  <c r="AV56" i="34" s="1"/>
  <c r="AW56" i="33"/>
  <c r="AW56" i="34" s="1"/>
  <c r="J57" i="33"/>
  <c r="J57" i="34" s="1"/>
  <c r="K57" i="33"/>
  <c r="K57" i="34" s="1"/>
  <c r="L57" i="33"/>
  <c r="L57" i="34" s="1"/>
  <c r="M57" i="33"/>
  <c r="M57" i="34" s="1"/>
  <c r="N57" i="33"/>
  <c r="N57" i="34" s="1"/>
  <c r="O57" i="33"/>
  <c r="O57" i="34" s="1"/>
  <c r="P57" i="33"/>
  <c r="P57" i="34" s="1"/>
  <c r="Q57" i="33"/>
  <c r="Q57" i="34" s="1"/>
  <c r="R57" i="33"/>
  <c r="R57" i="34" s="1"/>
  <c r="S57" i="33"/>
  <c r="S57" i="34" s="1"/>
  <c r="T57" i="33"/>
  <c r="T57" i="34" s="1"/>
  <c r="U57" i="33"/>
  <c r="U57" i="34" s="1"/>
  <c r="V57" i="33"/>
  <c r="V57" i="34" s="1"/>
  <c r="W57" i="33"/>
  <c r="W57" i="34" s="1"/>
  <c r="X57" i="33"/>
  <c r="X57" i="34" s="1"/>
  <c r="Y57" i="33"/>
  <c r="Y57" i="34" s="1"/>
  <c r="Z57" i="33"/>
  <c r="Z57" i="34" s="1"/>
  <c r="AA57" i="33"/>
  <c r="AA57" i="34" s="1"/>
  <c r="AB57" i="33"/>
  <c r="AB57" i="34" s="1"/>
  <c r="AC57" i="33"/>
  <c r="AC57" i="34" s="1"/>
  <c r="AD57" i="33"/>
  <c r="AD57" i="34" s="1"/>
  <c r="AE57" i="33"/>
  <c r="AE57" i="34" s="1"/>
  <c r="AL57" i="33"/>
  <c r="AL57" i="34" s="1"/>
  <c r="AM57" i="33"/>
  <c r="AM57" i="34" s="1"/>
  <c r="AN57" i="33"/>
  <c r="AN57" i="34" s="1"/>
  <c r="AO57" i="33"/>
  <c r="AO57" i="34" s="1"/>
  <c r="AP57" i="33"/>
  <c r="AP57" i="34" s="1"/>
  <c r="AQ57" i="33"/>
  <c r="AQ57" i="34" s="1"/>
  <c r="AR57" i="33"/>
  <c r="AR57" i="34" s="1"/>
  <c r="AS57" i="33"/>
  <c r="AS57" i="34" s="1"/>
  <c r="AT57" i="33"/>
  <c r="AT57" i="34" s="1"/>
  <c r="AU57" i="33"/>
  <c r="AU57" i="34" s="1"/>
  <c r="AV57" i="33"/>
  <c r="AV57" i="34" s="1"/>
  <c r="AW57" i="33"/>
  <c r="AW57" i="34" s="1"/>
  <c r="J58" i="33"/>
  <c r="J58" i="34" s="1"/>
  <c r="K58" i="33"/>
  <c r="K58" i="34" s="1"/>
  <c r="L58" i="33"/>
  <c r="L58" i="34" s="1"/>
  <c r="M58" i="33"/>
  <c r="M58" i="34" s="1"/>
  <c r="N58" i="33"/>
  <c r="N58" i="34" s="1"/>
  <c r="O58" i="33"/>
  <c r="O58" i="34" s="1"/>
  <c r="P58" i="33"/>
  <c r="P58" i="34" s="1"/>
  <c r="Q58" i="33"/>
  <c r="Q58" i="34" s="1"/>
  <c r="R58" i="33"/>
  <c r="R58" i="34" s="1"/>
  <c r="S58" i="33"/>
  <c r="S58" i="34" s="1"/>
  <c r="T58" i="33"/>
  <c r="T58" i="34" s="1"/>
  <c r="U58" i="33"/>
  <c r="U58" i="34" s="1"/>
  <c r="V58" i="33"/>
  <c r="V58" i="34" s="1"/>
  <c r="W58" i="33"/>
  <c r="W58" i="34" s="1"/>
  <c r="X58" i="33"/>
  <c r="X58" i="34" s="1"/>
  <c r="Y58" i="33"/>
  <c r="Y58" i="34" s="1"/>
  <c r="Z58" i="33"/>
  <c r="Z58" i="34" s="1"/>
  <c r="AA58" i="33"/>
  <c r="AA58" i="34" s="1"/>
  <c r="AB58" i="33"/>
  <c r="AB58" i="34" s="1"/>
  <c r="AC58" i="33"/>
  <c r="AC58" i="34" s="1"/>
  <c r="AD58" i="33"/>
  <c r="AD58" i="34" s="1"/>
  <c r="AE58" i="33"/>
  <c r="AE58" i="34" s="1"/>
  <c r="AL58" i="33"/>
  <c r="AL58" i="34" s="1"/>
  <c r="AM58" i="33"/>
  <c r="AM58" i="34" s="1"/>
  <c r="AN58" i="33"/>
  <c r="AN58" i="34" s="1"/>
  <c r="AO58" i="33"/>
  <c r="AO58" i="34" s="1"/>
  <c r="AP58" i="33"/>
  <c r="AP58" i="34" s="1"/>
  <c r="AQ58" i="33"/>
  <c r="AQ58" i="34" s="1"/>
  <c r="AR58" i="33"/>
  <c r="AR58" i="34" s="1"/>
  <c r="AS58" i="33"/>
  <c r="AS58" i="34" s="1"/>
  <c r="AT58" i="33"/>
  <c r="AT58" i="34" s="1"/>
  <c r="AU58" i="33"/>
  <c r="AU58" i="34" s="1"/>
  <c r="AV58" i="33"/>
  <c r="AV58" i="34" s="1"/>
  <c r="AW58" i="33"/>
  <c r="AW58" i="34" s="1"/>
  <c r="J59" i="33"/>
  <c r="J59" i="34" s="1"/>
  <c r="K59" i="33"/>
  <c r="K59" i="34" s="1"/>
  <c r="L59" i="33"/>
  <c r="L59" i="34" s="1"/>
  <c r="M59" i="33"/>
  <c r="M59" i="34" s="1"/>
  <c r="N59" i="33"/>
  <c r="N59" i="34" s="1"/>
  <c r="O59" i="33"/>
  <c r="O59" i="34" s="1"/>
  <c r="P59" i="33"/>
  <c r="P59" i="34" s="1"/>
  <c r="Q59" i="33"/>
  <c r="Q59" i="34" s="1"/>
  <c r="R59" i="33"/>
  <c r="R59" i="34" s="1"/>
  <c r="S59" i="33"/>
  <c r="S59" i="34" s="1"/>
  <c r="T59" i="33"/>
  <c r="T59" i="34" s="1"/>
  <c r="U59" i="33"/>
  <c r="U59" i="34" s="1"/>
  <c r="V59" i="33"/>
  <c r="V59" i="34" s="1"/>
  <c r="W59" i="33"/>
  <c r="W59" i="34" s="1"/>
  <c r="X59" i="33"/>
  <c r="X59" i="34" s="1"/>
  <c r="Y59" i="33"/>
  <c r="Y59" i="34" s="1"/>
  <c r="Z59" i="33"/>
  <c r="Z59" i="34" s="1"/>
  <c r="AA59" i="33"/>
  <c r="AA59" i="34" s="1"/>
  <c r="AB59" i="33"/>
  <c r="AB59" i="34" s="1"/>
  <c r="AC59" i="33"/>
  <c r="AC59" i="34" s="1"/>
  <c r="AD59" i="33"/>
  <c r="AD59" i="34" s="1"/>
  <c r="AE59" i="33"/>
  <c r="AE59" i="34" s="1"/>
  <c r="AL59" i="33"/>
  <c r="AL59" i="34" s="1"/>
  <c r="AM59" i="33"/>
  <c r="AM59" i="34" s="1"/>
  <c r="AN59" i="33"/>
  <c r="AN59" i="34" s="1"/>
  <c r="AO59" i="33"/>
  <c r="AO59" i="34" s="1"/>
  <c r="AP59" i="33"/>
  <c r="AP59" i="34" s="1"/>
  <c r="AQ59" i="33"/>
  <c r="AQ59" i="34" s="1"/>
  <c r="AR59" i="33"/>
  <c r="AR59" i="34" s="1"/>
  <c r="AS59" i="33"/>
  <c r="AS59" i="34" s="1"/>
  <c r="AT59" i="33"/>
  <c r="AT59" i="34" s="1"/>
  <c r="AU59" i="33"/>
  <c r="AU59" i="34" s="1"/>
  <c r="AV59" i="33"/>
  <c r="AV59" i="34" s="1"/>
  <c r="AW59" i="33"/>
  <c r="AW59" i="34" s="1"/>
  <c r="J60" i="33"/>
  <c r="J60" i="34" s="1"/>
  <c r="K60" i="33"/>
  <c r="K60" i="34" s="1"/>
  <c r="L60" i="33"/>
  <c r="L60" i="34" s="1"/>
  <c r="M60" i="33"/>
  <c r="M60" i="34" s="1"/>
  <c r="N60" i="33"/>
  <c r="N60" i="34" s="1"/>
  <c r="O60" i="33"/>
  <c r="O60" i="34" s="1"/>
  <c r="P60" i="33"/>
  <c r="P60" i="34" s="1"/>
  <c r="Q60" i="33"/>
  <c r="Q60" i="34" s="1"/>
  <c r="R60" i="33"/>
  <c r="R60" i="34" s="1"/>
  <c r="S60" i="33"/>
  <c r="S60" i="34" s="1"/>
  <c r="T60" i="33"/>
  <c r="T60" i="34" s="1"/>
  <c r="U60" i="33"/>
  <c r="U60" i="34" s="1"/>
  <c r="V60" i="33"/>
  <c r="V60" i="34" s="1"/>
  <c r="W60" i="33"/>
  <c r="W60" i="34" s="1"/>
  <c r="X60" i="33"/>
  <c r="X60" i="34" s="1"/>
  <c r="Y60" i="33"/>
  <c r="Y60" i="34" s="1"/>
  <c r="Z60" i="33"/>
  <c r="Z60" i="34" s="1"/>
  <c r="AA60" i="33"/>
  <c r="AA60" i="34" s="1"/>
  <c r="AB60" i="33"/>
  <c r="AB60" i="34" s="1"/>
  <c r="AC60" i="33"/>
  <c r="AC60" i="34" s="1"/>
  <c r="AD60" i="33"/>
  <c r="AD60" i="34" s="1"/>
  <c r="AE60" i="33"/>
  <c r="AE60" i="34" s="1"/>
  <c r="AL60" i="33"/>
  <c r="AL60" i="34" s="1"/>
  <c r="AM60" i="33"/>
  <c r="AM60" i="34" s="1"/>
  <c r="AN60" i="33"/>
  <c r="AN60" i="34" s="1"/>
  <c r="AO60" i="33"/>
  <c r="AO60" i="34" s="1"/>
  <c r="AP60" i="33"/>
  <c r="AP60" i="34" s="1"/>
  <c r="AQ60" i="33"/>
  <c r="AQ60" i="34" s="1"/>
  <c r="AR60" i="33"/>
  <c r="AR60" i="34" s="1"/>
  <c r="AS60" i="33"/>
  <c r="AS60" i="34" s="1"/>
  <c r="AT60" i="33"/>
  <c r="AT60" i="34" s="1"/>
  <c r="AU60" i="33"/>
  <c r="AU60" i="34" s="1"/>
  <c r="AV60" i="33"/>
  <c r="AV60" i="34" s="1"/>
  <c r="AW60" i="33"/>
  <c r="AW60" i="34" s="1"/>
  <c r="J61" i="33"/>
  <c r="J61" i="34" s="1"/>
  <c r="K61" i="33"/>
  <c r="K61" i="34" s="1"/>
  <c r="L61" i="33"/>
  <c r="L61" i="34" s="1"/>
  <c r="M61" i="33"/>
  <c r="M61" i="34" s="1"/>
  <c r="N61" i="33"/>
  <c r="N61" i="34" s="1"/>
  <c r="O61" i="33"/>
  <c r="O61" i="34" s="1"/>
  <c r="P61" i="33"/>
  <c r="P61" i="34" s="1"/>
  <c r="Q61" i="33"/>
  <c r="Q61" i="34" s="1"/>
  <c r="R61" i="33"/>
  <c r="R61" i="34" s="1"/>
  <c r="S61" i="33"/>
  <c r="S61" i="34" s="1"/>
  <c r="T61" i="33"/>
  <c r="T61" i="34" s="1"/>
  <c r="U61" i="33"/>
  <c r="U61" i="34" s="1"/>
  <c r="V61" i="33"/>
  <c r="V61" i="34" s="1"/>
  <c r="W61" i="33"/>
  <c r="W61" i="34" s="1"/>
  <c r="X61" i="33"/>
  <c r="X61" i="34" s="1"/>
  <c r="Y61" i="33"/>
  <c r="Y61" i="34" s="1"/>
  <c r="Z61" i="33"/>
  <c r="Z61" i="34" s="1"/>
  <c r="AA61" i="33"/>
  <c r="AA61" i="34" s="1"/>
  <c r="AB61" i="33"/>
  <c r="AB61" i="34" s="1"/>
  <c r="AC61" i="33"/>
  <c r="AC61" i="34" s="1"/>
  <c r="AD61" i="33"/>
  <c r="AD61" i="34" s="1"/>
  <c r="AE61" i="33"/>
  <c r="AE61" i="34" s="1"/>
  <c r="AL61" i="33"/>
  <c r="AL61" i="34" s="1"/>
  <c r="AM61" i="33"/>
  <c r="AM61" i="34" s="1"/>
  <c r="AN61" i="33"/>
  <c r="AN61" i="34" s="1"/>
  <c r="AO61" i="33"/>
  <c r="AO61" i="34" s="1"/>
  <c r="AP61" i="33"/>
  <c r="AP61" i="34" s="1"/>
  <c r="AQ61" i="33"/>
  <c r="AQ61" i="34" s="1"/>
  <c r="AR61" i="33"/>
  <c r="AR61" i="34" s="1"/>
  <c r="AS61" i="33"/>
  <c r="AS61" i="34" s="1"/>
  <c r="AT61" i="33"/>
  <c r="AT61" i="34" s="1"/>
  <c r="AU61" i="33"/>
  <c r="AU61" i="34" s="1"/>
  <c r="AV61" i="33"/>
  <c r="AV61" i="34" s="1"/>
  <c r="AW61" i="33"/>
  <c r="AW61" i="34" s="1"/>
  <c r="J62" i="33"/>
  <c r="J62" i="34" s="1"/>
  <c r="K62" i="33"/>
  <c r="K62" i="34" s="1"/>
  <c r="L62" i="33"/>
  <c r="L62" i="34" s="1"/>
  <c r="M62" i="33"/>
  <c r="M62" i="34" s="1"/>
  <c r="N62" i="33"/>
  <c r="N62" i="34" s="1"/>
  <c r="O62" i="33"/>
  <c r="O62" i="34" s="1"/>
  <c r="P62" i="33"/>
  <c r="P62" i="34" s="1"/>
  <c r="Q62" i="33"/>
  <c r="Q62" i="34" s="1"/>
  <c r="R62" i="33"/>
  <c r="R62" i="34" s="1"/>
  <c r="S62" i="33"/>
  <c r="S62" i="34" s="1"/>
  <c r="T62" i="33"/>
  <c r="T62" i="34" s="1"/>
  <c r="U62" i="33"/>
  <c r="U62" i="34" s="1"/>
  <c r="V62" i="33"/>
  <c r="V62" i="34" s="1"/>
  <c r="W62" i="33"/>
  <c r="W62" i="34" s="1"/>
  <c r="X62" i="33"/>
  <c r="X62" i="34" s="1"/>
  <c r="Z62" i="33"/>
  <c r="Z62" i="34" s="1"/>
  <c r="AA62" i="33"/>
  <c r="AA62" i="34" s="1"/>
  <c r="AB62" i="33"/>
  <c r="AB62" i="34" s="1"/>
  <c r="AC62" i="33"/>
  <c r="AC62" i="34" s="1"/>
  <c r="AD62" i="33"/>
  <c r="AD62" i="34" s="1"/>
  <c r="AE62" i="33"/>
  <c r="AE62" i="34" s="1"/>
  <c r="AL62" i="33"/>
  <c r="AL62" i="34" s="1"/>
  <c r="AM62" i="33"/>
  <c r="AM62" i="34" s="1"/>
  <c r="AN62" i="33"/>
  <c r="AN62" i="34" s="1"/>
  <c r="AO62" i="33"/>
  <c r="AO62" i="34" s="1"/>
  <c r="AP62" i="33"/>
  <c r="AP62" i="34" s="1"/>
  <c r="AQ62" i="33"/>
  <c r="AQ62" i="34" s="1"/>
  <c r="AR62" i="33"/>
  <c r="AR62" i="34" s="1"/>
  <c r="AS62" i="33"/>
  <c r="AS62" i="34" s="1"/>
  <c r="AT62" i="33"/>
  <c r="AT62" i="34" s="1"/>
  <c r="AU62" i="33"/>
  <c r="AU62" i="34" s="1"/>
  <c r="AV62" i="33"/>
  <c r="AV62" i="34" s="1"/>
  <c r="AW62" i="33"/>
  <c r="AW62" i="34" s="1"/>
  <c r="J63" i="33"/>
  <c r="J63" i="34" s="1"/>
  <c r="K63" i="33"/>
  <c r="K63" i="34" s="1"/>
  <c r="L63" i="33"/>
  <c r="L63" i="34" s="1"/>
  <c r="M63" i="33"/>
  <c r="M63" i="34" s="1"/>
  <c r="N63" i="33"/>
  <c r="N63" i="34" s="1"/>
  <c r="O63" i="33"/>
  <c r="O63" i="34" s="1"/>
  <c r="P63" i="33"/>
  <c r="P63" i="34" s="1"/>
  <c r="Q63" i="33"/>
  <c r="Q63" i="34" s="1"/>
  <c r="R63" i="33"/>
  <c r="R63" i="34" s="1"/>
  <c r="S63" i="33"/>
  <c r="S63" i="34" s="1"/>
  <c r="T63" i="33"/>
  <c r="T63" i="34" s="1"/>
  <c r="U63" i="33"/>
  <c r="U63" i="34" s="1"/>
  <c r="V63" i="33"/>
  <c r="V63" i="34" s="1"/>
  <c r="W63" i="33"/>
  <c r="W63" i="34" s="1"/>
  <c r="X63" i="33"/>
  <c r="X63" i="34" s="1"/>
  <c r="Y63" i="33"/>
  <c r="Y63" i="34" s="1"/>
  <c r="Z63" i="33"/>
  <c r="Z63" i="34" s="1"/>
  <c r="AA63" i="33"/>
  <c r="AA63" i="34" s="1"/>
  <c r="AB63" i="33"/>
  <c r="AB63" i="34" s="1"/>
  <c r="AC63" i="33"/>
  <c r="AC63" i="34" s="1"/>
  <c r="AD63" i="33"/>
  <c r="AD63" i="34" s="1"/>
  <c r="AE63" i="33"/>
  <c r="AE63" i="34" s="1"/>
  <c r="AL63" i="33"/>
  <c r="AL63" i="34" s="1"/>
  <c r="AM63" i="33"/>
  <c r="AM63" i="34" s="1"/>
  <c r="AN63" i="33"/>
  <c r="AN63" i="34" s="1"/>
  <c r="AO63" i="33"/>
  <c r="AO63" i="34" s="1"/>
  <c r="AP63" i="33"/>
  <c r="AP63" i="34" s="1"/>
  <c r="AQ63" i="33"/>
  <c r="AQ63" i="34" s="1"/>
  <c r="AR63" i="33"/>
  <c r="AR63" i="34" s="1"/>
  <c r="AS63" i="33"/>
  <c r="AS63" i="34" s="1"/>
  <c r="AT63" i="33"/>
  <c r="AT63" i="34" s="1"/>
  <c r="AU63" i="33"/>
  <c r="AU63" i="34" s="1"/>
  <c r="AV63" i="33"/>
  <c r="AV63" i="34" s="1"/>
  <c r="AW63" i="33"/>
  <c r="AW63" i="34" s="1"/>
  <c r="AL64" i="33"/>
  <c r="AL64" i="34" s="1"/>
  <c r="AM64" i="33"/>
  <c r="AM64" i="34" s="1"/>
  <c r="AN64" i="33"/>
  <c r="AN64" i="34" s="1"/>
  <c r="AO64" i="33"/>
  <c r="AO64" i="34" s="1"/>
  <c r="AP64" i="33"/>
  <c r="AP64" i="34" s="1"/>
  <c r="AQ64" i="33"/>
  <c r="AQ64" i="34" s="1"/>
  <c r="AR64" i="33"/>
  <c r="AR64" i="34" s="1"/>
  <c r="AS64" i="33"/>
  <c r="AS64" i="34" s="1"/>
  <c r="AT64" i="33"/>
  <c r="AT64" i="34" s="1"/>
  <c r="AU64" i="33"/>
  <c r="AU64" i="34" s="1"/>
  <c r="AV64" i="33"/>
  <c r="AV64" i="34" s="1"/>
  <c r="AW64" i="33"/>
  <c r="AW64" i="34" s="1"/>
  <c r="K65" i="33"/>
  <c r="K65" i="34" s="1"/>
  <c r="V65" i="33"/>
  <c r="V65" i="34" s="1"/>
  <c r="AL65" i="33"/>
  <c r="AL65" i="34" s="1"/>
  <c r="AM65" i="33"/>
  <c r="AM65" i="34" s="1"/>
  <c r="AN65" i="33"/>
  <c r="AN65" i="34" s="1"/>
  <c r="AO65" i="33"/>
  <c r="AO65" i="34" s="1"/>
  <c r="AP65" i="33"/>
  <c r="AP65" i="34" s="1"/>
  <c r="AQ65" i="33"/>
  <c r="AQ65" i="34" s="1"/>
  <c r="AR65" i="33"/>
  <c r="AR65" i="34" s="1"/>
  <c r="AS65" i="33"/>
  <c r="AS65" i="34" s="1"/>
  <c r="AT65" i="33"/>
  <c r="AT65" i="34" s="1"/>
  <c r="AU65" i="33"/>
  <c r="AU65" i="34" s="1"/>
  <c r="AV65" i="33"/>
  <c r="AV65" i="34" s="1"/>
  <c r="AW65" i="33"/>
  <c r="AW65" i="34" s="1"/>
  <c r="J66" i="33"/>
  <c r="J66" i="34" s="1"/>
  <c r="K66" i="33"/>
  <c r="K66" i="34" s="1"/>
  <c r="L66" i="33"/>
  <c r="L66" i="34" s="1"/>
  <c r="M66" i="33"/>
  <c r="M66" i="34" s="1"/>
  <c r="N66" i="33"/>
  <c r="N66" i="34" s="1"/>
  <c r="O66" i="33"/>
  <c r="O66" i="34" s="1"/>
  <c r="P66" i="33"/>
  <c r="P66" i="34" s="1"/>
  <c r="Q66" i="33"/>
  <c r="Q66" i="34" s="1"/>
  <c r="R66" i="33"/>
  <c r="R66" i="34" s="1"/>
  <c r="S66" i="33"/>
  <c r="S66" i="34" s="1"/>
  <c r="T66" i="33"/>
  <c r="T66" i="34" s="1"/>
  <c r="U66" i="33"/>
  <c r="U66" i="34" s="1"/>
  <c r="V66" i="33"/>
  <c r="V66" i="34" s="1"/>
  <c r="W66" i="33"/>
  <c r="W66" i="34" s="1"/>
  <c r="X66" i="33"/>
  <c r="X66" i="34" s="1"/>
  <c r="Y66" i="33"/>
  <c r="Y66" i="34" s="1"/>
  <c r="Z66" i="33"/>
  <c r="Z66" i="34" s="1"/>
  <c r="AA66" i="33"/>
  <c r="AA66" i="34" s="1"/>
  <c r="AB66" i="33"/>
  <c r="AB66" i="34" s="1"/>
  <c r="AC66" i="33"/>
  <c r="AC66" i="34" s="1"/>
  <c r="AD66" i="33"/>
  <c r="AD66" i="34" s="1"/>
  <c r="AE66" i="33"/>
  <c r="AE66" i="34" s="1"/>
  <c r="AL66" i="33"/>
  <c r="AL66" i="34" s="1"/>
  <c r="AM66" i="33"/>
  <c r="AM66" i="34" s="1"/>
  <c r="AN66" i="33"/>
  <c r="AN66" i="34" s="1"/>
  <c r="AO66" i="33"/>
  <c r="AO66" i="34" s="1"/>
  <c r="AP66" i="33"/>
  <c r="AP66" i="34" s="1"/>
  <c r="AQ66" i="33"/>
  <c r="AQ66" i="34" s="1"/>
  <c r="AR66" i="33"/>
  <c r="AR66" i="34" s="1"/>
  <c r="AS66" i="33"/>
  <c r="AS66" i="34" s="1"/>
  <c r="AT66" i="33"/>
  <c r="AT66" i="34" s="1"/>
  <c r="AU66" i="33"/>
  <c r="AU66" i="34" s="1"/>
  <c r="AV66" i="33"/>
  <c r="AV66" i="34" s="1"/>
  <c r="AW66" i="33"/>
  <c r="AW66" i="34" s="1"/>
  <c r="K67" i="33"/>
  <c r="K67" i="34" s="1"/>
  <c r="V67" i="33"/>
  <c r="V67" i="34" s="1"/>
  <c r="AL67" i="33"/>
  <c r="AL67" i="34" s="1"/>
  <c r="AM67" i="33"/>
  <c r="AM67" i="34" s="1"/>
  <c r="AN67" i="33"/>
  <c r="AN67" i="34" s="1"/>
  <c r="AO67" i="33"/>
  <c r="AO67" i="34" s="1"/>
  <c r="AP67" i="33"/>
  <c r="AP67" i="34" s="1"/>
  <c r="AQ67" i="33"/>
  <c r="AQ67" i="34" s="1"/>
  <c r="AR67" i="33"/>
  <c r="AR67" i="34" s="1"/>
  <c r="AS67" i="33"/>
  <c r="AS67" i="34" s="1"/>
  <c r="AT67" i="33"/>
  <c r="AT67" i="34" s="1"/>
  <c r="AU67" i="33"/>
  <c r="AU67" i="34" s="1"/>
  <c r="AV67" i="33"/>
  <c r="AV67" i="34" s="1"/>
  <c r="AW67" i="33"/>
  <c r="AW67" i="34" s="1"/>
  <c r="K68" i="33"/>
  <c r="K68" i="34" s="1"/>
  <c r="V68" i="33"/>
  <c r="V68" i="34" s="1"/>
  <c r="AL68" i="33"/>
  <c r="AL68" i="34" s="1"/>
  <c r="AM68" i="33"/>
  <c r="AM68" i="34" s="1"/>
  <c r="AN68" i="33"/>
  <c r="AN68" i="34" s="1"/>
  <c r="AO68" i="33"/>
  <c r="AO68" i="34" s="1"/>
  <c r="AP68" i="33"/>
  <c r="AP68" i="34" s="1"/>
  <c r="AQ68" i="33"/>
  <c r="AQ68" i="34" s="1"/>
  <c r="AR68" i="33"/>
  <c r="AR68" i="34" s="1"/>
  <c r="AS68" i="33"/>
  <c r="AS68" i="34" s="1"/>
  <c r="AT68" i="33"/>
  <c r="AT68" i="34" s="1"/>
  <c r="AU68" i="33"/>
  <c r="AU68" i="34" s="1"/>
  <c r="AV68" i="33"/>
  <c r="AV68" i="34" s="1"/>
  <c r="AW68" i="33"/>
  <c r="AW68" i="34" s="1"/>
  <c r="K69" i="33"/>
  <c r="K69" i="34" s="1"/>
  <c r="V69" i="33"/>
  <c r="V69" i="34" s="1"/>
  <c r="AL69" i="33"/>
  <c r="AL69" i="34" s="1"/>
  <c r="AM69" i="33"/>
  <c r="AM69" i="34" s="1"/>
  <c r="AN69" i="33"/>
  <c r="AN69" i="34" s="1"/>
  <c r="AO69" i="33"/>
  <c r="AO69" i="34" s="1"/>
  <c r="AP69" i="33"/>
  <c r="AP69" i="34" s="1"/>
  <c r="AQ69" i="33"/>
  <c r="AQ69" i="34" s="1"/>
  <c r="AR69" i="33"/>
  <c r="AR69" i="34" s="1"/>
  <c r="AS69" i="33"/>
  <c r="AS69" i="34" s="1"/>
  <c r="AT69" i="33"/>
  <c r="AT69" i="34" s="1"/>
  <c r="AU69" i="33"/>
  <c r="AU69" i="34" s="1"/>
  <c r="AV69" i="33"/>
  <c r="AV69" i="34" s="1"/>
  <c r="AW69" i="33"/>
  <c r="AW69" i="34" s="1"/>
  <c r="J70" i="33"/>
  <c r="J70" i="34" s="1"/>
  <c r="K70" i="33"/>
  <c r="K70" i="34" s="1"/>
  <c r="L70" i="33"/>
  <c r="L70" i="34" s="1"/>
  <c r="M70" i="33"/>
  <c r="M70" i="34" s="1"/>
  <c r="N70" i="33"/>
  <c r="N70" i="34" s="1"/>
  <c r="O70" i="33"/>
  <c r="O70" i="34" s="1"/>
  <c r="P70" i="33"/>
  <c r="P70" i="34" s="1"/>
  <c r="Q70" i="33"/>
  <c r="Q70" i="34" s="1"/>
  <c r="R70" i="33"/>
  <c r="R70" i="34" s="1"/>
  <c r="S70" i="33"/>
  <c r="S70" i="34" s="1"/>
  <c r="T70" i="33"/>
  <c r="T70" i="34" s="1"/>
  <c r="U70" i="33"/>
  <c r="U70" i="34" s="1"/>
  <c r="V70" i="33"/>
  <c r="V70" i="34" s="1"/>
  <c r="W70" i="33"/>
  <c r="W70" i="34" s="1"/>
  <c r="X70" i="33"/>
  <c r="X70" i="34" s="1"/>
  <c r="Y70" i="33"/>
  <c r="Y70" i="34" s="1"/>
  <c r="Z70" i="33"/>
  <c r="Z70" i="34" s="1"/>
  <c r="AA70" i="33"/>
  <c r="AA70" i="34" s="1"/>
  <c r="AB70" i="33"/>
  <c r="AB70" i="34" s="1"/>
  <c r="AC70" i="33"/>
  <c r="AC70" i="34" s="1"/>
  <c r="AD70" i="33"/>
  <c r="AD70" i="34" s="1"/>
  <c r="AE70" i="33"/>
  <c r="AE70" i="34" s="1"/>
  <c r="AL70" i="33"/>
  <c r="AL70" i="34" s="1"/>
  <c r="AM70" i="33"/>
  <c r="AM70" i="34" s="1"/>
  <c r="AN70" i="33"/>
  <c r="AN70" i="34" s="1"/>
  <c r="AO70" i="33"/>
  <c r="AO70" i="34" s="1"/>
  <c r="AP70" i="33"/>
  <c r="AP70" i="34" s="1"/>
  <c r="AQ70" i="33"/>
  <c r="AQ70" i="34" s="1"/>
  <c r="AR70" i="33"/>
  <c r="AR70" i="34" s="1"/>
  <c r="AS70" i="33"/>
  <c r="AS70" i="34" s="1"/>
  <c r="AT70" i="33"/>
  <c r="AT70" i="34" s="1"/>
  <c r="AU70" i="33"/>
  <c r="AU70" i="34" s="1"/>
  <c r="AV70" i="33"/>
  <c r="AV70" i="34" s="1"/>
  <c r="AW70" i="33"/>
  <c r="AW70" i="34" s="1"/>
  <c r="AL71" i="33"/>
  <c r="AL71" i="34" s="1"/>
  <c r="AM71" i="33"/>
  <c r="AM71" i="34" s="1"/>
  <c r="AN71" i="33"/>
  <c r="AN71" i="34" s="1"/>
  <c r="AO71" i="33"/>
  <c r="AO71" i="34" s="1"/>
  <c r="AP71" i="33"/>
  <c r="AP71" i="34" s="1"/>
  <c r="AQ71" i="33"/>
  <c r="AQ71" i="34" s="1"/>
  <c r="AR71" i="33"/>
  <c r="AR71" i="34" s="1"/>
  <c r="AS71" i="33"/>
  <c r="AS71" i="34" s="1"/>
  <c r="AT71" i="33"/>
  <c r="AT71" i="34" s="1"/>
  <c r="AU71" i="33"/>
  <c r="AU71" i="34" s="1"/>
  <c r="AV71" i="33"/>
  <c r="AV71" i="34" s="1"/>
  <c r="AW71" i="33"/>
  <c r="AW71" i="34" s="1"/>
  <c r="AL72" i="33"/>
  <c r="AL72" i="34" s="1"/>
  <c r="AM72" i="33"/>
  <c r="AM72" i="34" s="1"/>
  <c r="AN72" i="33"/>
  <c r="AN72" i="34" s="1"/>
  <c r="AO72" i="33"/>
  <c r="AO72" i="34" s="1"/>
  <c r="AP72" i="33"/>
  <c r="AP72" i="34" s="1"/>
  <c r="AQ72" i="33"/>
  <c r="AQ72" i="34" s="1"/>
  <c r="AR72" i="33"/>
  <c r="AR72" i="34" s="1"/>
  <c r="AS72" i="33"/>
  <c r="AS72" i="34" s="1"/>
  <c r="AT72" i="33"/>
  <c r="AT72" i="34" s="1"/>
  <c r="AU72" i="33"/>
  <c r="AU72" i="34" s="1"/>
  <c r="AV72" i="33"/>
  <c r="AV72" i="34" s="1"/>
  <c r="AW72" i="33"/>
  <c r="AW72" i="34" s="1"/>
  <c r="K73" i="33"/>
  <c r="K73" i="34" s="1"/>
  <c r="L73" i="33"/>
  <c r="L73" i="34" s="1"/>
  <c r="M73" i="33"/>
  <c r="M73" i="34" s="1"/>
  <c r="N73" i="33"/>
  <c r="N73" i="34" s="1"/>
  <c r="P73" i="33"/>
  <c r="P73" i="34" s="1"/>
  <c r="T73" i="33"/>
  <c r="T73" i="34" s="1"/>
  <c r="U73" i="33"/>
  <c r="U73" i="34" s="1"/>
  <c r="V73" i="33"/>
  <c r="V73" i="34" s="1"/>
  <c r="W73" i="33"/>
  <c r="W73" i="34" s="1"/>
  <c r="X73" i="33"/>
  <c r="X73" i="34" s="1"/>
  <c r="Z73" i="33"/>
  <c r="Z73" i="34" s="1"/>
  <c r="AA73" i="33"/>
  <c r="AA73" i="34" s="1"/>
  <c r="AB73" i="33"/>
  <c r="AB73" i="34" s="1"/>
  <c r="AC73" i="33"/>
  <c r="AC73" i="34" s="1"/>
  <c r="AL73" i="33"/>
  <c r="AL73" i="34" s="1"/>
  <c r="AM73" i="33"/>
  <c r="AM73" i="34" s="1"/>
  <c r="AN73" i="33"/>
  <c r="AN73" i="34" s="1"/>
  <c r="AO73" i="33"/>
  <c r="AO73" i="34" s="1"/>
  <c r="AP73" i="33"/>
  <c r="AP73" i="34" s="1"/>
  <c r="AQ73" i="33"/>
  <c r="AQ73" i="34" s="1"/>
  <c r="AR73" i="33"/>
  <c r="AR73" i="34" s="1"/>
  <c r="AS73" i="33"/>
  <c r="AS73" i="34" s="1"/>
  <c r="AT73" i="33"/>
  <c r="AT73" i="34" s="1"/>
  <c r="AU73" i="33"/>
  <c r="AU73" i="34" s="1"/>
  <c r="AV73" i="33"/>
  <c r="AV73" i="34" s="1"/>
  <c r="AW73" i="33"/>
  <c r="AW73" i="34" s="1"/>
  <c r="J74" i="33"/>
  <c r="J74" i="34" s="1"/>
  <c r="K74" i="33"/>
  <c r="K74" i="34" s="1"/>
  <c r="O74" i="33"/>
  <c r="O74" i="34" s="1"/>
  <c r="Q74" i="33"/>
  <c r="Q74" i="34" s="1"/>
  <c r="R74" i="33"/>
  <c r="R74" i="34" s="1"/>
  <c r="S74" i="33"/>
  <c r="S74" i="34" s="1"/>
  <c r="V74" i="33"/>
  <c r="V74" i="34" s="1"/>
  <c r="W74" i="33"/>
  <c r="W74" i="34" s="1"/>
  <c r="X74" i="33"/>
  <c r="X74" i="34" s="1"/>
  <c r="Y74" i="33"/>
  <c r="Y74" i="34" s="1"/>
  <c r="AD74" i="33"/>
  <c r="AD74" i="34" s="1"/>
  <c r="AE74" i="33"/>
  <c r="AE74" i="34" s="1"/>
  <c r="AL74" i="33"/>
  <c r="AL74" i="34" s="1"/>
  <c r="AM74" i="33"/>
  <c r="AM74" i="34" s="1"/>
  <c r="AN74" i="33"/>
  <c r="AN74" i="34" s="1"/>
  <c r="AO74" i="33"/>
  <c r="AO74" i="34" s="1"/>
  <c r="AP74" i="33"/>
  <c r="AP74" i="34" s="1"/>
  <c r="AQ74" i="33"/>
  <c r="AQ74" i="34" s="1"/>
  <c r="AR74" i="33"/>
  <c r="AR74" i="34" s="1"/>
  <c r="AS74" i="33"/>
  <c r="AS74" i="34" s="1"/>
  <c r="AT74" i="33"/>
  <c r="AT74" i="34" s="1"/>
  <c r="AU74" i="33"/>
  <c r="AU74" i="34" s="1"/>
  <c r="AV74" i="33"/>
  <c r="AV74" i="34" s="1"/>
  <c r="AW74" i="33"/>
  <c r="AW74" i="34" s="1"/>
  <c r="J75" i="33"/>
  <c r="J75" i="34" s="1"/>
  <c r="K75" i="33"/>
  <c r="K75" i="34" s="1"/>
  <c r="L75" i="33"/>
  <c r="L75" i="34" s="1"/>
  <c r="M75" i="33"/>
  <c r="M75" i="34" s="1"/>
  <c r="N75" i="33"/>
  <c r="N75" i="34" s="1"/>
  <c r="O75" i="33"/>
  <c r="O75" i="34" s="1"/>
  <c r="P75" i="33"/>
  <c r="P75" i="34" s="1"/>
  <c r="Q75" i="33"/>
  <c r="Q75" i="34" s="1"/>
  <c r="R75" i="33"/>
  <c r="R75" i="34" s="1"/>
  <c r="S75" i="33"/>
  <c r="S75" i="34" s="1"/>
  <c r="T75" i="33"/>
  <c r="T75" i="34" s="1"/>
  <c r="U75" i="33"/>
  <c r="U75" i="34" s="1"/>
  <c r="V75" i="33"/>
  <c r="V75" i="34" s="1"/>
  <c r="Y75" i="33"/>
  <c r="Y75" i="34" s="1"/>
  <c r="Z75" i="33"/>
  <c r="Z75" i="34" s="1"/>
  <c r="AA75" i="33"/>
  <c r="AA75" i="34" s="1"/>
  <c r="AB75" i="33"/>
  <c r="AB75" i="34" s="1"/>
  <c r="AC75" i="33"/>
  <c r="AC75" i="34" s="1"/>
  <c r="AD75" i="33"/>
  <c r="AD75" i="34" s="1"/>
  <c r="AE75" i="33"/>
  <c r="AE75" i="34" s="1"/>
  <c r="AL75" i="33"/>
  <c r="AL75" i="34" s="1"/>
  <c r="AM75" i="33"/>
  <c r="AM75" i="34" s="1"/>
  <c r="AN75" i="33"/>
  <c r="AN75" i="34" s="1"/>
  <c r="AO75" i="33"/>
  <c r="AO75" i="34" s="1"/>
  <c r="AP75" i="33"/>
  <c r="AP75" i="34" s="1"/>
  <c r="AQ75" i="33"/>
  <c r="AQ75" i="34" s="1"/>
  <c r="AR75" i="33"/>
  <c r="AR75" i="34" s="1"/>
  <c r="AS75" i="33"/>
  <c r="AS75" i="34" s="1"/>
  <c r="AT75" i="33"/>
  <c r="AT75" i="34" s="1"/>
  <c r="AU75" i="33"/>
  <c r="AU75" i="34" s="1"/>
  <c r="AV75" i="33"/>
  <c r="AV75" i="34" s="1"/>
  <c r="AW75" i="33"/>
  <c r="AW75" i="34" s="1"/>
  <c r="J76" i="33"/>
  <c r="J76" i="34" s="1"/>
  <c r="K76" i="33"/>
  <c r="K76" i="34" s="1"/>
  <c r="L76" i="33"/>
  <c r="L76" i="34" s="1"/>
  <c r="M76" i="33"/>
  <c r="M76" i="34" s="1"/>
  <c r="N76" i="33"/>
  <c r="N76" i="34" s="1"/>
  <c r="O76" i="33"/>
  <c r="O76" i="34" s="1"/>
  <c r="P76" i="33"/>
  <c r="P76" i="34" s="1"/>
  <c r="Q76" i="33"/>
  <c r="Q76" i="34" s="1"/>
  <c r="R76" i="33"/>
  <c r="R76" i="34" s="1"/>
  <c r="S76" i="33"/>
  <c r="S76" i="34" s="1"/>
  <c r="T76" i="33"/>
  <c r="T76" i="34" s="1"/>
  <c r="U76" i="33"/>
  <c r="U76" i="34" s="1"/>
  <c r="V76" i="33"/>
  <c r="V76" i="34" s="1"/>
  <c r="W76" i="33"/>
  <c r="W76" i="34" s="1"/>
  <c r="X76" i="33"/>
  <c r="X76" i="34" s="1"/>
  <c r="Y76" i="33"/>
  <c r="Y76" i="34" s="1"/>
  <c r="Z76" i="33"/>
  <c r="Z76" i="34" s="1"/>
  <c r="AA76" i="33"/>
  <c r="AA76" i="34" s="1"/>
  <c r="AB76" i="33"/>
  <c r="AB76" i="34" s="1"/>
  <c r="AC76" i="33"/>
  <c r="AC76" i="34" s="1"/>
  <c r="AD76" i="33"/>
  <c r="AD76" i="34" s="1"/>
  <c r="AE76" i="33"/>
  <c r="AE76" i="34" s="1"/>
  <c r="AL76" i="33"/>
  <c r="AL76" i="34" s="1"/>
  <c r="AM76" i="33"/>
  <c r="AM76" i="34" s="1"/>
  <c r="AN76" i="33"/>
  <c r="AN76" i="34" s="1"/>
  <c r="AO76" i="33"/>
  <c r="AO76" i="34" s="1"/>
  <c r="AP76" i="33"/>
  <c r="AP76" i="34" s="1"/>
  <c r="AQ76" i="33"/>
  <c r="AQ76" i="34" s="1"/>
  <c r="AR76" i="33"/>
  <c r="AR76" i="34" s="1"/>
  <c r="AS76" i="33"/>
  <c r="AS76" i="34" s="1"/>
  <c r="AT76" i="33"/>
  <c r="AT76" i="34" s="1"/>
  <c r="AU76" i="33"/>
  <c r="AU76" i="34" s="1"/>
  <c r="AV76" i="33"/>
  <c r="AV76" i="34" s="1"/>
  <c r="AW76" i="33"/>
  <c r="AW76" i="34" s="1"/>
  <c r="K77" i="33"/>
  <c r="K77" i="34" s="1"/>
  <c r="V77" i="33"/>
  <c r="V77" i="34" s="1"/>
  <c r="W77" i="33"/>
  <c r="W77" i="34" s="1"/>
  <c r="X77" i="33"/>
  <c r="X77" i="34" s="1"/>
  <c r="AL77" i="33"/>
  <c r="AL77" i="34" s="1"/>
  <c r="AM77" i="33"/>
  <c r="AM77" i="34" s="1"/>
  <c r="AN77" i="33"/>
  <c r="AN77" i="34" s="1"/>
  <c r="AO77" i="33"/>
  <c r="AO77" i="34" s="1"/>
  <c r="AP77" i="33"/>
  <c r="AP77" i="34" s="1"/>
  <c r="AQ77" i="33"/>
  <c r="AQ77" i="34" s="1"/>
  <c r="AR77" i="33"/>
  <c r="AR77" i="34" s="1"/>
  <c r="AS77" i="33"/>
  <c r="AS77" i="34" s="1"/>
  <c r="AT77" i="33"/>
  <c r="AT77" i="34" s="1"/>
  <c r="AU77" i="33"/>
  <c r="AU77" i="34" s="1"/>
  <c r="AV77" i="33"/>
  <c r="AV77" i="34" s="1"/>
  <c r="AW77" i="33"/>
  <c r="AW77" i="34" s="1"/>
  <c r="J81" i="33"/>
  <c r="J78" i="34" s="1"/>
  <c r="K81" i="33"/>
  <c r="K78" i="34" s="1"/>
  <c r="L81" i="33"/>
  <c r="L78" i="34" s="1"/>
  <c r="M81" i="33"/>
  <c r="M78" i="34" s="1"/>
  <c r="N81" i="33"/>
  <c r="N78" i="34" s="1"/>
  <c r="O81" i="33"/>
  <c r="O78" i="34" s="1"/>
  <c r="P81" i="33"/>
  <c r="P78" i="34" s="1"/>
  <c r="Q81" i="33"/>
  <c r="Q78" i="34" s="1"/>
  <c r="R81" i="33"/>
  <c r="R78" i="34" s="1"/>
  <c r="S81" i="33"/>
  <c r="S78" i="34" s="1"/>
  <c r="T81" i="33"/>
  <c r="T78" i="34" s="1"/>
  <c r="U81" i="33"/>
  <c r="U78" i="34" s="1"/>
  <c r="V81" i="33"/>
  <c r="V78" i="34" s="1"/>
  <c r="W81" i="33"/>
  <c r="W78" i="34" s="1"/>
  <c r="X81" i="33"/>
  <c r="X78" i="34" s="1"/>
  <c r="Y81" i="33"/>
  <c r="Y78" i="34" s="1"/>
  <c r="Z81" i="33"/>
  <c r="Z78" i="34" s="1"/>
  <c r="AA81" i="33"/>
  <c r="AA78" i="34" s="1"/>
  <c r="AB81" i="33"/>
  <c r="AB78" i="34" s="1"/>
  <c r="AD81" i="33"/>
  <c r="AD78" i="34" s="1"/>
  <c r="AE81" i="33"/>
  <c r="AE78" i="34" s="1"/>
  <c r="AL81" i="33"/>
  <c r="AL78" i="34" s="1"/>
  <c r="AM81" i="33"/>
  <c r="AM78" i="34" s="1"/>
  <c r="AN81" i="33"/>
  <c r="AN78" i="34" s="1"/>
  <c r="AO81" i="33"/>
  <c r="AO78" i="34" s="1"/>
  <c r="AP81" i="33"/>
  <c r="AP78" i="34" s="1"/>
  <c r="AQ81" i="33"/>
  <c r="AQ78" i="34" s="1"/>
  <c r="AR81" i="33"/>
  <c r="AR78" i="34" s="1"/>
  <c r="AS81" i="33"/>
  <c r="AS78" i="34" s="1"/>
  <c r="AT81" i="33"/>
  <c r="AT78" i="34" s="1"/>
  <c r="AU81" i="33"/>
  <c r="AU78" i="34" s="1"/>
  <c r="AV81" i="33"/>
  <c r="AV78" i="34" s="1"/>
  <c r="AW81" i="33"/>
  <c r="AW78" i="34" s="1"/>
  <c r="J82" i="33"/>
  <c r="J79" i="34" s="1"/>
  <c r="K82" i="33"/>
  <c r="K79" i="34" s="1"/>
  <c r="L82" i="33"/>
  <c r="M82" i="33"/>
  <c r="M79" i="34" s="1"/>
  <c r="N82" i="33"/>
  <c r="N79" i="34" s="1"/>
  <c r="O82" i="33"/>
  <c r="O79" i="34" s="1"/>
  <c r="P82" i="33"/>
  <c r="P79" i="34" s="1"/>
  <c r="Q82" i="33"/>
  <c r="Q79" i="34" s="1"/>
  <c r="R82" i="33"/>
  <c r="R79" i="34" s="1"/>
  <c r="S82" i="33"/>
  <c r="S79" i="34" s="1"/>
  <c r="T82" i="33"/>
  <c r="U82" i="33"/>
  <c r="U79" i="34" s="1"/>
  <c r="V82" i="33"/>
  <c r="V79" i="34" s="1"/>
  <c r="W82" i="33"/>
  <c r="W79" i="34" s="1"/>
  <c r="X82" i="33"/>
  <c r="Y82" i="33"/>
  <c r="Y79" i="34" s="1"/>
  <c r="Z82" i="33"/>
  <c r="Z79" i="34" s="1"/>
  <c r="AA82" i="33"/>
  <c r="AA79" i="34" s="1"/>
  <c r="AB82" i="33"/>
  <c r="AB79" i="34" s="1"/>
  <c r="AC82" i="33"/>
  <c r="AC79" i="34" s="1"/>
  <c r="AD82" i="33"/>
  <c r="AD79" i="34" s="1"/>
  <c r="AE82" i="33"/>
  <c r="AE79" i="34" s="1"/>
  <c r="AL82" i="33"/>
  <c r="AL79" i="34" s="1"/>
  <c r="AM82" i="33"/>
  <c r="AN82" i="33"/>
  <c r="AN79" i="34" s="1"/>
  <c r="AO82" i="33"/>
  <c r="AO79" i="34" s="1"/>
  <c r="AP82" i="33"/>
  <c r="AP79" i="34" s="1"/>
  <c r="AQ82" i="33"/>
  <c r="AR82" i="33"/>
  <c r="AR79" i="34" s="1"/>
  <c r="AS82" i="33"/>
  <c r="AS79" i="34" s="1"/>
  <c r="AT82" i="33"/>
  <c r="AU82" i="33"/>
  <c r="AU79" i="34" s="1"/>
  <c r="AV82" i="33"/>
  <c r="AV79" i="34" s="1"/>
  <c r="AW82" i="33"/>
  <c r="AW79" i="34" s="1"/>
  <c r="J83" i="33"/>
  <c r="K83" i="33"/>
  <c r="L83" i="33"/>
  <c r="L80" i="34" s="1"/>
  <c r="M83" i="33"/>
  <c r="M80" i="34" s="1"/>
  <c r="N83" i="33"/>
  <c r="N80" i="34" s="1"/>
  <c r="O83" i="33"/>
  <c r="P83" i="33"/>
  <c r="P80" i="34" s="1"/>
  <c r="Q83" i="33"/>
  <c r="Q80" i="34" s="1"/>
  <c r="R83" i="33"/>
  <c r="T83" i="33"/>
  <c r="U83" i="33"/>
  <c r="U80" i="34" s="1"/>
  <c r="V83" i="33"/>
  <c r="V80" i="34" s="1"/>
  <c r="W83" i="33"/>
  <c r="X83" i="33"/>
  <c r="X80" i="34" s="1"/>
  <c r="Y83" i="33"/>
  <c r="Z83" i="33"/>
  <c r="Z80" i="34" s="1"/>
  <c r="AA83" i="33"/>
  <c r="AB83" i="33"/>
  <c r="AC83" i="33"/>
  <c r="AC80" i="34" s="1"/>
  <c r="AD83" i="33"/>
  <c r="AD80" i="34" s="1"/>
  <c r="AE83" i="33"/>
  <c r="AL83" i="33"/>
  <c r="AM83" i="33"/>
  <c r="AN83" i="33"/>
  <c r="AN80" i="34" s="1"/>
  <c r="AO83" i="33"/>
  <c r="AP83" i="33"/>
  <c r="AQ83" i="33"/>
  <c r="AR83" i="33"/>
  <c r="AR80" i="34" s="1"/>
  <c r="AS83" i="33"/>
  <c r="AT83" i="33"/>
  <c r="AT80" i="34" s="1"/>
  <c r="AU83" i="33"/>
  <c r="AU80" i="34" s="1"/>
  <c r="AV83" i="33"/>
  <c r="AV80" i="34" s="1"/>
  <c r="AW83" i="33"/>
  <c r="J84" i="33"/>
  <c r="K84" i="33"/>
  <c r="L84" i="33"/>
  <c r="M84" i="33"/>
  <c r="N84" i="33"/>
  <c r="O84" i="33"/>
  <c r="P84" i="33"/>
  <c r="P81" i="34" s="1"/>
  <c r="R84" i="33"/>
  <c r="S84" i="33"/>
  <c r="T84" i="33"/>
  <c r="U84" i="33"/>
  <c r="V84" i="33"/>
  <c r="W84" i="33"/>
  <c r="X84" i="33"/>
  <c r="Y84" i="33"/>
  <c r="Z84" i="33"/>
  <c r="AA84" i="33"/>
  <c r="AA81" i="34" s="1"/>
  <c r="AB84" i="33"/>
  <c r="AC84" i="33"/>
  <c r="AD84" i="33"/>
  <c r="AE84" i="33"/>
  <c r="J85" i="33"/>
  <c r="K85" i="33"/>
  <c r="M85" i="33"/>
  <c r="N85" i="33"/>
  <c r="O85" i="33"/>
  <c r="P85" i="33"/>
  <c r="Q85" i="33"/>
  <c r="R85" i="33"/>
  <c r="R82" i="34" s="1"/>
  <c r="S85" i="33"/>
  <c r="T85" i="33"/>
  <c r="U85" i="33"/>
  <c r="V85" i="33"/>
  <c r="W85" i="33"/>
  <c r="X85" i="33"/>
  <c r="Y85" i="33"/>
  <c r="Z85" i="33"/>
  <c r="AA85" i="33"/>
  <c r="AB85" i="33"/>
  <c r="AC85" i="33"/>
  <c r="AD85" i="33"/>
  <c r="AD82" i="34" s="1"/>
  <c r="AE85" i="33"/>
  <c r="AM85" i="33"/>
  <c r="AN85" i="33"/>
  <c r="AO85" i="33"/>
  <c r="AP85" i="33"/>
  <c r="AQ85" i="33"/>
  <c r="AR85" i="33"/>
  <c r="AS85" i="33"/>
  <c r="AT85" i="33"/>
  <c r="AU85" i="33"/>
  <c r="AV85" i="33"/>
  <c r="AW85" i="33"/>
  <c r="J86" i="33"/>
  <c r="K86" i="33"/>
  <c r="L86" i="33"/>
  <c r="M86" i="33"/>
  <c r="N86" i="33"/>
  <c r="O86" i="33"/>
  <c r="P86" i="33"/>
  <c r="Q86" i="33"/>
  <c r="R86" i="33"/>
  <c r="S86" i="33"/>
  <c r="S83" i="34" s="1"/>
  <c r="T86" i="33"/>
  <c r="U86" i="33"/>
  <c r="U83" i="34" s="1"/>
  <c r="V86" i="33"/>
  <c r="W86" i="33"/>
  <c r="X86" i="33"/>
  <c r="Y86" i="33"/>
  <c r="Z86" i="33"/>
  <c r="AA86" i="33"/>
  <c r="AB86" i="33"/>
  <c r="AC86" i="33"/>
  <c r="AD86" i="33"/>
  <c r="AE86" i="33"/>
  <c r="AL86" i="33"/>
  <c r="AN86" i="33"/>
  <c r="AO86" i="33"/>
  <c r="AP86" i="33"/>
  <c r="AQ86" i="33"/>
  <c r="AR86" i="33"/>
  <c r="AS86" i="33"/>
  <c r="AT86" i="33"/>
  <c r="AU86" i="33"/>
  <c r="AV86" i="33"/>
  <c r="AW86" i="33"/>
  <c r="J87" i="33"/>
  <c r="K87" i="33"/>
  <c r="L87" i="33"/>
  <c r="M87" i="33"/>
  <c r="N87" i="33"/>
  <c r="O87" i="33"/>
  <c r="P87" i="33"/>
  <c r="Q87" i="33"/>
  <c r="Q84" i="34" s="1"/>
  <c r="R87" i="33"/>
  <c r="S87" i="33"/>
  <c r="T87" i="33"/>
  <c r="U87" i="33"/>
  <c r="V87" i="33"/>
  <c r="W87" i="33"/>
  <c r="X87" i="33"/>
  <c r="X84" i="34" s="1"/>
  <c r="Y87" i="33"/>
  <c r="Z87" i="33"/>
  <c r="AA87" i="33"/>
  <c r="AB87" i="33"/>
  <c r="AC87" i="33"/>
  <c r="AD87" i="33"/>
  <c r="AE87" i="33"/>
  <c r="J88" i="33"/>
  <c r="K88" i="33"/>
  <c r="L88" i="33"/>
  <c r="L85" i="34" s="1"/>
  <c r="M88" i="33"/>
  <c r="N88" i="33"/>
  <c r="O88" i="33"/>
  <c r="P88" i="33"/>
  <c r="P85" i="34" s="1"/>
  <c r="Q88" i="33"/>
  <c r="R88" i="33"/>
  <c r="S88" i="33"/>
  <c r="T88" i="33"/>
  <c r="U88" i="33"/>
  <c r="V88" i="33"/>
  <c r="W88" i="33"/>
  <c r="X88" i="33"/>
  <c r="Y88" i="33"/>
  <c r="Z88" i="33"/>
  <c r="AA88" i="33"/>
  <c r="AB88" i="33"/>
  <c r="AB85" i="34" s="1"/>
  <c r="AC88" i="33"/>
  <c r="AD88" i="33"/>
  <c r="AE88" i="33"/>
  <c r="AM88" i="33"/>
  <c r="AO88" i="33"/>
  <c r="AP88" i="33"/>
  <c r="AQ88" i="33"/>
  <c r="AR88" i="33"/>
  <c r="AS88" i="33"/>
  <c r="AU88" i="33"/>
  <c r="AV88" i="33"/>
  <c r="AW88" i="33"/>
  <c r="J89" i="33"/>
  <c r="K89" i="33"/>
  <c r="L89" i="33"/>
  <c r="M89" i="33"/>
  <c r="N89" i="33"/>
  <c r="O89" i="33"/>
  <c r="P89" i="33"/>
  <c r="Q89" i="33"/>
  <c r="R89" i="33"/>
  <c r="S89" i="33"/>
  <c r="T89" i="33"/>
  <c r="U89" i="33"/>
  <c r="V89" i="33"/>
  <c r="W89" i="33"/>
  <c r="X89" i="33"/>
  <c r="Y89" i="33"/>
  <c r="Z89" i="33"/>
  <c r="AA89" i="33"/>
  <c r="AB89" i="33"/>
  <c r="AC89" i="33"/>
  <c r="AD89" i="33"/>
  <c r="AE89" i="33"/>
  <c r="AL89" i="33"/>
  <c r="AN89" i="33"/>
  <c r="AO89" i="33"/>
  <c r="AQ89" i="33"/>
  <c r="AR89" i="33"/>
  <c r="AS89" i="33"/>
  <c r="AT89" i="33"/>
  <c r="AU89" i="33"/>
  <c r="AV89" i="33"/>
  <c r="AW89" i="33"/>
  <c r="J90" i="33"/>
  <c r="K90" i="33"/>
  <c r="L90" i="33"/>
  <c r="M90" i="33"/>
  <c r="N90" i="33"/>
  <c r="O90" i="33"/>
  <c r="P90" i="33"/>
  <c r="Q90" i="33"/>
  <c r="R90" i="33"/>
  <c r="S90" i="33"/>
  <c r="T90" i="33"/>
  <c r="U90" i="33"/>
  <c r="V90" i="33"/>
  <c r="W90" i="33"/>
  <c r="X90" i="33"/>
  <c r="Y90" i="33"/>
  <c r="Z90" i="33"/>
  <c r="AA90" i="33"/>
  <c r="AB90" i="33"/>
  <c r="AC90" i="33"/>
  <c r="AD90" i="33"/>
  <c r="AE90" i="33"/>
  <c r="J91" i="33"/>
  <c r="K91" i="33"/>
  <c r="L91" i="33"/>
  <c r="M91" i="33"/>
  <c r="N91" i="33"/>
  <c r="O91" i="33"/>
  <c r="P91" i="33"/>
  <c r="Q91" i="33"/>
  <c r="R91" i="33"/>
  <c r="S91" i="33"/>
  <c r="T91" i="33"/>
  <c r="U91" i="33"/>
  <c r="V91" i="33"/>
  <c r="W91" i="33"/>
  <c r="X91" i="33"/>
  <c r="Y91" i="33"/>
  <c r="Z91" i="33"/>
  <c r="AA91" i="33"/>
  <c r="AB91" i="33"/>
  <c r="AC91" i="33"/>
  <c r="AD91" i="33"/>
  <c r="AE91" i="33"/>
  <c r="J92" i="33"/>
  <c r="K92" i="33"/>
  <c r="L92" i="33"/>
  <c r="M92" i="33"/>
  <c r="N92" i="33"/>
  <c r="O92" i="33"/>
  <c r="P92" i="33"/>
  <c r="Q92" i="33"/>
  <c r="Q89" i="34" s="1"/>
  <c r="R92" i="33"/>
  <c r="S92" i="33"/>
  <c r="T92" i="33"/>
  <c r="U92" i="33"/>
  <c r="V92" i="33"/>
  <c r="W92" i="33"/>
  <c r="X92" i="33"/>
  <c r="Y92" i="33"/>
  <c r="Z92" i="33"/>
  <c r="AA92" i="33"/>
  <c r="AB92" i="33"/>
  <c r="AC92" i="33"/>
  <c r="AC89" i="34" s="1"/>
  <c r="AD92" i="33"/>
  <c r="AE92" i="33"/>
  <c r="AQ92" i="33"/>
  <c r="AR92" i="33"/>
  <c r="AS92" i="33"/>
  <c r="AT92" i="33"/>
  <c r="AU92" i="33"/>
  <c r="AV92" i="33"/>
  <c r="AW92" i="33"/>
  <c r="J93" i="33"/>
  <c r="K93" i="33"/>
  <c r="L93" i="33"/>
  <c r="M93" i="33"/>
  <c r="N93" i="33"/>
  <c r="O93" i="33"/>
  <c r="P93" i="33"/>
  <c r="Q93" i="33"/>
  <c r="R93" i="33"/>
  <c r="S93" i="33"/>
  <c r="T93" i="33"/>
  <c r="U93" i="33"/>
  <c r="V93" i="33"/>
  <c r="W93" i="33"/>
  <c r="X93" i="33"/>
  <c r="Y93" i="33"/>
  <c r="Z93" i="33"/>
  <c r="AA93" i="33"/>
  <c r="AB93" i="33"/>
  <c r="AC93" i="33"/>
  <c r="AD93" i="33"/>
  <c r="AE93" i="33"/>
  <c r="J94" i="33"/>
  <c r="K94" i="33"/>
  <c r="L94" i="33"/>
  <c r="M94" i="33"/>
  <c r="N94" i="33"/>
  <c r="O94" i="33"/>
  <c r="P94" i="33"/>
  <c r="Q94" i="33"/>
  <c r="R94" i="33"/>
  <c r="S94" i="33"/>
  <c r="T94" i="33"/>
  <c r="U94" i="33"/>
  <c r="V94" i="33"/>
  <c r="W94" i="33"/>
  <c r="X94" i="33"/>
  <c r="Y94" i="33"/>
  <c r="Z94" i="33"/>
  <c r="AA94" i="33"/>
  <c r="AB94" i="33"/>
  <c r="AC94" i="33"/>
  <c r="AD94" i="33"/>
  <c r="AE94" i="33"/>
  <c r="J95" i="33"/>
  <c r="K95" i="33"/>
  <c r="L95" i="33"/>
  <c r="M95" i="33"/>
  <c r="N95" i="33"/>
  <c r="O95" i="33"/>
  <c r="P95" i="33"/>
  <c r="Q95" i="33"/>
  <c r="R95" i="33"/>
  <c r="S95" i="33"/>
  <c r="T95" i="33"/>
  <c r="U95" i="33"/>
  <c r="V95" i="33"/>
  <c r="W95" i="33"/>
  <c r="X95" i="33"/>
  <c r="Y95" i="33"/>
  <c r="Z95" i="33"/>
  <c r="AA95" i="33"/>
  <c r="AB95" i="33"/>
  <c r="AC95" i="33"/>
  <c r="AD95" i="33"/>
  <c r="AE95" i="33"/>
  <c r="AP95" i="33"/>
  <c r="AQ95" i="33"/>
  <c r="AR95" i="33"/>
  <c r="AS95" i="33"/>
  <c r="AT95" i="33"/>
  <c r="AU95" i="33"/>
  <c r="J96" i="33"/>
  <c r="K96" i="33"/>
  <c r="L96" i="33"/>
  <c r="M96" i="33"/>
  <c r="M93" i="34" s="1"/>
  <c r="N96" i="33"/>
  <c r="O96" i="33"/>
  <c r="O93" i="34" s="1"/>
  <c r="P96" i="33"/>
  <c r="Q96" i="33"/>
  <c r="R96" i="33"/>
  <c r="S96" i="33"/>
  <c r="S93" i="34" s="1"/>
  <c r="T96" i="33"/>
  <c r="U96" i="33"/>
  <c r="V96" i="33"/>
  <c r="W96" i="33"/>
  <c r="X96" i="33"/>
  <c r="X93" i="34" s="1"/>
  <c r="Y96" i="33"/>
  <c r="Y93" i="34" s="1"/>
  <c r="Z96" i="33"/>
  <c r="AA96" i="33"/>
  <c r="AA93" i="34" s="1"/>
  <c r="AB96" i="33"/>
  <c r="AC96" i="33"/>
  <c r="AD96" i="33"/>
  <c r="AE96" i="33"/>
  <c r="AE93" i="34" s="1"/>
  <c r="J97" i="33"/>
  <c r="J94" i="34" s="1"/>
  <c r="K97" i="33"/>
  <c r="L97" i="33"/>
  <c r="M97" i="33"/>
  <c r="M94" i="34" s="1"/>
  <c r="N97" i="33"/>
  <c r="O97" i="33"/>
  <c r="P97" i="33"/>
  <c r="Q97" i="33"/>
  <c r="Q94" i="34" s="1"/>
  <c r="R97" i="33"/>
  <c r="R94" i="34" s="1"/>
  <c r="S97" i="33"/>
  <c r="T97" i="33"/>
  <c r="T94" i="34" s="1"/>
  <c r="U97" i="33"/>
  <c r="U94" i="34" s="1"/>
  <c r="V97" i="33"/>
  <c r="V94" i="34" s="1"/>
  <c r="W97" i="33"/>
  <c r="X97" i="33"/>
  <c r="Y97" i="33"/>
  <c r="Y94" i="34" s="1"/>
  <c r="Z97" i="33"/>
  <c r="Z94" i="34" s="1"/>
  <c r="AA97" i="33"/>
  <c r="AB97" i="33"/>
  <c r="AC97" i="33"/>
  <c r="AC94" i="34" s="1"/>
  <c r="AD97" i="33"/>
  <c r="AD94" i="34" s="1"/>
  <c r="AE97" i="33"/>
  <c r="AL97" i="33"/>
  <c r="AM97" i="33"/>
  <c r="AV97" i="33"/>
  <c r="AW97" i="33"/>
  <c r="J98" i="33"/>
  <c r="K98" i="33"/>
  <c r="L98" i="33"/>
  <c r="L95" i="34" s="1"/>
  <c r="M98" i="33"/>
  <c r="N98" i="33"/>
  <c r="O98" i="33"/>
  <c r="P98" i="33"/>
  <c r="Q98" i="33"/>
  <c r="R98" i="33"/>
  <c r="S98" i="33"/>
  <c r="T98" i="33"/>
  <c r="U98" i="33"/>
  <c r="V98" i="33"/>
  <c r="W98" i="33"/>
  <c r="X98" i="33"/>
  <c r="Y98" i="33"/>
  <c r="Z98" i="33"/>
  <c r="AA98" i="33"/>
  <c r="AB98" i="33"/>
  <c r="AC98" i="33"/>
  <c r="AD98" i="33"/>
  <c r="AE98" i="33"/>
  <c r="AL98" i="33"/>
  <c r="AM98" i="33"/>
  <c r="AO98" i="33"/>
  <c r="AP98" i="33"/>
  <c r="AQ98" i="33"/>
  <c r="AR98" i="33"/>
  <c r="AS98" i="33"/>
  <c r="AT98" i="33"/>
  <c r="J99" i="33"/>
  <c r="K99" i="33"/>
  <c r="L99" i="33"/>
  <c r="M99" i="33"/>
  <c r="N99" i="33"/>
  <c r="O99" i="33"/>
  <c r="P99" i="33"/>
  <c r="Q99" i="33"/>
  <c r="R99" i="33"/>
  <c r="S99" i="33"/>
  <c r="T99" i="33"/>
  <c r="U99" i="33"/>
  <c r="V99" i="33"/>
  <c r="W99" i="33"/>
  <c r="X99" i="33"/>
  <c r="Y99" i="33"/>
  <c r="Z99" i="33"/>
  <c r="AA99" i="33"/>
  <c r="AB99" i="33"/>
  <c r="AC99" i="33"/>
  <c r="AD99" i="33"/>
  <c r="AE99" i="33"/>
  <c r="AL99" i="33"/>
  <c r="AM99" i="33"/>
  <c r="AN99" i="33"/>
  <c r="AO99" i="33"/>
  <c r="AQ99" i="33"/>
  <c r="AR99" i="33"/>
  <c r="AS99" i="33"/>
  <c r="AT99" i="33"/>
  <c r="AU99" i="33"/>
  <c r="AV99" i="33"/>
  <c r="AW99" i="33"/>
  <c r="J100" i="33"/>
  <c r="K100" i="33"/>
  <c r="L100" i="33"/>
  <c r="M100" i="33"/>
  <c r="N100" i="33"/>
  <c r="O100" i="33"/>
  <c r="P100" i="33"/>
  <c r="Q100" i="33"/>
  <c r="R100" i="33"/>
  <c r="S100" i="33"/>
  <c r="T100" i="33"/>
  <c r="U100" i="33"/>
  <c r="U97" i="34" s="1"/>
  <c r="V100" i="33"/>
  <c r="W100" i="33"/>
  <c r="X100" i="33"/>
  <c r="Y100" i="33"/>
  <c r="Z100" i="33"/>
  <c r="AA100" i="33"/>
  <c r="AB100" i="33"/>
  <c r="AC100" i="33"/>
  <c r="AD100" i="33"/>
  <c r="AE100" i="33"/>
  <c r="AN100" i="33"/>
  <c r="AP100" i="33"/>
  <c r="AU100" i="33"/>
  <c r="AV100" i="33"/>
  <c r="AW100" i="33"/>
  <c r="J101" i="33"/>
  <c r="K101" i="33"/>
  <c r="L101" i="33"/>
  <c r="M101" i="33"/>
  <c r="N101" i="33"/>
  <c r="O101" i="33"/>
  <c r="P101" i="33"/>
  <c r="Q101" i="33"/>
  <c r="R101" i="33"/>
  <c r="S101" i="33"/>
  <c r="S98" i="34" s="1"/>
  <c r="T101" i="33"/>
  <c r="U101" i="33"/>
  <c r="V101" i="33"/>
  <c r="W101" i="33"/>
  <c r="X101" i="33"/>
  <c r="Y101" i="33"/>
  <c r="Z101" i="33"/>
  <c r="AA101" i="33"/>
  <c r="AB101" i="33"/>
  <c r="AC101" i="33"/>
  <c r="AD101" i="33"/>
  <c r="AE101" i="33"/>
  <c r="AE98" i="34" s="1"/>
  <c r="J102" i="33"/>
  <c r="K102" i="33"/>
  <c r="L102" i="33"/>
  <c r="M102" i="33"/>
  <c r="N102" i="33"/>
  <c r="O102" i="33"/>
  <c r="P102" i="33"/>
  <c r="Q102" i="33"/>
  <c r="R102" i="33"/>
  <c r="S102" i="33"/>
  <c r="T102" i="33"/>
  <c r="T99" i="34" s="1"/>
  <c r="U102" i="33"/>
  <c r="V102" i="33"/>
  <c r="W102" i="33"/>
  <c r="X102" i="33"/>
  <c r="Y102" i="33"/>
  <c r="Z102" i="33"/>
  <c r="AA102" i="33"/>
  <c r="AB102" i="33"/>
  <c r="AC102" i="33"/>
  <c r="AD102" i="33"/>
  <c r="AE102" i="33"/>
  <c r="AL102" i="33"/>
  <c r="AM102" i="33"/>
  <c r="AN102" i="33"/>
  <c r="AO102" i="33"/>
  <c r="AQ102" i="33"/>
  <c r="AS102" i="33"/>
  <c r="AT102" i="33"/>
  <c r="AU102" i="33"/>
  <c r="AV102" i="33"/>
  <c r="AW102" i="33"/>
  <c r="J103" i="33"/>
  <c r="K103" i="33"/>
  <c r="L103" i="33"/>
  <c r="M103" i="33"/>
  <c r="N103" i="33"/>
  <c r="O103" i="33"/>
  <c r="P103" i="33"/>
  <c r="Q103" i="33"/>
  <c r="R103" i="33"/>
  <c r="S103" i="33"/>
  <c r="T103" i="33"/>
  <c r="U103" i="33"/>
  <c r="V103" i="33"/>
  <c r="W103" i="33"/>
  <c r="X103" i="33"/>
  <c r="Y103" i="33"/>
  <c r="Z103" i="33"/>
  <c r="AA103" i="33"/>
  <c r="AB103" i="33"/>
  <c r="AC103" i="33"/>
  <c r="AD103" i="33"/>
  <c r="AE103" i="33"/>
  <c r="AN103" i="33"/>
  <c r="AP103" i="33"/>
  <c r="AU103" i="33"/>
  <c r="AV103" i="33"/>
  <c r="AW103" i="33"/>
  <c r="J104" i="33"/>
  <c r="K104" i="33"/>
  <c r="L104" i="33"/>
  <c r="M104" i="33"/>
  <c r="N104" i="33"/>
  <c r="O104" i="33"/>
  <c r="P104" i="33"/>
  <c r="Q104" i="33"/>
  <c r="R104" i="33"/>
  <c r="S104" i="33"/>
  <c r="T104" i="33"/>
  <c r="U104" i="33"/>
  <c r="V104" i="33"/>
  <c r="W104" i="33"/>
  <c r="X104" i="33"/>
  <c r="Y104" i="33"/>
  <c r="Z104" i="33"/>
  <c r="AA104" i="33"/>
  <c r="AB104" i="33"/>
  <c r="AC104" i="33"/>
  <c r="AD104" i="33"/>
  <c r="AE104" i="33"/>
  <c r="AV104" i="33"/>
  <c r="J105" i="33"/>
  <c r="K105" i="33"/>
  <c r="K105" i="34" s="1"/>
  <c r="L105" i="33"/>
  <c r="L105" i="34" s="1"/>
  <c r="M105" i="33"/>
  <c r="M105" i="34" s="1"/>
  <c r="N105" i="33"/>
  <c r="N105" i="34" s="1"/>
  <c r="O105" i="33"/>
  <c r="O105" i="34" s="1"/>
  <c r="P105" i="33"/>
  <c r="P105" i="34" s="1"/>
  <c r="Q105" i="33"/>
  <c r="Q105" i="34" s="1"/>
  <c r="R105" i="33"/>
  <c r="R105" i="34" s="1"/>
  <c r="S105" i="33"/>
  <c r="S105" i="34" s="1"/>
  <c r="T105" i="33"/>
  <c r="T105" i="34" s="1"/>
  <c r="U105" i="33"/>
  <c r="U105" i="34" s="1"/>
  <c r="V105" i="33"/>
  <c r="W105" i="33"/>
  <c r="W105" i="34" s="1"/>
  <c r="X105" i="33"/>
  <c r="X105" i="34" s="1"/>
  <c r="Y105" i="33"/>
  <c r="Y105" i="34" s="1"/>
  <c r="Z105" i="33"/>
  <c r="Z105" i="34" s="1"/>
  <c r="AA105" i="33"/>
  <c r="AA105" i="34" s="1"/>
  <c r="AB105" i="33"/>
  <c r="AB105" i="34" s="1"/>
  <c r="AC105" i="33"/>
  <c r="AC105" i="34" s="1"/>
  <c r="AD105" i="33"/>
  <c r="AD105" i="34" s="1"/>
  <c r="AE105" i="33"/>
  <c r="AE105" i="34" s="1"/>
  <c r="AL105" i="33"/>
  <c r="AL105" i="34" s="1"/>
  <c r="AM105" i="33"/>
  <c r="AM105" i="34" s="1"/>
  <c r="AN105" i="33"/>
  <c r="AN105" i="34" s="1"/>
  <c r="AO105" i="33"/>
  <c r="AO105" i="34" s="1"/>
  <c r="AQ105" i="33"/>
  <c r="AQ105" i="34" s="1"/>
  <c r="AS105" i="33"/>
  <c r="AS105" i="34" s="1"/>
  <c r="AT105" i="33"/>
  <c r="AT105" i="34" s="1"/>
  <c r="AU105" i="33"/>
  <c r="AU105" i="34" s="1"/>
  <c r="AV105" i="33"/>
  <c r="AW105" i="33"/>
  <c r="AW105" i="34" s="1"/>
  <c r="J106" i="33"/>
  <c r="J106" i="34" s="1"/>
  <c r="K106" i="33"/>
  <c r="K106" i="34" s="1"/>
  <c r="L106" i="33"/>
  <c r="L106" i="34" s="1"/>
  <c r="M106" i="33"/>
  <c r="M106" i="34" s="1"/>
  <c r="N106" i="33"/>
  <c r="O106" i="33"/>
  <c r="O106" i="34" s="1"/>
  <c r="P106" i="33"/>
  <c r="Q106" i="33"/>
  <c r="Q106" i="34" s="1"/>
  <c r="R106" i="33"/>
  <c r="R106" i="34" s="1"/>
  <c r="S106" i="33"/>
  <c r="S106" i="34" s="1"/>
  <c r="T106" i="33"/>
  <c r="U106" i="33"/>
  <c r="U106" i="34" s="1"/>
  <c r="V106" i="33"/>
  <c r="V106" i="34" s="1"/>
  <c r="W106" i="33"/>
  <c r="W106" i="34" s="1"/>
  <c r="X106" i="33"/>
  <c r="X106" i="34" s="1"/>
  <c r="Y106" i="33"/>
  <c r="Y106" i="34" s="1"/>
  <c r="Z106" i="33"/>
  <c r="AA106" i="33"/>
  <c r="AA106" i="34" s="1"/>
  <c r="AB106" i="33"/>
  <c r="AC106" i="33"/>
  <c r="AC106" i="34" s="1"/>
  <c r="AD106" i="33"/>
  <c r="AD106" i="34" s="1"/>
  <c r="AE106" i="33"/>
  <c r="AE106" i="34" s="1"/>
  <c r="AL106" i="33"/>
  <c r="AL106" i="34" s="1"/>
  <c r="AM106" i="33"/>
  <c r="AM106" i="34" s="1"/>
  <c r="AN106" i="33"/>
  <c r="AN106" i="34" s="1"/>
  <c r="AO106" i="33"/>
  <c r="AO106" i="34" s="1"/>
  <c r="AP106" i="33"/>
  <c r="AP106" i="34" s="1"/>
  <c r="AQ106" i="33"/>
  <c r="AQ106" i="34" s="1"/>
  <c r="AR106" i="33"/>
  <c r="AR106" i="34" s="1"/>
  <c r="AS106" i="33"/>
  <c r="AS106" i="34" s="1"/>
  <c r="AT106" i="33"/>
  <c r="AT106" i="34" s="1"/>
  <c r="AU106" i="33"/>
  <c r="AU106" i="34" s="1"/>
  <c r="AV106" i="33"/>
  <c r="AV106" i="34" s="1"/>
  <c r="AW106" i="33"/>
  <c r="AW106" i="34" s="1"/>
  <c r="J107" i="33"/>
  <c r="J107" i="34" s="1"/>
  <c r="K107" i="33"/>
  <c r="K107" i="34" s="1"/>
  <c r="L107" i="33"/>
  <c r="L107" i="34" s="1"/>
  <c r="M107" i="33"/>
  <c r="M107" i="34" s="1"/>
  <c r="N107" i="33"/>
  <c r="N107" i="34" s="1"/>
  <c r="O107" i="33"/>
  <c r="P107" i="33"/>
  <c r="Q107" i="33"/>
  <c r="R107" i="33"/>
  <c r="R107" i="34" s="1"/>
  <c r="S107" i="33"/>
  <c r="S107" i="34" s="1"/>
  <c r="T107" i="33"/>
  <c r="T107" i="34" s="1"/>
  <c r="U107" i="33"/>
  <c r="U107" i="34" s="1"/>
  <c r="V107" i="33"/>
  <c r="V107" i="34" s="1"/>
  <c r="W107" i="33"/>
  <c r="W107" i="34" s="1"/>
  <c r="X107" i="33"/>
  <c r="X107" i="34" s="1"/>
  <c r="Y107" i="33"/>
  <c r="Y107" i="34" s="1"/>
  <c r="Z107" i="33"/>
  <c r="Z107" i="34" s="1"/>
  <c r="AA107" i="33"/>
  <c r="AB107" i="33"/>
  <c r="AC107" i="33"/>
  <c r="AD107" i="33"/>
  <c r="AD107" i="34" s="1"/>
  <c r="AE107" i="33"/>
  <c r="AE107" i="34" s="1"/>
  <c r="AL107" i="33"/>
  <c r="AL107" i="34" s="1"/>
  <c r="AM107" i="33"/>
  <c r="AM107" i="34" s="1"/>
  <c r="AN107" i="33"/>
  <c r="AN107" i="34" s="1"/>
  <c r="AO107" i="33"/>
  <c r="AO107" i="34" s="1"/>
  <c r="AP107" i="33"/>
  <c r="AP107" i="34" s="1"/>
  <c r="AR107" i="33"/>
  <c r="AR107" i="34" s="1"/>
  <c r="AS107" i="33"/>
  <c r="AS107" i="34" s="1"/>
  <c r="AT107" i="33"/>
  <c r="AT107" i="34" s="1"/>
  <c r="AU107" i="33"/>
  <c r="AU107" i="34" s="1"/>
  <c r="AV107" i="33"/>
  <c r="AV107" i="34" s="1"/>
  <c r="AW107" i="33"/>
  <c r="AW107" i="34" s="1"/>
  <c r="J108" i="33"/>
  <c r="K108" i="33"/>
  <c r="L108" i="33"/>
  <c r="M108" i="33"/>
  <c r="N108" i="33"/>
  <c r="O108" i="33"/>
  <c r="P108" i="33"/>
  <c r="Q108" i="33"/>
  <c r="R108" i="33"/>
  <c r="S108" i="33"/>
  <c r="T108" i="33"/>
  <c r="U108" i="33"/>
  <c r="V108" i="33"/>
  <c r="W108" i="33"/>
  <c r="X108" i="33"/>
  <c r="Y108" i="33"/>
  <c r="Z108" i="33"/>
  <c r="AA108" i="33"/>
  <c r="AB108" i="33"/>
  <c r="AC108" i="33"/>
  <c r="AD108" i="33"/>
  <c r="AE108" i="33"/>
  <c r="AL108" i="33"/>
  <c r="AM108" i="33"/>
  <c r="AO108" i="33"/>
  <c r="AP108" i="33"/>
  <c r="AQ108" i="33"/>
  <c r="AR108" i="33"/>
  <c r="AS108" i="33"/>
  <c r="AT108" i="33"/>
  <c r="AT108" i="34" s="1"/>
  <c r="AV108" i="33"/>
  <c r="AW108" i="33"/>
  <c r="J109" i="33"/>
  <c r="K109" i="33"/>
  <c r="L109" i="33"/>
  <c r="M109" i="33"/>
  <c r="N109" i="33"/>
  <c r="O109" i="33"/>
  <c r="P109" i="33"/>
  <c r="Q109" i="33"/>
  <c r="R109" i="33"/>
  <c r="R109" i="34" s="1"/>
  <c r="S109" i="33"/>
  <c r="T109" i="33"/>
  <c r="U109" i="33"/>
  <c r="V109" i="33"/>
  <c r="W109" i="33"/>
  <c r="X109" i="33"/>
  <c r="Y109" i="33"/>
  <c r="Z109" i="33"/>
  <c r="AA109" i="33"/>
  <c r="AB109" i="33"/>
  <c r="AC109" i="33"/>
  <c r="AD109" i="33"/>
  <c r="AD109" i="34" s="1"/>
  <c r="AE109" i="33"/>
  <c r="AL109" i="33"/>
  <c r="AM109" i="33"/>
  <c r="AN109" i="33"/>
  <c r="AP109" i="33"/>
  <c r="AP109" i="34" s="1"/>
  <c r="AQ109" i="33"/>
  <c r="AR109" i="33"/>
  <c r="AT109" i="33"/>
  <c r="AU109" i="33"/>
  <c r="AV109" i="33"/>
  <c r="AW109" i="33"/>
  <c r="J110" i="33"/>
  <c r="K110" i="33"/>
  <c r="L110" i="33"/>
  <c r="L110" i="34" s="1"/>
  <c r="M110" i="33"/>
  <c r="N110" i="33"/>
  <c r="O110" i="33"/>
  <c r="P110" i="33"/>
  <c r="Q110" i="33"/>
  <c r="R110" i="33"/>
  <c r="S110" i="33"/>
  <c r="T110" i="33"/>
  <c r="U110" i="33"/>
  <c r="V110" i="33"/>
  <c r="W110" i="33"/>
  <c r="X110" i="33"/>
  <c r="X110" i="34" s="1"/>
  <c r="Y110" i="33"/>
  <c r="Z110" i="33"/>
  <c r="AA110" i="33"/>
  <c r="AB110" i="33"/>
  <c r="AC110" i="33"/>
  <c r="AD110" i="33"/>
  <c r="AE110" i="33"/>
  <c r="AL110" i="33"/>
  <c r="AM110" i="33"/>
  <c r="AN110" i="33"/>
  <c r="AP110" i="33"/>
  <c r="AQ110" i="33"/>
  <c r="AR110" i="33"/>
  <c r="AT110" i="33"/>
  <c r="AU110" i="33"/>
  <c r="AU110" i="34" s="1"/>
  <c r="AV110" i="33"/>
  <c r="AV110" i="34" s="1"/>
  <c r="AW110" i="33"/>
  <c r="AW110" i="34" s="1"/>
  <c r="J111" i="33"/>
  <c r="K111" i="33"/>
  <c r="L111" i="33"/>
  <c r="L111" i="34" s="1"/>
  <c r="M111" i="33"/>
  <c r="M111" i="34" s="1"/>
  <c r="N111" i="33"/>
  <c r="O111" i="33"/>
  <c r="P111" i="33"/>
  <c r="P111" i="34" s="1"/>
  <c r="Q111" i="33"/>
  <c r="R111" i="33"/>
  <c r="S111" i="33"/>
  <c r="S111" i="34" s="1"/>
  <c r="T111" i="33"/>
  <c r="T111" i="34" s="1"/>
  <c r="U111" i="33"/>
  <c r="U111" i="34" s="1"/>
  <c r="V111" i="33"/>
  <c r="W111" i="33"/>
  <c r="X111" i="33"/>
  <c r="X111" i="34" s="1"/>
  <c r="Y111" i="33"/>
  <c r="Y111" i="34" s="1"/>
  <c r="Z111" i="33"/>
  <c r="AA111" i="33"/>
  <c r="AB111" i="33"/>
  <c r="AB111" i="34" s="1"/>
  <c r="AC111" i="33"/>
  <c r="AD111" i="33"/>
  <c r="AE111" i="33"/>
  <c r="AE111" i="34" s="1"/>
  <c r="AL111" i="33"/>
  <c r="AL111" i="34" s="1"/>
  <c r="AM111" i="33"/>
  <c r="AM111" i="34" s="1"/>
  <c r="AO111" i="33"/>
  <c r="AS111" i="33"/>
  <c r="I3" i="33"/>
  <c r="I3" i="34" s="1"/>
  <c r="I9" i="33"/>
  <c r="I9" i="34" s="1"/>
  <c r="I10" i="33"/>
  <c r="I10" i="34" s="1"/>
  <c r="I11" i="33"/>
  <c r="I11" i="34" s="1"/>
  <c r="I12" i="33"/>
  <c r="I12" i="34" s="1"/>
  <c r="I23" i="33"/>
  <c r="I23" i="34" s="1"/>
  <c r="I24" i="33"/>
  <c r="I24" i="34" s="1"/>
  <c r="I29" i="33"/>
  <c r="I29" i="34" s="1"/>
  <c r="I30" i="33"/>
  <c r="I30" i="34" s="1"/>
  <c r="I31" i="33"/>
  <c r="I31" i="34" s="1"/>
  <c r="I32" i="33"/>
  <c r="I32" i="34" s="1"/>
  <c r="I33" i="33"/>
  <c r="I33" i="34" s="1"/>
  <c r="I34" i="33"/>
  <c r="I34" i="34" s="1"/>
  <c r="I35" i="33"/>
  <c r="I35" i="34" s="1"/>
  <c r="I36" i="33"/>
  <c r="I36" i="34" s="1"/>
  <c r="I37" i="33"/>
  <c r="I37" i="34" s="1"/>
  <c r="I38" i="33"/>
  <c r="I38" i="34" s="1"/>
  <c r="I39" i="33"/>
  <c r="I39" i="34" s="1"/>
  <c r="I40" i="33"/>
  <c r="I40" i="34" s="1"/>
  <c r="I41" i="33"/>
  <c r="I41" i="34" s="1"/>
  <c r="I42" i="33"/>
  <c r="I42" i="34" s="1"/>
  <c r="I43" i="33"/>
  <c r="I43" i="34" s="1"/>
  <c r="I44" i="33"/>
  <c r="I44" i="34" s="1"/>
  <c r="I45" i="33"/>
  <c r="I45" i="34" s="1"/>
  <c r="I46" i="33"/>
  <c r="I46" i="34" s="1"/>
  <c r="I47" i="33"/>
  <c r="I47" i="34" s="1"/>
  <c r="I48" i="33"/>
  <c r="I48" i="34" s="1"/>
  <c r="I49" i="33"/>
  <c r="I49" i="34" s="1"/>
  <c r="I50" i="33"/>
  <c r="I50" i="34" s="1"/>
  <c r="I51" i="33"/>
  <c r="I51" i="34" s="1"/>
  <c r="I52" i="33"/>
  <c r="I52" i="34" s="1"/>
  <c r="I53" i="33"/>
  <c r="I53" i="34" s="1"/>
  <c r="I54" i="33"/>
  <c r="I54" i="34" s="1"/>
  <c r="I55" i="33"/>
  <c r="I55" i="34" s="1"/>
  <c r="I56" i="33"/>
  <c r="I56" i="34" s="1"/>
  <c r="I57" i="33"/>
  <c r="I57" i="34" s="1"/>
  <c r="I58" i="33"/>
  <c r="I58" i="34" s="1"/>
  <c r="I59" i="33"/>
  <c r="I59" i="34" s="1"/>
  <c r="I60" i="33"/>
  <c r="I60" i="34" s="1"/>
  <c r="I62" i="33"/>
  <c r="I62" i="34" s="1"/>
  <c r="I63" i="33"/>
  <c r="I63" i="34" s="1"/>
  <c r="I66" i="33"/>
  <c r="I66" i="34" s="1"/>
  <c r="I67" i="33"/>
  <c r="I67" i="34" s="1"/>
  <c r="I69" i="33"/>
  <c r="I69" i="34" s="1"/>
  <c r="I70" i="33"/>
  <c r="I70" i="34" s="1"/>
  <c r="I73" i="33"/>
  <c r="I73" i="34" s="1"/>
  <c r="I74" i="33"/>
  <c r="I74" i="34" s="1"/>
  <c r="I75" i="33"/>
  <c r="I75" i="34" s="1"/>
  <c r="I77" i="33"/>
  <c r="I77" i="34" s="1"/>
  <c r="I81" i="33"/>
  <c r="I78" i="34" s="1"/>
  <c r="I83" i="33"/>
  <c r="I80" i="34" s="1"/>
  <c r="I84" i="33"/>
  <c r="I85" i="33"/>
  <c r="I86" i="33"/>
  <c r="I87" i="33"/>
  <c r="I88" i="33"/>
  <c r="I89" i="33"/>
  <c r="I90" i="33"/>
  <c r="I91" i="33"/>
  <c r="I92" i="33"/>
  <c r="I93" i="33"/>
  <c r="I94" i="33"/>
  <c r="I95" i="33"/>
  <c r="I96" i="33"/>
  <c r="I97" i="33"/>
  <c r="I98" i="33"/>
  <c r="I99" i="33"/>
  <c r="I100" i="33"/>
  <c r="I101" i="33"/>
  <c r="I102" i="33"/>
  <c r="I103" i="33"/>
  <c r="I104" i="33"/>
  <c r="I105" i="33"/>
  <c r="I105" i="34" s="1"/>
  <c r="I106" i="33"/>
  <c r="I106" i="34" s="1"/>
  <c r="I107" i="33"/>
  <c r="I107" i="34" s="1"/>
  <c r="I108" i="33"/>
  <c r="I109" i="33"/>
  <c r="I110" i="33"/>
  <c r="I111" i="33"/>
  <c r="H3" i="33"/>
  <c r="H3" i="34" s="1"/>
  <c r="H12" i="33"/>
  <c r="H12" i="34" s="1"/>
  <c r="H23" i="33"/>
  <c r="H23" i="34" s="1"/>
  <c r="H24" i="33"/>
  <c r="H24" i="34" s="1"/>
  <c r="H26" i="33"/>
  <c r="H26" i="34" s="1"/>
  <c r="H29" i="33"/>
  <c r="H29" i="34" s="1"/>
  <c r="H30" i="33"/>
  <c r="H30" i="34" s="1"/>
  <c r="H31" i="33"/>
  <c r="H31" i="34" s="1"/>
  <c r="H32" i="33"/>
  <c r="H32" i="34" s="1"/>
  <c r="H33" i="33"/>
  <c r="H33" i="34" s="1"/>
  <c r="H34" i="33"/>
  <c r="H34" i="34" s="1"/>
  <c r="H35" i="33"/>
  <c r="H35" i="34" s="1"/>
  <c r="H36" i="33"/>
  <c r="H36" i="34" s="1"/>
  <c r="H37" i="33"/>
  <c r="H37" i="34" s="1"/>
  <c r="H38" i="33"/>
  <c r="H38" i="34" s="1"/>
  <c r="H39" i="33"/>
  <c r="H39" i="34" s="1"/>
  <c r="H40" i="33"/>
  <c r="H40" i="34" s="1"/>
  <c r="H41" i="33"/>
  <c r="H41" i="34" s="1"/>
  <c r="H42" i="33"/>
  <c r="H42" i="34" s="1"/>
  <c r="H43" i="33"/>
  <c r="H43" i="34" s="1"/>
  <c r="H44" i="33"/>
  <c r="H44" i="34" s="1"/>
  <c r="H45" i="33"/>
  <c r="H45" i="34" s="1"/>
  <c r="H46" i="33"/>
  <c r="H46" i="34" s="1"/>
  <c r="H47" i="33"/>
  <c r="H47" i="34" s="1"/>
  <c r="H48" i="33"/>
  <c r="H48" i="34" s="1"/>
  <c r="H49" i="33"/>
  <c r="H49" i="34" s="1"/>
  <c r="H50" i="33"/>
  <c r="H50" i="34" s="1"/>
  <c r="H51" i="33"/>
  <c r="H51" i="34" s="1"/>
  <c r="H52" i="33"/>
  <c r="H52" i="34" s="1"/>
  <c r="H53" i="33"/>
  <c r="H53" i="34" s="1"/>
  <c r="H54" i="33"/>
  <c r="H54" i="34" s="1"/>
  <c r="H55" i="33"/>
  <c r="H55" i="34" s="1"/>
  <c r="H56" i="33"/>
  <c r="H56" i="34" s="1"/>
  <c r="H57" i="33"/>
  <c r="H57" i="34" s="1"/>
  <c r="H58" i="33"/>
  <c r="H58" i="34" s="1"/>
  <c r="H59" i="33"/>
  <c r="H59" i="34" s="1"/>
  <c r="H60" i="33"/>
  <c r="H60" i="34" s="1"/>
  <c r="H61" i="33"/>
  <c r="H61" i="34" s="1"/>
  <c r="H62" i="33"/>
  <c r="H62" i="34" s="1"/>
  <c r="H63" i="33"/>
  <c r="H63" i="34" s="1"/>
  <c r="H70" i="33"/>
  <c r="H70" i="34" s="1"/>
  <c r="H74" i="33"/>
  <c r="H74" i="34" s="1"/>
  <c r="H75" i="33"/>
  <c r="H75" i="34" s="1"/>
  <c r="H76" i="33"/>
  <c r="H76" i="34" s="1"/>
  <c r="H81" i="33"/>
  <c r="H78" i="34" s="1"/>
  <c r="H82" i="33"/>
  <c r="H79" i="34" s="1"/>
  <c r="H83" i="33"/>
  <c r="H84" i="33"/>
  <c r="H85" i="33"/>
  <c r="H86" i="33"/>
  <c r="H87" i="33"/>
  <c r="H88" i="33"/>
  <c r="H89" i="33"/>
  <c r="H90" i="33"/>
  <c r="H91" i="33"/>
  <c r="H92" i="33"/>
  <c r="H93" i="33"/>
  <c r="H94" i="33"/>
  <c r="H95" i="33"/>
  <c r="H96" i="33"/>
  <c r="H97" i="33"/>
  <c r="H98" i="33"/>
  <c r="H99" i="33"/>
  <c r="H100" i="33"/>
  <c r="H101" i="33"/>
  <c r="H102" i="33"/>
  <c r="H103" i="33"/>
  <c r="H104" i="33"/>
  <c r="H105" i="33"/>
  <c r="H105" i="34" s="1"/>
  <c r="H106" i="33"/>
  <c r="H106" i="34" s="1"/>
  <c r="H107" i="33"/>
  <c r="H107" i="34" s="1"/>
  <c r="H108" i="33"/>
  <c r="H109" i="33"/>
  <c r="H110" i="33"/>
  <c r="H111" i="33"/>
  <c r="G3" i="33"/>
  <c r="G3" i="34" s="1"/>
  <c r="G10" i="33"/>
  <c r="G10" i="34" s="1"/>
  <c r="G11" i="33"/>
  <c r="G11" i="34" s="1"/>
  <c r="G23" i="33"/>
  <c r="G23" i="34" s="1"/>
  <c r="G29" i="33"/>
  <c r="G29" i="34" s="1"/>
  <c r="G30" i="33"/>
  <c r="G30" i="34" s="1"/>
  <c r="G31" i="33"/>
  <c r="G31" i="34" s="1"/>
  <c r="G32" i="33"/>
  <c r="G32" i="34" s="1"/>
  <c r="G33" i="33"/>
  <c r="G33" i="34" s="1"/>
  <c r="G34" i="33"/>
  <c r="G34" i="34" s="1"/>
  <c r="G35" i="33"/>
  <c r="G35" i="34" s="1"/>
  <c r="G36" i="33"/>
  <c r="G36" i="34" s="1"/>
  <c r="G37" i="33"/>
  <c r="G37" i="34" s="1"/>
  <c r="G38" i="33"/>
  <c r="G38" i="34" s="1"/>
  <c r="G39" i="33"/>
  <c r="G39" i="34" s="1"/>
  <c r="G40" i="33"/>
  <c r="G40" i="34" s="1"/>
  <c r="G41" i="33"/>
  <c r="G41" i="34" s="1"/>
  <c r="G42" i="33"/>
  <c r="G42" i="34" s="1"/>
  <c r="G43" i="33"/>
  <c r="G43" i="34" s="1"/>
  <c r="G44" i="33"/>
  <c r="G44" i="34" s="1"/>
  <c r="G45" i="33"/>
  <c r="G45" i="34" s="1"/>
  <c r="G46" i="33"/>
  <c r="G46" i="34" s="1"/>
  <c r="G47" i="33"/>
  <c r="G47" i="34" s="1"/>
  <c r="G48" i="33"/>
  <c r="G48" i="34" s="1"/>
  <c r="G49" i="33"/>
  <c r="G49" i="34" s="1"/>
  <c r="G50" i="33"/>
  <c r="G50" i="34" s="1"/>
  <c r="G51" i="33"/>
  <c r="G51" i="34" s="1"/>
  <c r="G52" i="33"/>
  <c r="G52" i="34" s="1"/>
  <c r="G53" i="33"/>
  <c r="G53" i="34" s="1"/>
  <c r="G54" i="33"/>
  <c r="G54" i="34" s="1"/>
  <c r="G55" i="33"/>
  <c r="G55" i="34" s="1"/>
  <c r="G56" i="33"/>
  <c r="G56" i="34" s="1"/>
  <c r="G57" i="33"/>
  <c r="G57" i="34" s="1"/>
  <c r="G58" i="33"/>
  <c r="G58" i="34" s="1"/>
  <c r="G59" i="33"/>
  <c r="G59" i="34" s="1"/>
  <c r="G60" i="33"/>
  <c r="G60" i="34" s="1"/>
  <c r="G61" i="33"/>
  <c r="G61" i="34" s="1"/>
  <c r="G62" i="33"/>
  <c r="G62" i="34" s="1"/>
  <c r="G63" i="33"/>
  <c r="G63" i="34" s="1"/>
  <c r="G66" i="33"/>
  <c r="G66" i="34" s="1"/>
  <c r="G70" i="33"/>
  <c r="G70" i="34" s="1"/>
  <c r="G74" i="33"/>
  <c r="G74" i="34" s="1"/>
  <c r="G75" i="33"/>
  <c r="G75" i="34" s="1"/>
  <c r="G76" i="33"/>
  <c r="G76" i="34" s="1"/>
  <c r="G81" i="33"/>
  <c r="G78" i="34" s="1"/>
  <c r="G82" i="33"/>
  <c r="G79" i="34" s="1"/>
  <c r="G83" i="33"/>
  <c r="G84" i="33"/>
  <c r="G85" i="33"/>
  <c r="G86" i="33"/>
  <c r="G87" i="33"/>
  <c r="G88" i="33"/>
  <c r="G89" i="33"/>
  <c r="G90" i="33"/>
  <c r="G91" i="33"/>
  <c r="G92" i="33"/>
  <c r="G93" i="33"/>
  <c r="G94" i="33"/>
  <c r="G95" i="33"/>
  <c r="G96" i="33"/>
  <c r="G97" i="33"/>
  <c r="G98" i="33"/>
  <c r="G99" i="33"/>
  <c r="G100" i="33"/>
  <c r="G101" i="33"/>
  <c r="G102" i="33"/>
  <c r="G103" i="33"/>
  <c r="G104" i="33"/>
  <c r="G105" i="33"/>
  <c r="G105" i="34" s="1"/>
  <c r="G106" i="33"/>
  <c r="G106" i="34" s="1"/>
  <c r="G107" i="33"/>
  <c r="G107" i="34" s="1"/>
  <c r="G108" i="33"/>
  <c r="G109" i="33"/>
  <c r="G110" i="33"/>
  <c r="G111" i="33"/>
  <c r="F3" i="33"/>
  <c r="F3" i="34" s="1"/>
  <c r="F10" i="33"/>
  <c r="F10" i="34" s="1"/>
  <c r="F11" i="33"/>
  <c r="F11" i="34" s="1"/>
  <c r="F23" i="33"/>
  <c r="F23" i="34" s="1"/>
  <c r="F24" i="33"/>
  <c r="F24" i="34" s="1"/>
  <c r="F25" i="33"/>
  <c r="F25" i="34" s="1"/>
  <c r="F26" i="33"/>
  <c r="F26" i="34" s="1"/>
  <c r="F29" i="33"/>
  <c r="F29" i="34" s="1"/>
  <c r="F31" i="33"/>
  <c r="F31" i="34" s="1"/>
  <c r="F32" i="33"/>
  <c r="F32" i="34" s="1"/>
  <c r="F33" i="33"/>
  <c r="F33" i="34" s="1"/>
  <c r="F34" i="33"/>
  <c r="F34" i="34" s="1"/>
  <c r="F35" i="33"/>
  <c r="F35" i="34" s="1"/>
  <c r="F36" i="33"/>
  <c r="F36" i="34" s="1"/>
  <c r="F37" i="33"/>
  <c r="F37" i="34" s="1"/>
  <c r="F38" i="33"/>
  <c r="F38" i="34" s="1"/>
  <c r="F39" i="33"/>
  <c r="F39" i="34" s="1"/>
  <c r="F40" i="33"/>
  <c r="F40" i="34" s="1"/>
  <c r="F41" i="33"/>
  <c r="F41" i="34" s="1"/>
  <c r="F42" i="33"/>
  <c r="F42" i="34" s="1"/>
  <c r="F43" i="33"/>
  <c r="F43" i="34" s="1"/>
  <c r="F44" i="33"/>
  <c r="F44" i="34" s="1"/>
  <c r="F45" i="33"/>
  <c r="F45" i="34" s="1"/>
  <c r="F46" i="33"/>
  <c r="F46" i="34" s="1"/>
  <c r="F47" i="33"/>
  <c r="F47" i="34" s="1"/>
  <c r="F48" i="33"/>
  <c r="F48" i="34" s="1"/>
  <c r="F49" i="33"/>
  <c r="F49" i="34" s="1"/>
  <c r="F50" i="33"/>
  <c r="F50" i="34" s="1"/>
  <c r="F51" i="33"/>
  <c r="F51" i="34" s="1"/>
  <c r="F52" i="33"/>
  <c r="F52" i="34" s="1"/>
  <c r="F53" i="33"/>
  <c r="F53" i="34" s="1"/>
  <c r="F54" i="33"/>
  <c r="F54" i="34" s="1"/>
  <c r="F55" i="33"/>
  <c r="F55" i="34" s="1"/>
  <c r="F56" i="33"/>
  <c r="F56" i="34" s="1"/>
  <c r="F57" i="33"/>
  <c r="F57" i="34" s="1"/>
  <c r="F58" i="33"/>
  <c r="F58" i="34" s="1"/>
  <c r="F59" i="33"/>
  <c r="F59" i="34" s="1"/>
  <c r="F60" i="33"/>
  <c r="F60" i="34" s="1"/>
  <c r="F61" i="33"/>
  <c r="F61" i="34" s="1"/>
  <c r="F62" i="33"/>
  <c r="F62" i="34" s="1"/>
  <c r="F63" i="33"/>
  <c r="F63" i="34" s="1"/>
  <c r="F66" i="33"/>
  <c r="F66" i="34" s="1"/>
  <c r="F70" i="33"/>
  <c r="F70" i="34" s="1"/>
  <c r="F73" i="33"/>
  <c r="F73" i="34" s="1"/>
  <c r="F75" i="33"/>
  <c r="F75" i="34" s="1"/>
  <c r="F76" i="33"/>
  <c r="F76" i="34" s="1"/>
  <c r="F81" i="33"/>
  <c r="F78" i="34" s="1"/>
  <c r="F82" i="33"/>
  <c r="F83" i="33"/>
  <c r="F84" i="33"/>
  <c r="F85" i="33"/>
  <c r="F86" i="33"/>
  <c r="F87" i="33"/>
  <c r="F88" i="33"/>
  <c r="F89" i="33"/>
  <c r="F90" i="33"/>
  <c r="F91" i="33"/>
  <c r="F92" i="33"/>
  <c r="F93" i="33"/>
  <c r="F94" i="33"/>
  <c r="F95" i="33"/>
  <c r="F96" i="33"/>
  <c r="F97" i="33"/>
  <c r="F98" i="33"/>
  <c r="F99" i="33"/>
  <c r="F100" i="33"/>
  <c r="F101" i="33"/>
  <c r="F102" i="33"/>
  <c r="F103" i="33"/>
  <c r="F104" i="33"/>
  <c r="F105" i="33"/>
  <c r="F105" i="34" s="1"/>
  <c r="F106" i="33"/>
  <c r="F106" i="34" s="1"/>
  <c r="F107" i="33"/>
  <c r="F107" i="34" s="1"/>
  <c r="F108" i="33"/>
  <c r="F108" i="34" s="1"/>
  <c r="F109" i="33"/>
  <c r="F110" i="33"/>
  <c r="F111" i="33"/>
  <c r="E3" i="33"/>
  <c r="E3" i="34" s="1"/>
  <c r="E14" i="33"/>
  <c r="E14" i="34" s="1"/>
  <c r="E17" i="33"/>
  <c r="E17" i="34" s="1"/>
  <c r="E23" i="33"/>
  <c r="E23" i="34" s="1"/>
  <c r="E24" i="33"/>
  <c r="E24" i="34" s="1"/>
  <c r="E29" i="33"/>
  <c r="E29" i="34" s="1"/>
  <c r="E30" i="33"/>
  <c r="E30" i="34" s="1"/>
  <c r="E31" i="33"/>
  <c r="E31" i="34" s="1"/>
  <c r="E32" i="33"/>
  <c r="E32" i="34" s="1"/>
  <c r="E33" i="33"/>
  <c r="E33" i="34" s="1"/>
  <c r="E34" i="33"/>
  <c r="E34" i="34" s="1"/>
  <c r="E35" i="33"/>
  <c r="E35" i="34" s="1"/>
  <c r="E36" i="33"/>
  <c r="E36" i="34" s="1"/>
  <c r="E37" i="33"/>
  <c r="E37" i="34" s="1"/>
  <c r="E38" i="33"/>
  <c r="E38" i="34" s="1"/>
  <c r="E39" i="33"/>
  <c r="E39" i="34" s="1"/>
  <c r="E40" i="33"/>
  <c r="E40" i="34" s="1"/>
  <c r="E41" i="33"/>
  <c r="E41" i="34" s="1"/>
  <c r="E42" i="33"/>
  <c r="E42" i="34" s="1"/>
  <c r="E43" i="33"/>
  <c r="E43" i="34" s="1"/>
  <c r="E44" i="33"/>
  <c r="E44" i="34" s="1"/>
  <c r="E45" i="33"/>
  <c r="E45" i="34" s="1"/>
  <c r="E46" i="33"/>
  <c r="E46" i="34" s="1"/>
  <c r="E47" i="33"/>
  <c r="E47" i="34" s="1"/>
  <c r="E48" i="33"/>
  <c r="E48" i="34" s="1"/>
  <c r="E49" i="33"/>
  <c r="E49" i="34" s="1"/>
  <c r="E50" i="33"/>
  <c r="E50" i="34" s="1"/>
  <c r="E51" i="33"/>
  <c r="E51" i="34" s="1"/>
  <c r="E52" i="33"/>
  <c r="E52" i="34" s="1"/>
  <c r="E53" i="33"/>
  <c r="E53" i="34" s="1"/>
  <c r="E54" i="33"/>
  <c r="E54" i="34" s="1"/>
  <c r="E55" i="33"/>
  <c r="E55" i="34" s="1"/>
  <c r="E56" i="33"/>
  <c r="E56" i="34" s="1"/>
  <c r="E57" i="33"/>
  <c r="E57" i="34" s="1"/>
  <c r="E58" i="33"/>
  <c r="E58" i="34" s="1"/>
  <c r="E59" i="33"/>
  <c r="E59" i="34" s="1"/>
  <c r="E60" i="33"/>
  <c r="E60" i="34" s="1"/>
  <c r="E61" i="33"/>
  <c r="E61" i="34" s="1"/>
  <c r="E62" i="33"/>
  <c r="E62" i="34" s="1"/>
  <c r="E63" i="33"/>
  <c r="E63" i="34" s="1"/>
  <c r="E66" i="33"/>
  <c r="E66" i="34" s="1"/>
  <c r="E70" i="33"/>
  <c r="E70" i="34" s="1"/>
  <c r="E74" i="33"/>
  <c r="E74" i="34" s="1"/>
  <c r="E75" i="33"/>
  <c r="E75" i="34" s="1"/>
  <c r="E76" i="33"/>
  <c r="E76" i="34" s="1"/>
  <c r="E81" i="33"/>
  <c r="E78" i="34" s="1"/>
  <c r="E82" i="33"/>
  <c r="E79" i="34" s="1"/>
  <c r="E84" i="33"/>
  <c r="E85" i="33"/>
  <c r="E86" i="33"/>
  <c r="E87" i="33"/>
  <c r="E88" i="33"/>
  <c r="E89" i="33"/>
  <c r="E90" i="33"/>
  <c r="E91" i="33"/>
  <c r="E92" i="33"/>
  <c r="E93" i="33"/>
  <c r="E94" i="33"/>
  <c r="E95" i="33"/>
  <c r="E96" i="33"/>
  <c r="E97" i="33"/>
  <c r="E98" i="33"/>
  <c r="E99" i="33"/>
  <c r="E100" i="33"/>
  <c r="E101" i="33"/>
  <c r="E102" i="33"/>
  <c r="E103" i="33"/>
  <c r="E104" i="33"/>
  <c r="E105" i="33"/>
  <c r="E105" i="34" s="1"/>
  <c r="E106" i="33"/>
  <c r="E106" i="34" s="1"/>
  <c r="E107" i="33"/>
  <c r="E107" i="34" s="1"/>
  <c r="E108" i="33"/>
  <c r="E109" i="33"/>
  <c r="E110" i="33"/>
  <c r="E111" i="33"/>
  <c r="AV114" i="32"/>
  <c r="AT88" i="33" s="1"/>
  <c r="AX126" i="32"/>
  <c r="AO110" i="33"/>
  <c r="AY126" i="32"/>
  <c r="AZ126" i="32"/>
  <c r="AX101" i="33" s="1"/>
  <c r="AX100" i="34" s="1"/>
  <c r="AP126" i="32"/>
  <c r="AN98" i="33" s="1"/>
  <c r="AX117" i="32"/>
  <c r="AV16" i="33" s="1"/>
  <c r="AV16" i="34" s="1"/>
  <c r="AX139" i="32"/>
  <c r="AV111" i="33" s="1"/>
  <c r="AT130" i="32"/>
  <c r="AR102" i="33" s="1"/>
  <c r="AR130" i="32"/>
  <c r="AU108" i="33"/>
  <c r="AP136" i="32"/>
  <c r="AN108" i="33" s="1"/>
  <c r="AQ125" i="32"/>
  <c r="AR127" i="32"/>
  <c r="AP99" i="33" s="1"/>
  <c r="AW126" i="32"/>
  <c r="AU98" i="33" s="1"/>
  <c r="AO128" i="32"/>
  <c r="AM100" i="33" s="1"/>
  <c r="AM97" i="34" s="1"/>
  <c r="AQ128" i="32"/>
  <c r="AS128" i="32"/>
  <c r="AS129" i="32" s="1"/>
  <c r="AT128" i="32"/>
  <c r="AR100" i="33" s="1"/>
  <c r="AU128" i="32"/>
  <c r="AS100" i="33" s="1"/>
  <c r="AV128" i="32"/>
  <c r="AN128" i="32"/>
  <c r="AS132" i="32" s="1"/>
  <c r="AQ107" i="33" s="1"/>
  <c r="AQ107" i="34" s="1"/>
  <c r="AU137" i="32"/>
  <c r="AS109" i="33" s="1"/>
  <c r="AS109" i="34" s="1"/>
  <c r="AQ137" i="32"/>
  <c r="AO109" i="33" s="1"/>
  <c r="AR139" i="32"/>
  <c r="AP111" i="33" s="1"/>
  <c r="AS139" i="32"/>
  <c r="AQ111" i="33" s="1"/>
  <c r="AQ111" i="34" s="1"/>
  <c r="AT139" i="32"/>
  <c r="AR111" i="33" s="1"/>
  <c r="AR111" i="34" s="1"/>
  <c r="AV139" i="32"/>
  <c r="AT111" i="33" s="1"/>
  <c r="AT111" i="34" s="1"/>
  <c r="AW139" i="32"/>
  <c r="AY139" i="32"/>
  <c r="AW111" i="33" s="1"/>
  <c r="AZ139" i="32"/>
  <c r="AX114" i="33" s="1"/>
  <c r="AX114" i="34" s="1"/>
  <c r="AP139" i="32"/>
  <c r="AU138" i="32"/>
  <c r="AS110" i="33" s="1"/>
  <c r="AN111" i="32"/>
  <c r="AL85" i="33" s="1"/>
  <c r="AO112" i="32"/>
  <c r="AM86" i="33" s="1"/>
  <c r="AP114" i="32"/>
  <c r="AN88" i="33" s="1"/>
  <c r="H34" i="32"/>
  <c r="F19" i="33" s="1"/>
  <c r="F19" i="34" s="1"/>
  <c r="I34" i="32"/>
  <c r="J34" i="32"/>
  <c r="H19" i="33" s="1"/>
  <c r="H19" i="34" s="1"/>
  <c r="K34" i="32"/>
  <c r="I19" i="33" s="1"/>
  <c r="I19" i="34" s="1"/>
  <c r="L34" i="32"/>
  <c r="M34" i="32"/>
  <c r="K20" i="33" s="1"/>
  <c r="K20" i="34" s="1"/>
  <c r="N34" i="32"/>
  <c r="L20" i="33" s="1"/>
  <c r="L20" i="34" s="1"/>
  <c r="O34" i="32"/>
  <c r="M20" i="33" s="1"/>
  <c r="M20" i="34" s="1"/>
  <c r="P34" i="32"/>
  <c r="N20" i="33" s="1"/>
  <c r="N20" i="34" s="1"/>
  <c r="Q34" i="32"/>
  <c r="R34" i="32"/>
  <c r="S34" i="32"/>
  <c r="Q20" i="33" s="1"/>
  <c r="Q20" i="34" s="1"/>
  <c r="T34" i="32"/>
  <c r="U34" i="32"/>
  <c r="S20" i="33" s="1"/>
  <c r="S20" i="34" s="1"/>
  <c r="V34" i="32"/>
  <c r="T19" i="33" s="1"/>
  <c r="T19" i="34" s="1"/>
  <c r="W34" i="32"/>
  <c r="U19" i="33" s="1"/>
  <c r="U19" i="34" s="1"/>
  <c r="X34" i="32"/>
  <c r="V20" i="33" s="1"/>
  <c r="V20" i="34" s="1"/>
  <c r="Y34" i="32"/>
  <c r="W20" i="33" s="1"/>
  <c r="W20" i="34" s="1"/>
  <c r="Z34" i="32"/>
  <c r="X20" i="33" s="1"/>
  <c r="X20" i="34" s="1"/>
  <c r="AA34" i="32"/>
  <c r="Y20" i="33" s="1"/>
  <c r="Y20" i="34" s="1"/>
  <c r="AB34" i="32"/>
  <c r="Z20" i="33" s="1"/>
  <c r="Z20" i="34" s="1"/>
  <c r="AC34" i="32"/>
  <c r="AA20" i="33" s="1"/>
  <c r="AA20" i="34" s="1"/>
  <c r="AD34" i="32"/>
  <c r="AE34" i="32"/>
  <c r="AF34" i="32"/>
  <c r="AG34" i="32"/>
  <c r="G33" i="32"/>
  <c r="E19" i="33" s="1"/>
  <c r="E19" i="34" s="1"/>
  <c r="AB9" i="33"/>
  <c r="AB9" i="34" s="1"/>
  <c r="AD45" i="32"/>
  <c r="AD98" i="34" l="1"/>
  <c r="R98" i="34"/>
  <c r="AE84" i="34"/>
  <c r="S84" i="34"/>
  <c r="AB83" i="34"/>
  <c r="V81" i="34"/>
  <c r="AA85" i="34"/>
  <c r="O85" i="34"/>
  <c r="AA98" i="34"/>
  <c r="O98" i="34"/>
  <c r="AA96" i="34"/>
  <c r="AD96" i="34"/>
  <c r="R96" i="34"/>
  <c r="AC81" i="34"/>
  <c r="V88" i="34"/>
  <c r="J88" i="34"/>
  <c r="T87" i="34"/>
  <c r="L84" i="34"/>
  <c r="Y82" i="34"/>
  <c r="AB104" i="34"/>
  <c r="AB107" i="34"/>
  <c r="AC104" i="34"/>
  <c r="AC107" i="34"/>
  <c r="Q104" i="34"/>
  <c r="Q107" i="34"/>
  <c r="V101" i="34"/>
  <c r="J101" i="34"/>
  <c r="Y100" i="34"/>
  <c r="M100" i="34"/>
  <c r="N94" i="34"/>
  <c r="P104" i="34"/>
  <c r="P107" i="34"/>
  <c r="Z103" i="34"/>
  <c r="Z106" i="34"/>
  <c r="L93" i="34"/>
  <c r="T95" i="34"/>
  <c r="X85" i="34"/>
  <c r="L81" i="34"/>
  <c r="V102" i="34"/>
  <c r="V105" i="34"/>
  <c r="F93" i="34"/>
  <c r="F81" i="34"/>
  <c r="G98" i="34"/>
  <c r="G86" i="34"/>
  <c r="H101" i="34"/>
  <c r="H89" i="34"/>
  <c r="I92" i="34"/>
  <c r="U84" i="34"/>
  <c r="AD83" i="34"/>
  <c r="AA82" i="34"/>
  <c r="O82" i="34"/>
  <c r="X81" i="34"/>
  <c r="E101" i="34"/>
  <c r="E89" i="34"/>
  <c r="T103" i="34"/>
  <c r="T106" i="34"/>
  <c r="AV102" i="34"/>
  <c r="AV105" i="34"/>
  <c r="Z99" i="34"/>
  <c r="N99" i="34"/>
  <c r="AA86" i="34"/>
  <c r="O86" i="34"/>
  <c r="Q83" i="34"/>
  <c r="AA104" i="34"/>
  <c r="AA107" i="34"/>
  <c r="O104" i="34"/>
  <c r="O107" i="34"/>
  <c r="N103" i="34"/>
  <c r="N106" i="34"/>
  <c r="J102" i="34"/>
  <c r="J105" i="34"/>
  <c r="AB103" i="34"/>
  <c r="AB106" i="34"/>
  <c r="P103" i="34"/>
  <c r="P106" i="34"/>
  <c r="T98" i="34"/>
  <c r="T96" i="34"/>
  <c r="AA110" i="34"/>
  <c r="O110" i="34"/>
  <c r="AB92" i="34"/>
  <c r="P92" i="34"/>
  <c r="Z91" i="34"/>
  <c r="N91" i="34"/>
  <c r="X90" i="34"/>
  <c r="L90" i="34"/>
  <c r="AA88" i="34"/>
  <c r="O88" i="34"/>
  <c r="Y87" i="34"/>
  <c r="M87" i="34"/>
  <c r="AL110" i="34"/>
  <c r="T110" i="34"/>
  <c r="AV109" i="34"/>
  <c r="AC100" i="34"/>
  <c r="Q100" i="34"/>
  <c r="AD87" i="34"/>
  <c r="R87" i="34"/>
  <c r="AA95" i="34"/>
  <c r="O95" i="34"/>
  <c r="T89" i="34"/>
  <c r="AE85" i="34"/>
  <c r="S85" i="34"/>
  <c r="J82" i="34"/>
  <c r="E94" i="34"/>
  <c r="E82" i="34"/>
  <c r="F98" i="34"/>
  <c r="F86" i="34"/>
  <c r="G103" i="34"/>
  <c r="G91" i="34"/>
  <c r="H109" i="34"/>
  <c r="H94" i="34"/>
  <c r="H82" i="34"/>
  <c r="I97" i="34"/>
  <c r="I85" i="34"/>
  <c r="W109" i="34"/>
  <c r="K109" i="34"/>
  <c r="AE108" i="34"/>
  <c r="S108" i="34"/>
  <c r="U101" i="34"/>
  <c r="X100" i="34"/>
  <c r="L100" i="34"/>
  <c r="U86" i="34"/>
  <c r="Z84" i="34"/>
  <c r="N84" i="34"/>
  <c r="W83" i="34"/>
  <c r="K83" i="34"/>
  <c r="T82" i="34"/>
  <c r="E109" i="34"/>
  <c r="AV111" i="34"/>
  <c r="V91" i="34"/>
  <c r="J91" i="34"/>
  <c r="T90" i="34"/>
  <c r="W88" i="34"/>
  <c r="K88" i="34"/>
  <c r="Y81" i="34"/>
  <c r="Y96" i="34"/>
  <c r="M96" i="34"/>
  <c r="AC95" i="34"/>
  <c r="Q95" i="34"/>
  <c r="Y101" i="34"/>
  <c r="M101" i="34"/>
  <c r="X86" i="34"/>
  <c r="L86" i="34"/>
  <c r="N83" i="34"/>
  <c r="AC110" i="34"/>
  <c r="Q110" i="34"/>
  <c r="Z90" i="34"/>
  <c r="N90" i="34"/>
  <c r="AA87" i="34"/>
  <c r="O87" i="34"/>
  <c r="AA103" i="34"/>
  <c r="O103" i="34"/>
  <c r="Y95" i="34"/>
  <c r="M95" i="34"/>
  <c r="Z88" i="34"/>
  <c r="N88" i="34"/>
  <c r="X104" i="34"/>
  <c r="L104" i="34"/>
  <c r="AD102" i="34"/>
  <c r="R102" i="34"/>
  <c r="AC101" i="34"/>
  <c r="Q101" i="34"/>
  <c r="AB99" i="34"/>
  <c r="P99" i="34"/>
  <c r="AC97" i="34"/>
  <c r="Q97" i="34"/>
  <c r="AW111" i="34"/>
  <c r="AS108" i="34"/>
  <c r="AC102" i="34"/>
  <c r="Q102" i="34"/>
  <c r="AE100" i="34"/>
  <c r="S100" i="34"/>
  <c r="AA99" i="34"/>
  <c r="O99" i="34"/>
  <c r="AE95" i="34"/>
  <c r="S95" i="34"/>
  <c r="W92" i="34"/>
  <c r="K92" i="34"/>
  <c r="U91" i="34"/>
  <c r="AE90" i="34"/>
  <c r="S90" i="34"/>
  <c r="X89" i="34"/>
  <c r="L89" i="34"/>
  <c r="AC109" i="34"/>
  <c r="Q109" i="34"/>
  <c r="Y108" i="34"/>
  <c r="M108" i="34"/>
  <c r="J85" i="34"/>
  <c r="N82" i="34"/>
  <c r="W96" i="34"/>
  <c r="K96" i="34"/>
  <c r="E98" i="34"/>
  <c r="E86" i="34"/>
  <c r="F102" i="34"/>
  <c r="F90" i="34"/>
  <c r="G110" i="34"/>
  <c r="G95" i="34"/>
  <c r="G83" i="34"/>
  <c r="H98" i="34"/>
  <c r="H86" i="34"/>
  <c r="I101" i="34"/>
  <c r="I89" i="34"/>
  <c r="AA109" i="34"/>
  <c r="O109" i="34"/>
  <c r="W108" i="34"/>
  <c r="K108" i="34"/>
  <c r="T104" i="34"/>
  <c r="AV103" i="34"/>
  <c r="AD103" i="34"/>
  <c r="R103" i="34"/>
  <c r="Z102" i="34"/>
  <c r="N102" i="34"/>
  <c r="V98" i="34"/>
  <c r="J98" i="34"/>
  <c r="Y97" i="34"/>
  <c r="M97" i="34"/>
  <c r="AD91" i="34"/>
  <c r="R91" i="34"/>
  <c r="AB90" i="34"/>
  <c r="P90" i="34"/>
  <c r="AC87" i="34"/>
  <c r="Q87" i="34"/>
  <c r="AE104" i="34"/>
  <c r="S104" i="34"/>
  <c r="U96" i="34"/>
  <c r="AO109" i="34"/>
  <c r="Y109" i="34"/>
  <c r="M109" i="34"/>
  <c r="AM108" i="34"/>
  <c r="U108" i="34"/>
  <c r="W97" i="34"/>
  <c r="K97" i="34"/>
  <c r="AB110" i="34"/>
  <c r="P110" i="34"/>
  <c r="E108" i="34"/>
  <c r="E93" i="34"/>
  <c r="E81" i="34"/>
  <c r="F97" i="34"/>
  <c r="F85" i="34"/>
  <c r="G102" i="34"/>
  <c r="G90" i="34"/>
  <c r="H108" i="34"/>
  <c r="H93" i="34"/>
  <c r="H81" i="34"/>
  <c r="I111" i="34"/>
  <c r="I96" i="34"/>
  <c r="I84" i="34"/>
  <c r="AC98" i="34"/>
  <c r="Q98" i="34"/>
  <c r="AQ110" i="34"/>
  <c r="AA108" i="34"/>
  <c r="O108" i="34"/>
  <c r="Z98" i="34"/>
  <c r="N98" i="34"/>
  <c r="V84" i="34"/>
  <c r="AE83" i="34"/>
  <c r="AB82" i="34"/>
  <c r="I104" i="34"/>
  <c r="W104" i="34"/>
  <c r="K104" i="34"/>
  <c r="AB97" i="34"/>
  <c r="P97" i="34"/>
  <c r="R83" i="34"/>
  <c r="AC114" i="34"/>
  <c r="Y114" i="34"/>
  <c r="U114" i="34"/>
  <c r="Q114" i="34"/>
  <c r="M114" i="34"/>
  <c r="I114" i="34"/>
  <c r="E114" i="34"/>
  <c r="AM110" i="34"/>
  <c r="U110" i="34"/>
  <c r="AW109" i="34"/>
  <c r="V85" i="34"/>
  <c r="J81" i="34"/>
  <c r="Z97" i="34"/>
  <c r="N97" i="34"/>
  <c r="AB95" i="34"/>
  <c r="P95" i="34"/>
  <c r="Y86" i="34"/>
  <c r="M86" i="34"/>
  <c r="T85" i="34"/>
  <c r="O83" i="34"/>
  <c r="AT109" i="34"/>
  <c r="V108" i="34"/>
  <c r="J108" i="34"/>
  <c r="W99" i="34"/>
  <c r="K99" i="34"/>
  <c r="AE92" i="34"/>
  <c r="S92" i="34"/>
  <c r="AD88" i="34"/>
  <c r="R88" i="34"/>
  <c r="AC84" i="34"/>
  <c r="Z83" i="34"/>
  <c r="W82" i="34"/>
  <c r="T81" i="34"/>
  <c r="AN108" i="34"/>
  <c r="AR109" i="34"/>
  <c r="M83" i="34"/>
  <c r="AQ109" i="34"/>
  <c r="X109" i="34"/>
  <c r="L109" i="34"/>
  <c r="Y90" i="34"/>
  <c r="M90" i="34"/>
  <c r="V86" i="34"/>
  <c r="J86" i="34"/>
  <c r="L83" i="34"/>
  <c r="AW112" i="34"/>
  <c r="AP113" i="34"/>
  <c r="AE113" i="34"/>
  <c r="AA113" i="34"/>
  <c r="W113" i="34"/>
  <c r="S113" i="34"/>
  <c r="O113" i="34"/>
  <c r="K113" i="34"/>
  <c r="G113" i="34"/>
  <c r="T101" i="34"/>
  <c r="AE99" i="34"/>
  <c r="S99" i="34"/>
  <c r="AA92" i="34"/>
  <c r="O92" i="34"/>
  <c r="Y91" i="34"/>
  <c r="M91" i="34"/>
  <c r="W90" i="34"/>
  <c r="K90" i="34"/>
  <c r="AB89" i="34"/>
  <c r="P89" i="34"/>
  <c r="X95" i="34"/>
  <c r="V93" i="34"/>
  <c r="J93" i="34"/>
  <c r="N81" i="34"/>
  <c r="AP80" i="34"/>
  <c r="E103" i="34"/>
  <c r="E91" i="34"/>
  <c r="F110" i="34"/>
  <c r="F95" i="34"/>
  <c r="F83" i="34"/>
  <c r="G100" i="34"/>
  <c r="G88" i="34"/>
  <c r="H103" i="34"/>
  <c r="H91" i="34"/>
  <c r="I109" i="34"/>
  <c r="I94" i="34"/>
  <c r="I82" i="34"/>
  <c r="AL109" i="34"/>
  <c r="T109" i="34"/>
  <c r="AV108" i="34"/>
  <c r="Y104" i="34"/>
  <c r="M104" i="34"/>
  <c r="W103" i="34"/>
  <c r="K103" i="34"/>
  <c r="AE102" i="34"/>
  <c r="S102" i="34"/>
  <c r="AD101" i="34"/>
  <c r="R101" i="34"/>
  <c r="U100" i="34"/>
  <c r="AC99" i="34"/>
  <c r="Q99" i="34"/>
  <c r="O96" i="34"/>
  <c r="W94" i="34"/>
  <c r="K94" i="34"/>
  <c r="U93" i="34"/>
  <c r="Y92" i="34"/>
  <c r="M92" i="34"/>
  <c r="W91" i="34"/>
  <c r="K91" i="34"/>
  <c r="Z89" i="34"/>
  <c r="N89" i="34"/>
  <c r="X88" i="34"/>
  <c r="L88" i="34"/>
  <c r="V87" i="34"/>
  <c r="J87" i="34"/>
  <c r="Y85" i="34"/>
  <c r="M85" i="34"/>
  <c r="Q82" i="34"/>
  <c r="J80" i="34"/>
  <c r="AD113" i="34"/>
  <c r="Z113" i="34"/>
  <c r="V113" i="34"/>
  <c r="R113" i="34"/>
  <c r="N113" i="34"/>
  <c r="J113" i="34"/>
  <c r="F113" i="34"/>
  <c r="X92" i="34"/>
  <c r="L92" i="34"/>
  <c r="Y89" i="34"/>
  <c r="M89" i="34"/>
  <c r="AC86" i="34"/>
  <c r="Q86" i="34"/>
  <c r="J84" i="34"/>
  <c r="Z111" i="34"/>
  <c r="N111" i="34"/>
  <c r="AN110" i="34"/>
  <c r="V110" i="34"/>
  <c r="J110" i="34"/>
  <c r="Z108" i="34"/>
  <c r="N108" i="34"/>
  <c r="U103" i="34"/>
  <c r="W85" i="34"/>
  <c r="K85" i="34"/>
  <c r="K81" i="34"/>
  <c r="AM80" i="34"/>
  <c r="AT113" i="34"/>
  <c r="V104" i="34"/>
  <c r="J104" i="34"/>
  <c r="AD100" i="34"/>
  <c r="R100" i="34"/>
  <c r="AA97" i="34"/>
  <c r="O97" i="34"/>
  <c r="V92" i="34"/>
  <c r="J92" i="34"/>
  <c r="T91" i="34"/>
  <c r="AD90" i="34"/>
  <c r="R90" i="34"/>
  <c r="W89" i="34"/>
  <c r="K89" i="34"/>
  <c r="U88" i="34"/>
  <c r="AE87" i="34"/>
  <c r="S87" i="34"/>
  <c r="T84" i="34"/>
  <c r="AC83" i="34"/>
  <c r="W81" i="34"/>
  <c r="T80" i="34"/>
  <c r="AM113" i="34"/>
  <c r="AC113" i="34"/>
  <c r="Y113" i="34"/>
  <c r="U113" i="34"/>
  <c r="Q113" i="34"/>
  <c r="M113" i="34"/>
  <c r="I113" i="34"/>
  <c r="E113" i="34"/>
  <c r="AB109" i="34"/>
  <c r="P109" i="34"/>
  <c r="X108" i="34"/>
  <c r="L108" i="34"/>
  <c r="AE103" i="34"/>
  <c r="S103" i="34"/>
  <c r="AA102" i="34"/>
  <c r="O102" i="34"/>
  <c r="AC93" i="34"/>
  <c r="Q93" i="34"/>
  <c r="Z86" i="34"/>
  <c r="N86" i="34"/>
  <c r="P83" i="34"/>
  <c r="M82" i="34"/>
  <c r="AW80" i="34"/>
  <c r="AE80" i="34"/>
  <c r="AS111" i="34"/>
  <c r="W111" i="34"/>
  <c r="K111" i="34"/>
  <c r="AE110" i="34"/>
  <c r="S110" i="34"/>
  <c r="AU109" i="34"/>
  <c r="AB100" i="34"/>
  <c r="P100" i="34"/>
  <c r="X99" i="34"/>
  <c r="L99" i="34"/>
  <c r="V96" i="34"/>
  <c r="J96" i="34"/>
  <c r="T92" i="34"/>
  <c r="U89" i="34"/>
  <c r="AE88" i="34"/>
  <c r="S88" i="34"/>
  <c r="AD84" i="34"/>
  <c r="R84" i="34"/>
  <c r="AA83" i="34"/>
  <c r="X82" i="34"/>
  <c r="K82" i="34"/>
  <c r="U81" i="34"/>
  <c r="X97" i="34"/>
  <c r="L97" i="34"/>
  <c r="AC91" i="34"/>
  <c r="Q91" i="34"/>
  <c r="AA90" i="34"/>
  <c r="O90" i="34"/>
  <c r="AL113" i="34"/>
  <c r="AB113" i="34"/>
  <c r="X113" i="34"/>
  <c r="T113" i="34"/>
  <c r="P113" i="34"/>
  <c r="L113" i="34"/>
  <c r="H113" i="34"/>
  <c r="AP111" i="34"/>
  <c r="E111" i="34"/>
  <c r="E96" i="34"/>
  <c r="E84" i="34"/>
  <c r="F100" i="34"/>
  <c r="F88" i="34"/>
  <c r="G108" i="34"/>
  <c r="G93" i="34"/>
  <c r="G81" i="34"/>
  <c r="H111" i="34"/>
  <c r="H96" i="34"/>
  <c r="H84" i="34"/>
  <c r="I99" i="34"/>
  <c r="I87" i="34"/>
  <c r="X102" i="34"/>
  <c r="L102" i="34"/>
  <c r="W101" i="34"/>
  <c r="K101" i="34"/>
  <c r="Z100" i="34"/>
  <c r="N100" i="34"/>
  <c r="Z93" i="34"/>
  <c r="N93" i="34"/>
  <c r="AB84" i="34"/>
  <c r="P84" i="34"/>
  <c r="Y83" i="34"/>
  <c r="V82" i="34"/>
  <c r="AE81" i="34"/>
  <c r="S81" i="34"/>
  <c r="AB80" i="34"/>
  <c r="AU108" i="34"/>
  <c r="E110" i="34"/>
  <c r="E95" i="34"/>
  <c r="E83" i="34"/>
  <c r="F99" i="34"/>
  <c r="F87" i="34"/>
  <c r="G104" i="34"/>
  <c r="G92" i="34"/>
  <c r="G80" i="34"/>
  <c r="H110" i="34"/>
  <c r="H95" i="34"/>
  <c r="H83" i="34"/>
  <c r="I98" i="34"/>
  <c r="I86" i="34"/>
  <c r="AL108" i="34"/>
  <c r="T108" i="34"/>
  <c r="AV104" i="34"/>
  <c r="W102" i="34"/>
  <c r="K102" i="34"/>
  <c r="U99" i="34"/>
  <c r="V97" i="34"/>
  <c r="J97" i="34"/>
  <c r="AE96" i="34"/>
  <c r="S96" i="34"/>
  <c r="AA94" i="34"/>
  <c r="O94" i="34"/>
  <c r="AC92" i="34"/>
  <c r="Q92" i="34"/>
  <c r="AA91" i="34"/>
  <c r="O91" i="34"/>
  <c r="AD89" i="34"/>
  <c r="R89" i="34"/>
  <c r="AB88" i="34"/>
  <c r="P88" i="34"/>
  <c r="Z87" i="34"/>
  <c r="N87" i="34"/>
  <c r="AC85" i="34"/>
  <c r="Q85" i="34"/>
  <c r="AA84" i="34"/>
  <c r="O84" i="34"/>
  <c r="X83" i="34"/>
  <c r="U82" i="34"/>
  <c r="AD81" i="34"/>
  <c r="R81" i="34"/>
  <c r="AS80" i="34"/>
  <c r="AA80" i="34"/>
  <c r="X79" i="34"/>
  <c r="L79" i="34"/>
  <c r="AW113" i="34"/>
  <c r="AQ112" i="34"/>
  <c r="AE114" i="34"/>
  <c r="AA114" i="34"/>
  <c r="W114" i="34"/>
  <c r="S114" i="34"/>
  <c r="O114" i="34"/>
  <c r="K114" i="34"/>
  <c r="G114" i="34"/>
  <c r="AS110" i="34"/>
  <c r="AD111" i="34"/>
  <c r="R111" i="34"/>
  <c r="AT110" i="34"/>
  <c r="Z110" i="34"/>
  <c r="N110" i="34"/>
  <c r="AN109" i="34"/>
  <c r="V109" i="34"/>
  <c r="J109" i="34"/>
  <c r="AD108" i="34"/>
  <c r="R108" i="34"/>
  <c r="Y103" i="34"/>
  <c r="M103" i="34"/>
  <c r="U102" i="34"/>
  <c r="W100" i="34"/>
  <c r="K100" i="34"/>
  <c r="T97" i="34"/>
  <c r="AC96" i="34"/>
  <c r="Q96" i="34"/>
  <c r="W95" i="34"/>
  <c r="K95" i="34"/>
  <c r="W93" i="34"/>
  <c r="K93" i="34"/>
  <c r="X87" i="34"/>
  <c r="L87" i="34"/>
  <c r="T86" i="34"/>
  <c r="Y84" i="34"/>
  <c r="M84" i="34"/>
  <c r="V83" i="34"/>
  <c r="J83" i="34"/>
  <c r="AE82" i="34"/>
  <c r="S82" i="34"/>
  <c r="AB81" i="34"/>
  <c r="O81" i="34"/>
  <c r="AQ80" i="34"/>
  <c r="Y80" i="34"/>
  <c r="AV113" i="34"/>
  <c r="AP112" i="34"/>
  <c r="AE112" i="34"/>
  <c r="AA112" i="34"/>
  <c r="W112" i="34"/>
  <c r="S112" i="34"/>
  <c r="O112" i="34"/>
  <c r="K112" i="34"/>
  <c r="G112" i="34"/>
  <c r="E104" i="34"/>
  <c r="E92" i="34"/>
  <c r="E80" i="34"/>
  <c r="F111" i="34"/>
  <c r="F96" i="34"/>
  <c r="F84" i="34"/>
  <c r="G101" i="34"/>
  <c r="G89" i="34"/>
  <c r="H104" i="34"/>
  <c r="H92" i="34"/>
  <c r="H80" i="34"/>
  <c r="I110" i="34"/>
  <c r="I95" i="34"/>
  <c r="I83" i="34"/>
  <c r="AC111" i="34"/>
  <c r="Q111" i="34"/>
  <c r="AR110" i="34"/>
  <c r="Y110" i="34"/>
  <c r="M110" i="34"/>
  <c r="AM109" i="34"/>
  <c r="U109" i="34"/>
  <c r="AW108" i="34"/>
  <c r="AC108" i="34"/>
  <c r="Q108" i="34"/>
  <c r="Z104" i="34"/>
  <c r="N104" i="34"/>
  <c r="X103" i="34"/>
  <c r="L103" i="34"/>
  <c r="T102" i="34"/>
  <c r="AE101" i="34"/>
  <c r="S101" i="34"/>
  <c r="V100" i="34"/>
  <c r="J100" i="34"/>
  <c r="AD99" i="34"/>
  <c r="R99" i="34"/>
  <c r="AB98" i="34"/>
  <c r="P98" i="34"/>
  <c r="AE97" i="34"/>
  <c r="S97" i="34"/>
  <c r="AB96" i="34"/>
  <c r="P96" i="34"/>
  <c r="V95" i="34"/>
  <c r="J95" i="34"/>
  <c r="X94" i="34"/>
  <c r="L94" i="34"/>
  <c r="Z92" i="34"/>
  <c r="N92" i="34"/>
  <c r="X91" i="34"/>
  <c r="L91" i="34"/>
  <c r="V90" i="34"/>
  <c r="J90" i="34"/>
  <c r="AA89" i="34"/>
  <c r="O89" i="34"/>
  <c r="Y88" i="34"/>
  <c r="M88" i="34"/>
  <c r="W87" i="34"/>
  <c r="K87" i="34"/>
  <c r="AE86" i="34"/>
  <c r="S86" i="34"/>
  <c r="Z85" i="34"/>
  <c r="N85" i="34"/>
  <c r="K80" i="34"/>
  <c r="AM79" i="34"/>
  <c r="AV112" i="34"/>
  <c r="AD114" i="34"/>
  <c r="Z114" i="34"/>
  <c r="V114" i="34"/>
  <c r="R114" i="34"/>
  <c r="N114" i="34"/>
  <c r="J114" i="34"/>
  <c r="F114" i="34"/>
  <c r="AB108" i="34"/>
  <c r="P108" i="34"/>
  <c r="AD97" i="34"/>
  <c r="R97" i="34"/>
  <c r="U95" i="34"/>
  <c r="U90" i="34"/>
  <c r="AD86" i="34"/>
  <c r="R86" i="34"/>
  <c r="W84" i="34"/>
  <c r="K84" i="34"/>
  <c r="T83" i="34"/>
  <c r="AC82" i="34"/>
  <c r="Z81" i="34"/>
  <c r="M81" i="34"/>
  <c r="AO80" i="34"/>
  <c r="W80" i="34"/>
  <c r="T79" i="34"/>
  <c r="E102" i="34"/>
  <c r="E90" i="34"/>
  <c r="F109" i="34"/>
  <c r="F94" i="34"/>
  <c r="F82" i="34"/>
  <c r="G99" i="34"/>
  <c r="G87" i="34"/>
  <c r="H102" i="34"/>
  <c r="H90" i="34"/>
  <c r="I108" i="34"/>
  <c r="I93" i="34"/>
  <c r="I81" i="34"/>
  <c r="AA111" i="34"/>
  <c r="O111" i="34"/>
  <c r="AP110" i="34"/>
  <c r="W110" i="34"/>
  <c r="K110" i="34"/>
  <c r="AE109" i="34"/>
  <c r="S109" i="34"/>
  <c r="V103" i="34"/>
  <c r="J103" i="34"/>
  <c r="T100" i="34"/>
  <c r="Z96" i="34"/>
  <c r="N96" i="34"/>
  <c r="T93" i="34"/>
  <c r="U87" i="34"/>
  <c r="P82" i="34"/>
  <c r="AN112" i="34"/>
  <c r="AD112" i="34"/>
  <c r="Z112" i="34"/>
  <c r="V112" i="34"/>
  <c r="R112" i="34"/>
  <c r="N112" i="34"/>
  <c r="J112" i="34"/>
  <c r="F112" i="34"/>
  <c r="AB101" i="34"/>
  <c r="P101" i="34"/>
  <c r="Y98" i="34"/>
  <c r="M98" i="34"/>
  <c r="AB86" i="34"/>
  <c r="P86" i="34"/>
  <c r="AM114" i="34"/>
  <c r="AX99" i="34"/>
  <c r="E100" i="34"/>
  <c r="E88" i="34"/>
  <c r="F104" i="34"/>
  <c r="F92" i="34"/>
  <c r="F80" i="34"/>
  <c r="G97" i="34"/>
  <c r="G85" i="34"/>
  <c r="H100" i="34"/>
  <c r="H88" i="34"/>
  <c r="I103" i="34"/>
  <c r="I91" i="34"/>
  <c r="AB102" i="34"/>
  <c r="P102" i="34"/>
  <c r="AA101" i="34"/>
  <c r="O101" i="34"/>
  <c r="X98" i="34"/>
  <c r="L98" i="34"/>
  <c r="X96" i="34"/>
  <c r="L96" i="34"/>
  <c r="AD95" i="34"/>
  <c r="R95" i="34"/>
  <c r="AD93" i="34"/>
  <c r="R93" i="34"/>
  <c r="Z82" i="34"/>
  <c r="AL80" i="34"/>
  <c r="AT112" i="34"/>
  <c r="AO110" i="34"/>
  <c r="E99" i="34"/>
  <c r="E87" i="34"/>
  <c r="F103" i="34"/>
  <c r="F91" i="34"/>
  <c r="F79" i="34"/>
  <c r="G111" i="34"/>
  <c r="G96" i="34"/>
  <c r="G84" i="34"/>
  <c r="H99" i="34"/>
  <c r="H87" i="34"/>
  <c r="I102" i="34"/>
  <c r="I90" i="34"/>
  <c r="AQ108" i="34"/>
  <c r="U104" i="34"/>
  <c r="Z101" i="34"/>
  <c r="N101" i="34"/>
  <c r="Y99" i="34"/>
  <c r="M99" i="34"/>
  <c r="W98" i="34"/>
  <c r="K98" i="34"/>
  <c r="AE94" i="34"/>
  <c r="S94" i="34"/>
  <c r="U92" i="34"/>
  <c r="AE91" i="34"/>
  <c r="S91" i="34"/>
  <c r="AC90" i="34"/>
  <c r="Q90" i="34"/>
  <c r="V89" i="34"/>
  <c r="J89" i="34"/>
  <c r="T88" i="34"/>
  <c r="U85" i="34"/>
  <c r="R80" i="34"/>
  <c r="AT79" i="34"/>
  <c r="I79" i="34"/>
  <c r="AM112" i="34"/>
  <c r="AC112" i="34"/>
  <c r="Y112" i="34"/>
  <c r="U112" i="34"/>
  <c r="Q112" i="34"/>
  <c r="M112" i="34"/>
  <c r="I112" i="34"/>
  <c r="E112" i="34"/>
  <c r="L82" i="34"/>
  <c r="AR113" i="34"/>
  <c r="AL114" i="34"/>
  <c r="AB114" i="34"/>
  <c r="X114" i="34"/>
  <c r="T114" i="34"/>
  <c r="P114" i="34"/>
  <c r="L114" i="34"/>
  <c r="H114" i="34"/>
  <c r="P93" i="34"/>
  <c r="E97" i="34"/>
  <c r="E85" i="34"/>
  <c r="F101" i="34"/>
  <c r="F89" i="34"/>
  <c r="G109" i="34"/>
  <c r="G94" i="34"/>
  <c r="G82" i="34"/>
  <c r="H97" i="34"/>
  <c r="H85" i="34"/>
  <c r="I100" i="34"/>
  <c r="I88" i="34"/>
  <c r="AO111" i="34"/>
  <c r="V111" i="34"/>
  <c r="J111" i="34"/>
  <c r="AD110" i="34"/>
  <c r="R110" i="34"/>
  <c r="Z109" i="34"/>
  <c r="N109" i="34"/>
  <c r="AO108" i="34"/>
  <c r="AC103" i="34"/>
  <c r="Q103" i="34"/>
  <c r="Y102" i="34"/>
  <c r="M102" i="34"/>
  <c r="X101" i="34"/>
  <c r="L101" i="34"/>
  <c r="AA100" i="34"/>
  <c r="O100" i="34"/>
  <c r="U98" i="34"/>
  <c r="AB87" i="34"/>
  <c r="P87" i="34"/>
  <c r="Q81" i="34"/>
  <c r="AR112" i="34"/>
  <c r="AB93" i="34"/>
  <c r="AD104" i="34"/>
  <c r="R104" i="34"/>
  <c r="V99" i="34"/>
  <c r="J99" i="34"/>
  <c r="Z95" i="34"/>
  <c r="N95" i="34"/>
  <c r="AB94" i="34"/>
  <c r="P94" i="34"/>
  <c r="AD92" i="34"/>
  <c r="R92" i="34"/>
  <c r="AB91" i="34"/>
  <c r="P91" i="34"/>
  <c r="AE89" i="34"/>
  <c r="S89" i="34"/>
  <c r="AC88" i="34"/>
  <c r="Q88" i="34"/>
  <c r="W86" i="34"/>
  <c r="K86" i="34"/>
  <c r="AD85" i="34"/>
  <c r="R85" i="34"/>
  <c r="O80" i="34"/>
  <c r="AQ79" i="34"/>
  <c r="S80" i="34"/>
  <c r="AQ113" i="34"/>
  <c r="AL112" i="34"/>
  <c r="AB112" i="34"/>
  <c r="X112" i="34"/>
  <c r="T112" i="34"/>
  <c r="P112" i="34"/>
  <c r="L112" i="34"/>
  <c r="H112" i="34"/>
  <c r="AA25" i="33"/>
  <c r="AA25" i="34" s="1"/>
  <c r="AB25" i="33"/>
  <c r="AB25" i="34" s="1"/>
  <c r="L25" i="33"/>
  <c r="L25" i="34" s="1"/>
  <c r="W75" i="33"/>
  <c r="W75" i="34" s="1"/>
  <c r="K25" i="33"/>
  <c r="K25" i="34" s="1"/>
  <c r="P25" i="33"/>
  <c r="P25" i="34" s="1"/>
  <c r="I76" i="33"/>
  <c r="I76" i="34" s="1"/>
  <c r="AP102" i="33"/>
  <c r="BA102" i="33" s="1"/>
  <c r="AM9" i="33"/>
  <c r="AM9" i="34" s="1"/>
  <c r="G25" i="33"/>
  <c r="G25" i="34" s="1"/>
  <c r="AT100" i="33"/>
  <c r="AO100" i="33"/>
  <c r="AV17" i="33"/>
  <c r="AV17" i="34" s="1"/>
  <c r="AN111" i="33"/>
  <c r="AN111" i="34" s="1"/>
  <c r="AL103" i="33"/>
  <c r="AW114" i="33"/>
  <c r="AW114" i="34" s="1"/>
  <c r="AT9" i="33"/>
  <c r="AT9" i="34" s="1"/>
  <c r="AS113" i="33"/>
  <c r="AS113" i="34" s="1"/>
  <c r="AO113" i="33"/>
  <c r="AO113" i="34" s="1"/>
  <c r="AT103" i="33"/>
  <c r="AS112" i="33"/>
  <c r="AS112" i="34" s="1"/>
  <c r="AO112" i="33"/>
  <c r="AO112" i="34" s="1"/>
  <c r="AS103" i="33"/>
  <c r="AV114" i="33"/>
  <c r="AV114" i="34" s="1"/>
  <c r="AR114" i="33"/>
  <c r="AR114" i="34" s="1"/>
  <c r="AN114" i="33"/>
  <c r="AN114" i="34" s="1"/>
  <c r="AU111" i="33"/>
  <c r="AU111" i="34" s="1"/>
  <c r="AL90" i="33"/>
  <c r="AR105" i="33"/>
  <c r="AR105" i="34" s="1"/>
  <c r="AR103" i="33"/>
  <c r="AQ103" i="33"/>
  <c r="AP105" i="33"/>
  <c r="AP105" i="34" s="1"/>
  <c r="AU114" i="33"/>
  <c r="AQ114" i="33"/>
  <c r="AQ114" i="34" s="1"/>
  <c r="AO103" i="33"/>
  <c r="AL88" i="33"/>
  <c r="AV101" i="33"/>
  <c r="AV101" i="34" s="1"/>
  <c r="AM103" i="33"/>
  <c r="AT114" i="33"/>
  <c r="AT114" i="34" s="1"/>
  <c r="AP114" i="33"/>
  <c r="AP114" i="34" s="1"/>
  <c r="W25" i="33"/>
  <c r="W25" i="34" s="1"/>
  <c r="AU9" i="33"/>
  <c r="AU9" i="34" s="1"/>
  <c r="AO9" i="33"/>
  <c r="AO9" i="34" s="1"/>
  <c r="AN9" i="33"/>
  <c r="AN9" i="34" s="1"/>
  <c r="K87" i="32"/>
  <c r="M25" i="33"/>
  <c r="M25" i="34" s="1"/>
  <c r="K91" i="32"/>
  <c r="I68" i="33" s="1"/>
  <c r="I68" i="34" s="1"/>
  <c r="AP2" i="33"/>
  <c r="AO2" i="33"/>
  <c r="AN2" i="33"/>
  <c r="AM2" i="33"/>
  <c r="AL2" i="33"/>
  <c r="AW2" i="33"/>
  <c r="AW2" i="34" s="1"/>
  <c r="AV2" i="33"/>
  <c r="AU2" i="33"/>
  <c r="AT2" i="33"/>
  <c r="AS2" i="33"/>
  <c r="AQ2" i="33"/>
  <c r="AR2" i="33"/>
  <c r="W68" i="33"/>
  <c r="W68" i="34" s="1"/>
  <c r="BA106" i="33"/>
  <c r="BA99" i="33"/>
  <c r="BA110" i="33"/>
  <c r="BA109" i="33"/>
  <c r="BA108" i="33"/>
  <c r="BA107" i="33"/>
  <c r="AQ100" i="33"/>
  <c r="AL100" i="33"/>
  <c r="AL97" i="34" s="1"/>
  <c r="I65" i="33"/>
  <c r="I65" i="34" s="1"/>
  <c r="AD19" i="33"/>
  <c r="AD19" i="34" s="1"/>
  <c r="R19" i="33"/>
  <c r="R19" i="34" s="1"/>
  <c r="S19" i="33"/>
  <c r="S19" i="34" s="1"/>
  <c r="AB19" i="33"/>
  <c r="AB19" i="34" s="1"/>
  <c r="P19" i="33"/>
  <c r="P19" i="34" s="1"/>
  <c r="AC19" i="33"/>
  <c r="AC19" i="34" s="1"/>
  <c r="Q19" i="33"/>
  <c r="Q19" i="34" s="1"/>
  <c r="AA19" i="33"/>
  <c r="AA19" i="34" s="1"/>
  <c r="O19" i="33"/>
  <c r="O19" i="34" s="1"/>
  <c r="AQ104" i="33"/>
  <c r="AE19" i="33"/>
  <c r="AE19" i="34" s="1"/>
  <c r="AB30" i="33"/>
  <c r="AB30" i="34" s="1"/>
  <c r="Z19" i="33"/>
  <c r="Z19" i="34" s="1"/>
  <c r="X19" i="33"/>
  <c r="X19" i="34" s="1"/>
  <c r="L19" i="33"/>
  <c r="L19" i="34" s="1"/>
  <c r="N19" i="33"/>
  <c r="N19" i="34" s="1"/>
  <c r="W19" i="33"/>
  <c r="W19" i="34" s="1"/>
  <c r="K19" i="33"/>
  <c r="K19" i="34" s="1"/>
  <c r="AQ101" i="33"/>
  <c r="AQ98" i="34" s="1"/>
  <c r="G19" i="33"/>
  <c r="G19" i="34" s="1"/>
  <c r="V19" i="33"/>
  <c r="V19" i="34" s="1"/>
  <c r="J19" i="33"/>
  <c r="J19" i="34" s="1"/>
  <c r="E18" i="33"/>
  <c r="E18" i="34" s="1"/>
  <c r="Y19" i="33"/>
  <c r="Y19" i="34" s="1"/>
  <c r="M19" i="33"/>
  <c r="M19" i="34" s="1"/>
  <c r="BA37" i="33"/>
  <c r="BA3" i="33"/>
  <c r="BA50" i="33"/>
  <c r="BA29" i="33"/>
  <c r="BA61" i="33"/>
  <c r="BA38" i="33"/>
  <c r="BA83" i="33"/>
  <c r="BA49" i="33"/>
  <c r="BA82" i="33"/>
  <c r="BA56" i="33"/>
  <c r="BA44" i="33"/>
  <c r="BA63" i="33"/>
  <c r="BA52" i="33"/>
  <c r="BA70" i="33"/>
  <c r="BA59" i="33"/>
  <c r="BA47" i="33"/>
  <c r="BA54" i="33"/>
  <c r="BA42" i="33"/>
  <c r="BA53" i="33"/>
  <c r="BA57" i="33"/>
  <c r="BA45" i="33"/>
  <c r="BA81" i="33"/>
  <c r="BA55" i="33"/>
  <c r="BA43" i="33"/>
  <c r="BA60" i="33"/>
  <c r="BA48" i="33"/>
  <c r="BA62" i="33"/>
  <c r="BA51" i="33"/>
  <c r="BA58" i="33"/>
  <c r="BA46" i="33"/>
  <c r="BA86" i="33"/>
  <c r="BA85" i="33"/>
  <c r="AN129" i="32"/>
  <c r="AL104" i="33" s="1"/>
  <c r="AU114" i="34" l="1"/>
  <c r="AQ101" i="34"/>
  <c r="AR108" i="34"/>
  <c r="AL104" i="34"/>
  <c r="AQ104" i="34"/>
  <c r="AP108" i="34"/>
  <c r="AV100" i="34"/>
  <c r="AQ100" i="34"/>
  <c r="AQ103" i="34"/>
  <c r="AL103" i="34"/>
  <c r="AN113" i="34"/>
  <c r="AL100" i="34"/>
  <c r="AU113" i="34"/>
  <c r="AL102" i="34"/>
  <c r="AU112" i="34"/>
  <c r="AS114" i="34"/>
  <c r="AV99" i="34"/>
  <c r="AO114" i="34"/>
  <c r="AQ99" i="34"/>
  <c r="AQ102" i="34"/>
  <c r="BA75" i="33"/>
  <c r="BA76" i="33"/>
  <c r="BA88" i="33"/>
  <c r="BA111" i="33"/>
  <c r="BA105" i="33"/>
  <c r="BA103" i="33"/>
  <c r="BA112" i="33"/>
  <c r="BA114" i="33"/>
  <c r="BA113" i="33"/>
  <c r="BB59" i="33"/>
  <c r="BB50" i="33"/>
  <c r="BB47" i="33"/>
  <c r="BB43" i="33"/>
  <c r="BB63" i="33"/>
  <c r="BB3" i="33"/>
  <c r="BB62" i="33"/>
  <c r="BB52" i="33"/>
  <c r="BB107" i="33"/>
  <c r="BB70" i="33"/>
  <c r="BB44" i="33"/>
  <c r="BB108" i="33"/>
  <c r="BB38" i="33"/>
  <c r="BB86" i="33"/>
  <c r="BB57" i="33"/>
  <c r="BB56" i="33"/>
  <c r="BB109" i="33"/>
  <c r="BB60" i="33"/>
  <c r="BB37" i="33"/>
  <c r="BB53" i="33"/>
  <c r="BB110" i="33"/>
  <c r="BB81" i="33"/>
  <c r="BB46" i="33"/>
  <c r="BB49" i="33"/>
  <c r="BB85" i="33"/>
  <c r="BB58" i="33"/>
  <c r="BB42" i="33"/>
  <c r="BB99" i="33"/>
  <c r="BB48" i="33"/>
  <c r="BB55" i="33"/>
  <c r="BB45" i="33"/>
  <c r="BB82" i="33"/>
  <c r="BB51" i="33"/>
  <c r="BB54" i="33"/>
  <c r="BB83" i="33"/>
  <c r="BB102" i="33"/>
  <c r="BB61" i="33"/>
  <c r="BB29" i="33"/>
  <c r="BB106" i="33"/>
  <c r="W65" i="33"/>
  <c r="W65" i="34" s="1"/>
  <c r="BA100" i="33"/>
  <c r="AL101" i="33"/>
  <c r="AL101" i="34" s="1"/>
  <c r="BA19" i="33"/>
  <c r="AL98" i="34" l="1"/>
  <c r="AL99" i="34"/>
  <c r="BB75" i="33"/>
  <c r="BB76" i="33"/>
  <c r="BB114" i="33"/>
  <c r="A124" i="35"/>
  <c r="BB112" i="33"/>
  <c r="BB88" i="33"/>
  <c r="BB111" i="33"/>
  <c r="BB105" i="33"/>
  <c r="BB103" i="33"/>
  <c r="BB113" i="33"/>
  <c r="BB19" i="33"/>
  <c r="BB100" i="33"/>
  <c r="W69" i="33"/>
  <c r="W69" i="34" s="1"/>
  <c r="W67" i="33"/>
  <c r="W67" i="34" s="1"/>
  <c r="W21" i="16" l="1"/>
  <c r="W22" i="16"/>
  <c r="W23" i="16"/>
  <c r="W41" i="16"/>
  <c r="G41" i="16" s="1"/>
  <c r="K41" i="16"/>
  <c r="X41" i="16" l="1"/>
  <c r="K145" i="35" l="1"/>
  <c r="K144" i="35"/>
  <c r="AZ110" i="32"/>
  <c r="AX87" i="33" s="1"/>
  <c r="AZ116" i="32"/>
  <c r="AX93" i="33" s="1"/>
  <c r="AX90" i="34" s="1"/>
  <c r="AZ117" i="32"/>
  <c r="AX17" i="33" s="1"/>
  <c r="AX17" i="34" s="1"/>
  <c r="AZ123" i="32"/>
  <c r="AX98" i="33" s="1"/>
  <c r="AZ129" i="32"/>
  <c r="AX104" i="33" s="1"/>
  <c r="AX104" i="34" s="1"/>
  <c r="AY11" i="32"/>
  <c r="AZ11" i="32"/>
  <c r="AY12" i="32"/>
  <c r="AZ12" i="32"/>
  <c r="AZ119" i="32" s="1"/>
  <c r="AY14" i="32"/>
  <c r="AZ14" i="32"/>
  <c r="AY110" i="32"/>
  <c r="AY116" i="32"/>
  <c r="AW90" i="33" s="1"/>
  <c r="AY117" i="32"/>
  <c r="AY123" i="32"/>
  <c r="AY129" i="32"/>
  <c r="AW104" i="33" s="1"/>
  <c r="AL100" i="32"/>
  <c r="AJ77" i="33" s="1"/>
  <c r="AJ77" i="34" s="1"/>
  <c r="AE77" i="33"/>
  <c r="AE77" i="34" s="1"/>
  <c r="AF100" i="32"/>
  <c r="AD77" i="33" s="1"/>
  <c r="AD77" i="34" s="1"/>
  <c r="AD100" i="32"/>
  <c r="AB77" i="33" s="1"/>
  <c r="AB77" i="34" s="1"/>
  <c r="AC77" i="33"/>
  <c r="AC77" i="34" s="1"/>
  <c r="AA77" i="33"/>
  <c r="AA77" i="34" s="1"/>
  <c r="Z77" i="33"/>
  <c r="Z77" i="34" s="1"/>
  <c r="Y77" i="33"/>
  <c r="Y77" i="34" s="1"/>
  <c r="W100" i="32"/>
  <c r="U77" i="33" s="1"/>
  <c r="U77" i="34" s="1"/>
  <c r="V100" i="32"/>
  <c r="T77" i="33" s="1"/>
  <c r="T77" i="34" s="1"/>
  <c r="S77" i="33"/>
  <c r="S77" i="34" s="1"/>
  <c r="T100" i="32"/>
  <c r="R77" i="33" s="1"/>
  <c r="R77" i="34" s="1"/>
  <c r="Q77" i="33"/>
  <c r="Q77" i="34" s="1"/>
  <c r="Q100" i="32"/>
  <c r="O77" i="33" s="1"/>
  <c r="O77" i="34" s="1"/>
  <c r="R100" i="32"/>
  <c r="P77" i="33" s="1"/>
  <c r="P77" i="34" s="1"/>
  <c r="P100" i="32"/>
  <c r="N77" i="33" s="1"/>
  <c r="N77" i="34" s="1"/>
  <c r="M77" i="33"/>
  <c r="M77" i="34" s="1"/>
  <c r="L77" i="33"/>
  <c r="L77" i="34" s="1"/>
  <c r="L100" i="32"/>
  <c r="J77" i="33" s="1"/>
  <c r="J77" i="34" s="1"/>
  <c r="J100" i="32"/>
  <c r="H77" i="33" s="1"/>
  <c r="H77" i="34" s="1"/>
  <c r="I100" i="32"/>
  <c r="G77" i="33" s="1"/>
  <c r="G77" i="34" s="1"/>
  <c r="H100" i="32"/>
  <c r="F77" i="33" s="1"/>
  <c r="F77" i="34" s="1"/>
  <c r="E77" i="33"/>
  <c r="E77" i="34" s="1"/>
  <c r="AL96" i="32"/>
  <c r="AJ73" i="33" s="1"/>
  <c r="AJ73" i="34" s="1"/>
  <c r="AE73" i="33"/>
  <c r="AE73" i="34" s="1"/>
  <c r="AF96" i="32"/>
  <c r="AD73" i="33" s="1"/>
  <c r="AD73" i="34" s="1"/>
  <c r="AE97" i="32"/>
  <c r="AC74" i="33" s="1"/>
  <c r="AC74" i="34" s="1"/>
  <c r="AD97" i="32"/>
  <c r="AB74" i="33" s="1"/>
  <c r="AB74" i="34" s="1"/>
  <c r="AC97" i="32"/>
  <c r="AA74" i="33" s="1"/>
  <c r="AA74" i="34" s="1"/>
  <c r="Z74" i="33"/>
  <c r="Z74" i="34" s="1"/>
  <c r="W97" i="32"/>
  <c r="U74" i="33" s="1"/>
  <c r="U74" i="34" s="1"/>
  <c r="V97" i="32"/>
  <c r="T74" i="33" s="1"/>
  <c r="T74" i="34" s="1"/>
  <c r="U96" i="32"/>
  <c r="S73" i="33" s="1"/>
  <c r="S73" i="34" s="1"/>
  <c r="T96" i="32"/>
  <c r="R73" i="33" s="1"/>
  <c r="R73" i="34" s="1"/>
  <c r="S96" i="32"/>
  <c r="Q73" i="33" s="1"/>
  <c r="Q73" i="34" s="1"/>
  <c r="R97" i="32"/>
  <c r="P74" i="33" s="1"/>
  <c r="P74" i="34" s="1"/>
  <c r="Q96" i="32"/>
  <c r="O73" i="33" s="1"/>
  <c r="O73" i="34" s="1"/>
  <c r="P97" i="32"/>
  <c r="N74" i="33" s="1"/>
  <c r="N74" i="34" s="1"/>
  <c r="M74" i="33"/>
  <c r="M74" i="34" s="1"/>
  <c r="N97" i="32"/>
  <c r="L74" i="33" s="1"/>
  <c r="L74" i="34" s="1"/>
  <c r="L96" i="32"/>
  <c r="J73" i="33" s="1"/>
  <c r="J73" i="34" s="1"/>
  <c r="J96" i="32"/>
  <c r="H73" i="33" s="1"/>
  <c r="H73" i="34" s="1"/>
  <c r="I96" i="32"/>
  <c r="G73" i="33" s="1"/>
  <c r="G73" i="34" s="1"/>
  <c r="H97" i="32"/>
  <c r="F74" i="33" s="1"/>
  <c r="F74" i="34" s="1"/>
  <c r="E73" i="33"/>
  <c r="E73" i="34" s="1"/>
  <c r="AL95" i="32"/>
  <c r="AJ72" i="33" s="1"/>
  <c r="AJ72" i="34" s="1"/>
  <c r="AL94" i="32"/>
  <c r="AJ71" i="33" s="1"/>
  <c r="AJ71" i="34" s="1"/>
  <c r="I30" i="32"/>
  <c r="G16" i="33" s="1"/>
  <c r="G16" i="34" s="1"/>
  <c r="J30" i="32"/>
  <c r="H16" i="33" s="1"/>
  <c r="H16" i="34" s="1"/>
  <c r="L30" i="32"/>
  <c r="J16" i="33" s="1"/>
  <c r="J16" i="34" s="1"/>
  <c r="M30" i="32"/>
  <c r="K16" i="33" s="1"/>
  <c r="K16" i="34" s="1"/>
  <c r="N30" i="32"/>
  <c r="L16" i="33" s="1"/>
  <c r="L16" i="34" s="1"/>
  <c r="O30" i="32"/>
  <c r="M16" i="33" s="1"/>
  <c r="M16" i="34" s="1"/>
  <c r="P30" i="32"/>
  <c r="N16" i="33" s="1"/>
  <c r="N16" i="34" s="1"/>
  <c r="Q30" i="32"/>
  <c r="O16" i="33" s="1"/>
  <c r="O16" i="34" s="1"/>
  <c r="R30" i="32"/>
  <c r="P16" i="33" s="1"/>
  <c r="P16" i="34" s="1"/>
  <c r="H30" i="32"/>
  <c r="AW103" i="34" l="1"/>
  <c r="AW104" i="34"/>
  <c r="AX97" i="34"/>
  <c r="AX98" i="34"/>
  <c r="AX86" i="34"/>
  <c r="AX87" i="34"/>
  <c r="AX102" i="34"/>
  <c r="AX103" i="34"/>
  <c r="AW102" i="34"/>
  <c r="AX84" i="34"/>
  <c r="AX85" i="34"/>
  <c r="Y73" i="33"/>
  <c r="Y73" i="34" s="1"/>
  <c r="AX94" i="33"/>
  <c r="AZ118" i="32"/>
  <c r="AX6" i="33" s="1"/>
  <c r="AX6" i="34" s="1"/>
  <c r="AX101" i="34"/>
  <c r="AW95" i="33"/>
  <c r="AW98" i="33"/>
  <c r="AW97" i="34" s="1"/>
  <c r="AW16" i="33"/>
  <c r="AW16" i="34" s="1"/>
  <c r="AW17" i="33"/>
  <c r="AW17" i="34" s="1"/>
  <c r="AW84" i="33"/>
  <c r="AW83" i="34" s="1"/>
  <c r="AW87" i="33"/>
  <c r="AW86" i="34" s="1"/>
  <c r="E15" i="33"/>
  <c r="E15" i="34" s="1"/>
  <c r="E16" i="33"/>
  <c r="E16" i="34" s="1"/>
  <c r="F16" i="33"/>
  <c r="F16" i="34" s="1"/>
  <c r="BA74" i="33"/>
  <c r="BA77" i="33"/>
  <c r="AL86" i="32"/>
  <c r="AJ64" i="33" s="1"/>
  <c r="AJ64" i="34" s="1"/>
  <c r="AW101" i="33"/>
  <c r="AW100" i="34" s="1"/>
  <c r="AY121" i="32"/>
  <c r="AY119" i="32"/>
  <c r="AY118" i="32" s="1"/>
  <c r="AZ121" i="32"/>
  <c r="AX96" i="33" s="1"/>
  <c r="AX95" i="34" s="1"/>
  <c r="AX96" i="34" l="1"/>
  <c r="AW101" i="34"/>
  <c r="AW87" i="34"/>
  <c r="AW84" i="34"/>
  <c r="AW85" i="34"/>
  <c r="AW81" i="34"/>
  <c r="AW82" i="34"/>
  <c r="AX93" i="34"/>
  <c r="AX94" i="34"/>
  <c r="AX91" i="34"/>
  <c r="AX92" i="34"/>
  <c r="AW98" i="34"/>
  <c r="AW99" i="34"/>
  <c r="AW91" i="33"/>
  <c r="AW94" i="33"/>
  <c r="AW93" i="33"/>
  <c r="AW90" i="34" s="1"/>
  <c r="AW96" i="33"/>
  <c r="AW95" i="34" s="1"/>
  <c r="AL91" i="32"/>
  <c r="AJ68" i="33" s="1"/>
  <c r="AJ68" i="34" s="1"/>
  <c r="AL87" i="32"/>
  <c r="AJ6" i="33" s="1"/>
  <c r="AJ6" i="34" s="1"/>
  <c r="AL88" i="32"/>
  <c r="BB77" i="33"/>
  <c r="BB74" i="33"/>
  <c r="BA73" i="33"/>
  <c r="E8" i="33"/>
  <c r="E8" i="34" s="1"/>
  <c r="M37" i="32"/>
  <c r="N37" i="32"/>
  <c r="L23" i="33" s="1"/>
  <c r="L23" i="34" s="1"/>
  <c r="O37" i="32"/>
  <c r="M23" i="33" s="1"/>
  <c r="M23" i="34" s="1"/>
  <c r="P37" i="32"/>
  <c r="N23" i="33" s="1"/>
  <c r="N23" i="34" s="1"/>
  <c r="T37" i="32"/>
  <c r="R23" i="33" s="1"/>
  <c r="R23" i="34" s="1"/>
  <c r="U37" i="32"/>
  <c r="S23" i="33" s="1"/>
  <c r="S23" i="34" s="1"/>
  <c r="X37" i="32"/>
  <c r="V23" i="33" s="1"/>
  <c r="V23" i="34" s="1"/>
  <c r="W22" i="33"/>
  <c r="W22" i="34" s="1"/>
  <c r="Z36" i="32"/>
  <c r="X22" i="33" s="1"/>
  <c r="X22" i="34" s="1"/>
  <c r="AA37" i="32"/>
  <c r="Y23" i="33" s="1"/>
  <c r="Y23" i="34" s="1"/>
  <c r="AB37" i="32"/>
  <c r="Z23" i="33" s="1"/>
  <c r="Z23" i="34" s="1"/>
  <c r="AC37" i="32"/>
  <c r="AA23" i="33" s="1"/>
  <c r="AA23" i="34" s="1"/>
  <c r="F20" i="33"/>
  <c r="F20" i="34" s="1"/>
  <c r="H29" i="32"/>
  <c r="I29" i="32"/>
  <c r="G15" i="33" s="1"/>
  <c r="G15" i="34" s="1"/>
  <c r="J29" i="32"/>
  <c r="H15" i="33" s="1"/>
  <c r="H15" i="34" s="1"/>
  <c r="K30" i="32"/>
  <c r="L29" i="32"/>
  <c r="J15" i="33" s="1"/>
  <c r="J15" i="34" s="1"/>
  <c r="M29" i="32"/>
  <c r="K15" i="33" s="1"/>
  <c r="K15" i="34" s="1"/>
  <c r="N29" i="32"/>
  <c r="L15" i="33" s="1"/>
  <c r="L15" i="34" s="1"/>
  <c r="M15" i="33"/>
  <c r="M15" i="34" s="1"/>
  <c r="P29" i="32"/>
  <c r="N15" i="33" s="1"/>
  <c r="N15" i="34" s="1"/>
  <c r="Q29" i="32"/>
  <c r="O15" i="33" s="1"/>
  <c r="O15" i="34" s="1"/>
  <c r="R29" i="32"/>
  <c r="P15" i="33" s="1"/>
  <c r="P15" i="34" s="1"/>
  <c r="S29" i="32"/>
  <c r="T29" i="32"/>
  <c r="U30" i="32"/>
  <c r="S16" i="33" s="1"/>
  <c r="S16" i="34" s="1"/>
  <c r="V30" i="32"/>
  <c r="T16" i="33" s="1"/>
  <c r="T16" i="34" s="1"/>
  <c r="W30" i="32"/>
  <c r="U16" i="33" s="1"/>
  <c r="U16" i="34" s="1"/>
  <c r="X30" i="32"/>
  <c r="V16" i="33" s="1"/>
  <c r="V16" i="34" s="1"/>
  <c r="W15" i="33"/>
  <c r="W15" i="34" s="1"/>
  <c r="Z29" i="32"/>
  <c r="X15" i="33" s="1"/>
  <c r="X15" i="34" s="1"/>
  <c r="Y16" i="33"/>
  <c r="Y16" i="34" s="1"/>
  <c r="AB30" i="32"/>
  <c r="Z16" i="33" s="1"/>
  <c r="Z16" i="34" s="1"/>
  <c r="AC30" i="32"/>
  <c r="AA16" i="33" s="1"/>
  <c r="AA16" i="34" s="1"/>
  <c r="AE30" i="32"/>
  <c r="AC16" i="33" s="1"/>
  <c r="AC16" i="34" s="1"/>
  <c r="AF29" i="32"/>
  <c r="AD15" i="33" s="1"/>
  <c r="AD15" i="34" s="1"/>
  <c r="AG29" i="32"/>
  <c r="AE15" i="33" s="1"/>
  <c r="AE15" i="34" s="1"/>
  <c r="J25" i="32"/>
  <c r="K28" i="32"/>
  <c r="S28" i="32"/>
  <c r="Q14" i="33" s="1"/>
  <c r="Q14" i="34" s="1"/>
  <c r="M16" i="32"/>
  <c r="AF86" i="32"/>
  <c r="H95" i="32"/>
  <c r="F72" i="33" s="1"/>
  <c r="F72" i="34" s="1"/>
  <c r="I95" i="32"/>
  <c r="J95" i="32"/>
  <c r="K95" i="32"/>
  <c r="I72" i="33" s="1"/>
  <c r="I72" i="34" s="1"/>
  <c r="L95" i="32"/>
  <c r="M95" i="32"/>
  <c r="N95" i="32"/>
  <c r="P95" i="32"/>
  <c r="Q95" i="32"/>
  <c r="R95" i="32"/>
  <c r="S95" i="32"/>
  <c r="T95" i="32"/>
  <c r="U95" i="32"/>
  <c r="V95" i="32"/>
  <c r="W95" i="32"/>
  <c r="X95" i="32"/>
  <c r="Z95" i="32"/>
  <c r="AC95" i="32"/>
  <c r="AD95" i="32"/>
  <c r="AF95" i="32"/>
  <c r="E72" i="33"/>
  <c r="E72" i="34" s="1"/>
  <c r="H94" i="32"/>
  <c r="F71" i="33" s="1"/>
  <c r="F71" i="34" s="1"/>
  <c r="I94" i="32"/>
  <c r="J94" i="32"/>
  <c r="K94" i="32"/>
  <c r="I71" i="33" s="1"/>
  <c r="I71" i="34" s="1"/>
  <c r="L94" i="32"/>
  <c r="M94" i="32"/>
  <c r="N94" i="32"/>
  <c r="P94" i="32"/>
  <c r="Q94" i="32"/>
  <c r="R94" i="32"/>
  <c r="S94" i="32"/>
  <c r="T94" i="32"/>
  <c r="U94" i="32"/>
  <c r="V94" i="32"/>
  <c r="W94" i="32"/>
  <c r="X94" i="32"/>
  <c r="Z94" i="32"/>
  <c r="AC94" i="32"/>
  <c r="AD94" i="32"/>
  <c r="AF94" i="32"/>
  <c r="E71" i="33"/>
  <c r="E71" i="34" s="1"/>
  <c r="AE86" i="32"/>
  <c r="AD86" i="32"/>
  <c r="AC86" i="32"/>
  <c r="W86" i="32"/>
  <c r="V86" i="32"/>
  <c r="U86" i="32"/>
  <c r="T86" i="32"/>
  <c r="S86" i="32"/>
  <c r="R86" i="32"/>
  <c r="Q86" i="32"/>
  <c r="P86" i="32"/>
  <c r="N86" i="32"/>
  <c r="L86" i="32"/>
  <c r="J86" i="32"/>
  <c r="I86" i="32"/>
  <c r="H86" i="32"/>
  <c r="M86" i="32"/>
  <c r="X86" i="32"/>
  <c r="W64" i="33"/>
  <c r="W64" i="34" s="1"/>
  <c r="Z86" i="32"/>
  <c r="I16" i="32"/>
  <c r="AN12" i="32"/>
  <c r="AW91" i="34" l="1"/>
  <c r="AW96" i="34"/>
  <c r="AX115" i="34"/>
  <c r="AW92" i="34"/>
  <c r="AW93" i="34"/>
  <c r="AW94" i="34"/>
  <c r="AW88" i="34"/>
  <c r="AW89" i="34"/>
  <c r="AL90" i="32"/>
  <c r="AJ67" i="33" s="1"/>
  <c r="AJ67" i="34" s="1"/>
  <c r="AJ65" i="33"/>
  <c r="AJ65" i="34" s="1"/>
  <c r="W23" i="32"/>
  <c r="U9" i="33" s="1"/>
  <c r="U9" i="34" s="1"/>
  <c r="W22" i="32"/>
  <c r="J23" i="32"/>
  <c r="H9" i="33" s="1"/>
  <c r="H9" i="34" s="1"/>
  <c r="J22" i="32"/>
  <c r="X23" i="32"/>
  <c r="X22" i="32"/>
  <c r="V23" i="32"/>
  <c r="T9" i="33" s="1"/>
  <c r="T9" i="34" s="1"/>
  <c r="V22" i="32"/>
  <c r="G9" i="33"/>
  <c r="G9" i="34" s="1"/>
  <c r="U22" i="32"/>
  <c r="U23" i="32"/>
  <c r="S9" i="33" s="1"/>
  <c r="S9" i="34" s="1"/>
  <c r="F8" i="33"/>
  <c r="F8" i="34" s="1"/>
  <c r="AG22" i="32"/>
  <c r="AG23" i="32"/>
  <c r="AE9" i="33" s="1"/>
  <c r="AE9" i="34" s="1"/>
  <c r="T22" i="32"/>
  <c r="T23" i="32"/>
  <c r="AF22" i="32"/>
  <c r="AF23" i="32"/>
  <c r="S22" i="32"/>
  <c r="S23" i="32"/>
  <c r="AE22" i="32"/>
  <c r="AE23" i="32"/>
  <c r="R22" i="32"/>
  <c r="R23" i="32"/>
  <c r="P9" i="33" s="1"/>
  <c r="P9" i="34" s="1"/>
  <c r="AC22" i="32"/>
  <c r="AC23" i="32"/>
  <c r="AA9" i="33" s="1"/>
  <c r="AA9" i="34" s="1"/>
  <c r="Q22" i="32"/>
  <c r="Q23" i="32"/>
  <c r="O9" i="33" s="1"/>
  <c r="O9" i="34" s="1"/>
  <c r="AB23" i="32"/>
  <c r="Z9" i="33" s="1"/>
  <c r="Z9" i="34" s="1"/>
  <c r="AB22" i="32"/>
  <c r="P23" i="32"/>
  <c r="N9" i="33" s="1"/>
  <c r="N9" i="34" s="1"/>
  <c r="P22" i="32"/>
  <c r="AA23" i="32"/>
  <c r="Y9" i="33" s="1"/>
  <c r="Y9" i="34" s="1"/>
  <c r="AA22" i="32"/>
  <c r="M9" i="33"/>
  <c r="M9" i="34" s="1"/>
  <c r="Z23" i="32"/>
  <c r="Z22" i="32"/>
  <c r="N23" i="32"/>
  <c r="N22" i="32"/>
  <c r="M23" i="32"/>
  <c r="M22" i="32"/>
  <c r="F64" i="33"/>
  <c r="F64" i="34" s="1"/>
  <c r="H91" i="32"/>
  <c r="F68" i="33" s="1"/>
  <c r="F68" i="34" s="1"/>
  <c r="H87" i="32"/>
  <c r="H88" i="32"/>
  <c r="H90" i="32" s="1"/>
  <c r="H92" i="32" s="1"/>
  <c r="AE64" i="33"/>
  <c r="AE64" i="34" s="1"/>
  <c r="J64" i="33"/>
  <c r="J64" i="34" s="1"/>
  <c r="L88" i="32"/>
  <c r="L90" i="32" s="1"/>
  <c r="L92" i="32" s="1"/>
  <c r="L91" i="32"/>
  <c r="L87" i="32"/>
  <c r="Z64" i="33"/>
  <c r="Z64" i="34" s="1"/>
  <c r="F15" i="33"/>
  <c r="F15" i="34" s="1"/>
  <c r="T64" i="33"/>
  <c r="T64" i="34" s="1"/>
  <c r="V87" i="32"/>
  <c r="V88" i="32"/>
  <c r="V90" i="32" s="1"/>
  <c r="V91" i="32"/>
  <c r="G64" i="33"/>
  <c r="G64" i="34" s="1"/>
  <c r="I91" i="32"/>
  <c r="I88" i="32"/>
  <c r="I90" i="32" s="1"/>
  <c r="I92" i="32" s="1"/>
  <c r="I87" i="32"/>
  <c r="U64" i="33"/>
  <c r="U64" i="34" s="1"/>
  <c r="W87" i="32"/>
  <c r="W88" i="32"/>
  <c r="W90" i="32" s="1"/>
  <c r="W91" i="32"/>
  <c r="L64" i="33"/>
  <c r="L64" i="34" s="1"/>
  <c r="N91" i="32"/>
  <c r="N88" i="32"/>
  <c r="N90" i="32" s="1"/>
  <c r="N92" i="32" s="1"/>
  <c r="N87" i="32"/>
  <c r="M64" i="33"/>
  <c r="M64" i="34" s="1"/>
  <c r="AB64" i="33"/>
  <c r="AB64" i="34" s="1"/>
  <c r="AD88" i="32"/>
  <c r="AD90" i="32" s="1"/>
  <c r="AD91" i="32"/>
  <c r="AD87" i="32"/>
  <c r="N64" i="33"/>
  <c r="N64" i="34" s="1"/>
  <c r="P88" i="32"/>
  <c r="P90" i="32" s="1"/>
  <c r="P92" i="32" s="1"/>
  <c r="P91" i="32"/>
  <c r="P87" i="32"/>
  <c r="AC64" i="33"/>
  <c r="AC64" i="34" s="1"/>
  <c r="AE88" i="32"/>
  <c r="AE90" i="32" s="1"/>
  <c r="AE91" i="32"/>
  <c r="AE87" i="32"/>
  <c r="K23" i="33"/>
  <c r="K23" i="34" s="1"/>
  <c r="Z91" i="32"/>
  <c r="X68" i="33" s="1"/>
  <c r="X68" i="34" s="1"/>
  <c r="Z87" i="32"/>
  <c r="Z88" i="32"/>
  <c r="Z90" i="32" s="1"/>
  <c r="P64" i="33"/>
  <c r="P64" i="34" s="1"/>
  <c r="R88" i="32"/>
  <c r="R90" i="32" s="1"/>
  <c r="R91" i="32"/>
  <c r="R87" i="32"/>
  <c r="J91" i="32"/>
  <c r="J89" i="32"/>
  <c r="J92" i="32" s="1"/>
  <c r="J87" i="32"/>
  <c r="Y64" i="33"/>
  <c r="Y64" i="34" s="1"/>
  <c r="AA64" i="33"/>
  <c r="AA64" i="34" s="1"/>
  <c r="AC88" i="32"/>
  <c r="AC90" i="32" s="1"/>
  <c r="AC91" i="32"/>
  <c r="AC87" i="32"/>
  <c r="E64" i="33"/>
  <c r="E64" i="34" s="1"/>
  <c r="E68" i="33"/>
  <c r="E68" i="34" s="1"/>
  <c r="Q64" i="33"/>
  <c r="Q64" i="34" s="1"/>
  <c r="S88" i="32"/>
  <c r="S90" i="32" s="1"/>
  <c r="S91" i="32"/>
  <c r="S87" i="32"/>
  <c r="O64" i="33"/>
  <c r="O64" i="34" s="1"/>
  <c r="Q88" i="32"/>
  <c r="Q90" i="32" s="1"/>
  <c r="Q91" i="32"/>
  <c r="Q87" i="32"/>
  <c r="V64" i="33"/>
  <c r="V64" i="34" s="1"/>
  <c r="X87" i="32"/>
  <c r="R64" i="33"/>
  <c r="R64" i="34" s="1"/>
  <c r="T87" i="32"/>
  <c r="T88" i="32"/>
  <c r="T90" i="32" s="1"/>
  <c r="T91" i="32"/>
  <c r="K64" i="33"/>
  <c r="K64" i="34" s="1"/>
  <c r="M87" i="32"/>
  <c r="S64" i="33"/>
  <c r="S64" i="34" s="1"/>
  <c r="U87" i="32"/>
  <c r="U91" i="32"/>
  <c r="U88" i="32"/>
  <c r="U90" i="32" s="1"/>
  <c r="AD64" i="33"/>
  <c r="AD64" i="34" s="1"/>
  <c r="AF87" i="32"/>
  <c r="AF88" i="32"/>
  <c r="AF90" i="32" s="1"/>
  <c r="AF91" i="32"/>
  <c r="I13" i="33"/>
  <c r="I13" i="34" s="1"/>
  <c r="I14" i="33"/>
  <c r="I14" i="34" s="1"/>
  <c r="H10" i="33"/>
  <c r="H10" i="34" s="1"/>
  <c r="H11" i="33"/>
  <c r="H11" i="34" s="1"/>
  <c r="I15" i="33"/>
  <c r="I15" i="34" s="1"/>
  <c r="I16" i="33"/>
  <c r="I16" i="34" s="1"/>
  <c r="BB73" i="33"/>
  <c r="X64" i="33"/>
  <c r="X64" i="34" s="1"/>
  <c r="H64" i="33"/>
  <c r="H64" i="34" s="1"/>
  <c r="Z71" i="33"/>
  <c r="Z71" i="34" s="1"/>
  <c r="N71" i="33"/>
  <c r="N71" i="34" s="1"/>
  <c r="AB72" i="33"/>
  <c r="AB72" i="34" s="1"/>
  <c r="P72" i="33"/>
  <c r="P72" i="34" s="1"/>
  <c r="AD72" i="33"/>
  <c r="AD72" i="34" s="1"/>
  <c r="W21" i="33"/>
  <c r="W21" i="34" s="1"/>
  <c r="Y71" i="33"/>
  <c r="Y71" i="34" s="1"/>
  <c r="M71" i="33"/>
  <c r="M71" i="34" s="1"/>
  <c r="AA72" i="33"/>
  <c r="AA72" i="34" s="1"/>
  <c r="O72" i="33"/>
  <c r="O72" i="34" s="1"/>
  <c r="AA71" i="33"/>
  <c r="AA71" i="34" s="1"/>
  <c r="Q72" i="33"/>
  <c r="Q72" i="34" s="1"/>
  <c r="X71" i="33"/>
  <c r="X71" i="34" s="1"/>
  <c r="L71" i="33"/>
  <c r="L71" i="34" s="1"/>
  <c r="Z72" i="33"/>
  <c r="Z72" i="34" s="1"/>
  <c r="N72" i="33"/>
  <c r="N72" i="34" s="1"/>
  <c r="R22" i="33"/>
  <c r="R22" i="34" s="1"/>
  <c r="W71" i="33"/>
  <c r="W71" i="34" s="1"/>
  <c r="K71" i="33"/>
  <c r="K71" i="34" s="1"/>
  <c r="Y72" i="33"/>
  <c r="Y72" i="34" s="1"/>
  <c r="M72" i="33"/>
  <c r="M72" i="34" s="1"/>
  <c r="V71" i="33"/>
  <c r="V71" i="34" s="1"/>
  <c r="J71" i="33"/>
  <c r="J71" i="34" s="1"/>
  <c r="X72" i="33"/>
  <c r="X72" i="34" s="1"/>
  <c r="L72" i="33"/>
  <c r="L72" i="34" s="1"/>
  <c r="U71" i="33"/>
  <c r="U71" i="34" s="1"/>
  <c r="W72" i="33"/>
  <c r="W72" i="34" s="1"/>
  <c r="K72" i="33"/>
  <c r="K72" i="34" s="1"/>
  <c r="T71" i="33"/>
  <c r="T71" i="34" s="1"/>
  <c r="H71" i="33"/>
  <c r="H71" i="34" s="1"/>
  <c r="V72" i="33"/>
  <c r="V72" i="34" s="1"/>
  <c r="J72" i="33"/>
  <c r="J72" i="34" s="1"/>
  <c r="G71" i="33"/>
  <c r="G71" i="34" s="1"/>
  <c r="M12" i="33"/>
  <c r="M12" i="34" s="1"/>
  <c r="AE71" i="33"/>
  <c r="AE71" i="34" s="1"/>
  <c r="R71" i="33"/>
  <c r="R71" i="34" s="1"/>
  <c r="T72" i="33"/>
  <c r="T72" i="34" s="1"/>
  <c r="H72" i="33"/>
  <c r="H72" i="34" s="1"/>
  <c r="AD71" i="33"/>
  <c r="AD71" i="34" s="1"/>
  <c r="Q71" i="33"/>
  <c r="Q71" i="34" s="1"/>
  <c r="S72" i="33"/>
  <c r="S72" i="34" s="1"/>
  <c r="G72" i="33"/>
  <c r="G72" i="34" s="1"/>
  <c r="I64" i="33"/>
  <c r="I64" i="34" s="1"/>
  <c r="O71" i="33"/>
  <c r="O71" i="34" s="1"/>
  <c r="S71" i="33"/>
  <c r="S71" i="34" s="1"/>
  <c r="U72" i="33"/>
  <c r="U72" i="34" s="1"/>
  <c r="AB71" i="33"/>
  <c r="AB71" i="34" s="1"/>
  <c r="P71" i="33"/>
  <c r="P71" i="34" s="1"/>
  <c r="AE72" i="33"/>
  <c r="AE72" i="34" s="1"/>
  <c r="R72" i="33"/>
  <c r="R72" i="34" s="1"/>
  <c r="X21" i="33"/>
  <c r="X21" i="34" s="1"/>
  <c r="AW6" i="33"/>
  <c r="AW6" i="34" s="1"/>
  <c r="H65" i="33"/>
  <c r="H65" i="34" s="1"/>
  <c r="AN121" i="32"/>
  <c r="AN119" i="32"/>
  <c r="AN118" i="32" s="1"/>
  <c r="M18" i="32"/>
  <c r="AL92" i="32"/>
  <c r="AJ69" i="33" s="1"/>
  <c r="AJ69" i="34" s="1"/>
  <c r="Z65" i="33"/>
  <c r="Z65" i="34" s="1"/>
  <c r="AE94" i="32"/>
  <c r="AE95" i="32"/>
  <c r="AO12" i="32"/>
  <c r="AP12" i="32"/>
  <c r="AP119" i="32" s="1"/>
  <c r="AQ12" i="32"/>
  <c r="AQ119" i="32" s="1"/>
  <c r="AR12" i="32"/>
  <c r="AS12" i="32"/>
  <c r="AS119" i="32" s="1"/>
  <c r="AT12" i="32"/>
  <c r="AT119" i="32" s="1"/>
  <c r="AU12" i="32"/>
  <c r="AU119" i="32" s="1"/>
  <c r="AV12" i="32"/>
  <c r="AV119" i="32" s="1"/>
  <c r="AW12" i="32"/>
  <c r="AW119" i="32" s="1"/>
  <c r="AX12" i="32"/>
  <c r="AX119" i="32" s="1"/>
  <c r="AO110" i="32"/>
  <c r="AB41" i="33"/>
  <c r="AB41" i="34" s="1"/>
  <c r="AB36" i="33"/>
  <c r="AB36" i="34" s="1"/>
  <c r="H45" i="32"/>
  <c r="I45" i="32"/>
  <c r="G2" i="33" s="1"/>
  <c r="G2" i="34" s="1"/>
  <c r="J45" i="32"/>
  <c r="K45" i="32"/>
  <c r="L45" i="32"/>
  <c r="M45" i="32"/>
  <c r="K2" i="33" s="1"/>
  <c r="K2" i="34" s="1"/>
  <c r="N45" i="32"/>
  <c r="O45" i="32"/>
  <c r="P45" i="32"/>
  <c r="Q45" i="32"/>
  <c r="R45" i="32"/>
  <c r="S45" i="32"/>
  <c r="T45" i="32"/>
  <c r="U45" i="32"/>
  <c r="V45" i="32"/>
  <c r="W45" i="32"/>
  <c r="X45" i="32"/>
  <c r="Y45" i="32"/>
  <c r="Z45" i="32"/>
  <c r="AA45" i="32"/>
  <c r="AC45" i="32"/>
  <c r="AE45" i="32"/>
  <c r="AF45" i="32"/>
  <c r="AG45" i="32"/>
  <c r="AE2" i="33" s="1"/>
  <c r="AE2" i="34" s="1"/>
  <c r="G45" i="32"/>
  <c r="E2" i="33" s="1"/>
  <c r="E2" i="34" s="1"/>
  <c r="AB33" i="33"/>
  <c r="AB33" i="34" s="1"/>
  <c r="AG42" i="32"/>
  <c r="AE28" i="33" s="1"/>
  <c r="AE28" i="34" s="1"/>
  <c r="AF42" i="32"/>
  <c r="AD28" i="33" s="1"/>
  <c r="AD28" i="34" s="1"/>
  <c r="AE42" i="32"/>
  <c r="AC28" i="33" s="1"/>
  <c r="AC28" i="34" s="1"/>
  <c r="AD42" i="32"/>
  <c r="AC42" i="32"/>
  <c r="AA28" i="33" s="1"/>
  <c r="AA28" i="34" s="1"/>
  <c r="AB42" i="32"/>
  <c r="Z28" i="33" s="1"/>
  <c r="Z28" i="34" s="1"/>
  <c r="AA42" i="32"/>
  <c r="Y28" i="33" s="1"/>
  <c r="Y28" i="34" s="1"/>
  <c r="Z42" i="32"/>
  <c r="X28" i="33" s="1"/>
  <c r="X28" i="34" s="1"/>
  <c r="Y42" i="32"/>
  <c r="W28" i="33" s="1"/>
  <c r="W28" i="34" s="1"/>
  <c r="X42" i="32"/>
  <c r="V28" i="33" s="1"/>
  <c r="V28" i="34" s="1"/>
  <c r="W42" i="32"/>
  <c r="U28" i="33" s="1"/>
  <c r="U28" i="34" s="1"/>
  <c r="V42" i="32"/>
  <c r="T28" i="33" s="1"/>
  <c r="T28" i="34" s="1"/>
  <c r="U42" i="32"/>
  <c r="S28" i="33" s="1"/>
  <c r="S28" i="34" s="1"/>
  <c r="T42" i="32"/>
  <c r="R28" i="33" s="1"/>
  <c r="R28" i="34" s="1"/>
  <c r="S42" i="32"/>
  <c r="Q28" i="33" s="1"/>
  <c r="Q28" i="34" s="1"/>
  <c r="R42" i="32"/>
  <c r="P28" i="33" s="1"/>
  <c r="P28" i="34" s="1"/>
  <c r="Q42" i="32"/>
  <c r="O28" i="33" s="1"/>
  <c r="O28" i="34" s="1"/>
  <c r="P42" i="32"/>
  <c r="N28" i="33" s="1"/>
  <c r="N28" i="34" s="1"/>
  <c r="O42" i="32"/>
  <c r="M28" i="33" s="1"/>
  <c r="M28" i="34" s="1"/>
  <c r="N42" i="32"/>
  <c r="L28" i="33" s="1"/>
  <c r="L28" i="34" s="1"/>
  <c r="M42" i="32"/>
  <c r="K28" i="33" s="1"/>
  <c r="K28" i="34" s="1"/>
  <c r="L42" i="32"/>
  <c r="J28" i="33" s="1"/>
  <c r="J28" i="34" s="1"/>
  <c r="K42" i="32"/>
  <c r="J42" i="32"/>
  <c r="H28" i="33" s="1"/>
  <c r="H28" i="34" s="1"/>
  <c r="I42" i="32"/>
  <c r="G28" i="33" s="1"/>
  <c r="G28" i="34" s="1"/>
  <c r="H42" i="32"/>
  <c r="G42" i="32"/>
  <c r="AG41" i="32"/>
  <c r="AF41" i="32"/>
  <c r="AC41" i="32"/>
  <c r="X41" i="32"/>
  <c r="W41" i="32"/>
  <c r="S41" i="32"/>
  <c r="R41" i="32"/>
  <c r="P41" i="32"/>
  <c r="M41" i="32"/>
  <c r="L41" i="32"/>
  <c r="K41" i="32"/>
  <c r="I26" i="33" s="1"/>
  <c r="I26" i="34" s="1"/>
  <c r="I41" i="32"/>
  <c r="G41" i="32"/>
  <c r="E26" i="33" s="1"/>
  <c r="E26" i="34" s="1"/>
  <c r="S39" i="32"/>
  <c r="M36" i="32"/>
  <c r="K22" i="33" s="1"/>
  <c r="K22" i="34" s="1"/>
  <c r="N36" i="32"/>
  <c r="L22" i="33" s="1"/>
  <c r="L22" i="34" s="1"/>
  <c r="O36" i="32"/>
  <c r="M22" i="33" s="1"/>
  <c r="M22" i="34" s="1"/>
  <c r="P36" i="32"/>
  <c r="N22" i="33" s="1"/>
  <c r="N22" i="34" s="1"/>
  <c r="Q36" i="32"/>
  <c r="O22" i="33" s="1"/>
  <c r="O22" i="34" s="1"/>
  <c r="R36" i="32"/>
  <c r="P22" i="33" s="1"/>
  <c r="P22" i="34" s="1"/>
  <c r="U36" i="32"/>
  <c r="S22" i="33" s="1"/>
  <c r="S22" i="34" s="1"/>
  <c r="V36" i="32"/>
  <c r="T22" i="33" s="1"/>
  <c r="T22" i="34" s="1"/>
  <c r="W36" i="32"/>
  <c r="U22" i="33" s="1"/>
  <c r="U22" i="34" s="1"/>
  <c r="X36" i="32"/>
  <c r="V22" i="33" s="1"/>
  <c r="V22" i="34" s="1"/>
  <c r="AA36" i="32"/>
  <c r="Y22" i="33" s="1"/>
  <c r="Y22" i="34" s="1"/>
  <c r="AB36" i="32"/>
  <c r="Z22" i="33" s="1"/>
  <c r="Z22" i="34" s="1"/>
  <c r="AC36" i="32"/>
  <c r="AA22" i="33" s="1"/>
  <c r="AA22" i="34" s="1"/>
  <c r="AD36" i="32"/>
  <c r="AB22" i="33" s="1"/>
  <c r="AB22" i="34" s="1"/>
  <c r="AE36" i="32"/>
  <c r="AC22" i="33" s="1"/>
  <c r="AC22" i="34" s="1"/>
  <c r="AF36" i="32"/>
  <c r="AD22" i="33" s="1"/>
  <c r="AD22" i="34" s="1"/>
  <c r="AG36" i="32"/>
  <c r="AE22" i="33" s="1"/>
  <c r="AE22" i="34" s="1"/>
  <c r="G22" i="33"/>
  <c r="G22" i="34" s="1"/>
  <c r="H22" i="33"/>
  <c r="H22" i="34" s="1"/>
  <c r="L36" i="32"/>
  <c r="J22" i="33" s="1"/>
  <c r="J22" i="34" s="1"/>
  <c r="AD35" i="32"/>
  <c r="L35" i="32"/>
  <c r="T35" i="32"/>
  <c r="R21" i="33" s="1"/>
  <c r="R21" i="34" s="1"/>
  <c r="E20" i="33"/>
  <c r="E20" i="34" s="1"/>
  <c r="M27" i="32"/>
  <c r="S27" i="32"/>
  <c r="Q13" i="33" s="1"/>
  <c r="Q13" i="34" s="1"/>
  <c r="T27" i="32"/>
  <c r="AD27" i="32"/>
  <c r="H32" i="32"/>
  <c r="I32" i="32"/>
  <c r="G18" i="33" s="1"/>
  <c r="G18" i="34" s="1"/>
  <c r="J32" i="32"/>
  <c r="H18" i="33" s="1"/>
  <c r="H18" i="34" s="1"/>
  <c r="K32" i="32"/>
  <c r="L32" i="32"/>
  <c r="J18" i="33" s="1"/>
  <c r="J18" i="34" s="1"/>
  <c r="M32" i="32"/>
  <c r="K18" i="33" s="1"/>
  <c r="K18" i="34" s="1"/>
  <c r="N32" i="32"/>
  <c r="L18" i="33" s="1"/>
  <c r="L18" i="34" s="1"/>
  <c r="M18" i="33"/>
  <c r="M18" i="34" s="1"/>
  <c r="P32" i="32"/>
  <c r="N18" i="33" s="1"/>
  <c r="N18" i="34" s="1"/>
  <c r="Q32" i="32"/>
  <c r="O18" i="33" s="1"/>
  <c r="O18" i="34" s="1"/>
  <c r="R32" i="32"/>
  <c r="P18" i="33" s="1"/>
  <c r="P18" i="34" s="1"/>
  <c r="S32" i="32"/>
  <c r="Q18" i="33" s="1"/>
  <c r="Q18" i="34" s="1"/>
  <c r="T32" i="32"/>
  <c r="R18" i="33" s="1"/>
  <c r="R18" i="34" s="1"/>
  <c r="U32" i="32"/>
  <c r="S18" i="33" s="1"/>
  <c r="S18" i="34" s="1"/>
  <c r="V32" i="32"/>
  <c r="T18" i="33" s="1"/>
  <c r="T18" i="34" s="1"/>
  <c r="W32" i="32"/>
  <c r="U18" i="33" s="1"/>
  <c r="U18" i="34" s="1"/>
  <c r="X32" i="32"/>
  <c r="V18" i="33" s="1"/>
  <c r="V18" i="34" s="1"/>
  <c r="W18" i="33"/>
  <c r="W18" i="34" s="1"/>
  <c r="Z32" i="32"/>
  <c r="X18" i="33" s="1"/>
  <c r="X18" i="34" s="1"/>
  <c r="Y18" i="33"/>
  <c r="Y18" i="34" s="1"/>
  <c r="AB32" i="32"/>
  <c r="Z18" i="33" s="1"/>
  <c r="Z18" i="34" s="1"/>
  <c r="AC32" i="32"/>
  <c r="AA18" i="33" s="1"/>
  <c r="AA18" i="34" s="1"/>
  <c r="AD32" i="32"/>
  <c r="AB18" i="33" s="1"/>
  <c r="AB18" i="34" s="1"/>
  <c r="AE32" i="32"/>
  <c r="AC18" i="33" s="1"/>
  <c r="AC18" i="34" s="1"/>
  <c r="AF32" i="32"/>
  <c r="AD18" i="33" s="1"/>
  <c r="AD18" i="34" s="1"/>
  <c r="AG32" i="32"/>
  <c r="AE18" i="33" s="1"/>
  <c r="AE18" i="34" s="1"/>
  <c r="H27" i="32"/>
  <c r="F12" i="33" s="1"/>
  <c r="F12" i="34" s="1"/>
  <c r="S30" i="32"/>
  <c r="T30" i="32"/>
  <c r="R16" i="33" s="1"/>
  <c r="R16" i="34" s="1"/>
  <c r="AD30" i="32"/>
  <c r="AB16" i="33" s="1"/>
  <c r="AB16" i="34" s="1"/>
  <c r="U29" i="32"/>
  <c r="S15" i="33" s="1"/>
  <c r="S15" i="34" s="1"/>
  <c r="V29" i="32"/>
  <c r="T15" i="33" s="1"/>
  <c r="T15" i="34" s="1"/>
  <c r="W29" i="32"/>
  <c r="U15" i="33" s="1"/>
  <c r="U15" i="34" s="1"/>
  <c r="X29" i="32"/>
  <c r="V15" i="33" s="1"/>
  <c r="V15" i="34" s="1"/>
  <c r="AA29" i="32"/>
  <c r="Y15" i="33" s="1"/>
  <c r="Y15" i="34" s="1"/>
  <c r="AB29" i="32"/>
  <c r="Z15" i="33" s="1"/>
  <c r="Z15" i="34" s="1"/>
  <c r="AC29" i="32"/>
  <c r="AA15" i="33" s="1"/>
  <c r="AA15" i="34" s="1"/>
  <c r="AD29" i="32"/>
  <c r="AE29" i="32"/>
  <c r="AC15" i="33" s="1"/>
  <c r="AC15" i="34" s="1"/>
  <c r="H28" i="32"/>
  <c r="I28" i="32"/>
  <c r="G14" i="33" s="1"/>
  <c r="G14" i="34" s="1"/>
  <c r="J28" i="32"/>
  <c r="H14" i="33" s="1"/>
  <c r="H14" i="34" s="1"/>
  <c r="L28" i="32"/>
  <c r="J14" i="33" s="1"/>
  <c r="J14" i="34" s="1"/>
  <c r="M28" i="32"/>
  <c r="K14" i="33" s="1"/>
  <c r="K14" i="34" s="1"/>
  <c r="N28" i="32"/>
  <c r="L14" i="33" s="1"/>
  <c r="L14" i="34" s="1"/>
  <c r="O28" i="32"/>
  <c r="M14" i="33" s="1"/>
  <c r="M14" i="34" s="1"/>
  <c r="P28" i="32"/>
  <c r="N14" i="33" s="1"/>
  <c r="N14" i="34" s="1"/>
  <c r="Q28" i="32"/>
  <c r="O14" i="33" s="1"/>
  <c r="O14" i="34" s="1"/>
  <c r="R28" i="32"/>
  <c r="P14" i="33" s="1"/>
  <c r="P14" i="34" s="1"/>
  <c r="U28" i="32"/>
  <c r="V28" i="32"/>
  <c r="W28" i="32"/>
  <c r="X28" i="32"/>
  <c r="Y28" i="32"/>
  <c r="W14" i="33" s="1"/>
  <c r="W14" i="34" s="1"/>
  <c r="Z28" i="32"/>
  <c r="X14" i="33" s="1"/>
  <c r="X14" i="34" s="1"/>
  <c r="AA28" i="32"/>
  <c r="AB28" i="32"/>
  <c r="AC28" i="32"/>
  <c r="AD28" i="32"/>
  <c r="AE28" i="32"/>
  <c r="AF28" i="32"/>
  <c r="AD14" i="33" s="1"/>
  <c r="AD14" i="34" s="1"/>
  <c r="AG28" i="32"/>
  <c r="AE14" i="33" s="1"/>
  <c r="AE14" i="34" s="1"/>
  <c r="H21" i="32"/>
  <c r="F7" i="33" s="1"/>
  <c r="F7" i="34" s="1"/>
  <c r="I21" i="32"/>
  <c r="J21" i="32"/>
  <c r="K21" i="32"/>
  <c r="I7" i="33" s="1"/>
  <c r="I7" i="34" s="1"/>
  <c r="L21" i="32"/>
  <c r="M21" i="32"/>
  <c r="N21" i="32"/>
  <c r="O21" i="32"/>
  <c r="P21" i="32"/>
  <c r="Q21" i="32"/>
  <c r="R21" i="32"/>
  <c r="S21" i="32"/>
  <c r="T21" i="32"/>
  <c r="U21" i="32"/>
  <c r="V21" i="32"/>
  <c r="W21" i="32"/>
  <c r="X21" i="32"/>
  <c r="Y21" i="32"/>
  <c r="Z21" i="32"/>
  <c r="AA21" i="32"/>
  <c r="AB21" i="32"/>
  <c r="AC21" i="32"/>
  <c r="AD21" i="32"/>
  <c r="AE21" i="32"/>
  <c r="AF21" i="32"/>
  <c r="AG21" i="32"/>
  <c r="E7" i="33"/>
  <c r="E7" i="34" s="1"/>
  <c r="L18" i="32"/>
  <c r="AD18" i="32"/>
  <c r="AD19" i="32"/>
  <c r="H16" i="32"/>
  <c r="J16" i="32"/>
  <c r="K16" i="32"/>
  <c r="L16" i="32"/>
  <c r="N16" i="32"/>
  <c r="O16" i="32"/>
  <c r="P16" i="32"/>
  <c r="Q16" i="32"/>
  <c r="R16" i="32"/>
  <c r="S16" i="32"/>
  <c r="T16" i="32"/>
  <c r="U16" i="32"/>
  <c r="V16" i="32"/>
  <c r="W16" i="32"/>
  <c r="X16" i="32"/>
  <c r="Y16" i="32"/>
  <c r="Z16" i="32"/>
  <c r="AA16" i="32"/>
  <c r="AB16" i="32"/>
  <c r="AC16" i="32"/>
  <c r="AD16" i="32"/>
  <c r="AB2" i="33" s="1"/>
  <c r="AB2" i="34" s="1"/>
  <c r="AE16" i="32"/>
  <c r="AF16" i="32"/>
  <c r="Q65" i="33" l="1"/>
  <c r="Q65" i="34" s="1"/>
  <c r="S65" i="33"/>
  <c r="S65" i="34" s="1"/>
  <c r="H66" i="33"/>
  <c r="H66" i="34" s="1"/>
  <c r="F65" i="33"/>
  <c r="F65" i="34" s="1"/>
  <c r="AB65" i="33"/>
  <c r="AB65" i="34" s="1"/>
  <c r="U65" i="33"/>
  <c r="U65" i="34" s="1"/>
  <c r="AT91" i="33"/>
  <c r="AS91" i="33"/>
  <c r="AR91" i="33"/>
  <c r="AQ91" i="33"/>
  <c r="AO91" i="33"/>
  <c r="AU91" i="33"/>
  <c r="AN91" i="33"/>
  <c r="AD20" i="32"/>
  <c r="AW115" i="34"/>
  <c r="AD65" i="33"/>
  <c r="AD65" i="34" s="1"/>
  <c r="M65" i="33"/>
  <c r="M65" i="34" s="1"/>
  <c r="AC65" i="33"/>
  <c r="AC65" i="34" s="1"/>
  <c r="E65" i="33"/>
  <c r="E65" i="34" s="1"/>
  <c r="Y65" i="33"/>
  <c r="Y65" i="34" s="1"/>
  <c r="R65" i="33"/>
  <c r="R65" i="34" s="1"/>
  <c r="K30" i="33"/>
  <c r="K30" i="34" s="1"/>
  <c r="K9" i="33"/>
  <c r="K9" i="34" s="1"/>
  <c r="J30" i="33"/>
  <c r="J30" i="34" s="1"/>
  <c r="J9" i="33"/>
  <c r="J9" i="34" s="1"/>
  <c r="W30" i="33"/>
  <c r="W30" i="34" s="1"/>
  <c r="W9" i="33"/>
  <c r="W9" i="34" s="1"/>
  <c r="AD30" i="33"/>
  <c r="AD30" i="34" s="1"/>
  <c r="AD9" i="33"/>
  <c r="AD9" i="34" s="1"/>
  <c r="AB28" i="33"/>
  <c r="AB28" i="34" s="1"/>
  <c r="AM84" i="33"/>
  <c r="AM83" i="34" s="1"/>
  <c r="AM87" i="33"/>
  <c r="L30" i="33"/>
  <c r="L30" i="34" s="1"/>
  <c r="L9" i="33"/>
  <c r="L9" i="34" s="1"/>
  <c r="F13" i="33"/>
  <c r="F13" i="34" s="1"/>
  <c r="AL92" i="33"/>
  <c r="AL95" i="33"/>
  <c r="R30" i="33"/>
  <c r="R30" i="34" s="1"/>
  <c r="R9" i="33"/>
  <c r="R9" i="34" s="1"/>
  <c r="AV91" i="33"/>
  <c r="AV94" i="33"/>
  <c r="AL91" i="33"/>
  <c r="AL88" i="34" s="1"/>
  <c r="AL94" i="33"/>
  <c r="X30" i="33"/>
  <c r="X30" i="34" s="1"/>
  <c r="X9" i="33"/>
  <c r="X9" i="34" s="1"/>
  <c r="AL93" i="33"/>
  <c r="AL90" i="34" s="1"/>
  <c r="AL96" i="33"/>
  <c r="V30" i="33"/>
  <c r="V30" i="34" s="1"/>
  <c r="V9" i="33"/>
  <c r="V9" i="34" s="1"/>
  <c r="Q30" i="33"/>
  <c r="Q30" i="34" s="1"/>
  <c r="Q9" i="33"/>
  <c r="Q9" i="34" s="1"/>
  <c r="AC30" i="33"/>
  <c r="AC30" i="34" s="1"/>
  <c r="AC9" i="33"/>
  <c r="AC9" i="34" s="1"/>
  <c r="F30" i="33"/>
  <c r="F30" i="34" s="1"/>
  <c r="F9" i="33"/>
  <c r="F9" i="34" s="1"/>
  <c r="J65" i="33"/>
  <c r="J65" i="34" s="1"/>
  <c r="N65" i="33"/>
  <c r="N65" i="34" s="1"/>
  <c r="L65" i="33"/>
  <c r="L65" i="34" s="1"/>
  <c r="F17" i="33"/>
  <c r="F17" i="34" s="1"/>
  <c r="F18" i="33"/>
  <c r="F18" i="34" s="1"/>
  <c r="AE65" i="33"/>
  <c r="AE65" i="34" s="1"/>
  <c r="F21" i="33"/>
  <c r="F21" i="34" s="1"/>
  <c r="F22" i="33"/>
  <c r="F22" i="34" s="1"/>
  <c r="I27" i="33"/>
  <c r="I27" i="34" s="1"/>
  <c r="I28" i="33"/>
  <c r="I28" i="34" s="1"/>
  <c r="AA65" i="33"/>
  <c r="AA65" i="34" s="1"/>
  <c r="T65" i="33"/>
  <c r="T65" i="34" s="1"/>
  <c r="F14" i="33"/>
  <c r="F14" i="34" s="1"/>
  <c r="Q24" i="33"/>
  <c r="Q24" i="34" s="1"/>
  <c r="Q25" i="33"/>
  <c r="Q25" i="34" s="1"/>
  <c r="O65" i="33"/>
  <c r="O65" i="34" s="1"/>
  <c r="E13" i="33"/>
  <c r="E13" i="34" s="1"/>
  <c r="Q15" i="33"/>
  <c r="Q15" i="34" s="1"/>
  <c r="Q16" i="33"/>
  <c r="I17" i="33"/>
  <c r="I17" i="34" s="1"/>
  <c r="I18" i="33"/>
  <c r="I18" i="34" s="1"/>
  <c r="E27" i="33"/>
  <c r="E27" i="34" s="1"/>
  <c r="E28" i="33"/>
  <c r="E28" i="34" s="1"/>
  <c r="I22" i="33"/>
  <c r="I22" i="34" s="1"/>
  <c r="F27" i="33"/>
  <c r="F27" i="34" s="1"/>
  <c r="F28" i="33"/>
  <c r="F28" i="34" s="1"/>
  <c r="P65" i="33"/>
  <c r="P65" i="34" s="1"/>
  <c r="L2" i="33"/>
  <c r="L2" i="34" s="1"/>
  <c r="X2" i="33"/>
  <c r="X2" i="34" s="1"/>
  <c r="H2" i="33"/>
  <c r="H2" i="34" s="1"/>
  <c r="Y2" i="33"/>
  <c r="Y2" i="34" s="1"/>
  <c r="M2" i="33"/>
  <c r="M2" i="34" s="1"/>
  <c r="X65" i="33"/>
  <c r="X65" i="34" s="1"/>
  <c r="BA36" i="33"/>
  <c r="BA41" i="33"/>
  <c r="BA33" i="33"/>
  <c r="Z2" i="33"/>
  <c r="Z2" i="34" s="1"/>
  <c r="N2" i="33"/>
  <c r="N2" i="34" s="1"/>
  <c r="W2" i="33"/>
  <c r="W2" i="34" s="1"/>
  <c r="AB40" i="33"/>
  <c r="AB31" i="33"/>
  <c r="AB31" i="34" s="1"/>
  <c r="J2" i="33"/>
  <c r="J2" i="34" s="1"/>
  <c r="V2" i="33"/>
  <c r="V2" i="34" s="1"/>
  <c r="I2" i="33"/>
  <c r="I2" i="34" s="1"/>
  <c r="U2" i="33"/>
  <c r="U2" i="34" s="1"/>
  <c r="T2" i="33"/>
  <c r="T2" i="34" s="1"/>
  <c r="F2" i="33"/>
  <c r="F2" i="34" s="1"/>
  <c r="R2" i="33"/>
  <c r="R2" i="34" s="1"/>
  <c r="S2" i="33"/>
  <c r="S2" i="34" s="1"/>
  <c r="BA66" i="33"/>
  <c r="AD2" i="33"/>
  <c r="AD2" i="34" s="1"/>
  <c r="Q2" i="33"/>
  <c r="Q2" i="34" s="1"/>
  <c r="T17" i="33"/>
  <c r="T17" i="34" s="1"/>
  <c r="H17" i="33"/>
  <c r="H17" i="34" s="1"/>
  <c r="R27" i="33"/>
  <c r="R27" i="34" s="1"/>
  <c r="AD27" i="33"/>
  <c r="AD27" i="34" s="1"/>
  <c r="Y68" i="33"/>
  <c r="Y68" i="34" s="1"/>
  <c r="AC71" i="33"/>
  <c r="AC71" i="34" s="1"/>
  <c r="G65" i="33"/>
  <c r="G65" i="34" s="1"/>
  <c r="AE68" i="33"/>
  <c r="AE68" i="34" s="1"/>
  <c r="AC68" i="33"/>
  <c r="AC68" i="34" s="1"/>
  <c r="AE17" i="33"/>
  <c r="AE17" i="34" s="1"/>
  <c r="J26" i="33"/>
  <c r="J26" i="34" s="1"/>
  <c r="AE27" i="33"/>
  <c r="AE27" i="34" s="1"/>
  <c r="S21" i="33"/>
  <c r="S21" i="34" s="1"/>
  <c r="H27" i="33"/>
  <c r="H27" i="34" s="1"/>
  <c r="Y7" i="33"/>
  <c r="Y7" i="34" s="1"/>
  <c r="M7" i="33"/>
  <c r="M7" i="34" s="1"/>
  <c r="AB13" i="33"/>
  <c r="AB13" i="34" s="1"/>
  <c r="Z14" i="33"/>
  <c r="Z14" i="34" s="1"/>
  <c r="AC17" i="33"/>
  <c r="AC17" i="34" s="1"/>
  <c r="Q17" i="33"/>
  <c r="Q17" i="34" s="1"/>
  <c r="AB12" i="33"/>
  <c r="AB12" i="34" s="1"/>
  <c r="N26" i="33"/>
  <c r="N26" i="34" s="1"/>
  <c r="U27" i="33"/>
  <c r="U27" i="34" s="1"/>
  <c r="R68" i="33"/>
  <c r="R68" i="34" s="1"/>
  <c r="S68" i="33"/>
  <c r="S68" i="34" s="1"/>
  <c r="AD68" i="33"/>
  <c r="AD68" i="34" s="1"/>
  <c r="AC14" i="33"/>
  <c r="AC14" i="34" s="1"/>
  <c r="S17" i="33"/>
  <c r="S17" i="34" s="1"/>
  <c r="AA14" i="33"/>
  <c r="AA14" i="34" s="1"/>
  <c r="R17" i="33"/>
  <c r="R17" i="34" s="1"/>
  <c r="K26" i="33"/>
  <c r="K26" i="34" s="1"/>
  <c r="T27" i="33"/>
  <c r="T27" i="34" s="1"/>
  <c r="X7" i="33"/>
  <c r="X7" i="34" s="1"/>
  <c r="L7" i="33"/>
  <c r="L7" i="34" s="1"/>
  <c r="M13" i="33"/>
  <c r="M13" i="34" s="1"/>
  <c r="Y14" i="33"/>
  <c r="Y14" i="34" s="1"/>
  <c r="AB17" i="33"/>
  <c r="AB17" i="34" s="1"/>
  <c r="P17" i="33"/>
  <c r="P17" i="34" s="1"/>
  <c r="R12" i="33"/>
  <c r="R12" i="34" s="1"/>
  <c r="P26" i="33"/>
  <c r="P26" i="34" s="1"/>
  <c r="J27" i="33"/>
  <c r="J27" i="34" s="1"/>
  <c r="V27" i="33"/>
  <c r="V27" i="34" s="1"/>
  <c r="AB26" i="33"/>
  <c r="AB26" i="34" s="1"/>
  <c r="O68" i="33"/>
  <c r="O68" i="34" s="1"/>
  <c r="N68" i="33"/>
  <c r="N68" i="34" s="1"/>
  <c r="Z68" i="33"/>
  <c r="Z68" i="34" s="1"/>
  <c r="K4" i="33"/>
  <c r="K4" i="34" s="1"/>
  <c r="W7" i="33"/>
  <c r="W7" i="34" s="1"/>
  <c r="AA17" i="33"/>
  <c r="AA17" i="34" s="1"/>
  <c r="O17" i="33"/>
  <c r="O17" i="34" s="1"/>
  <c r="Q12" i="33"/>
  <c r="Q12" i="34" s="1"/>
  <c r="N21" i="33"/>
  <c r="N21" i="34" s="1"/>
  <c r="Q26" i="33"/>
  <c r="Q26" i="34" s="1"/>
  <c r="K27" i="33"/>
  <c r="K27" i="34" s="1"/>
  <c r="W27" i="33"/>
  <c r="W27" i="34" s="1"/>
  <c r="AB68" i="33"/>
  <c r="AB68" i="34" s="1"/>
  <c r="U68" i="33"/>
  <c r="U68" i="34" s="1"/>
  <c r="P68" i="33"/>
  <c r="P68" i="34" s="1"/>
  <c r="O7" i="33"/>
  <c r="O7" i="34" s="1"/>
  <c r="G17" i="33"/>
  <c r="G17" i="34" s="1"/>
  <c r="N7" i="33"/>
  <c r="N7" i="34" s="1"/>
  <c r="AB4" i="33"/>
  <c r="AB4" i="34" s="1"/>
  <c r="Z17" i="33"/>
  <c r="Z17" i="34" s="1"/>
  <c r="L27" i="33"/>
  <c r="L27" i="34" s="1"/>
  <c r="AC2" i="33"/>
  <c r="AC2" i="34" s="1"/>
  <c r="J4" i="33"/>
  <c r="J4" i="34" s="1"/>
  <c r="U7" i="33"/>
  <c r="U7" i="34" s="1"/>
  <c r="T14" i="33"/>
  <c r="T14" i="34" s="1"/>
  <c r="Y17" i="33"/>
  <c r="Y17" i="34" s="1"/>
  <c r="M17" i="33"/>
  <c r="M17" i="34" s="1"/>
  <c r="AB21" i="33"/>
  <c r="AB21" i="34" s="1"/>
  <c r="L21" i="33"/>
  <c r="L21" i="34" s="1"/>
  <c r="V26" i="33"/>
  <c r="V26" i="34" s="1"/>
  <c r="M27" i="33"/>
  <c r="M27" i="34" s="1"/>
  <c r="Y27" i="33"/>
  <c r="Y27" i="34" s="1"/>
  <c r="J68" i="33"/>
  <c r="J68" i="34" s="1"/>
  <c r="G68" i="33"/>
  <c r="G68" i="34" s="1"/>
  <c r="S27" i="33"/>
  <c r="S27" i="34" s="1"/>
  <c r="H68" i="33"/>
  <c r="H68" i="34" s="1"/>
  <c r="Z7" i="33"/>
  <c r="Z7" i="34" s="1"/>
  <c r="J7" i="33"/>
  <c r="J7" i="34" s="1"/>
  <c r="U14" i="33"/>
  <c r="U14" i="34" s="1"/>
  <c r="K12" i="33"/>
  <c r="K12" i="34" s="1"/>
  <c r="U26" i="33"/>
  <c r="U26" i="34" s="1"/>
  <c r="X27" i="33"/>
  <c r="X27" i="34" s="1"/>
  <c r="P2" i="33"/>
  <c r="P2" i="34" s="1"/>
  <c r="T7" i="33"/>
  <c r="T7" i="34" s="1"/>
  <c r="H7" i="33"/>
  <c r="H7" i="34" s="1"/>
  <c r="H13" i="33"/>
  <c r="H13" i="34" s="1"/>
  <c r="S14" i="33"/>
  <c r="S14" i="34" s="1"/>
  <c r="X17" i="33"/>
  <c r="X17" i="34" s="1"/>
  <c r="L17" i="33"/>
  <c r="L17" i="34" s="1"/>
  <c r="R20" i="33"/>
  <c r="R20" i="34" s="1"/>
  <c r="AA21" i="33"/>
  <c r="AA21" i="34" s="1"/>
  <c r="K21" i="33"/>
  <c r="K21" i="34" s="1"/>
  <c r="AA26" i="33"/>
  <c r="AA26" i="34" s="1"/>
  <c r="N27" i="33"/>
  <c r="N27" i="34" s="1"/>
  <c r="Z27" i="33"/>
  <c r="Z27" i="34" s="1"/>
  <c r="M68" i="33"/>
  <c r="M68" i="34" s="1"/>
  <c r="AA7" i="33"/>
  <c r="AA7" i="34" s="1"/>
  <c r="AB14" i="33"/>
  <c r="AB14" i="34" s="1"/>
  <c r="AC72" i="33"/>
  <c r="AC72" i="34" s="1"/>
  <c r="AD17" i="33"/>
  <c r="AD17" i="34" s="1"/>
  <c r="K7" i="33"/>
  <c r="K7" i="34" s="1"/>
  <c r="V14" i="33"/>
  <c r="V14" i="34" s="1"/>
  <c r="V7" i="33"/>
  <c r="V7" i="34" s="1"/>
  <c r="K13" i="33"/>
  <c r="K13" i="34" s="1"/>
  <c r="N17" i="33"/>
  <c r="N17" i="34" s="1"/>
  <c r="M21" i="33"/>
  <c r="M21" i="34" s="1"/>
  <c r="AA2" i="33"/>
  <c r="AA2" i="34" s="1"/>
  <c r="O2" i="33"/>
  <c r="O2" i="34" s="1"/>
  <c r="AE7" i="33"/>
  <c r="AE7" i="34" s="1"/>
  <c r="S7" i="33"/>
  <c r="S7" i="34" s="1"/>
  <c r="G7" i="33"/>
  <c r="G7" i="34" s="1"/>
  <c r="AB15" i="33"/>
  <c r="AB15" i="34" s="1"/>
  <c r="W17" i="33"/>
  <c r="W17" i="34" s="1"/>
  <c r="K17" i="33"/>
  <c r="K17" i="34" s="1"/>
  <c r="J20" i="33"/>
  <c r="J20" i="34" s="1"/>
  <c r="Z21" i="33"/>
  <c r="Z21" i="34" s="1"/>
  <c r="AD26" i="33"/>
  <c r="AD26" i="34" s="1"/>
  <c r="O27" i="33"/>
  <c r="O27" i="34" s="1"/>
  <c r="AA27" i="33"/>
  <c r="AA27" i="34" s="1"/>
  <c r="L68" i="33"/>
  <c r="L68" i="34" s="1"/>
  <c r="T68" i="33"/>
  <c r="T68" i="34" s="1"/>
  <c r="P7" i="33"/>
  <c r="P7" i="34" s="1"/>
  <c r="G27" i="33"/>
  <c r="G27" i="34" s="1"/>
  <c r="AD7" i="33"/>
  <c r="AD7" i="34" s="1"/>
  <c r="R7" i="33"/>
  <c r="R7" i="34" s="1"/>
  <c r="R15" i="33"/>
  <c r="R15" i="34" s="1"/>
  <c r="V17" i="33"/>
  <c r="V17" i="34" s="1"/>
  <c r="J17" i="33"/>
  <c r="J17" i="34" s="1"/>
  <c r="AB20" i="33"/>
  <c r="AB20" i="34" s="1"/>
  <c r="Y21" i="33"/>
  <c r="Y21" i="34" s="1"/>
  <c r="AE26" i="33"/>
  <c r="AE26" i="34" s="1"/>
  <c r="P27" i="33"/>
  <c r="P27" i="34" s="1"/>
  <c r="AB27" i="33"/>
  <c r="AB27" i="34" s="1"/>
  <c r="Q68" i="33"/>
  <c r="Q68" i="34" s="1"/>
  <c r="AA68" i="33"/>
  <c r="AA68" i="34" s="1"/>
  <c r="AC7" i="33"/>
  <c r="AC7" i="34" s="1"/>
  <c r="Q7" i="33"/>
  <c r="Q7" i="34" s="1"/>
  <c r="AB8" i="33"/>
  <c r="AB8" i="34" s="1"/>
  <c r="U17" i="33"/>
  <c r="U17" i="34" s="1"/>
  <c r="J21" i="33"/>
  <c r="J21" i="34" s="1"/>
  <c r="V21" i="33"/>
  <c r="V21" i="34" s="1"/>
  <c r="G26" i="33"/>
  <c r="G26" i="34" s="1"/>
  <c r="Q27" i="33"/>
  <c r="Q27" i="34" s="1"/>
  <c r="AC27" i="33"/>
  <c r="AC27" i="34" s="1"/>
  <c r="N67" i="33"/>
  <c r="N67" i="34" s="1"/>
  <c r="S67" i="33"/>
  <c r="S67" i="34" s="1"/>
  <c r="AE67" i="33"/>
  <c r="AE67" i="34" s="1"/>
  <c r="AA67" i="33"/>
  <c r="AA67" i="34" s="1"/>
  <c r="O67" i="33"/>
  <c r="O67" i="34" s="1"/>
  <c r="BA64" i="33"/>
  <c r="BA24" i="33"/>
  <c r="Q67" i="33"/>
  <c r="Q67" i="34" s="1"/>
  <c r="R67" i="33"/>
  <c r="R67" i="34" s="1"/>
  <c r="P67" i="33"/>
  <c r="P67" i="34" s="1"/>
  <c r="T67" i="33"/>
  <c r="T67" i="34" s="1"/>
  <c r="AD67" i="33"/>
  <c r="AD67" i="34" s="1"/>
  <c r="L67" i="33"/>
  <c r="L67" i="34" s="1"/>
  <c r="M67" i="33"/>
  <c r="M67" i="34" s="1"/>
  <c r="AB67" i="33"/>
  <c r="AB67" i="34" s="1"/>
  <c r="Z67" i="33"/>
  <c r="Z67" i="34" s="1"/>
  <c r="AC67" i="33"/>
  <c r="AC67" i="34" s="1"/>
  <c r="J67" i="33"/>
  <c r="J67" i="34" s="1"/>
  <c r="Y67" i="33"/>
  <c r="Y67" i="34" s="1"/>
  <c r="U67" i="33"/>
  <c r="U67" i="34" s="1"/>
  <c r="J90" i="32"/>
  <c r="H67" i="33" s="1"/>
  <c r="H67" i="34" s="1"/>
  <c r="AR2" i="34"/>
  <c r="AO119" i="32"/>
  <c r="AO115" i="32"/>
  <c r="AM89" i="33" s="1"/>
  <c r="AM86" i="34" s="1"/>
  <c r="AR119" i="32"/>
  <c r="AR115" i="32"/>
  <c r="AB7" i="33"/>
  <c r="AB7" i="34" s="1"/>
  <c r="AB35" i="33"/>
  <c r="AB35" i="34" s="1"/>
  <c r="E67" i="33"/>
  <c r="E67" i="34" s="1"/>
  <c r="F67" i="33"/>
  <c r="F67" i="34" s="1"/>
  <c r="AQ2" i="34"/>
  <c r="AS2" i="34"/>
  <c r="AT2" i="34"/>
  <c r="AU2" i="34"/>
  <c r="AV2" i="34"/>
  <c r="AL2" i="34"/>
  <c r="AM2" i="34"/>
  <c r="AN2" i="34"/>
  <c r="AO2" i="34"/>
  <c r="AP2" i="34"/>
  <c r="AB39" i="33"/>
  <c r="AB39" i="34" s="1"/>
  <c r="AB32" i="33"/>
  <c r="AB32" i="34" s="1"/>
  <c r="I27" i="32"/>
  <c r="G13" i="33" s="1"/>
  <c r="G13" i="34" s="1"/>
  <c r="AL95" i="34" l="1"/>
  <c r="AL96" i="34"/>
  <c r="AL93" i="34"/>
  <c r="AL94" i="34"/>
  <c r="AM84" i="34"/>
  <c r="AM85" i="34"/>
  <c r="AL91" i="34"/>
  <c r="AM81" i="34"/>
  <c r="AM82" i="34"/>
  <c r="AL92" i="34"/>
  <c r="AL89" i="34"/>
  <c r="AP91" i="33"/>
  <c r="AB40" i="34"/>
  <c r="Q16" i="34"/>
  <c r="AZ115" i="34"/>
  <c r="AY115" i="34"/>
  <c r="BA30" i="33"/>
  <c r="AP89" i="33"/>
  <c r="AP92" i="33"/>
  <c r="BA40" i="33"/>
  <c r="AM91" i="33"/>
  <c r="AM94" i="33"/>
  <c r="BA18" i="33"/>
  <c r="BA25" i="33"/>
  <c r="BA28" i="33"/>
  <c r="BB36" i="33"/>
  <c r="BB24" i="33"/>
  <c r="BB64" i="33"/>
  <c r="BB66" i="33"/>
  <c r="BB33" i="33"/>
  <c r="BB41" i="33"/>
  <c r="BA72" i="33"/>
  <c r="AJ115" i="34"/>
  <c r="Z92" i="32"/>
  <c r="X69" i="33" s="1"/>
  <c r="X69" i="34" s="1"/>
  <c r="X67" i="33"/>
  <c r="X67" i="34" s="1"/>
  <c r="BA15" i="33"/>
  <c r="BA71" i="33"/>
  <c r="BA31" i="33"/>
  <c r="BA26" i="33"/>
  <c r="G12" i="33"/>
  <c r="G12" i="34" s="1"/>
  <c r="G67" i="33"/>
  <c r="G67" i="34" s="1"/>
  <c r="AL6" i="33"/>
  <c r="AL6" i="34" s="1"/>
  <c r="AE92" i="32"/>
  <c r="T92" i="32"/>
  <c r="BA35" i="33"/>
  <c r="BA68" i="33"/>
  <c r="S92" i="32"/>
  <c r="BA7" i="33"/>
  <c r="W92" i="32"/>
  <c r="V92" i="32"/>
  <c r="BA27" i="33"/>
  <c r="R92" i="32"/>
  <c r="BA32" i="33"/>
  <c r="AF92" i="32"/>
  <c r="Q92" i="32"/>
  <c r="U92" i="32"/>
  <c r="BA39" i="33"/>
  <c r="AD92" i="32"/>
  <c r="AC92" i="32"/>
  <c r="BA65" i="33"/>
  <c r="BA2" i="33"/>
  <c r="E69" i="33"/>
  <c r="E69" i="34" s="1"/>
  <c r="F69" i="33"/>
  <c r="F69" i="34" s="1"/>
  <c r="BA89" i="33" l="1"/>
  <c r="BA91" i="33"/>
  <c r="BB40" i="33"/>
  <c r="BB30" i="33"/>
  <c r="BB28" i="33"/>
  <c r="BB25" i="33"/>
  <c r="BB18" i="33"/>
  <c r="BB26" i="33"/>
  <c r="BB7" i="33"/>
  <c r="BB31" i="33"/>
  <c r="BB65" i="33"/>
  <c r="BB68" i="33"/>
  <c r="BB71" i="33"/>
  <c r="BB35" i="33"/>
  <c r="BB15" i="33"/>
  <c r="BB39" i="33"/>
  <c r="BB72" i="33"/>
  <c r="BB27" i="33"/>
  <c r="BB32" i="33"/>
  <c r="T69" i="33"/>
  <c r="T69" i="34" s="1"/>
  <c r="R69" i="33"/>
  <c r="R69" i="34" s="1"/>
  <c r="U69" i="33"/>
  <c r="U69" i="34" s="1"/>
  <c r="J69" i="33"/>
  <c r="J69" i="34" s="1"/>
  <c r="S69" i="33"/>
  <c r="S69" i="34" s="1"/>
  <c r="AC69" i="33"/>
  <c r="AC69" i="34" s="1"/>
  <c r="AB69" i="33"/>
  <c r="AB69" i="34" s="1"/>
  <c r="L69" i="33"/>
  <c r="L69" i="34" s="1"/>
  <c r="O69" i="33"/>
  <c r="O69" i="34" s="1"/>
  <c r="Q69" i="33"/>
  <c r="Q69" i="34" s="1"/>
  <c r="H69" i="33"/>
  <c r="H69" i="34" s="1"/>
  <c r="Z69" i="33"/>
  <c r="Z69" i="34" s="1"/>
  <c r="N69" i="33"/>
  <c r="N69" i="34" s="1"/>
  <c r="AD69" i="33"/>
  <c r="AD69" i="34" s="1"/>
  <c r="AE69" i="33"/>
  <c r="AE69" i="34" s="1"/>
  <c r="G69" i="33"/>
  <c r="G69" i="34" s="1"/>
  <c r="P69" i="33"/>
  <c r="P69" i="34" s="1"/>
  <c r="M69" i="33"/>
  <c r="M69" i="34" s="1"/>
  <c r="AA69" i="33"/>
  <c r="AA69" i="34" s="1"/>
  <c r="Y69" i="33"/>
  <c r="Y69" i="34" s="1"/>
  <c r="BA67" i="33"/>
  <c r="BB89" i="33" l="1"/>
  <c r="BB91" i="33"/>
  <c r="BB67" i="33"/>
  <c r="BA69" i="33"/>
  <c r="BB69" i="33" l="1"/>
  <c r="AQ122" i="32"/>
  <c r="AR122" i="32"/>
  <c r="AO120" i="32"/>
  <c r="AP120" i="32"/>
  <c r="AP117" i="32"/>
  <c r="AQ117" i="32"/>
  <c r="AR117" i="32"/>
  <c r="AS117" i="32"/>
  <c r="AT117" i="32"/>
  <c r="AU117" i="32"/>
  <c r="AV117" i="32"/>
  <c r="AW117" i="32"/>
  <c r="AQ116" i="32"/>
  <c r="AO90" i="33" s="1"/>
  <c r="AR116" i="32"/>
  <c r="AP90" i="33" s="1"/>
  <c r="AP89" i="34" s="1"/>
  <c r="AP110" i="32"/>
  <c r="AQ110" i="32"/>
  <c r="AR110" i="32"/>
  <c r="AS110" i="32"/>
  <c r="AT110" i="32"/>
  <c r="AU110" i="32"/>
  <c r="AV110" i="32"/>
  <c r="AW110" i="32"/>
  <c r="AX110" i="32"/>
  <c r="AN110" i="32"/>
  <c r="AP88" i="34" l="1"/>
  <c r="AO88" i="34"/>
  <c r="AQ118" i="32"/>
  <c r="AR118" i="32"/>
  <c r="AR84" i="33"/>
  <c r="AR83" i="34" s="1"/>
  <c r="AR87" i="33"/>
  <c r="AR86" i="34" s="1"/>
  <c r="AP16" i="33"/>
  <c r="AP16" i="34" s="1"/>
  <c r="AP17" i="33"/>
  <c r="AP17" i="34" s="1"/>
  <c r="AQ84" i="33"/>
  <c r="AQ83" i="34" s="1"/>
  <c r="AQ87" i="33"/>
  <c r="AQ86" i="34" s="1"/>
  <c r="AO16" i="33"/>
  <c r="AO16" i="34" s="1"/>
  <c r="AO17" i="33"/>
  <c r="AO17" i="34" s="1"/>
  <c r="AP84" i="33"/>
  <c r="AP83" i="34" s="1"/>
  <c r="AP87" i="33"/>
  <c r="AP86" i="34" s="1"/>
  <c r="AN16" i="33"/>
  <c r="AN16" i="34" s="1"/>
  <c r="AN17" i="33"/>
  <c r="AN17" i="34" s="1"/>
  <c r="AL84" i="33"/>
  <c r="AL83" i="34" s="1"/>
  <c r="AL87" i="33"/>
  <c r="AS84" i="33"/>
  <c r="AS83" i="34" s="1"/>
  <c r="AS87" i="33"/>
  <c r="AS86" i="34" s="1"/>
  <c r="AQ16" i="33"/>
  <c r="AQ16" i="34" s="1"/>
  <c r="AQ17" i="33"/>
  <c r="AQ17" i="34" s="1"/>
  <c r="AO84" i="33"/>
  <c r="AO83" i="34" s="1"/>
  <c r="AO87" i="33"/>
  <c r="AO86" i="34" s="1"/>
  <c r="AO92" i="33"/>
  <c r="AO89" i="34" s="1"/>
  <c r="AO95" i="33"/>
  <c r="AN84" i="33"/>
  <c r="AN83" i="34" s="1"/>
  <c r="AN87" i="33"/>
  <c r="AN86" i="34" s="1"/>
  <c r="AN92" i="33"/>
  <c r="AN95" i="33"/>
  <c r="AM92" i="33"/>
  <c r="AM95" i="33"/>
  <c r="AP94" i="33"/>
  <c r="AP97" i="33"/>
  <c r="AU16" i="33"/>
  <c r="AU16" i="34" s="1"/>
  <c r="AU17" i="33"/>
  <c r="AU17" i="34" s="1"/>
  <c r="AO94" i="33"/>
  <c r="AO97" i="33"/>
  <c r="AV84" i="33"/>
  <c r="AV83" i="34" s="1"/>
  <c r="AV87" i="33"/>
  <c r="AV86" i="34" s="1"/>
  <c r="AT16" i="33"/>
  <c r="AT16" i="34" s="1"/>
  <c r="AT17" i="33"/>
  <c r="AT17" i="34" s="1"/>
  <c r="AU84" i="33"/>
  <c r="AU83" i="34" s="1"/>
  <c r="AU87" i="33"/>
  <c r="AU86" i="34" s="1"/>
  <c r="AS16" i="33"/>
  <c r="AS16" i="34" s="1"/>
  <c r="AS17" i="33"/>
  <c r="AS17" i="34" s="1"/>
  <c r="AT84" i="33"/>
  <c r="AT83" i="34" s="1"/>
  <c r="AT87" i="33"/>
  <c r="AT86" i="34" s="1"/>
  <c r="AR16" i="33"/>
  <c r="AR16" i="34" s="1"/>
  <c r="AR17" i="33"/>
  <c r="AR17" i="34" s="1"/>
  <c r="AR129" i="32"/>
  <c r="AP104" i="33" s="1"/>
  <c r="AQ129" i="32"/>
  <c r="AO104" i="33" s="1"/>
  <c r="AP97" i="34" l="1"/>
  <c r="AL86" i="34"/>
  <c r="AL87" i="34"/>
  <c r="AP103" i="34"/>
  <c r="AP104" i="34"/>
  <c r="AO97" i="34"/>
  <c r="AO103" i="34"/>
  <c r="AO104" i="34"/>
  <c r="AO87" i="34"/>
  <c r="AP87" i="34"/>
  <c r="AQ84" i="34"/>
  <c r="AQ85" i="34"/>
  <c r="AS84" i="34"/>
  <c r="AS85" i="34"/>
  <c r="AQ81" i="34"/>
  <c r="AQ82" i="34"/>
  <c r="AS81" i="34"/>
  <c r="AS82" i="34"/>
  <c r="AU84" i="34"/>
  <c r="AU85" i="34"/>
  <c r="AL84" i="34"/>
  <c r="AL85" i="34"/>
  <c r="AR84" i="34"/>
  <c r="AR85" i="34"/>
  <c r="AL81" i="34"/>
  <c r="AL82" i="34"/>
  <c r="AR81" i="34"/>
  <c r="AR82" i="34"/>
  <c r="AU81" i="34"/>
  <c r="AU82" i="34"/>
  <c r="AV84" i="34"/>
  <c r="AV85" i="34"/>
  <c r="AN84" i="34"/>
  <c r="AN85" i="34"/>
  <c r="AO102" i="34"/>
  <c r="AV81" i="34"/>
  <c r="AV82" i="34"/>
  <c r="AN81" i="34"/>
  <c r="AN82" i="34"/>
  <c r="AP84" i="34"/>
  <c r="AP85" i="34"/>
  <c r="AP81" i="34"/>
  <c r="AP82" i="34"/>
  <c r="AP102" i="34"/>
  <c r="AT84" i="34"/>
  <c r="AT85" i="34"/>
  <c r="AO84" i="34"/>
  <c r="AO85" i="34"/>
  <c r="AT81" i="34"/>
  <c r="AT82" i="34"/>
  <c r="AO81" i="34"/>
  <c r="AO82" i="34"/>
  <c r="BA84" i="33"/>
  <c r="BA17" i="33"/>
  <c r="BA16" i="33"/>
  <c r="BA92" i="33"/>
  <c r="BA87" i="33"/>
  <c r="AP101" i="33"/>
  <c r="AP100" i="34" s="1"/>
  <c r="AO101" i="33"/>
  <c r="AO100" i="34" s="1"/>
  <c r="AP6" i="33"/>
  <c r="AP6" i="34" s="1"/>
  <c r="F2" i="27"/>
  <c r="F68" i="27"/>
  <c r="AO14" i="32"/>
  <c r="AP14" i="32"/>
  <c r="AQ14" i="32"/>
  <c r="AR14" i="32"/>
  <c r="AS14" i="32"/>
  <c r="AT14" i="32"/>
  <c r="AU14" i="32"/>
  <c r="AV14" i="32"/>
  <c r="AW14" i="32"/>
  <c r="AX14" i="32"/>
  <c r="AN14" i="32"/>
  <c r="AN11" i="32"/>
  <c r="AP101" i="34" l="1"/>
  <c r="AO101" i="34"/>
  <c r="AO98" i="34"/>
  <c r="AO99" i="34"/>
  <c r="AP98" i="34"/>
  <c r="AP99" i="34"/>
  <c r="BB84" i="33"/>
  <c r="BB16" i="33"/>
  <c r="BB92" i="33"/>
  <c r="BB87" i="33"/>
  <c r="BB17" i="33"/>
  <c r="Z8" i="33"/>
  <c r="Z8" i="34" s="1"/>
  <c r="AA8" i="33"/>
  <c r="AA8" i="34" s="1"/>
  <c r="W8" i="33"/>
  <c r="W8" i="34" s="1"/>
  <c r="T8" i="33"/>
  <c r="T8" i="34" s="1"/>
  <c r="Y8" i="33"/>
  <c r="Y8" i="34" s="1"/>
  <c r="X8" i="33"/>
  <c r="X8" i="34" s="1"/>
  <c r="V8" i="33"/>
  <c r="V8" i="34" s="1"/>
  <c r="S8" i="33"/>
  <c r="S8" i="34" s="1"/>
  <c r="AE8" i="33"/>
  <c r="AE8" i="34" s="1"/>
  <c r="R8" i="33"/>
  <c r="R8" i="34" s="1"/>
  <c r="U8" i="33"/>
  <c r="U8" i="34" s="1"/>
  <c r="AD8" i="33"/>
  <c r="AD8" i="34" s="1"/>
  <c r="AC8" i="33"/>
  <c r="AC8" i="34" s="1"/>
  <c r="AO116" i="32"/>
  <c r="AP116" i="32"/>
  <c r="AP122" i="32"/>
  <c r="AS122" i="32"/>
  <c r="AS116" i="32"/>
  <c r="AT122" i="32"/>
  <c r="AT116" i="32"/>
  <c r="AU122" i="32"/>
  <c r="AU116" i="32"/>
  <c r="AV122" i="32"/>
  <c r="AV116" i="32"/>
  <c r="AW122" i="32"/>
  <c r="AW116" i="32"/>
  <c r="AX123" i="32"/>
  <c r="AX116" i="32"/>
  <c r="BB2" i="33"/>
  <c r="G8" i="33"/>
  <c r="G8" i="34" s="1"/>
  <c r="T28" i="32"/>
  <c r="AG19" i="32"/>
  <c r="AF19" i="32"/>
  <c r="AE19" i="32"/>
  <c r="AC19" i="32"/>
  <c r="AX11" i="32"/>
  <c r="AW11" i="32"/>
  <c r="AV11" i="32"/>
  <c r="AT11" i="32"/>
  <c r="D10" i="32"/>
  <c r="AQ90" i="33" l="1"/>
  <c r="AQ89" i="34" s="1"/>
  <c r="AS118" i="32"/>
  <c r="AV90" i="33"/>
  <c r="AV89" i="34" s="1"/>
  <c r="AX118" i="32"/>
  <c r="AN90" i="33"/>
  <c r="AN89" i="34" s="1"/>
  <c r="AP118" i="32"/>
  <c r="AU90" i="33"/>
  <c r="AU89" i="34" s="1"/>
  <c r="AW118" i="32"/>
  <c r="AM90" i="33"/>
  <c r="AM89" i="34" s="1"/>
  <c r="AO118" i="32"/>
  <c r="AT90" i="33"/>
  <c r="AT89" i="34" s="1"/>
  <c r="AV118" i="32"/>
  <c r="AS90" i="33"/>
  <c r="AS89" i="34" s="1"/>
  <c r="AU118" i="32"/>
  <c r="AR90" i="33"/>
  <c r="AR89" i="34" s="1"/>
  <c r="AT118" i="32"/>
  <c r="AR94" i="33"/>
  <c r="AR97" i="33"/>
  <c r="AQ94" i="33"/>
  <c r="AQ97" i="33"/>
  <c r="AV95" i="33"/>
  <c r="AV98" i="33"/>
  <c r="AU94" i="33"/>
  <c r="AU97" i="33"/>
  <c r="AT94" i="33"/>
  <c r="AT97" i="33"/>
  <c r="AS94" i="33"/>
  <c r="AS97" i="33"/>
  <c r="AN94" i="33"/>
  <c r="AN97" i="33"/>
  <c r="R13" i="33"/>
  <c r="R13" i="34" s="1"/>
  <c r="R14" i="33"/>
  <c r="R14" i="34" s="1"/>
  <c r="AE5" i="33"/>
  <c r="AE5" i="34" s="1"/>
  <c r="P8" i="33"/>
  <c r="P8" i="34" s="1"/>
  <c r="O8" i="33"/>
  <c r="O8" i="34" s="1"/>
  <c r="AA5" i="33"/>
  <c r="AA5" i="34" s="1"/>
  <c r="AC5" i="33"/>
  <c r="AC5" i="34" s="1"/>
  <c r="Q8" i="33"/>
  <c r="Q8" i="34" s="1"/>
  <c r="L8" i="33"/>
  <c r="L8" i="34" s="1"/>
  <c r="M8" i="33"/>
  <c r="M8" i="34" s="1"/>
  <c r="AD5" i="33"/>
  <c r="AD5" i="34" s="1"/>
  <c r="AU129" i="32"/>
  <c r="AS104" i="33" s="1"/>
  <c r="AP129" i="32"/>
  <c r="AN104" i="33" s="1"/>
  <c r="AW129" i="32"/>
  <c r="AU104" i="33" s="1"/>
  <c r="AT129" i="32"/>
  <c r="AR104" i="33" s="1"/>
  <c r="AO129" i="32"/>
  <c r="AV129" i="32"/>
  <c r="AT104" i="33" s="1"/>
  <c r="U19" i="32"/>
  <c r="AC27" i="32"/>
  <c r="AA13" i="33" s="1"/>
  <c r="AA13" i="34" s="1"/>
  <c r="AE27" i="32"/>
  <c r="AC13" i="33" s="1"/>
  <c r="AC13" i="34" s="1"/>
  <c r="R27" i="32"/>
  <c r="P13" i="33" s="1"/>
  <c r="P13" i="34" s="1"/>
  <c r="AG27" i="32"/>
  <c r="AE13" i="33" s="1"/>
  <c r="AE13" i="34" s="1"/>
  <c r="AE18" i="32"/>
  <c r="AC4" i="33" s="1"/>
  <c r="AC4" i="34" s="1"/>
  <c r="AE35" i="32"/>
  <c r="AC21" i="33" s="1"/>
  <c r="AC21" i="34" s="1"/>
  <c r="X27" i="32"/>
  <c r="V13" i="33" s="1"/>
  <c r="V13" i="34" s="1"/>
  <c r="V27" i="32"/>
  <c r="T13" i="33" s="1"/>
  <c r="T13" i="34" s="1"/>
  <c r="AF18" i="32"/>
  <c r="AF35" i="32"/>
  <c r="AD21" i="33" s="1"/>
  <c r="AD21" i="34" s="1"/>
  <c r="W13" i="33"/>
  <c r="W13" i="34" s="1"/>
  <c r="H21" i="33"/>
  <c r="H21" i="34" s="1"/>
  <c r="J18" i="32"/>
  <c r="K18" i="32"/>
  <c r="I4" i="33" s="1"/>
  <c r="I4" i="34" s="1"/>
  <c r="Z27" i="32"/>
  <c r="X13" i="33" s="1"/>
  <c r="X13" i="34" s="1"/>
  <c r="Y13" i="33"/>
  <c r="Y13" i="34" s="1"/>
  <c r="U27" i="32"/>
  <c r="S13" i="33" s="1"/>
  <c r="S13" i="34" s="1"/>
  <c r="L27" i="32"/>
  <c r="J13" i="33" s="1"/>
  <c r="J13" i="34" s="1"/>
  <c r="M19" i="32"/>
  <c r="K5" i="33" s="1"/>
  <c r="K5" i="34" s="1"/>
  <c r="AB27" i="32"/>
  <c r="Z13" i="33" s="1"/>
  <c r="Z13" i="34" s="1"/>
  <c r="AC18" i="32"/>
  <c r="I18" i="32"/>
  <c r="Q35" i="32"/>
  <c r="O21" i="33" s="1"/>
  <c r="O21" i="34" s="1"/>
  <c r="Q18" i="32"/>
  <c r="Q19" i="32"/>
  <c r="Q27" i="32"/>
  <c r="O13" i="33" s="1"/>
  <c r="O13" i="34" s="1"/>
  <c r="U18" i="32"/>
  <c r="H18" i="32"/>
  <c r="F4" i="33" s="1"/>
  <c r="F4" i="34" s="1"/>
  <c r="AF27" i="32"/>
  <c r="AD13" i="33" s="1"/>
  <c r="AD13" i="34" s="1"/>
  <c r="AG18" i="32"/>
  <c r="AE4" i="33" s="1"/>
  <c r="AE4" i="34" s="1"/>
  <c r="AG35" i="32"/>
  <c r="AE21" i="33" s="1"/>
  <c r="AE21" i="34" s="1"/>
  <c r="P27" i="32"/>
  <c r="N13" i="33" s="1"/>
  <c r="N13" i="34" s="1"/>
  <c r="S18" i="32"/>
  <c r="S37" i="32"/>
  <c r="S19" i="32"/>
  <c r="W27" i="32"/>
  <c r="U13" i="33" s="1"/>
  <c r="U13" i="34" s="1"/>
  <c r="T18" i="32"/>
  <c r="T19" i="32"/>
  <c r="AX121" i="32"/>
  <c r="AT121" i="32"/>
  <c r="AV121" i="32"/>
  <c r="AW121" i="32"/>
  <c r="AO11" i="32"/>
  <c r="AP11" i="32"/>
  <c r="AQ11" i="32"/>
  <c r="AR11" i="32"/>
  <c r="AS11" i="32"/>
  <c r="AU11" i="32"/>
  <c r="R19" i="32"/>
  <c r="AV97" i="34" l="1"/>
  <c r="AV98" i="34"/>
  <c r="AT103" i="34"/>
  <c r="AT104" i="34"/>
  <c r="AR103" i="34"/>
  <c r="AR104" i="34"/>
  <c r="AU103" i="34"/>
  <c r="AU104" i="34"/>
  <c r="AQ97" i="34"/>
  <c r="AU97" i="34"/>
  <c r="AN103" i="34"/>
  <c r="AN104" i="34"/>
  <c r="AS103" i="34"/>
  <c r="AS104" i="34"/>
  <c r="AN97" i="34"/>
  <c r="AR97" i="34"/>
  <c r="AS97" i="34"/>
  <c r="AT97" i="34"/>
  <c r="AT87" i="34"/>
  <c r="AT88" i="34"/>
  <c r="AR102" i="34"/>
  <c r="AM87" i="34"/>
  <c r="AM88" i="34"/>
  <c r="AU102" i="34"/>
  <c r="AN102" i="34"/>
  <c r="AU87" i="34"/>
  <c r="AU88" i="34"/>
  <c r="AS102" i="34"/>
  <c r="AR95" i="34"/>
  <c r="AT102" i="34"/>
  <c r="AN87" i="34"/>
  <c r="AN88" i="34"/>
  <c r="AR87" i="34"/>
  <c r="AR88" i="34"/>
  <c r="AV87" i="34"/>
  <c r="AV88" i="34"/>
  <c r="AU92" i="34"/>
  <c r="AT94" i="34"/>
  <c r="AT91" i="34"/>
  <c r="AS87" i="34"/>
  <c r="AS88" i="34"/>
  <c r="AQ87" i="34"/>
  <c r="AQ88" i="34"/>
  <c r="BA90" i="33"/>
  <c r="BA95" i="33"/>
  <c r="BA94" i="33"/>
  <c r="AV93" i="33"/>
  <c r="AV92" i="34" s="1"/>
  <c r="AV96" i="33"/>
  <c r="AV95" i="34" s="1"/>
  <c r="AU93" i="33"/>
  <c r="AU90" i="34" s="1"/>
  <c r="AU96" i="33"/>
  <c r="AU96" i="34" s="1"/>
  <c r="BA98" i="33"/>
  <c r="AT93" i="33"/>
  <c r="AT90" i="34" s="1"/>
  <c r="AT96" i="33"/>
  <c r="AT96" i="34" s="1"/>
  <c r="AR93" i="33"/>
  <c r="AR90" i="34" s="1"/>
  <c r="AR96" i="33"/>
  <c r="BA97" i="33"/>
  <c r="BA14" i="33"/>
  <c r="I20" i="33"/>
  <c r="I20" i="34" s="1"/>
  <c r="I21" i="33"/>
  <c r="I21" i="34" s="1"/>
  <c r="Q22" i="33"/>
  <c r="Q22" i="34" s="1"/>
  <c r="Q23" i="33"/>
  <c r="Q23" i="34" s="1"/>
  <c r="G20" i="33"/>
  <c r="G20" i="34" s="1"/>
  <c r="G21" i="33"/>
  <c r="G21" i="34" s="1"/>
  <c r="E11" i="33"/>
  <c r="E12" i="33"/>
  <c r="E12" i="34" s="1"/>
  <c r="AM101" i="33"/>
  <c r="AM100" i="34" s="1"/>
  <c r="AM104" i="33"/>
  <c r="E9" i="33"/>
  <c r="E10" i="33"/>
  <c r="E10" i="34" s="1"/>
  <c r="Y12" i="33"/>
  <c r="Y12" i="34" s="1"/>
  <c r="R5" i="33"/>
  <c r="R5" i="34" s="1"/>
  <c r="X12" i="33"/>
  <c r="X12" i="34" s="1"/>
  <c r="O4" i="33"/>
  <c r="O4" i="34" s="1"/>
  <c r="AA12" i="33"/>
  <c r="AA12" i="34" s="1"/>
  <c r="AE12" i="33"/>
  <c r="AE12" i="34" s="1"/>
  <c r="H4" i="33"/>
  <c r="H4" i="34" s="1"/>
  <c r="Q4" i="33"/>
  <c r="Q4" i="34" s="1"/>
  <c r="G4" i="33"/>
  <c r="G4" i="34" s="1"/>
  <c r="H20" i="33"/>
  <c r="H20" i="34" s="1"/>
  <c r="S5" i="33"/>
  <c r="S5" i="34" s="1"/>
  <c r="W12" i="33"/>
  <c r="W12" i="34" s="1"/>
  <c r="AT101" i="33"/>
  <c r="AT100" i="34" s="1"/>
  <c r="O5" i="33"/>
  <c r="O5" i="34" s="1"/>
  <c r="N8" i="33"/>
  <c r="N8" i="34" s="1"/>
  <c r="Q5" i="33"/>
  <c r="Q5" i="34" s="1"/>
  <c r="AA4" i="33"/>
  <c r="AA4" i="34" s="1"/>
  <c r="AE20" i="33"/>
  <c r="AE20" i="34" s="1"/>
  <c r="AD20" i="33"/>
  <c r="AD20" i="34" s="1"/>
  <c r="R4" i="33"/>
  <c r="R4" i="34" s="1"/>
  <c r="O20" i="33"/>
  <c r="O20" i="34" s="1"/>
  <c r="AD4" i="33"/>
  <c r="AD4" i="34" s="1"/>
  <c r="AR101" i="33"/>
  <c r="AR100" i="34" s="1"/>
  <c r="P12" i="33"/>
  <c r="P12" i="34" s="1"/>
  <c r="AC12" i="33"/>
  <c r="AC12" i="34" s="1"/>
  <c r="N12" i="33"/>
  <c r="N12" i="34" s="1"/>
  <c r="H8" i="33"/>
  <c r="H8" i="34" s="1"/>
  <c r="Z12" i="33"/>
  <c r="Z12" i="34" s="1"/>
  <c r="AD12" i="33"/>
  <c r="AD12" i="34" s="1"/>
  <c r="K8" i="33"/>
  <c r="K8" i="34" s="1"/>
  <c r="T12" i="33"/>
  <c r="T12" i="34" s="1"/>
  <c r="AU101" i="33"/>
  <c r="AU100" i="34" s="1"/>
  <c r="O12" i="33"/>
  <c r="O12" i="34" s="1"/>
  <c r="U12" i="33"/>
  <c r="U12" i="34" s="1"/>
  <c r="J12" i="33"/>
  <c r="J12" i="34" s="1"/>
  <c r="V12" i="33"/>
  <c r="V12" i="34" s="1"/>
  <c r="AN101" i="33"/>
  <c r="AN100" i="34" s="1"/>
  <c r="P5" i="33"/>
  <c r="P5" i="34" s="1"/>
  <c r="S4" i="33"/>
  <c r="S4" i="34" s="1"/>
  <c r="S12" i="33"/>
  <c r="S12" i="34" s="1"/>
  <c r="AC20" i="33"/>
  <c r="AC20" i="34" s="1"/>
  <c r="AS101" i="33"/>
  <c r="AS100" i="34" s="1"/>
  <c r="AG20" i="32"/>
  <c r="M20" i="32"/>
  <c r="AE20" i="32"/>
  <c r="U20" i="32"/>
  <c r="S20" i="32"/>
  <c r="T20" i="32"/>
  <c r="AF20" i="32"/>
  <c r="Q20" i="32"/>
  <c r="AC20" i="32"/>
  <c r="AB34" i="33"/>
  <c r="AB34" i="34" s="1"/>
  <c r="N19" i="32"/>
  <c r="J19" i="32"/>
  <c r="H5" i="33" s="1"/>
  <c r="H5" i="34" s="1"/>
  <c r="N18" i="32"/>
  <c r="Y18" i="32"/>
  <c r="X19" i="32"/>
  <c r="V19" i="32"/>
  <c r="K19" i="32"/>
  <c r="I19" i="32"/>
  <c r="E5" i="33"/>
  <c r="E5" i="34" s="1"/>
  <c r="W35" i="32"/>
  <c r="U21" i="33" s="1"/>
  <c r="U21" i="34" s="1"/>
  <c r="W18" i="32"/>
  <c r="X18" i="32"/>
  <c r="L19" i="32"/>
  <c r="J5" i="33" s="1"/>
  <c r="J5" i="34" s="1"/>
  <c r="AB18" i="32"/>
  <c r="N27" i="32"/>
  <c r="L13" i="33" s="1"/>
  <c r="V18" i="32"/>
  <c r="V35" i="32"/>
  <c r="T21" i="33" s="1"/>
  <c r="T21" i="34" s="1"/>
  <c r="O18" i="32"/>
  <c r="W19" i="32"/>
  <c r="P18" i="32"/>
  <c r="AA19" i="32"/>
  <c r="Z19" i="32"/>
  <c r="H19" i="32"/>
  <c r="F5" i="33" s="1"/>
  <c r="F5" i="34" s="1"/>
  <c r="E4" i="33"/>
  <c r="E4" i="34" s="1"/>
  <c r="R35" i="32"/>
  <c r="P21" i="33" s="1"/>
  <c r="P21" i="34" s="1"/>
  <c r="R18" i="32"/>
  <c r="P4" i="33" s="1"/>
  <c r="P4" i="34" s="1"/>
  <c r="O19" i="32"/>
  <c r="AB19" i="32"/>
  <c r="P19" i="32"/>
  <c r="AA18" i="32"/>
  <c r="Z18" i="32"/>
  <c r="Y19" i="32"/>
  <c r="AS121" i="32"/>
  <c r="AQ121" i="32"/>
  <c r="AU121" i="32"/>
  <c r="AP121" i="32"/>
  <c r="AR93" i="34" l="1"/>
  <c r="AN101" i="34"/>
  <c r="AM103" i="34"/>
  <c r="AM104" i="34"/>
  <c r="AU101" i="34"/>
  <c r="AR96" i="34"/>
  <c r="AT93" i="34"/>
  <c r="AT101" i="34"/>
  <c r="AR101" i="34"/>
  <c r="AU93" i="34"/>
  <c r="AS101" i="34"/>
  <c r="AV96" i="34"/>
  <c r="AT92" i="34"/>
  <c r="AR92" i="34"/>
  <c r="AU95" i="34"/>
  <c r="AT95" i="34"/>
  <c r="AV93" i="34"/>
  <c r="AV94" i="34"/>
  <c r="AR98" i="34"/>
  <c r="AR99" i="34"/>
  <c r="AV90" i="34"/>
  <c r="AV91" i="34"/>
  <c r="AU91" i="34"/>
  <c r="AR91" i="34"/>
  <c r="AU98" i="34"/>
  <c r="AU99" i="34"/>
  <c r="AM101" i="34"/>
  <c r="AM102" i="34"/>
  <c r="AT98" i="34"/>
  <c r="AT99" i="34"/>
  <c r="AM98" i="34"/>
  <c r="AM99" i="34"/>
  <c r="AS98" i="34"/>
  <c r="AS99" i="34"/>
  <c r="AN98" i="34"/>
  <c r="AN99" i="34"/>
  <c r="AR94" i="34"/>
  <c r="AU94" i="34"/>
  <c r="BB90" i="33"/>
  <c r="BA11" i="33"/>
  <c r="E11" i="34"/>
  <c r="L13" i="34"/>
  <c r="E9" i="34"/>
  <c r="BB95" i="33"/>
  <c r="BB94" i="33"/>
  <c r="AO93" i="33"/>
  <c r="AO92" i="34" s="1"/>
  <c r="AO96" i="33"/>
  <c r="AP93" i="33"/>
  <c r="AP92" i="34" s="1"/>
  <c r="AP96" i="33"/>
  <c r="BB97" i="33"/>
  <c r="AN93" i="33"/>
  <c r="AN92" i="34" s="1"/>
  <c r="AN96" i="33"/>
  <c r="AS93" i="33"/>
  <c r="AS92" i="34" s="1"/>
  <c r="AS96" i="33"/>
  <c r="AQ93" i="33"/>
  <c r="AQ92" i="34" s="1"/>
  <c r="AQ96" i="33"/>
  <c r="AM93" i="33"/>
  <c r="AM92" i="34" s="1"/>
  <c r="AM96" i="33"/>
  <c r="BB98" i="33"/>
  <c r="BA9" i="33"/>
  <c r="BA23" i="33"/>
  <c r="BA10" i="33"/>
  <c r="BB14" i="33"/>
  <c r="BA104" i="33"/>
  <c r="BA13" i="33"/>
  <c r="E21" i="33"/>
  <c r="E22" i="33"/>
  <c r="E22" i="34" s="1"/>
  <c r="BA34" i="33"/>
  <c r="BA101" i="33"/>
  <c r="Y4" i="33"/>
  <c r="Y4" i="34" s="1"/>
  <c r="U5" i="33"/>
  <c r="U5" i="34" s="1"/>
  <c r="R6" i="33"/>
  <c r="R6" i="34" s="1"/>
  <c r="AT6" i="33"/>
  <c r="AT6" i="34" s="1"/>
  <c r="Z5" i="33"/>
  <c r="Z5" i="34" s="1"/>
  <c r="AS6" i="33"/>
  <c r="AS6" i="34" s="1"/>
  <c r="K20" i="32"/>
  <c r="I6" i="33" s="1"/>
  <c r="I6" i="34" s="1"/>
  <c r="I5" i="33"/>
  <c r="I5" i="34" s="1"/>
  <c r="N5" i="33"/>
  <c r="N5" i="34" s="1"/>
  <c r="M4" i="33"/>
  <c r="M4" i="34" s="1"/>
  <c r="T5" i="33"/>
  <c r="T5" i="34" s="1"/>
  <c r="Q6" i="33"/>
  <c r="Q6" i="34" s="1"/>
  <c r="M5" i="33"/>
  <c r="M5" i="34" s="1"/>
  <c r="L4" i="33"/>
  <c r="L4" i="34" s="1"/>
  <c r="P20" i="33"/>
  <c r="P20" i="34" s="1"/>
  <c r="Z4" i="33"/>
  <c r="Z4" i="34" s="1"/>
  <c r="AC6" i="33"/>
  <c r="AC6" i="34" s="1"/>
  <c r="AO6" i="33"/>
  <c r="AO6" i="34" s="1"/>
  <c r="L12" i="33"/>
  <c r="L12" i="34" s="1"/>
  <c r="L5" i="33"/>
  <c r="L5" i="34" s="1"/>
  <c r="V5" i="33"/>
  <c r="V5" i="34" s="1"/>
  <c r="V4" i="33"/>
  <c r="V4" i="34" s="1"/>
  <c r="K6" i="33"/>
  <c r="K6" i="34" s="1"/>
  <c r="AB5" i="33"/>
  <c r="AB5" i="34" s="1"/>
  <c r="T20" i="33"/>
  <c r="T20" i="34" s="1"/>
  <c r="T4" i="33"/>
  <c r="T4" i="34" s="1"/>
  <c r="J8" i="33"/>
  <c r="X5" i="33"/>
  <c r="X5" i="34" s="1"/>
  <c r="U20" i="33"/>
  <c r="U20" i="34" s="1"/>
  <c r="AA6" i="33"/>
  <c r="AA6" i="34" s="1"/>
  <c r="AV6" i="33"/>
  <c r="AV6" i="34" s="1"/>
  <c r="AE6" i="33"/>
  <c r="AE6" i="34" s="1"/>
  <c r="AU6" i="33"/>
  <c r="AU6" i="34" s="1"/>
  <c r="S6" i="33"/>
  <c r="S6" i="34" s="1"/>
  <c r="AM6" i="33"/>
  <c r="AM6" i="34" s="1"/>
  <c r="W4" i="33"/>
  <c r="W4" i="34" s="1"/>
  <c r="AQ6" i="33"/>
  <c r="AQ6" i="34" s="1"/>
  <c r="U4" i="33"/>
  <c r="U4" i="34" s="1"/>
  <c r="W5" i="33"/>
  <c r="W5" i="34" s="1"/>
  <c r="Y5" i="33"/>
  <c r="Y5" i="34" s="1"/>
  <c r="O6" i="33"/>
  <c r="O6" i="34" s="1"/>
  <c r="AN6" i="33"/>
  <c r="AN6" i="34" s="1"/>
  <c r="X4" i="33"/>
  <c r="X4" i="34" s="1"/>
  <c r="N4" i="33"/>
  <c r="N4" i="34" s="1"/>
  <c r="G5" i="33"/>
  <c r="G5" i="34" s="1"/>
  <c r="AD6" i="33"/>
  <c r="AD6" i="34" s="1"/>
  <c r="AR6" i="33"/>
  <c r="AR6" i="34" s="1"/>
  <c r="J20" i="32"/>
  <c r="L20" i="32"/>
  <c r="R20" i="32"/>
  <c r="AL115" i="34"/>
  <c r="H20" i="32"/>
  <c r="F6" i="33" s="1"/>
  <c r="F6" i="34" s="1"/>
  <c r="I20" i="32"/>
  <c r="Y20" i="32"/>
  <c r="E6" i="33"/>
  <c r="E6" i="34" s="1"/>
  <c r="N20" i="32"/>
  <c r="Z20" i="32"/>
  <c r="AA20" i="32"/>
  <c r="V20" i="32"/>
  <c r="O20" i="32"/>
  <c r="X20" i="32"/>
  <c r="P20" i="32"/>
  <c r="AB20" i="32"/>
  <c r="W20" i="32"/>
  <c r="AO95" i="34" l="1"/>
  <c r="AO96" i="34"/>
  <c r="AM95" i="34"/>
  <c r="AM96" i="34"/>
  <c r="AQ95" i="34"/>
  <c r="AQ96" i="34"/>
  <c r="AS95" i="34"/>
  <c r="AS96" i="34"/>
  <c r="AN95" i="34"/>
  <c r="AN96" i="34"/>
  <c r="AN115" i="34" s="1"/>
  <c r="AP95" i="34"/>
  <c r="AP96" i="34"/>
  <c r="AN90" i="34"/>
  <c r="AN91" i="34"/>
  <c r="AP90" i="34"/>
  <c r="AP91" i="34"/>
  <c r="AO93" i="34"/>
  <c r="AO94" i="34"/>
  <c r="AM93" i="34"/>
  <c r="AM94" i="34"/>
  <c r="AO90" i="34"/>
  <c r="AO91" i="34"/>
  <c r="AM90" i="34"/>
  <c r="AM91" i="34"/>
  <c r="AP93" i="34"/>
  <c r="AP94" i="34"/>
  <c r="AQ93" i="34"/>
  <c r="AQ94" i="34"/>
  <c r="AQ90" i="34"/>
  <c r="AQ91" i="34"/>
  <c r="AS93" i="34"/>
  <c r="AS94" i="34"/>
  <c r="AS90" i="34"/>
  <c r="AS91" i="34"/>
  <c r="AN93" i="34"/>
  <c r="AN94" i="34"/>
  <c r="BB11" i="33"/>
  <c r="BA21" i="33"/>
  <c r="E21" i="34"/>
  <c r="J8" i="34"/>
  <c r="BB9" i="33"/>
  <c r="BA93" i="33"/>
  <c r="BA96" i="33"/>
  <c r="BB13" i="33"/>
  <c r="BA22" i="33"/>
  <c r="BB104" i="33"/>
  <c r="BB10" i="33"/>
  <c r="BB23" i="33"/>
  <c r="BB101" i="33"/>
  <c r="BB34" i="33"/>
  <c r="BA8" i="33"/>
  <c r="BA12" i="33"/>
  <c r="BA20" i="33"/>
  <c r="K115" i="34"/>
  <c r="Q115" i="34"/>
  <c r="AD115" i="34"/>
  <c r="AU115" i="34"/>
  <c r="AV115" i="34"/>
  <c r="AA115" i="34"/>
  <c r="AT115" i="34"/>
  <c r="R115" i="34"/>
  <c r="L6" i="33"/>
  <c r="L6" i="34" s="1"/>
  <c r="W6" i="33"/>
  <c r="W6" i="34" s="1"/>
  <c r="J6" i="33"/>
  <c r="J6" i="34" s="1"/>
  <c r="G6" i="33"/>
  <c r="G6" i="34" s="1"/>
  <c r="Z6" i="33"/>
  <c r="Z6" i="34" s="1"/>
  <c r="H6" i="33"/>
  <c r="H6" i="34" s="1"/>
  <c r="V6" i="33"/>
  <c r="V6" i="34" s="1"/>
  <c r="U6" i="33"/>
  <c r="U6" i="34" s="1"/>
  <c r="N6" i="33"/>
  <c r="N6" i="34" s="1"/>
  <c r="M6" i="33"/>
  <c r="M6" i="34" s="1"/>
  <c r="P6" i="33"/>
  <c r="P6" i="34" s="1"/>
  <c r="T6" i="33"/>
  <c r="T6" i="34" s="1"/>
  <c r="Y6" i="33"/>
  <c r="Y6" i="34" s="1"/>
  <c r="AB6" i="33"/>
  <c r="AB6" i="34" s="1"/>
  <c r="X6" i="33"/>
  <c r="X6" i="34" s="1"/>
  <c r="BA4" i="33"/>
  <c r="BA5" i="33"/>
  <c r="AC115" i="34"/>
  <c r="AR115" i="34"/>
  <c r="S115" i="34"/>
  <c r="O115" i="34"/>
  <c r="AE115" i="34"/>
  <c r="AQ115" i="34"/>
  <c r="AO115" i="34" l="1"/>
  <c r="AS115" i="34"/>
  <c r="BA115" i="34"/>
  <c r="BB21" i="33"/>
  <c r="E115" i="34"/>
  <c r="BB93" i="33"/>
  <c r="BB96" i="33"/>
  <c r="BB22" i="33"/>
  <c r="BB5" i="33"/>
  <c r="BB8" i="33"/>
  <c r="BB4" i="33"/>
  <c r="BB20" i="33"/>
  <c r="BB12" i="33"/>
  <c r="Y115" i="34"/>
  <c r="N115" i="34"/>
  <c r="X115" i="34"/>
  <c r="BA6" i="33"/>
  <c r="BB115" i="34"/>
  <c r="P115" i="34"/>
  <c r="L115" i="34"/>
  <c r="AP115" i="34"/>
  <c r="J115" i="34"/>
  <c r="AB115" i="34"/>
  <c r="V115" i="34"/>
  <c r="M115" i="34"/>
  <c r="G115" i="34"/>
  <c r="H115" i="34"/>
  <c r="T115" i="34"/>
  <c r="W115" i="34"/>
  <c r="U115" i="34"/>
  <c r="Z115" i="34"/>
  <c r="C13" i="2" l="1"/>
  <c r="BB6" i="33"/>
  <c r="BB115" i="33" s="1"/>
  <c r="C14" i="2"/>
  <c r="I115" i="34"/>
  <c r="AM115" i="34"/>
  <c r="F115" i="34"/>
  <c r="C16" i="2" l="1"/>
  <c r="B19" i="2" s="1"/>
  <c r="V29" i="22" l="1"/>
  <c r="U15" i="22"/>
  <c r="I15" i="22"/>
  <c r="C69" i="17"/>
  <c r="C70" i="17" s="1"/>
  <c r="C71" i="17" s="1"/>
  <c r="C72" i="17" s="1"/>
  <c r="C73" i="17" s="1"/>
  <c r="C74" i="17" s="1"/>
  <c r="C75" i="17" s="1"/>
  <c r="C76" i="17" s="1"/>
  <c r="C77" i="17" s="1"/>
  <c r="C78" i="17" s="1"/>
  <c r="C79" i="17" s="1"/>
  <c r="C80" i="17" s="1"/>
  <c r="C81" i="17" s="1"/>
  <c r="C82" i="17" s="1"/>
  <c r="C83" i="17" s="1"/>
  <c r="J18" i="16"/>
  <c r="F73" i="27"/>
  <c r="H25" i="25"/>
  <c r="H23" i="25"/>
  <c r="H20" i="25"/>
  <c r="H15" i="25"/>
  <c r="H26" i="25"/>
  <c r="H27" i="25"/>
  <c r="H28" i="25"/>
  <c r="H22" i="25"/>
  <c r="H16" i="25"/>
  <c r="H17" i="25"/>
  <c r="H18" i="25"/>
  <c r="H19" i="25"/>
  <c r="H14" i="25"/>
  <c r="H12" i="25"/>
  <c r="C88" i="27"/>
  <c r="C89" i="27" s="1"/>
  <c r="C87" i="27"/>
  <c r="B87" i="27" s="1"/>
  <c r="F91" i="27"/>
  <c r="F92" i="27"/>
  <c r="F93" i="27"/>
  <c r="F94" i="27"/>
  <c r="F89" i="27"/>
  <c r="F90" i="27"/>
  <c r="B86" i="27"/>
  <c r="F86" i="27"/>
  <c r="F87" i="27"/>
  <c r="B88" i="27"/>
  <c r="F88" i="27"/>
  <c r="F85" i="27"/>
  <c r="F84" i="27"/>
  <c r="F83" i="27"/>
  <c r="F82" i="27"/>
  <c r="F81" i="27"/>
  <c r="F80" i="27"/>
  <c r="F79" i="27"/>
  <c r="F78" i="27"/>
  <c r="F77" i="27"/>
  <c r="F76" i="27"/>
  <c r="F75" i="27"/>
  <c r="F74" i="27"/>
  <c r="F72" i="27"/>
  <c r="F71" i="27"/>
  <c r="F70" i="27"/>
  <c r="F69" i="27"/>
  <c r="F67" i="27"/>
  <c r="F66" i="27"/>
  <c r="F65" i="27"/>
  <c r="F64" i="27"/>
  <c r="F63" i="27"/>
  <c r="F62" i="27"/>
  <c r="F61" i="27"/>
  <c r="F60" i="27"/>
  <c r="F59" i="27"/>
  <c r="F58" i="27"/>
  <c r="F57" i="27"/>
  <c r="F56" i="27"/>
  <c r="F55" i="27"/>
  <c r="F54" i="27"/>
  <c r="F53" i="27"/>
  <c r="F52" i="27"/>
  <c r="F51" i="27"/>
  <c r="F50" i="27"/>
  <c r="F49" i="27"/>
  <c r="F48" i="27"/>
  <c r="F47" i="27"/>
  <c r="F46" i="27"/>
  <c r="F45" i="27"/>
  <c r="F44" i="27"/>
  <c r="F43" i="27"/>
  <c r="F42" i="27"/>
  <c r="F41" i="27"/>
  <c r="F40" i="27"/>
  <c r="F39" i="27"/>
  <c r="F38" i="27"/>
  <c r="F37" i="27"/>
  <c r="F36" i="27"/>
  <c r="F35" i="27"/>
  <c r="F34" i="27"/>
  <c r="F33" i="27"/>
  <c r="F32" i="27"/>
  <c r="F31" i="27"/>
  <c r="F30" i="27"/>
  <c r="F29" i="27"/>
  <c r="F28" i="27"/>
  <c r="F27" i="27"/>
  <c r="F26" i="27"/>
  <c r="F25" i="27"/>
  <c r="F24" i="27"/>
  <c r="F23" i="27"/>
  <c r="F22" i="27"/>
  <c r="F21" i="27"/>
  <c r="F20" i="27"/>
  <c r="F19" i="27"/>
  <c r="F18" i="27"/>
  <c r="F17" i="27"/>
  <c r="F16" i="27"/>
  <c r="F15" i="27"/>
  <c r="F14" i="27"/>
  <c r="C14" i="27"/>
  <c r="C26" i="27" s="1"/>
  <c r="F13" i="27"/>
  <c r="C13" i="27"/>
  <c r="B13" i="27" s="1"/>
  <c r="F12" i="27"/>
  <c r="C12" i="27"/>
  <c r="B12" i="27"/>
  <c r="F11" i="27"/>
  <c r="C11" i="27"/>
  <c r="B11" i="27"/>
  <c r="F10" i="27"/>
  <c r="C10" i="27"/>
  <c r="B10" i="27" s="1"/>
  <c r="F9" i="27"/>
  <c r="C9" i="27"/>
  <c r="B9" i="27" s="1"/>
  <c r="F8" i="27"/>
  <c r="C8" i="27"/>
  <c r="B8" i="27"/>
  <c r="F7" i="27"/>
  <c r="C7" i="27"/>
  <c r="B7" i="27"/>
  <c r="F6" i="27"/>
  <c r="C6" i="27"/>
  <c r="B6" i="27" s="1"/>
  <c r="F5" i="27"/>
  <c r="C5" i="27"/>
  <c r="B5" i="27" s="1"/>
  <c r="F4" i="27"/>
  <c r="C4" i="27"/>
  <c r="B4" i="27"/>
  <c r="F3" i="27"/>
  <c r="C3" i="27"/>
  <c r="B3" i="27"/>
  <c r="B2" i="27"/>
  <c r="E3" i="14"/>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2" i="14"/>
  <c r="V15" i="22" l="1"/>
  <c r="H29" i="25"/>
  <c r="C90" i="27"/>
  <c r="B89" i="27"/>
  <c r="C38" i="27"/>
  <c r="C34" i="27"/>
  <c r="B34" i="27" s="1"/>
  <c r="C30" i="27"/>
  <c r="B30" i="27" s="1"/>
  <c r="B26" i="27"/>
  <c r="C37" i="27"/>
  <c r="B37" i="27" s="1"/>
  <c r="C33" i="27"/>
  <c r="B33" i="27" s="1"/>
  <c r="C29" i="27"/>
  <c r="B29" i="27" s="1"/>
  <c r="C35" i="27"/>
  <c r="B35" i="27" s="1"/>
  <c r="C36" i="27"/>
  <c r="B36" i="27" s="1"/>
  <c r="C32" i="27"/>
  <c r="B32" i="27" s="1"/>
  <c r="C28" i="27"/>
  <c r="B28" i="27" s="1"/>
  <c r="C31" i="27"/>
  <c r="B31" i="27" s="1"/>
  <c r="C27" i="27"/>
  <c r="B27" i="27" s="1"/>
  <c r="C15" i="27"/>
  <c r="B15" i="27" s="1"/>
  <c r="C19" i="27"/>
  <c r="B19" i="27" s="1"/>
  <c r="C23" i="27"/>
  <c r="B23" i="27" s="1"/>
  <c r="C16" i="27"/>
  <c r="B16" i="27" s="1"/>
  <c r="C20" i="27"/>
  <c r="B20" i="27" s="1"/>
  <c r="C24" i="27"/>
  <c r="B24" i="27" s="1"/>
  <c r="C17" i="27"/>
  <c r="B17" i="27" s="1"/>
  <c r="C21" i="27"/>
  <c r="B21" i="27" s="1"/>
  <c r="C25" i="27"/>
  <c r="B25" i="27" s="1"/>
  <c r="B14" i="27"/>
  <c r="C18" i="27"/>
  <c r="B18" i="27" s="1"/>
  <c r="C22" i="27"/>
  <c r="B22" i="27" s="1"/>
  <c r="C91" i="27" l="1"/>
  <c r="B90" i="27"/>
  <c r="B38" i="27"/>
  <c r="C49" i="27"/>
  <c r="B49" i="27" s="1"/>
  <c r="C45" i="27"/>
  <c r="B45" i="27" s="1"/>
  <c r="C41" i="27"/>
  <c r="B41" i="27" s="1"/>
  <c r="C48" i="27"/>
  <c r="B48" i="27" s="1"/>
  <c r="C44" i="27"/>
  <c r="B44" i="27" s="1"/>
  <c r="C39" i="27"/>
  <c r="B39" i="27" s="1"/>
  <c r="C40" i="27"/>
  <c r="B40" i="27" s="1"/>
  <c r="C47" i="27"/>
  <c r="B47" i="27" s="1"/>
  <c r="C43" i="27"/>
  <c r="B43" i="27" s="1"/>
  <c r="C50" i="27"/>
  <c r="C46" i="27"/>
  <c r="B46" i="27" s="1"/>
  <c r="C42" i="27"/>
  <c r="B42" i="27" s="1"/>
  <c r="C92" i="27" l="1"/>
  <c r="B91" i="27"/>
  <c r="C61" i="27"/>
  <c r="B61" i="27" s="1"/>
  <c r="C57" i="27"/>
  <c r="B57" i="27" s="1"/>
  <c r="C53" i="27"/>
  <c r="B53" i="27" s="1"/>
  <c r="C60" i="27"/>
  <c r="B60" i="27" s="1"/>
  <c r="C56" i="27"/>
  <c r="B56" i="27" s="1"/>
  <c r="C52" i="27"/>
  <c r="B52" i="27" s="1"/>
  <c r="C59" i="27"/>
  <c r="B59" i="27" s="1"/>
  <c r="C55" i="27"/>
  <c r="B55" i="27" s="1"/>
  <c r="C51" i="27"/>
  <c r="B51" i="27" s="1"/>
  <c r="C62" i="27"/>
  <c r="C58" i="27"/>
  <c r="B58" i="27" s="1"/>
  <c r="C54" i="27"/>
  <c r="B54" i="27" s="1"/>
  <c r="B50" i="27"/>
  <c r="C93" i="27" l="1"/>
  <c r="B92" i="27"/>
  <c r="C73" i="27"/>
  <c r="B73" i="27" s="1"/>
  <c r="C69" i="27"/>
  <c r="B69" i="27" s="1"/>
  <c r="C65" i="27"/>
  <c r="B65" i="27" s="1"/>
  <c r="C72" i="27"/>
  <c r="B72" i="27" s="1"/>
  <c r="C68" i="27"/>
  <c r="B68" i="27" s="1"/>
  <c r="C64" i="27"/>
  <c r="B64" i="27" s="1"/>
  <c r="C71" i="27"/>
  <c r="B71" i="27" s="1"/>
  <c r="C67" i="27"/>
  <c r="B67" i="27" s="1"/>
  <c r="C63" i="27"/>
  <c r="B63" i="27" s="1"/>
  <c r="C74" i="27"/>
  <c r="C70" i="27"/>
  <c r="B70" i="27" s="1"/>
  <c r="C66" i="27"/>
  <c r="B66" i="27" s="1"/>
  <c r="B62" i="27"/>
  <c r="C94" i="27" l="1"/>
  <c r="B94" i="27" s="1"/>
  <c r="B93" i="27"/>
  <c r="C85" i="27"/>
  <c r="B85" i="27" s="1"/>
  <c r="I41" i="27" s="1"/>
  <c r="C81" i="27"/>
  <c r="B81" i="27" s="1"/>
  <c r="C77" i="27"/>
  <c r="B77" i="27" s="1"/>
  <c r="C84" i="27"/>
  <c r="B84" i="27" s="1"/>
  <c r="C80" i="27"/>
  <c r="B80" i="27" s="1"/>
  <c r="C76" i="27"/>
  <c r="B76" i="27" s="1"/>
  <c r="C83" i="27"/>
  <c r="B83" i="27" s="1"/>
  <c r="C79" i="27"/>
  <c r="B79" i="27" s="1"/>
  <c r="C75" i="27"/>
  <c r="B75" i="27" s="1"/>
  <c r="C82" i="27"/>
  <c r="B82" i="27" s="1"/>
  <c r="C78" i="27"/>
  <c r="B78" i="27" s="1"/>
  <c r="B74" i="27"/>
  <c r="I42" i="27"/>
  <c r="I34" i="27" l="1"/>
  <c r="I30" i="27" s="1"/>
  <c r="C24" i="2" s="1"/>
  <c r="K137" i="35" s="1"/>
  <c r="N34" i="17" l="1"/>
  <c r="X39" i="16" l="1"/>
  <c r="D8" i="16"/>
  <c r="B4" i="25" l="1"/>
  <c r="D7" i="25"/>
  <c r="F8" i="25" l="1"/>
  <c r="H2" i="25"/>
  <c r="H33" i="25" l="1"/>
  <c r="H34" i="25" l="1"/>
  <c r="H35" i="25" s="1"/>
  <c r="D76" i="16"/>
  <c r="C23" i="2" l="1"/>
  <c r="K135" i="35" s="1"/>
  <c r="H37" i="25"/>
  <c r="E62" i="16"/>
  <c r="E63" i="16"/>
  <c r="J39" i="19" l="1"/>
  <c r="J40" i="19"/>
  <c r="J41" i="19"/>
  <c r="J42" i="19"/>
  <c r="J43" i="19"/>
  <c r="L42" i="19"/>
  <c r="L44" i="19"/>
  <c r="L21" i="19"/>
  <c r="U19" i="22" l="1"/>
  <c r="U17" i="22"/>
  <c r="L26" i="20" l="1"/>
  <c r="D6" i="23" l="1"/>
  <c r="J9" i="23"/>
  <c r="U29" i="22"/>
  <c r="U30" i="22"/>
  <c r="V30" i="22" l="1"/>
  <c r="I17" i="22"/>
  <c r="I19" i="22"/>
  <c r="V19" i="22" l="1"/>
  <c r="V17" i="22"/>
  <c r="V20" i="22" s="1"/>
  <c r="L41" i="19"/>
  <c r="L29" i="19"/>
  <c r="L28" i="19"/>
  <c r="L27" i="19"/>
  <c r="E6" i="22" l="1"/>
  <c r="D6" i="21"/>
  <c r="J9" i="21"/>
  <c r="L40" i="19" l="1"/>
  <c r="G15" i="19"/>
  <c r="G14" i="19"/>
  <c r="E9" i="19"/>
  <c r="L22" i="19" l="1"/>
  <c r="L23" i="19" s="1"/>
  <c r="N20" i="17" l="1"/>
  <c r="N18" i="17"/>
  <c r="N15" i="17"/>
  <c r="N16" i="17"/>
  <c r="N14" i="17"/>
  <c r="F6" i="17"/>
  <c r="I62" i="16"/>
  <c r="B21" i="23"/>
  <c r="B23" i="23" s="1"/>
  <c r="B24" i="23" s="1"/>
  <c r="B25" i="23" s="1"/>
  <c r="B26" i="23" s="1"/>
  <c r="B15" i="23"/>
  <c r="B16" i="23" s="1"/>
  <c r="B17" i="23" s="1"/>
  <c r="B18" i="23" s="1"/>
  <c r="V31" i="22"/>
  <c r="U28" i="22"/>
  <c r="V28" i="22" s="1"/>
  <c r="U27" i="22"/>
  <c r="V27" i="22" s="1"/>
  <c r="U26" i="22"/>
  <c r="V26" i="22" s="1"/>
  <c r="U25" i="22"/>
  <c r="V25" i="22" s="1"/>
  <c r="U23" i="22"/>
  <c r="V23" i="22" s="1"/>
  <c r="U22" i="22"/>
  <c r="V22" i="22" s="1"/>
  <c r="B21" i="21"/>
  <c r="B23" i="21" s="1"/>
  <c r="B24" i="21" s="1"/>
  <c r="B25" i="21" s="1"/>
  <c r="B26" i="21" s="1"/>
  <c r="B15" i="21"/>
  <c r="B16" i="21" s="1"/>
  <c r="B17" i="21" s="1"/>
  <c r="B18" i="21" s="1"/>
  <c r="B21" i="20"/>
  <c r="B23" i="20" s="1"/>
  <c r="B24" i="20" s="1"/>
  <c r="B25" i="20" s="1"/>
  <c r="B26" i="20" s="1"/>
  <c r="B15" i="20"/>
  <c r="B16" i="20" s="1"/>
  <c r="B17" i="20" s="1"/>
  <c r="B18" i="20" s="1"/>
  <c r="J44" i="19"/>
  <c r="L43" i="19"/>
  <c r="J38" i="19"/>
  <c r="J36" i="19"/>
  <c r="L36" i="19" s="1"/>
  <c r="L30" i="19"/>
  <c r="L25" i="19"/>
  <c r="J15" i="19"/>
  <c r="K15" i="19" s="1"/>
  <c r="L15" i="19" s="1"/>
  <c r="J14" i="19"/>
  <c r="K14" i="19" s="1"/>
  <c r="L14" i="19" s="1"/>
  <c r="N99" i="17"/>
  <c r="N98" i="17"/>
  <c r="N96" i="17"/>
  <c r="N87" i="17"/>
  <c r="N83" i="17"/>
  <c r="N80" i="17"/>
  <c r="N77" i="17"/>
  <c r="N74" i="17"/>
  <c r="N71" i="17"/>
  <c r="N66" i="17"/>
  <c r="C66" i="17"/>
  <c r="C67" i="17" s="1"/>
  <c r="C68" i="17" s="1"/>
  <c r="C85" i="17" s="1"/>
  <c r="C86" i="17" s="1"/>
  <c r="C87" i="17" s="1"/>
  <c r="C88" i="17" s="1"/>
  <c r="N58" i="17"/>
  <c r="N57" i="17"/>
  <c r="N52" i="17"/>
  <c r="N51" i="17"/>
  <c r="N47" i="17"/>
  <c r="N46" i="17"/>
  <c r="N40" i="17"/>
  <c r="N39" i="17"/>
  <c r="N33" i="17"/>
  <c r="N35" i="17" s="1"/>
  <c r="N26" i="17"/>
  <c r="N59" i="17" l="1"/>
  <c r="N53" i="17"/>
  <c r="V32" i="22"/>
  <c r="L16" i="19"/>
  <c r="L47" i="19" s="1"/>
  <c r="L39" i="19"/>
  <c r="L26" i="19"/>
  <c r="L31" i="19" s="1"/>
  <c r="L38" i="19"/>
  <c r="J37" i="19"/>
  <c r="L37" i="19" s="1"/>
  <c r="N65" i="17"/>
  <c r="N89" i="17" s="1"/>
  <c r="N68" i="17"/>
  <c r="N70" i="17"/>
  <c r="N73" i="17"/>
  <c r="N76" i="17"/>
  <c r="N79" i="17"/>
  <c r="N82" i="17"/>
  <c r="N86" i="17"/>
  <c r="N44" i="17"/>
  <c r="N27" i="17"/>
  <c r="N28" i="17" s="1"/>
  <c r="N38" i="17"/>
  <c r="N41" i="17" s="1"/>
  <c r="N45" i="17"/>
  <c r="N67" i="17"/>
  <c r="N69" i="17"/>
  <c r="N72" i="17"/>
  <c r="N75" i="17"/>
  <c r="N78" i="17"/>
  <c r="N81" i="17"/>
  <c r="N85" i="17"/>
  <c r="N88" i="17"/>
  <c r="N97" i="17"/>
  <c r="N100" i="17" s="1"/>
  <c r="N48" i="17" l="1"/>
  <c r="N60" i="17"/>
  <c r="L45" i="19"/>
  <c r="L48" i="19" s="1"/>
  <c r="L50" i="19" s="1"/>
  <c r="E9" i="21" s="1"/>
  <c r="E23" i="21" s="1"/>
  <c r="V34" i="22"/>
  <c r="E9" i="23" s="1"/>
  <c r="E23" i="23" s="1"/>
  <c r="E25" i="21" l="1"/>
  <c r="E24" i="21"/>
  <c r="L24" i="21" s="1"/>
  <c r="E25" i="23"/>
  <c r="E24" i="23"/>
  <c r="L23" i="21"/>
  <c r="L16" i="21"/>
  <c r="L25" i="21"/>
  <c r="L26" i="21"/>
  <c r="L18" i="21"/>
  <c r="L17" i="21"/>
  <c r="L15" i="21"/>
  <c r="L19" i="21" l="1"/>
  <c r="L26" i="23"/>
  <c r="L28" i="21"/>
  <c r="L30" i="21" l="1"/>
  <c r="L31" i="21" s="1"/>
  <c r="B53" i="16"/>
  <c r="B54" i="16" s="1"/>
  <c r="B55" i="16" s="1"/>
  <c r="B56" i="16" s="1"/>
  <c r="B36" i="16"/>
  <c r="L33" i="21" l="1"/>
  <c r="L37" i="21" s="1"/>
  <c r="K32" i="16"/>
  <c r="W25" i="16"/>
  <c r="G25" i="16" s="1"/>
  <c r="W26" i="16"/>
  <c r="G26" i="16" s="1"/>
  <c r="S27" i="16"/>
  <c r="S28" i="16" s="1"/>
  <c r="J26" i="16"/>
  <c r="J27" i="16"/>
  <c r="J28" i="16"/>
  <c r="J29" i="16"/>
  <c r="J25" i="16"/>
  <c r="G19" i="16"/>
  <c r="G20" i="16"/>
  <c r="G21" i="16"/>
  <c r="G22" i="16"/>
  <c r="G23" i="16"/>
  <c r="J19" i="16"/>
  <c r="J20" i="16"/>
  <c r="J21" i="16"/>
  <c r="J22" i="16"/>
  <c r="J23" i="16"/>
  <c r="I64" i="16"/>
  <c r="X64" i="16" s="1"/>
  <c r="I61" i="16"/>
  <c r="B59" i="16"/>
  <c r="B61" i="16" s="1"/>
  <c r="B62" i="16" s="1"/>
  <c r="B63" i="16" s="1"/>
  <c r="B64" i="16" s="1"/>
  <c r="K42" i="16"/>
  <c r="K40" i="16"/>
  <c r="W39" i="16"/>
  <c r="K39" i="16"/>
  <c r="W38" i="16"/>
  <c r="G38" i="16" s="1"/>
  <c r="X38" i="16" s="1"/>
  <c r="K38" i="16"/>
  <c r="W37" i="16"/>
  <c r="G37" i="16" s="1"/>
  <c r="X37" i="16" s="1"/>
  <c r="K37" i="16"/>
  <c r="W36" i="16"/>
  <c r="G36" i="16" s="1"/>
  <c r="X36" i="16" s="1"/>
  <c r="K36" i="16"/>
  <c r="B37" i="16"/>
  <c r="B38" i="16" s="1"/>
  <c r="B39" i="16" s="1"/>
  <c r="B40" i="16" s="1"/>
  <c r="B41" i="16" s="1"/>
  <c r="B42" i="16" s="1"/>
  <c r="W32" i="16"/>
  <c r="G32" i="16" s="1"/>
  <c r="W31" i="16"/>
  <c r="G31" i="16" s="1"/>
  <c r="K31" i="16"/>
  <c r="B31" i="16"/>
  <c r="B32" i="16" s="1"/>
  <c r="W29" i="16"/>
  <c r="G29" i="16" s="1"/>
  <c r="V27" i="16"/>
  <c r="V28" i="16" s="1"/>
  <c r="U27" i="16"/>
  <c r="U28" i="16" s="1"/>
  <c r="T27" i="16"/>
  <c r="T28" i="16" s="1"/>
  <c r="R27" i="16"/>
  <c r="R28" i="16" s="1"/>
  <c r="Q27" i="16"/>
  <c r="Q28" i="16" s="1"/>
  <c r="P27" i="16"/>
  <c r="P28" i="16" s="1"/>
  <c r="O27" i="16"/>
  <c r="O28" i="16" s="1"/>
  <c r="N27" i="16"/>
  <c r="N28" i="16" s="1"/>
  <c r="L27" i="16"/>
  <c r="L28" i="16" s="1"/>
  <c r="B25" i="16"/>
  <c r="G18" i="16"/>
  <c r="B18" i="16"/>
  <c r="B19" i="16" s="1"/>
  <c r="B20" i="16" s="1"/>
  <c r="B21" i="16" s="1"/>
  <c r="B22" i="16" s="1"/>
  <c r="B23" i="16" s="1"/>
  <c r="J10" i="16"/>
  <c r="B26" i="16" l="1"/>
  <c r="B27" i="16" s="1"/>
  <c r="B28" i="16" s="1"/>
  <c r="B29" i="16" s="1"/>
  <c r="K52" i="19"/>
  <c r="L52" i="19" s="1"/>
  <c r="X18" i="16"/>
  <c r="X19" i="16"/>
  <c r="X22" i="16"/>
  <c r="X21" i="16"/>
  <c r="X20" i="16"/>
  <c r="X23" i="16"/>
  <c r="W42" i="16"/>
  <c r="G42" i="16" s="1"/>
  <c r="X42" i="16" s="1"/>
  <c r="W27" i="16"/>
  <c r="G27" i="16" s="1"/>
  <c r="W28" i="16"/>
  <c r="G28" i="16" s="1"/>
  <c r="W40" i="16"/>
  <c r="G40" i="16" s="1"/>
  <c r="X40" i="16" s="1"/>
  <c r="X25" i="16"/>
  <c r="X32" i="16"/>
  <c r="X29" i="16"/>
  <c r="L54" i="19" l="1"/>
  <c r="X43" i="16"/>
  <c r="X31" i="16"/>
  <c r="X27" i="16"/>
  <c r="X28" i="16"/>
  <c r="X26" i="16"/>
  <c r="C20" i="2" l="1"/>
  <c r="L55" i="19"/>
  <c r="X33" i="16"/>
  <c r="X45" i="16" s="1"/>
  <c r="B20" i="2" l="1"/>
  <c r="K132" i="35"/>
  <c r="K55" i="19"/>
  <c r="G41" i="15"/>
  <c r="G42" i="15"/>
  <c r="G43" i="15"/>
  <c r="G44" i="15"/>
  <c r="G40" i="15"/>
  <c r="G37" i="15"/>
  <c r="G38" i="15"/>
  <c r="G36" i="15"/>
  <c r="G32" i="15"/>
  <c r="G33" i="15"/>
  <c r="G34" i="15"/>
  <c r="G31" i="15"/>
  <c r="G16" i="15"/>
  <c r="G17" i="15"/>
  <c r="G18" i="15"/>
  <c r="G19" i="15"/>
  <c r="G20" i="15"/>
  <c r="G23" i="15"/>
  <c r="G24" i="15"/>
  <c r="G25" i="15"/>
  <c r="G26" i="15"/>
  <c r="G27" i="15"/>
  <c r="G28" i="15"/>
  <c r="G29" i="15"/>
  <c r="G15" i="15"/>
  <c r="G8" i="15"/>
  <c r="G9" i="15"/>
  <c r="G10" i="15"/>
  <c r="G11" i="15"/>
  <c r="G12" i="15"/>
  <c r="G13" i="15"/>
  <c r="G7" i="15"/>
  <c r="E46" i="15"/>
  <c r="E44" i="15"/>
  <c r="E43" i="15"/>
  <c r="E42" i="15"/>
  <c r="E41" i="15"/>
  <c r="E40" i="15"/>
  <c r="E38" i="15"/>
  <c r="E37" i="15"/>
  <c r="E36" i="15"/>
  <c r="E34" i="15"/>
  <c r="E33" i="15"/>
  <c r="E32" i="15"/>
  <c r="E31" i="15"/>
  <c r="E29" i="15"/>
  <c r="E28" i="15"/>
  <c r="E27" i="15"/>
  <c r="E26" i="15"/>
  <c r="E25" i="15"/>
  <c r="E24" i="15"/>
  <c r="E23" i="15"/>
  <c r="G22" i="15"/>
  <c r="E22" i="15"/>
  <c r="G21" i="15"/>
  <c r="E21" i="15"/>
  <c r="E20" i="15"/>
  <c r="E19" i="15"/>
  <c r="E18" i="15"/>
  <c r="E17" i="15"/>
  <c r="E16" i="15"/>
  <c r="E15" i="15"/>
  <c r="B16" i="2" l="1"/>
  <c r="E10" i="23" l="1"/>
  <c r="N11" i="17"/>
  <c r="L14" i="17" l="1"/>
  <c r="O14" i="17" s="1"/>
  <c r="L20" i="17"/>
  <c r="O20" i="17" s="1"/>
  <c r="L16" i="17"/>
  <c r="O16" i="17" s="1"/>
  <c r="L15" i="17"/>
  <c r="O15" i="17" s="1"/>
  <c r="L18" i="17"/>
  <c r="O18" i="17" s="1"/>
  <c r="O21" i="17" l="1"/>
  <c r="N103" i="17" s="1"/>
  <c r="E9" i="20" s="1"/>
  <c r="E23" i="20" s="1"/>
  <c r="M55" i="19"/>
  <c r="E25" i="20" l="1"/>
  <c r="E24" i="20"/>
  <c r="L24" i="20" s="1"/>
  <c r="L15" i="20"/>
  <c r="L16" i="20"/>
  <c r="L25" i="20"/>
  <c r="L23" i="20"/>
  <c r="L18" i="20"/>
  <c r="L17" i="20"/>
  <c r="L19" i="20" l="1"/>
  <c r="L28" i="20"/>
  <c r="L30" i="20" l="1"/>
  <c r="L31" i="20" l="1"/>
  <c r="L33" i="20" l="1"/>
  <c r="L37" i="20" s="1"/>
  <c r="M104" i="17" s="1"/>
  <c r="N104" i="17" s="1"/>
  <c r="N105" i="17" s="1"/>
  <c r="C21" i="2" l="1"/>
  <c r="N106" i="17"/>
  <c r="B21" i="2" l="1"/>
  <c r="K131" i="35"/>
  <c r="X62" i="16"/>
  <c r="X61" i="16"/>
  <c r="X63" i="16"/>
  <c r="X66" i="16" l="1"/>
  <c r="L23" i="23" l="1"/>
  <c r="L17" i="23"/>
  <c r="L24" i="23"/>
  <c r="L16" i="23"/>
  <c r="L18" i="23"/>
  <c r="L25" i="23"/>
  <c r="L15" i="23"/>
  <c r="L19" i="23" l="1"/>
  <c r="L28" i="23"/>
  <c r="L30" i="23" l="1"/>
  <c r="L31" i="23" s="1"/>
  <c r="L33" i="23" s="1"/>
  <c r="L37" i="23" l="1"/>
  <c r="U35" i="22" s="1"/>
  <c r="V35" i="22" s="1"/>
  <c r="V36" i="22" s="1"/>
  <c r="U37" i="22" l="1"/>
  <c r="C19" i="2"/>
  <c r="K133" i="35" l="1"/>
  <c r="D51" i="16"/>
  <c r="X56" i="16" s="1"/>
  <c r="X46" i="16"/>
  <c r="X53" i="16" l="1"/>
  <c r="X54" i="16"/>
  <c r="X55" i="16"/>
  <c r="X57" i="16" l="1"/>
  <c r="X68" i="16" s="1"/>
  <c r="X69" i="16" s="1"/>
  <c r="X71" i="16" s="1"/>
  <c r="K143" i="35" l="1"/>
  <c r="K146" i="35" s="1"/>
  <c r="X75" i="16"/>
  <c r="B18" i="2" s="1"/>
  <c r="J12" i="35" l="1"/>
  <c r="C18" i="2"/>
  <c r="C26" i="2" s="1"/>
  <c r="K125" i="35" l="1"/>
  <c r="K127" i="35" s="1"/>
  <c r="K139" i="35"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728490-E0B2-43DB-A4D9-D43D2C464127}" keepAlive="1" name="Consulta - APU_IDU" description="Conexión a la consulta 'APU_IDU' en el libro." type="5" refreshedVersion="0" background="1">
    <dbPr connection="Provider=Microsoft.Mashup.OleDb.1;Data Source=$Workbook$;Location=APU_IDU;Extended Properties=&quot;&quot;" command="SELECT * FROM [APU_IDU]"/>
  </connection>
  <connection id="2" xr16:uid="{AD48B722-DF41-468A-A1D4-2768965B5FBE}" name="Consulta - DB_CONSULTORIA" description="Conexión a la consulta 'DB_CONSULTORIA' en el libro." type="100" refreshedVersion="7" minRefreshableVersion="5">
    <extLst>
      <ext xmlns:x15="http://schemas.microsoft.com/office/spreadsheetml/2010/11/main" uri="{DE250136-89BD-433C-8126-D09CA5730AF9}">
        <x15:connection id="0ed28bcd-7bb8-48c4-a90e-e80d5df041b3">
          <x15:oledbPr connection="Provider=Microsoft.Mashup.OleDb.1;Data Source=$Workbook$;Location=DB_CONSULTORIA;Extended Properties=&quot;&quot;">
            <x15:dbTables>
              <x15:dbTable name="DB_CONSULTORIA"/>
            </x15:dbTables>
          </x15:oledbPr>
        </x15:connection>
      </ext>
    </extLst>
  </connection>
  <connection id="3" xr16:uid="{B9EDC9A6-DC98-4534-B0F7-251758FA3E93}" name="Consulta - DB_CONSULTORIA (2)" description="Conexión a la consulta 'DB_CONSULTORIA (2)' en el libro." type="100" refreshedVersion="7" minRefreshableVersion="5">
    <extLst>
      <ext xmlns:x15="http://schemas.microsoft.com/office/spreadsheetml/2010/11/main" uri="{DE250136-89BD-433C-8126-D09CA5730AF9}">
        <x15:connection id="8048f451-dd66-456d-84a6-44e7b5d5ed2c">
          <x15:oledbPr connection="Provider=Microsoft.Mashup.OleDb.1;Data Source=$Workbook$;Location=&quot;DB_CONSULTORIA (2)&quot;;Extended Properties=&quot;&quot;">
            <x15:dbTables>
              <x15:dbTable name="DB_CONSULTORIA (2)"/>
            </x15:dbTables>
          </x15:oledbPr>
        </x15:connection>
      </ext>
    </extLst>
  </connection>
  <connection id="4" xr16:uid="{A904312B-3125-4EF0-9FA1-6E0A6A128E4B}" keepAlive="1" name="Consulta - DB_ID_CON_IDU" description="Conexión a la consulta 'DB_ID_CON_IDU' en el libro." type="5" refreshedVersion="0" background="1">
    <dbPr connection="Provider=Microsoft.Mashup.OleDb.1;Data Source=$Workbook$;Location=DB_ID_CON_IDU;Extended Properties=&quot;&quot;" command="SELECT * FROM [DB_ID_CON_IDU]"/>
  </connection>
  <connection id="5" xr16:uid="{DD860D9B-5EDB-4F08-8372-A28997D31FA4}" keepAlive="1" name="Consulta - G1" description="Conexión a la consulta 'G1' en el libro." type="5" refreshedVersion="0" background="1">
    <dbPr connection="Provider=Microsoft.Mashup.OleDb.1;Data Source=$Workbook$;Location=G1;Extended Properties=&quot;&quot;" command="SELECT * FROM [G1]"/>
  </connection>
  <connection id="6" xr16:uid="{8972A4DF-975E-4682-8CD3-4380188016BC}" keepAlive="1" name="Consulta - G1 (2)" description="Conexión a la consulta 'G1 (2)' en el libro." type="5" refreshedVersion="0" background="1">
    <dbPr connection="Provider=Microsoft.Mashup.OleDb.1;Data Source=$Workbook$;Location=&quot;G1 (2)&quot;;Extended Properties=&quot;&quot;" command="SELECT * FROM [G1 (2)]"/>
  </connection>
  <connection id="7" xr16:uid="{1D1871F1-D2E5-410D-9E34-7A18E52DE0E6}" keepAlive="1" name="Consulta - G1 (3)" description="Conexión a la consulta 'G1 (3)' en el libro." type="5" refreshedVersion="0" background="1">
    <dbPr connection="Provider=Microsoft.Mashup.OleDb.1;Data Source=$Workbook$;Location=&quot;G1 (3)&quot;;Extended Properties=&quot;&quot;" command="SELECT * FROM [G1 (3)]"/>
  </connection>
  <connection id="8" xr16:uid="{F212BEA1-D6D6-42E0-9136-E55FA500A79C}" keepAlive="1" name="Consulta - G3" description="Conexión a la consulta 'G3' en el libro." type="5" refreshedVersion="0" background="1">
    <dbPr connection="Provider=Microsoft.Mashup.OleDb.1;Data Source=$Workbook$;Location=G3;Extended Properties=&quot;&quot;" command="SELECT * FROM [G3]"/>
  </connection>
  <connection id="9" xr16:uid="{B40404E1-638E-49B2-8F3B-FF58A5978A17}" keepAlive="1" name="Consulta - G3 (2)" description="Conexión a la consulta 'G3 (2)' en el libro." type="5" refreshedVersion="0" background="1">
    <dbPr connection="Provider=Microsoft.Mashup.OleDb.1;Data Source=$Workbook$;Location=&quot;G3 (2)&quot;;Extended Properties=&quot;&quot;" command="SELECT * FROM [G3 (2)]"/>
  </connection>
  <connection id="10" xr16:uid="{8CEBC539-A861-4856-8C9F-E57652D6EBB8}" keepAlive="1" name="Consulta - G3 (3)" description="Conexión a la consulta 'G3 (3)' en el libro." type="5" refreshedVersion="0" background="1">
    <dbPr connection="Provider=Microsoft.Mashup.OleDb.1;Data Source=$Workbook$;Location=&quot;G3 (3)&quot;;Extended Properties=&quot;&quot;" command="SELECT * FROM [G3 (3)]"/>
  </connection>
  <connection id="11" xr16:uid="{FEF25FBF-8A76-4821-A6A1-EA3323095E65}" keepAlive="1" name="Consulta - G4" description="Conexión a la consulta 'G4' en el libro." type="5" refreshedVersion="0" background="1">
    <dbPr connection="Provider=Microsoft.Mashup.OleDb.1;Data Source=$Workbook$;Location=G4;Extended Properties=&quot;&quot;" command="SELECT * FROM [G4]"/>
  </connection>
  <connection id="12" xr16:uid="{A8F11080-412A-4949-A891-F0155BFC7367}" keepAlive="1" name="Consulta - G4 (2)" description="Conexión a la consulta 'G4 (2)' en el libro." type="5" refreshedVersion="0" background="1">
    <dbPr connection="Provider=Microsoft.Mashup.OleDb.1;Data Source=$Workbook$;Location=&quot;G4 (2)&quot;;Extended Properties=&quot;&quot;" command="SELECT * FROM [G4 (2)]"/>
  </connection>
  <connection id="13" xr16:uid="{1185FA8E-A543-469F-8C3C-E9134C237B33}" keepAlive="1" name="Consulta - G4 (3)" description="Conexión a la consulta 'G4 (3)' en el libro." type="5" refreshedVersion="0" background="1">
    <dbPr connection="Provider=Microsoft.Mashup.OleDb.1;Data Source=$Workbook$;Location=&quot;G4 (3)&quot;;Extended Properties=&quot;&quot;" command="SELECT * FROM [G4 (3)]"/>
  </connection>
  <connection id="14" xr16:uid="{E95F8781-7113-48A0-BBD5-764DC36F0F32}" keepAlive="1" name="Consulta - G5" description="Conexión a la consulta 'G5' en el libro." type="5" refreshedVersion="0" background="1">
    <dbPr connection="Provider=Microsoft.Mashup.OleDb.1;Data Source=$Workbook$;Location=G5;Extended Properties=&quot;&quot;" command="SELECT * FROM [G5]"/>
  </connection>
  <connection id="15" xr16:uid="{8E0E03C5-6B19-421A-9EAC-4F8C3201B822}" keepAlive="1" name="Consulta - G5 (2)" description="Conexión a la consulta 'G5 (2)' en el libro." type="5" refreshedVersion="0" background="1">
    <dbPr connection="Provider=Microsoft.Mashup.OleDb.1;Data Source=$Workbook$;Location=&quot;G5 (2)&quot;;Extended Properties=&quot;&quot;" command="SELECT * FROM [G5 (2)]"/>
  </connection>
  <connection id="16" xr16:uid="{988F6088-363E-45B5-927B-B38D6A84765F}" keepAlive="1" name="Consulta - G5 (3)" description="Conexión a la consulta 'G5 (3)' en el libro." type="5" refreshedVersion="0" background="1">
    <dbPr connection="Provider=Microsoft.Mashup.OleDb.1;Data Source=$Workbook$;Location=&quot;G5 (3)&quot;;Extended Properties=&quot;&quot;" command="SELECT * FROM [G5 (3)]"/>
  </connection>
  <connection id="17" xr16:uid="{2ED242AF-804B-4C26-9D0B-D79829DE0523}" keepAlive="1" name="Consulta - G6" description="Conexión a la consulta 'G6' en el libro." type="5" refreshedVersion="0" background="1">
    <dbPr connection="Provider=Microsoft.Mashup.OleDb.1;Data Source=$Workbook$;Location=G6;Extended Properties=&quot;&quot;" command="SELECT * FROM [G6]"/>
  </connection>
  <connection id="18" xr16:uid="{82D59F3A-1241-4B72-BF27-C2235A48905B}" keepAlive="1" name="Consulta - G6 (2)" description="Conexión a la consulta 'G6 (2)' en el libro." type="5" refreshedVersion="0" background="1">
    <dbPr connection="Provider=Microsoft.Mashup.OleDb.1;Data Source=$Workbook$;Location=&quot;G6 (2)&quot;;Extended Properties=&quot;&quot;" command="SELECT * FROM [G6 (2)]"/>
  </connection>
  <connection id="19" xr16:uid="{62B20D67-5293-47F7-9943-C8A61C3735D9}" keepAlive="1" name="Consulta - G6 (3)" description="Conexión a la consulta 'G6 (3)' en el libro." type="5" refreshedVersion="0" background="1">
    <dbPr connection="Provider=Microsoft.Mashup.OleDb.1;Data Source=$Workbook$;Location=&quot;G6 (3)&quot;;Extended Properties=&quot;&quot;" command="SELECT * FROM [G6 (3)]"/>
  </connection>
  <connection id="20" xr16:uid="{FABF10DE-7D05-4AD7-AF68-BACF8F386CAA}" keepAlive="1" name="Consulta - G7" description="Conexión a la consulta 'G7' en el libro." type="5" refreshedVersion="0" background="1">
    <dbPr connection="Provider=Microsoft.Mashup.OleDb.1;Data Source=$Workbook$;Location=G7;Extended Properties=&quot;&quot;" command="SELECT * FROM [G7]"/>
  </connection>
  <connection id="21" xr16:uid="{5AC99B47-7B74-4EBA-8C34-8DDEBE229114}" keepAlive="1" name="Consulta - G7 (2)" description="Conexión a la consulta 'G7 (2)' en el libro." type="5" refreshedVersion="0" background="1">
    <dbPr connection="Provider=Microsoft.Mashup.OleDb.1;Data Source=$Workbook$;Location=&quot;G7 (2)&quot;;Extended Properties=&quot;&quot;" command="SELECT * FROM [G7 (2)]"/>
  </connection>
  <connection id="22" xr16:uid="{CA29F9E2-D90A-46A0-A654-18424D007D23}" keepAlive="1" name="Consulta - G7 (3)" description="Conexión a la consulta 'G7 (3)' en el libro." type="5" refreshedVersion="0" background="1">
    <dbPr connection="Provider=Microsoft.Mashup.OleDb.1;Data Source=$Workbook$;Location=&quot;G7 (3)&quot;;Extended Properties=&quot;&quot;" command="SELECT * FROM [G7 (3)]"/>
  </connection>
  <connection id="23" xr16:uid="{C5A397CA-4A3C-4493-B318-889344C9927C}" keepAlive="1" name="Consulta - G8" description="Conexión a la consulta 'G8' en el libro." type="5" refreshedVersion="0" background="1">
    <dbPr connection="Provider=Microsoft.Mashup.OleDb.1;Data Source=$Workbook$;Location=G8;Extended Properties=&quot;&quot;" command="SELECT * FROM [G8]"/>
  </connection>
  <connection id="24" xr16:uid="{121BA4D1-6B64-4990-83D4-75B71DA9BB00}" keepAlive="1" name="Consulta - G8 (2)" description="Conexión a la consulta 'G8 (2)' en el libro." type="5" refreshedVersion="0" background="1">
    <dbPr connection="Provider=Microsoft.Mashup.OleDb.1;Data Source=$Workbook$;Location=&quot;G8 (2)&quot;;Extended Properties=&quot;&quot;" command="SELECT * FROM [G8 (2)]"/>
  </connection>
  <connection id="25" xr16:uid="{63FE0CBD-5EAE-41B2-ABC6-42EA55A2991D}" keepAlive="1" name="Consulta - G8 (3)" description="Conexión a la consulta 'G8 (3)' en el libro." type="5" refreshedVersion="0" background="1">
    <dbPr connection="Provider=Microsoft.Mashup.OleDb.1;Data Source=$Workbook$;Location=&quot;G8 (3)&quot;;Extended Properties=&quot;&quot;" command="SELECT * FROM [G8 (3)]"/>
  </connection>
  <connection id="26" xr16:uid="{A6727C97-5EE5-4B99-AAF3-F4BEE6671E55}" keepAlive="1" name="Consulta - NP_conID_IDU" description="Conexión a la consulta 'NP_conID_IDU' en el libro." type="5" refreshedVersion="0" background="1">
    <dbPr connection="Provider=Microsoft.Mashup.OleDb.1;Data Source=$Workbook$;Location=NP_conID_IDU;Extended Properties=&quot;&quot;" command="SELECT * FROM [NP_conID_IDU]"/>
  </connection>
  <connection id="27" xr16:uid="{4FC777F6-1561-48C9-8F21-0D8A2C58165C}" keepAlive="1" name="Consulta - NP_CONSULTORIA" description="Conexión a la consulta 'NP_CONSULTORIA' en el libro." type="5" refreshedVersion="0" background="1">
    <dbPr connection="Provider=Microsoft.Mashup.OleDb.1;Data Source=$Workbook$;Location=NP_CONSULTORIA;Extended Properties=&quot;&quot;" command="SELECT * FROM [NP_CONSULTORIA]"/>
  </connection>
  <connection id="28" xr16:uid="{85E254EF-8546-4ECA-B1A3-41296E360E87}" keepAlive="1" name="ThisWorkbookDataModel" description="Modelo de datos" type="5" refreshedVersion="7"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<sst xmlns="http://schemas.openxmlformats.org/spreadsheetml/2006/main" count="35319" uniqueCount="6963">
  <si>
    <t>OBJETO DE LA LICITACIÓN:</t>
  </si>
  <si>
    <t>-</t>
  </si>
  <si>
    <t>MODALIDAD DE PROYECTO</t>
  </si>
  <si>
    <t>CONTRATO DE OBRA PÚBLICA</t>
  </si>
  <si>
    <t>ACTIVIDADES</t>
  </si>
  <si>
    <t>MESES</t>
  </si>
  <si>
    <t>MONTOS</t>
  </si>
  <si>
    <t>AIU OBRA</t>
  </si>
  <si>
    <t>PMT (Incl. AIU)</t>
  </si>
  <si>
    <t>PGS (Incl. AIU)</t>
  </si>
  <si>
    <t>PGA Y SST (Incl. AIU)</t>
  </si>
  <si>
    <t>COSTO TOTAL DEL PROYECTO</t>
  </si>
  <si>
    <t>ALCALDÍA LOCAL DE SUBA</t>
  </si>
  <si>
    <t>OFICINA DE INFRAESTRUCTURA DEL FDLSUBA</t>
  </si>
  <si>
    <t xml:space="preserve">No. De proceso de contratacion </t>
  </si>
  <si>
    <t>Código</t>
  </si>
  <si>
    <t>Nombre</t>
  </si>
  <si>
    <t>UM</t>
  </si>
  <si>
    <t>Valor</t>
  </si>
  <si>
    <t>Fecha de actualización</t>
  </si>
  <si>
    <t>REPLANTEO GENERAL</t>
  </si>
  <si>
    <t>M2</t>
  </si>
  <si>
    <t>EXCAVACION MANUAL PARA REDES PROFUNDIDAD 0M - 2M (INCLUYE CARGUE)</t>
  </si>
  <si>
    <t>M3</t>
  </si>
  <si>
    <t>DEMOLICION PAVIMENTO ASFALTICO (INCLUYE CARGUE). NO INCLUYE TRANSPORTE Y DISPOSICIÓN FINAL DE SOBRANTES.</t>
  </si>
  <si>
    <t>DEMOLICION MANUAL SARDINEL EXISTENTE (INCLUYE CARGUE). NO INCLUYE TRANSPORTE Y DISPOSICIÓN FINAL DE SOBRANTES.</t>
  </si>
  <si>
    <t>ML</t>
  </si>
  <si>
    <t>DEMOLICIÓN PISOS DE CONCRETO (ESPESOR VARIABLE HASTA 0.10 M. INCLUYE CARGUE). NO INCLUYE TRANSPORTE Y DISPOSICIÓN FINAL DE SOBRANTES.</t>
  </si>
  <si>
    <t>RETIRO DE POSTES DE AP/LA (INCLUYE TRASLADO A SITIO DE ACOPIO)</t>
  </si>
  <si>
    <t>UN</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</si>
  <si>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</si>
  <si>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</si>
  <si>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</si>
  <si>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</si>
  <si>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</si>
  <si>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</si>
  <si>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</si>
  <si>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</si>
  <si>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</si>
  <si>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</si>
  <si>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</si>
  <si>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</si>
  <si>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</si>
  <si>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</si>
  <si>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</si>
  <si>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</si>
  <si>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</si>
  <si>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</si>
  <si>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</si>
  <si>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</si>
  <si>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</si>
  <si>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</si>
  <si>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</si>
  <si>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</si>
  <si>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</si>
  <si>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</si>
  <si>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</si>
  <si>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</si>
  <si>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</si>
  <si>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</si>
  <si>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</si>
  <si>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</si>
  <si>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</si>
  <si>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</si>
  <si>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</si>
  <si>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</si>
  <si>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</si>
  <si>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</si>
  <si>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</si>
  <si>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</si>
  <si>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</si>
  <si>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</si>
  <si>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</si>
  <si>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</si>
  <si>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</si>
  <si>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</si>
  <si>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</si>
  <si>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</si>
  <si>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</si>
  <si>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</si>
  <si>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</si>
  <si>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</si>
  <si>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</si>
  <si>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</si>
  <si>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</si>
  <si>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</si>
  <si>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</si>
  <si>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</si>
  <si>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</si>
  <si>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</si>
  <si>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</si>
  <si>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</si>
  <si>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</si>
  <si>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</si>
  <si>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</si>
  <si>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</si>
  <si>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</si>
  <si>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</si>
  <si>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</si>
  <si>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</si>
  <si>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</si>
  <si>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</si>
  <si>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</si>
  <si>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</si>
  <si>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</si>
  <si>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</si>
  <si>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</si>
  <si>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</si>
  <si>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</si>
  <si>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</si>
  <si>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</si>
  <si>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</si>
  <si>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</si>
  <si>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</si>
  <si>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</si>
  <si>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</si>
  <si>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</si>
  <si>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</si>
  <si>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</si>
  <si>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</si>
  <si>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</si>
  <si>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</si>
  <si>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</si>
  <si>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</si>
  <si>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</si>
  <si>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</si>
  <si>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</si>
  <si>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</si>
  <si>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</si>
  <si>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</si>
  <si>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</si>
  <si>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</si>
  <si>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</si>
  <si>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</si>
  <si>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</si>
  <si>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</si>
  <si>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</si>
  <si>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</si>
  <si>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</si>
  <si>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</si>
  <si>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</si>
  <si>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</si>
  <si>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</si>
  <si>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</si>
  <si>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</si>
  <si>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</si>
  <si>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</si>
  <si>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</si>
  <si>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</si>
  <si>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</si>
  <si>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</si>
  <si>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</si>
  <si>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</si>
  <si>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</si>
  <si>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</si>
  <si>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</si>
  <si>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</si>
  <si>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</si>
  <si>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</si>
  <si>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</si>
  <si>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</si>
  <si>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</si>
  <si>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</si>
  <si>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</si>
  <si>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</si>
  <si>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</si>
  <si>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</si>
  <si>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</si>
  <si>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</si>
  <si>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</si>
  <si>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</si>
  <si>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</si>
  <si>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</si>
  <si>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</si>
  <si>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</si>
  <si>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</si>
  <si>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</si>
  <si>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</si>
  <si>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</si>
  <si>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</si>
  <si>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</si>
  <si>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</si>
  <si>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</si>
  <si>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</si>
  <si>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</si>
  <si>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</si>
  <si>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</si>
  <si>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</si>
  <si>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</si>
  <si>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</si>
  <si>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</si>
  <si>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</si>
  <si>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</si>
  <si>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</si>
  <si>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</si>
  <si>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</si>
  <si>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</si>
  <si>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</si>
  <si>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</si>
  <si>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</si>
  <si>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</si>
  <si>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</si>
  <si>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</si>
  <si>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</si>
  <si>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</si>
  <si>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</si>
  <si>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</si>
  <si>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</si>
  <si>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</si>
  <si>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</si>
  <si>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</si>
  <si>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</si>
  <si>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</si>
  <si>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</si>
  <si>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</si>
  <si>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</si>
  <si>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</si>
  <si>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</si>
  <si>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</si>
  <si>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</si>
  <si>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</si>
  <si>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</si>
  <si>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</si>
  <si>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</si>
  <si>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</si>
  <si>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</si>
  <si>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</si>
  <si>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</si>
  <si>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</si>
  <si>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</si>
  <si>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</si>
  <si>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</si>
  <si>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</si>
  <si>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</si>
  <si>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</si>
  <si>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</si>
  <si>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</si>
  <si>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</si>
  <si>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</si>
  <si>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</si>
  <si>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</si>
  <si>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</si>
  <si>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</si>
  <si>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</si>
  <si>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</si>
  <si>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</si>
  <si>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</si>
  <si>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</si>
  <si>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</si>
  <si>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</si>
  <si>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</si>
  <si>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</si>
  <si>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</si>
  <si>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</si>
  <si>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</si>
  <si>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</si>
  <si>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</si>
  <si>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</si>
  <si>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</si>
  <si>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</si>
  <si>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</si>
  <si>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</si>
  <si>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</si>
  <si>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</si>
  <si>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</si>
  <si>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</si>
  <si>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</si>
  <si>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</si>
  <si>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</si>
  <si>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</si>
  <si>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</si>
  <si>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</si>
  <si>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</si>
  <si>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</si>
  <si>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</si>
  <si>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</si>
  <si>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</si>
  <si>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</si>
  <si>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</si>
  <si>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</si>
  <si>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</si>
  <si>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</si>
  <si>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</si>
  <si>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</si>
  <si>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</si>
  <si>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</si>
  <si>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</si>
  <si>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</si>
  <si>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</si>
  <si>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</si>
  <si>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</si>
  <si>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</si>
  <si>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</si>
  <si>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</si>
  <si>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</si>
  <si>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</si>
  <si>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</si>
  <si>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</si>
  <si>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</si>
  <si>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</si>
  <si>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</si>
  <si>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</si>
  <si>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</si>
  <si>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</si>
  <si>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</si>
  <si>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</si>
  <si>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</si>
  <si>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</si>
  <si>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</si>
  <si>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</si>
  <si>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</si>
  <si>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</si>
  <si>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</si>
  <si>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</si>
  <si>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</si>
  <si>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</si>
  <si>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</si>
  <si>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</si>
  <si>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</si>
  <si>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</si>
  <si>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</si>
  <si>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</si>
  <si>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</si>
  <si>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</si>
  <si>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</si>
  <si>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</si>
  <si>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</si>
  <si>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</si>
  <si>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</si>
  <si>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</si>
  <si>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</si>
  <si>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</si>
  <si>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</si>
  <si>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</si>
  <si>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</si>
  <si>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</si>
  <si>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</si>
  <si>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</si>
  <si>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</si>
  <si>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</si>
  <si>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</si>
  <si>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</si>
  <si>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</si>
  <si>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</si>
  <si>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</si>
  <si>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</si>
  <si>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</si>
  <si>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</si>
  <si>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</si>
  <si>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</si>
  <si>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</si>
  <si>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</si>
  <si>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</si>
  <si>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</si>
  <si>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</si>
  <si>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</si>
  <si>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</si>
  <si>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</si>
  <si>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</si>
  <si>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</si>
  <si>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</si>
  <si>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</si>
  <si>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</si>
  <si>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</si>
  <si>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</si>
  <si>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</si>
  <si>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</si>
  <si>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</si>
  <si>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</si>
  <si>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</si>
  <si>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</si>
  <si>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</si>
  <si>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</si>
  <si>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</si>
  <si>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</si>
  <si>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</si>
  <si>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</si>
  <si>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</si>
  <si>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</si>
  <si>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</si>
  <si>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</si>
  <si>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</si>
  <si>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</si>
  <si>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</si>
  <si>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</si>
  <si>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</si>
  <si>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</si>
  <si>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</si>
  <si>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</si>
  <si>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JR</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</si>
  <si>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</si>
  <si>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</si>
  <si>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</si>
  <si>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</si>
  <si>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</si>
  <si>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</si>
  <si>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</si>
  <si>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</si>
  <si>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</si>
  <si>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</si>
  <si>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</si>
  <si>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</si>
  <si>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</si>
  <si>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</si>
  <si>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</si>
  <si>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</si>
  <si>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</si>
  <si>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</si>
  <si>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</si>
  <si>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</si>
  <si>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</si>
  <si>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</si>
  <si>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</si>
  <si>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</si>
  <si>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</si>
  <si>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</si>
  <si>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</si>
  <si>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</si>
  <si>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</si>
  <si>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</si>
  <si>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</si>
  <si>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</si>
  <si>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</si>
  <si>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</si>
  <si>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</si>
  <si>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</si>
  <si>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</si>
  <si>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</si>
  <si>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</si>
  <si>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</si>
  <si>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</si>
  <si>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</si>
  <si>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</si>
  <si>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</si>
  <si>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</si>
  <si>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</si>
  <si>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</si>
  <si>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</si>
  <si>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</si>
  <si>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</si>
  <si>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</si>
  <si>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</si>
  <si>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</si>
  <si>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</si>
  <si>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</si>
  <si>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</si>
  <si>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</si>
  <si>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</si>
  <si>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</si>
  <si>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</si>
  <si>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</si>
  <si>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</si>
  <si>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</si>
  <si>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</si>
  <si>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</si>
  <si>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</si>
  <si>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</si>
  <si>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</si>
  <si>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</si>
  <si>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</si>
  <si>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</si>
  <si>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</si>
  <si>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</si>
  <si>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</si>
  <si>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</si>
  <si>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</si>
  <si>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</si>
  <si>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</si>
  <si>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</si>
  <si>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</si>
  <si>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</si>
  <si>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</si>
  <si>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</si>
  <si>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</si>
  <si>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</si>
  <si>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</si>
  <si>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</si>
  <si>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</si>
  <si>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</si>
  <si>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</si>
  <si>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</si>
  <si>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</si>
  <si>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</si>
  <si>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</si>
  <si>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</si>
  <si>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</si>
  <si>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</si>
  <si>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</si>
  <si>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</si>
  <si>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</si>
  <si>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</si>
  <si>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</si>
  <si>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</si>
  <si>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</si>
  <si>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</si>
  <si>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</si>
  <si>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</si>
  <si>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</si>
  <si>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</si>
  <si>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</si>
  <si>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</si>
  <si>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</si>
  <si>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</si>
  <si>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</si>
  <si>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</si>
  <si>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</si>
  <si>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</si>
  <si>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</si>
  <si>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</si>
  <si>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</si>
  <si>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</si>
  <si>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</si>
  <si>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</si>
  <si>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</si>
  <si>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</si>
  <si>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</si>
  <si>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</si>
  <si>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</si>
  <si>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</si>
  <si>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</si>
  <si>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</si>
  <si>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</si>
  <si>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</si>
  <si>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</si>
  <si>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</si>
  <si>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</si>
  <si>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</si>
  <si>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</si>
  <si>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</si>
  <si>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</si>
  <si>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</si>
  <si>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</si>
  <si>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</si>
  <si>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</si>
  <si>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</si>
  <si>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</si>
  <si>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</si>
  <si>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</si>
  <si>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</si>
  <si>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</si>
  <si>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</si>
  <si>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</si>
  <si>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</si>
  <si>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</si>
  <si>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</si>
  <si>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</si>
  <si>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</si>
  <si>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</si>
  <si>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</si>
  <si>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</si>
  <si>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</si>
  <si>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</si>
  <si>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</si>
  <si>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</si>
  <si>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</si>
  <si>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</si>
  <si>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</si>
  <si>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</si>
  <si>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</si>
  <si>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</si>
  <si>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</si>
  <si>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</si>
  <si>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</si>
  <si>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</si>
  <si>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</si>
  <si>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</si>
  <si>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</si>
  <si>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</si>
  <si>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</si>
  <si>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</si>
  <si>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</si>
  <si>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</si>
  <si>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</si>
  <si>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</si>
  <si>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</si>
  <si>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</si>
  <si>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</si>
  <si>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</si>
  <si>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</si>
  <si>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</si>
  <si>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</si>
  <si>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</si>
  <si>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</si>
  <si>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</si>
  <si>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</si>
  <si>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</si>
  <si>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</si>
  <si>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</si>
  <si>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</si>
  <si>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</si>
  <si>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</si>
  <si>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</si>
  <si>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</si>
  <si>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</si>
  <si>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</si>
  <si>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</si>
  <si>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</si>
  <si>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</si>
  <si>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</si>
  <si>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</si>
  <si>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</si>
  <si>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</si>
  <si>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</si>
  <si>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</si>
  <si>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</si>
  <si>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</si>
  <si>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</si>
  <si>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</si>
  <si>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</si>
  <si>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</si>
  <si>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</si>
  <si>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</si>
  <si>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</si>
  <si>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</si>
  <si>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</si>
  <si>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</si>
  <si>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</si>
  <si>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</si>
  <si>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</si>
  <si>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</si>
  <si>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</si>
  <si>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</si>
  <si>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</si>
  <si>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</si>
  <si>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</si>
  <si>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</si>
  <si>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</si>
  <si>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</si>
  <si>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</si>
  <si>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</si>
  <si>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</si>
  <si>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</si>
  <si>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</si>
  <si>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</si>
  <si>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</si>
  <si>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</si>
  <si>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</si>
  <si>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</si>
  <si>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</si>
  <si>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</si>
  <si>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</si>
  <si>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</si>
  <si>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</si>
  <si>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</si>
  <si>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</si>
  <si>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</si>
  <si>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</si>
  <si>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</si>
  <si>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</si>
  <si>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</si>
  <si>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</si>
  <si>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</si>
  <si>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</si>
  <si>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</si>
  <si>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</si>
  <si>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</si>
  <si>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</si>
  <si>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</si>
  <si>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</si>
  <si>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</si>
  <si>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</si>
  <si>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</si>
  <si>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</si>
  <si>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</si>
  <si>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</si>
  <si>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</si>
  <si>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</si>
  <si>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</si>
  <si>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</si>
  <si>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</si>
  <si>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</si>
  <si>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</si>
  <si>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</si>
  <si>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</si>
  <si>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</si>
  <si>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</si>
  <si>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</si>
  <si>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</si>
  <si>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</si>
  <si>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</si>
  <si>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</si>
  <si>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</si>
  <si>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</si>
  <si>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</si>
  <si>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</si>
  <si>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</si>
  <si>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</si>
  <si>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</si>
  <si>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</si>
  <si>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</si>
  <si>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</si>
  <si>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</si>
  <si>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</si>
  <si>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</si>
  <si>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</si>
  <si>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</si>
  <si>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</si>
  <si>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</si>
  <si>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</si>
  <si>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</si>
  <si>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</si>
  <si>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</si>
  <si>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</si>
  <si>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</si>
  <si>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</si>
  <si>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</si>
  <si>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</si>
  <si>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</si>
  <si>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</si>
  <si>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</si>
  <si>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</si>
  <si>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</si>
  <si>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</si>
  <si>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</si>
  <si>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</si>
  <si>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</si>
  <si>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</si>
  <si>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</si>
  <si>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</si>
  <si>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</si>
  <si>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</si>
  <si>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</si>
  <si>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</si>
  <si>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</si>
  <si>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</si>
  <si>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</si>
  <si>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</si>
  <si>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</si>
  <si>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</si>
  <si>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</si>
  <si>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</si>
  <si>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</si>
  <si>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</si>
  <si>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</si>
  <si>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</si>
  <si>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</si>
  <si>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</si>
  <si>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</si>
  <si>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</si>
  <si>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</si>
  <si>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</si>
  <si>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</si>
  <si>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</si>
  <si>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</si>
  <si>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</si>
  <si>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</si>
  <si>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</si>
  <si>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</si>
  <si>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</si>
  <si>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</si>
  <si>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</si>
  <si>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</si>
  <si>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</si>
  <si>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</si>
  <si>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</si>
  <si>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</si>
  <si>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</si>
  <si>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</si>
  <si>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</si>
  <si>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</si>
  <si>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</si>
  <si>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</si>
  <si>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</si>
  <si>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</si>
  <si>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</si>
  <si>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</si>
  <si>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</si>
  <si>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</si>
  <si>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</si>
  <si>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</si>
  <si>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</si>
  <si>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</si>
  <si>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</si>
  <si>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</si>
  <si>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</si>
  <si>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</si>
  <si>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</si>
  <si>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</si>
  <si>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</si>
  <si>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</si>
  <si>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</si>
  <si>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</si>
  <si>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</si>
  <si>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</si>
  <si>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</si>
  <si>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</si>
  <si>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</si>
  <si>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</si>
  <si>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</si>
  <si>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</si>
  <si>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</si>
  <si>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</si>
  <si>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</si>
  <si>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</si>
  <si>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</si>
  <si>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</si>
  <si>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</si>
  <si>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</si>
  <si>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</si>
  <si>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</si>
  <si>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</si>
  <si>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</si>
  <si>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</si>
  <si>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</si>
  <si>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</si>
  <si>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</si>
  <si>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</si>
  <si>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</si>
  <si>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</si>
  <si>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</si>
  <si>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</si>
  <si>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</si>
  <si>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</si>
  <si>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</si>
  <si>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</si>
  <si>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</si>
  <si>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</si>
  <si>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</si>
  <si>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</si>
  <si>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</si>
  <si>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</si>
  <si>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</si>
  <si>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</si>
  <si>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</si>
  <si>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</si>
  <si>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</si>
  <si>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</si>
  <si>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</si>
  <si>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</si>
  <si>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</si>
  <si>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</si>
  <si>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</si>
  <si>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</si>
  <si>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</si>
  <si>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</si>
  <si>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</si>
  <si>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</si>
  <si>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</si>
  <si>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</si>
  <si>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</si>
  <si>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</si>
  <si>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</si>
  <si>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</si>
  <si>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</si>
  <si>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</si>
  <si>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</si>
  <si>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</si>
  <si>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</si>
  <si>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</si>
  <si>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</si>
  <si>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</si>
  <si>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</si>
  <si>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</si>
  <si>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</si>
  <si>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</si>
  <si>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</si>
  <si>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</si>
  <si>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</si>
  <si>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</si>
  <si>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</si>
  <si>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</si>
  <si>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</si>
  <si>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</si>
  <si>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</si>
  <si>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</si>
  <si>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</si>
  <si>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</si>
  <si>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</si>
  <si>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</si>
  <si>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</si>
  <si>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</si>
  <si>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</si>
  <si>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</si>
  <si>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</si>
  <si>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</si>
  <si>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</si>
  <si>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</si>
  <si>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</si>
  <si>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</si>
  <si>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</si>
  <si>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</si>
  <si>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</si>
  <si>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</si>
  <si>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</si>
  <si>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</si>
  <si>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</si>
  <si>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</si>
  <si>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</si>
  <si>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</si>
  <si>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</si>
  <si>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</si>
  <si>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</si>
  <si>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</si>
  <si>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</si>
  <si>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</si>
  <si>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</si>
  <si>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</si>
  <si>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</si>
  <si>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</si>
  <si>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</si>
  <si>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</si>
  <si>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</si>
  <si>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</si>
  <si>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</si>
  <si>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</si>
  <si>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</si>
  <si>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</si>
  <si>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</si>
  <si>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</si>
  <si>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</si>
  <si>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</si>
  <si>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</si>
  <si>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</si>
  <si>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</si>
  <si>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</si>
  <si>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</si>
  <si>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</si>
  <si>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</si>
  <si>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</si>
  <si>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</si>
  <si>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</si>
  <si>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</si>
  <si>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</si>
  <si>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</si>
  <si>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</si>
  <si>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</si>
  <si>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</si>
  <si>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</si>
  <si>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</si>
  <si>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</si>
  <si>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</si>
  <si>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</si>
  <si>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</si>
  <si>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</si>
  <si>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</si>
  <si>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</si>
  <si>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</si>
  <si>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</si>
  <si>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</si>
  <si>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</si>
  <si>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</si>
  <si>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</si>
  <si>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</si>
  <si>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</si>
  <si>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</si>
  <si>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</si>
  <si>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</si>
  <si>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</si>
  <si>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</si>
  <si>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</si>
  <si>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</si>
  <si>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</si>
  <si>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</si>
  <si>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</si>
  <si>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</si>
  <si>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</si>
  <si>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</si>
  <si>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</si>
  <si>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</si>
  <si>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</si>
  <si>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</si>
  <si>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</si>
  <si>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</si>
  <si>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</si>
  <si>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</si>
  <si>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</si>
  <si>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</si>
  <si>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</si>
  <si>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</si>
  <si>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</si>
  <si>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</si>
  <si>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</si>
  <si>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</si>
  <si>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</si>
  <si>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</si>
  <si>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</si>
  <si>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</si>
  <si>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</si>
  <si>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</si>
  <si>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</si>
  <si>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</si>
  <si>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</si>
  <si>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</si>
  <si>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</si>
  <si>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</si>
  <si>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</si>
  <si>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</si>
  <si>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</si>
  <si>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</si>
  <si>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</si>
  <si>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</si>
  <si>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</si>
  <si>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</si>
  <si>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</si>
  <si>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</si>
  <si>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</si>
  <si>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</si>
  <si>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</si>
  <si>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</si>
  <si>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</si>
  <si>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</si>
  <si>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</si>
  <si>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</si>
  <si>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</si>
  <si>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</si>
  <si>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</si>
  <si>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</si>
  <si>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</si>
  <si>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</si>
  <si>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</si>
  <si>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</si>
  <si>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</si>
  <si>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</si>
  <si>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</si>
  <si>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</si>
  <si>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</si>
  <si>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</si>
  <si>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</si>
  <si>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</si>
  <si>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</si>
  <si>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</si>
  <si>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</si>
  <si>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</si>
  <si>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</si>
  <si>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</si>
  <si>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</si>
  <si>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</si>
  <si>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</si>
  <si>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</si>
  <si>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</si>
  <si>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</si>
  <si>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</si>
  <si>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</si>
  <si>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</si>
  <si>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</si>
  <si>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</si>
  <si>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</si>
  <si>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</si>
  <si>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</si>
  <si>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</si>
  <si>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</si>
  <si>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</si>
  <si>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</si>
  <si>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</si>
  <si>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</si>
  <si>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</si>
  <si>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</si>
  <si>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</si>
  <si>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</si>
  <si>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</si>
  <si>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</si>
  <si>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</si>
  <si>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</si>
  <si>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</si>
  <si>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</si>
  <si>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</si>
  <si>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</si>
  <si>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</si>
  <si>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</si>
  <si>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</si>
  <si>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</si>
  <si>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</si>
  <si>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</si>
  <si>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</si>
  <si>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</si>
  <si>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</si>
  <si>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</si>
  <si>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</si>
  <si>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</si>
  <si>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</si>
  <si>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</si>
  <si>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</si>
  <si>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</si>
  <si>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</si>
  <si>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</si>
  <si>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</si>
  <si>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</si>
  <si>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</si>
  <si>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</si>
  <si>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</si>
  <si>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</si>
  <si>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</si>
  <si>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</si>
  <si>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</si>
  <si>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</si>
  <si>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</si>
  <si>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</si>
  <si>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</si>
  <si>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</si>
  <si>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</si>
  <si>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</si>
  <si>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</si>
  <si>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</si>
  <si>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</si>
  <si>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</si>
  <si>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</si>
  <si>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</si>
  <si>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</si>
  <si>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</si>
  <si>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</si>
  <si>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</si>
  <si>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</si>
  <si>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</si>
  <si>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</si>
  <si>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</si>
  <si>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</si>
  <si>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</si>
  <si>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</si>
  <si>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</si>
  <si>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</si>
  <si>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</si>
  <si>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</si>
  <si>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</si>
  <si>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</si>
  <si>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</si>
  <si>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</si>
  <si>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</si>
  <si>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</si>
  <si>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</si>
  <si>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</si>
  <si>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</si>
  <si>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</si>
  <si>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</si>
  <si>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</si>
  <si>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</si>
  <si>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</si>
  <si>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</si>
  <si>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</si>
  <si>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</si>
  <si>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</si>
  <si>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</si>
  <si>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</si>
  <si>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</si>
  <si>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</si>
  <si>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</si>
  <si>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</si>
  <si>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</si>
  <si>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</si>
  <si>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</si>
  <si>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</si>
  <si>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</si>
  <si>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</si>
  <si>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</si>
  <si>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</si>
  <si>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</si>
  <si>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</si>
  <si>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</si>
  <si>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</si>
  <si>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</si>
  <si>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</si>
  <si>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</si>
  <si>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</si>
  <si>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</si>
  <si>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</si>
  <si>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</si>
  <si>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</si>
  <si>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</si>
  <si>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</si>
  <si>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</si>
  <si>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</si>
  <si>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</si>
  <si>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</si>
  <si>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</si>
  <si>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</si>
  <si>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</si>
  <si>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</si>
  <si>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</si>
  <si>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</si>
  <si>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</si>
  <si>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</si>
  <si>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</si>
  <si>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</si>
  <si>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</si>
  <si>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</si>
  <si>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</si>
  <si>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</si>
  <si>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</si>
  <si>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</si>
  <si>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</si>
  <si>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</si>
  <si>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</si>
  <si>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</si>
  <si>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</si>
  <si>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</si>
  <si>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</si>
  <si>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</si>
  <si>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</si>
  <si>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</si>
  <si>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</si>
  <si>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</si>
  <si>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</si>
  <si>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</si>
  <si>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</si>
  <si>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</si>
  <si>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</si>
  <si>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</si>
  <si>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</si>
  <si>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</si>
  <si>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</si>
  <si>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</si>
  <si>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</si>
  <si>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</si>
  <si>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</si>
  <si>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</si>
  <si>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</si>
  <si>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</si>
  <si>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</si>
  <si>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</si>
  <si>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</si>
  <si>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</si>
  <si>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</si>
  <si>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</si>
  <si>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</si>
  <si>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</si>
  <si>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</si>
  <si>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</si>
  <si>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</si>
  <si>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</si>
  <si>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</si>
  <si>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</si>
  <si>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</si>
  <si>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</si>
  <si>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</si>
  <si>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</si>
  <si>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</si>
  <si>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</si>
  <si>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</si>
  <si>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</si>
  <si>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</si>
  <si>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</si>
  <si>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</si>
  <si>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</si>
  <si>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</si>
  <si>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</si>
  <si>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</si>
  <si>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</si>
  <si>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</si>
  <si>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</si>
  <si>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</si>
  <si>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</si>
  <si>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</si>
  <si>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</si>
  <si>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</si>
  <si>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</si>
  <si>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</si>
  <si>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</si>
  <si>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</si>
  <si>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</si>
  <si>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</si>
  <si>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</si>
  <si>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</si>
  <si>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</si>
  <si>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</si>
  <si>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</si>
  <si>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</si>
  <si>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</si>
  <si>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</si>
  <si>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</si>
  <si>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</si>
  <si>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</si>
  <si>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</si>
  <si>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</si>
  <si>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</si>
  <si>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</si>
  <si>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</si>
  <si>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</si>
  <si>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</si>
  <si>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</si>
  <si>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</si>
  <si>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</si>
  <si>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</si>
  <si>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</si>
  <si>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</si>
  <si>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</si>
  <si>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</si>
  <si>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</si>
  <si>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</si>
  <si>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</si>
  <si>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</si>
  <si>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</si>
  <si>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</si>
  <si>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</si>
  <si>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</si>
  <si>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</si>
  <si>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</si>
  <si>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</si>
  <si>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</si>
  <si>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</si>
  <si>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</si>
  <si>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</si>
  <si>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</si>
  <si>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</si>
  <si>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</si>
  <si>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</si>
  <si>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</si>
  <si>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</si>
  <si>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</si>
  <si>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</si>
  <si>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</si>
  <si>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</si>
  <si>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</si>
  <si>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</si>
  <si>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</si>
  <si>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</si>
  <si>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</si>
  <si>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</si>
  <si>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</si>
  <si>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</si>
  <si>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</si>
  <si>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</si>
  <si>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</si>
  <si>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</si>
  <si>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</si>
  <si>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</si>
  <si>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</si>
  <si>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</si>
  <si>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</si>
  <si>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</si>
  <si>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</si>
  <si>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</si>
  <si>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</si>
  <si>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</si>
  <si>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</si>
  <si>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</si>
  <si>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</si>
  <si>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</si>
  <si>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</si>
  <si>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</si>
  <si>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</si>
  <si>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</si>
  <si>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</si>
  <si>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</si>
  <si>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</si>
  <si>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</si>
  <si>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</si>
  <si>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</si>
  <si>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</si>
  <si>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</si>
  <si>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</si>
  <si>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</si>
  <si>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</si>
  <si>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</si>
  <si>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</si>
  <si>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</si>
  <si>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</si>
  <si>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</si>
  <si>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</si>
  <si>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</si>
  <si>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</si>
  <si>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</si>
  <si>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</si>
  <si>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</si>
  <si>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</si>
  <si>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</si>
  <si>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</si>
  <si>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</si>
  <si>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</si>
  <si>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</si>
  <si>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</si>
  <si>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</si>
  <si>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</si>
  <si>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</si>
  <si>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</si>
  <si>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</si>
  <si>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</si>
  <si>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</si>
  <si>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</si>
  <si>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</si>
  <si>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</si>
  <si>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</si>
  <si>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</si>
  <si>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</si>
  <si>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</si>
  <si>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</si>
  <si>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</si>
  <si>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</si>
  <si>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</si>
  <si>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</si>
  <si>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</si>
  <si>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</si>
  <si>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</si>
  <si>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</si>
  <si>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</si>
  <si>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</si>
  <si>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</si>
  <si>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</si>
  <si>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</si>
  <si>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</si>
  <si>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</si>
  <si>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</si>
  <si>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</si>
  <si>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</si>
  <si>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</si>
  <si>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</si>
  <si>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</si>
  <si>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</si>
  <si>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</si>
  <si>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</si>
  <si>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</si>
  <si>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</si>
  <si>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</si>
  <si>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</si>
  <si>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</si>
  <si>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</si>
  <si>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</si>
  <si>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</si>
  <si>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</si>
  <si>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</si>
  <si>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</si>
  <si>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</si>
  <si>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</si>
  <si>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</si>
  <si>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</si>
  <si>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</si>
  <si>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</si>
  <si>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</si>
  <si>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</si>
  <si>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</si>
  <si>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</si>
  <si>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</si>
  <si>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</si>
  <si>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</si>
  <si>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</si>
  <si>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</si>
  <si>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</si>
  <si>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</si>
  <si>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</si>
  <si>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</si>
  <si>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</si>
  <si>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</si>
  <si>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</si>
  <si>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</si>
  <si>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</si>
  <si>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</si>
  <si>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</si>
  <si>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</si>
  <si>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</si>
  <si>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</si>
  <si>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</si>
  <si>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</si>
  <si>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</si>
  <si>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</si>
  <si>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</si>
  <si>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</si>
  <si>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</si>
  <si>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</si>
  <si>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</si>
  <si>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</si>
  <si>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</si>
  <si>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</si>
  <si>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</si>
  <si>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</si>
  <si>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</si>
  <si>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</si>
  <si>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</si>
  <si>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</si>
  <si>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</si>
  <si>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</si>
  <si>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</si>
  <si>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</si>
  <si>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</si>
  <si>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</si>
  <si>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</si>
  <si>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</si>
  <si>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</si>
  <si>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</si>
  <si>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</si>
  <si>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</si>
  <si>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</si>
  <si>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</si>
  <si>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</si>
  <si>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</si>
  <si>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</si>
  <si>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</si>
  <si>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</si>
  <si>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</si>
  <si>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</si>
  <si>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</si>
  <si>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</si>
  <si>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</si>
  <si>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</si>
  <si>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</si>
  <si>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</si>
  <si>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</si>
  <si>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</si>
  <si>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</si>
  <si>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</si>
  <si>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</si>
  <si>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</si>
  <si>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</si>
  <si>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</si>
  <si>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</si>
  <si>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</si>
  <si>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</si>
  <si>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</si>
  <si>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</si>
  <si>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</si>
  <si>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</si>
  <si>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</si>
  <si>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</si>
  <si>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</si>
  <si>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</si>
  <si>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</si>
  <si>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</si>
  <si>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</si>
  <si>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</si>
  <si>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</si>
  <si>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</si>
  <si>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</si>
  <si>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</si>
  <si>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</si>
  <si>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</si>
  <si>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</si>
  <si>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</si>
  <si>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</si>
  <si>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</si>
  <si>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</si>
  <si>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</si>
  <si>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</si>
  <si>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</si>
  <si>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</si>
  <si>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</si>
  <si>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</si>
  <si>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</si>
  <si>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</si>
  <si>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</si>
  <si>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</si>
  <si>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</si>
  <si>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</si>
  <si>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</si>
  <si>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</si>
  <si>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</si>
  <si>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</si>
  <si>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</si>
  <si>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</si>
  <si>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</si>
  <si>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</si>
  <si>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</si>
  <si>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</si>
  <si>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</si>
  <si>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</si>
  <si>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</si>
  <si>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</si>
  <si>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</si>
  <si>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</si>
  <si>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</si>
  <si>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</si>
  <si>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</si>
  <si>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</si>
  <si>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</si>
  <si>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</si>
  <si>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</si>
  <si>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</si>
  <si>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</si>
  <si>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</si>
  <si>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</si>
  <si>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</si>
  <si>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</si>
  <si>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</si>
  <si>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</si>
  <si>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</si>
  <si>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</si>
  <si>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</si>
  <si>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</si>
  <si>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</si>
  <si>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</si>
  <si>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</si>
  <si>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</si>
  <si>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</si>
  <si>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</si>
  <si>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</si>
  <si>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</si>
  <si>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</si>
  <si>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</si>
  <si>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</si>
  <si>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</si>
  <si>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</si>
  <si>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</si>
  <si>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</si>
  <si>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</si>
  <si>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</si>
  <si>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</si>
  <si>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</si>
  <si>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</si>
  <si>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</si>
  <si>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</si>
  <si>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</si>
  <si>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</si>
  <si>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</si>
  <si>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</si>
  <si>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</si>
  <si>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</si>
  <si>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</si>
  <si>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</si>
  <si>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</si>
  <si>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</si>
  <si>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</si>
  <si>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</si>
  <si>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</si>
  <si>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</si>
  <si>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</si>
  <si>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</si>
  <si>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</si>
  <si>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</si>
  <si>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</si>
  <si>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</si>
  <si>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</si>
  <si>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</si>
  <si>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</si>
  <si>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</si>
  <si>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</si>
  <si>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</si>
  <si>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</si>
  <si>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</si>
  <si>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</si>
  <si>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</si>
  <si>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</si>
  <si>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</si>
  <si>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</si>
  <si>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</si>
  <si>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</si>
  <si>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</si>
  <si>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</si>
  <si>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</si>
  <si>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</si>
  <si>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</si>
  <si>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</si>
  <si>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</si>
  <si>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MES</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</si>
  <si>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</si>
  <si>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</si>
  <si>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</si>
  <si>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</si>
  <si>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</si>
  <si>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</si>
  <si>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</si>
  <si>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</si>
  <si>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</si>
  <si>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</si>
  <si>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</si>
  <si>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</si>
  <si>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</si>
  <si>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</si>
  <si>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</si>
  <si>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</si>
  <si>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</si>
  <si>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</si>
  <si>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</si>
  <si>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</si>
  <si>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</si>
  <si>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</si>
  <si>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</si>
  <si>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</si>
  <si>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</si>
  <si>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</si>
  <si>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</si>
  <si>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</si>
  <si>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</si>
  <si>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</si>
  <si>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</si>
  <si>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</si>
  <si>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</si>
  <si>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</si>
  <si>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</si>
  <si>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</si>
  <si>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</si>
  <si>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</si>
  <si>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</si>
  <si>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</si>
  <si>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</si>
  <si>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</si>
  <si>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</si>
  <si>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</si>
  <si>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</si>
  <si>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</si>
  <si>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</si>
  <si>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</si>
  <si>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</si>
  <si>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</si>
  <si>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</si>
  <si>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</si>
  <si>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</si>
  <si>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</si>
  <si>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</si>
  <si>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</si>
  <si>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</si>
  <si>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</si>
  <si>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</si>
  <si>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</si>
  <si>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</si>
  <si>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</si>
  <si>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</si>
  <si>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</si>
  <si>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</si>
  <si>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</si>
  <si>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</si>
  <si>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</si>
  <si>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</si>
  <si>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</si>
  <si>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</si>
  <si>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</si>
  <si>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</si>
  <si>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</si>
  <si>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</si>
  <si>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</si>
  <si>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</si>
  <si>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</si>
  <si>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</si>
  <si>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</si>
  <si>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</si>
  <si>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</si>
  <si>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</si>
  <si>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</si>
  <si>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</si>
  <si>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</si>
  <si>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</si>
  <si>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</si>
  <si>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</si>
  <si>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</si>
  <si>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</si>
  <si>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</si>
  <si>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</si>
  <si>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</si>
  <si>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</si>
  <si>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</si>
  <si>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</si>
  <si>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</si>
  <si>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</si>
  <si>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</si>
  <si>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</si>
  <si>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</si>
  <si>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</si>
  <si>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</si>
  <si>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</si>
  <si>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</si>
  <si>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</si>
  <si>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</si>
  <si>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</si>
  <si>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</si>
  <si>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</si>
  <si>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</si>
  <si>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</si>
  <si>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</si>
  <si>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</si>
  <si>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</si>
  <si>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</si>
  <si>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</si>
  <si>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</si>
  <si>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</si>
  <si>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</si>
  <si>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</si>
  <si>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</si>
  <si>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</si>
  <si>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</si>
  <si>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</si>
  <si>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</si>
  <si>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</si>
  <si>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</si>
  <si>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</si>
  <si>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</si>
  <si>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</si>
  <si>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</si>
  <si>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</si>
  <si>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</si>
  <si>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</si>
  <si>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</si>
  <si>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</si>
  <si>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</si>
  <si>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</si>
  <si>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</si>
  <si>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</si>
  <si>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</si>
  <si>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</si>
  <si>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</si>
  <si>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</si>
  <si>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</si>
  <si>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</si>
  <si>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</si>
  <si>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</si>
  <si>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</si>
  <si>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</si>
  <si>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</si>
  <si>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</si>
  <si>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</si>
  <si>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</si>
  <si>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</si>
  <si>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</si>
  <si>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</si>
  <si>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</si>
  <si>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</si>
  <si>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</si>
  <si>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</si>
  <si>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</si>
  <si>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</si>
  <si>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</si>
  <si>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</si>
  <si>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</si>
  <si>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</si>
  <si>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</si>
  <si>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</si>
  <si>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</si>
  <si>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</si>
  <si>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</si>
  <si>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</si>
  <si>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</si>
  <si>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</si>
  <si>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</si>
  <si>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</si>
  <si>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</si>
  <si>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</si>
  <si>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</si>
  <si>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</si>
  <si>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</si>
  <si>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</si>
  <si>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TON-M</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</si>
  <si>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</si>
  <si>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</si>
  <si>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</si>
  <si>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</si>
  <si>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</si>
  <si>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</si>
  <si>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</si>
  <si>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</si>
  <si>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</si>
  <si>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</si>
  <si>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</si>
  <si>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</si>
  <si>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</si>
  <si>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</si>
  <si>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</si>
  <si>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</si>
  <si>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</si>
  <si>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</si>
  <si>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</si>
  <si>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</si>
  <si>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</si>
  <si>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</si>
  <si>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</si>
  <si>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</si>
  <si>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</si>
  <si>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</si>
  <si>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</si>
  <si>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</si>
  <si>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</si>
  <si>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</si>
  <si>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</si>
  <si>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</si>
  <si>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</si>
  <si>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</si>
  <si>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</si>
  <si>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</si>
  <si>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</si>
  <si>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</si>
  <si>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</si>
  <si>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</si>
  <si>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</si>
  <si>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</si>
  <si>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</si>
  <si>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</si>
  <si>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</si>
  <si>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</si>
  <si>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</si>
  <si>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</si>
  <si>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</si>
  <si>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</si>
  <si>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</si>
  <si>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</si>
  <si>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</si>
  <si>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</si>
  <si>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</si>
  <si>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</si>
  <si>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</si>
  <si>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</si>
  <si>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</si>
  <si>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</si>
  <si>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</si>
  <si>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</si>
  <si>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</si>
  <si>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</si>
  <si>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</si>
  <si>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</si>
  <si>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</si>
  <si>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</si>
  <si>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</si>
  <si>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</si>
  <si>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</si>
  <si>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</si>
  <si>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</si>
  <si>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</si>
  <si>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</si>
  <si>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</si>
  <si>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</si>
  <si>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</si>
  <si>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</si>
  <si>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</si>
  <si>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</si>
  <si>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</si>
  <si>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</si>
  <si>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</si>
  <si>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</si>
  <si>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</si>
  <si>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</si>
  <si>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</si>
  <si>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</si>
  <si>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</si>
  <si>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</si>
  <si>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</si>
  <si>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</si>
  <si>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</si>
  <si>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</si>
  <si>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</si>
  <si>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</si>
  <si>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</si>
  <si>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</si>
  <si>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</si>
  <si>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</si>
  <si>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</si>
  <si>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</si>
  <si>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</si>
  <si>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</si>
  <si>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</si>
  <si>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</si>
  <si>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</si>
  <si>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</si>
  <si>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</si>
  <si>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</si>
  <si>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</si>
  <si>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</si>
  <si>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</si>
  <si>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</si>
  <si>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</si>
  <si>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</si>
  <si>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</si>
  <si>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</si>
  <si>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</si>
  <si>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</si>
  <si>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</si>
  <si>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</si>
  <si>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</si>
  <si>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</si>
  <si>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</si>
  <si>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</si>
  <si>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</si>
  <si>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</si>
  <si>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</si>
  <si>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</si>
  <si>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</si>
  <si>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</si>
  <si>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</si>
  <si>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</si>
  <si>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</si>
  <si>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</si>
  <si>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</si>
  <si>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</si>
  <si>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</si>
  <si>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</si>
  <si>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</si>
  <si>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</si>
  <si>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</si>
  <si>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</si>
  <si>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</si>
  <si>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</si>
  <si>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</si>
  <si>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</si>
  <si>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</si>
  <si>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</si>
  <si>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</si>
  <si>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</si>
  <si>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</si>
  <si>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</si>
  <si>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</si>
  <si>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</si>
  <si>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</si>
  <si>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</si>
  <si>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</si>
  <si>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</si>
  <si>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</si>
  <si>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</si>
  <si>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</si>
  <si>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</si>
  <si>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</si>
  <si>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</si>
  <si>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</si>
  <si>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</si>
  <si>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</si>
  <si>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</si>
  <si>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</si>
  <si>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</si>
  <si>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</si>
  <si>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</si>
  <si>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</si>
  <si>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</si>
  <si>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</si>
  <si>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</si>
  <si>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</si>
  <si>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</si>
  <si>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</si>
  <si>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</si>
  <si>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</si>
  <si>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</si>
  <si>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</si>
  <si>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</si>
  <si>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</si>
  <si>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</si>
  <si>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</si>
  <si>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</si>
  <si>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</si>
  <si>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</si>
  <si>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</si>
  <si>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</si>
  <si>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</si>
  <si>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</si>
  <si>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</si>
  <si>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</si>
  <si>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</si>
  <si>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</si>
  <si>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</si>
  <si>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</si>
  <si>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</si>
  <si>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</si>
  <si>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</si>
  <si>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</si>
  <si>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</si>
  <si>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</si>
  <si>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</si>
  <si>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</si>
  <si>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</si>
  <si>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</si>
  <si>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</si>
  <si>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</si>
  <si>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</si>
  <si>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</si>
  <si>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</si>
  <si>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</si>
  <si>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</si>
  <si>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</si>
  <si>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</si>
  <si>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</si>
  <si>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</si>
  <si>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</si>
  <si>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</si>
  <si>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</si>
  <si>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</si>
  <si>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</si>
  <si>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</si>
  <si>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</si>
  <si>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</si>
  <si>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</si>
  <si>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</si>
  <si>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</si>
  <si>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</si>
  <si>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</si>
  <si>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</si>
  <si>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</si>
  <si>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</si>
  <si>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</si>
  <si>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</si>
  <si>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</si>
  <si>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</si>
  <si>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</si>
  <si>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</si>
  <si>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</si>
  <si>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</si>
  <si>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</si>
  <si>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</si>
  <si>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</si>
  <si>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</si>
  <si>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</si>
  <si>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</si>
  <si>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</si>
  <si>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</si>
  <si>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</si>
  <si>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</si>
  <si>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</si>
  <si>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</si>
  <si>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</si>
  <si>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</si>
  <si>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</si>
  <si>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</si>
  <si>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</si>
  <si>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</si>
  <si>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</si>
  <si>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</si>
  <si>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</si>
  <si>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</si>
  <si>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</si>
  <si>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</si>
  <si>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</si>
  <si>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</si>
  <si>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</si>
  <si>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</si>
  <si>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</si>
  <si>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</si>
  <si>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</si>
  <si>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</si>
  <si>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</si>
  <si>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</si>
  <si>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</si>
  <si>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</si>
  <si>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</si>
  <si>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</si>
  <si>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</si>
  <si>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</si>
  <si>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</si>
  <si>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</si>
  <si>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</si>
  <si>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</si>
  <si>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</si>
  <si>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</si>
  <si>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</si>
  <si>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</si>
  <si>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</si>
  <si>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</si>
  <si>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</si>
  <si>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</si>
  <si>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</si>
  <si>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</si>
  <si>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</si>
  <si>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</si>
  <si>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</si>
  <si>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</si>
  <si>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</si>
  <si>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</si>
  <si>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</si>
  <si>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</si>
  <si>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</si>
  <si>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</si>
  <si>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</si>
  <si>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</si>
  <si>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</si>
  <si>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</si>
  <si>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</si>
  <si>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</si>
  <si>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</si>
  <si>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</si>
  <si>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</si>
  <si>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</si>
  <si>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</si>
  <si>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</si>
  <si>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</si>
  <si>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</si>
  <si>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</si>
  <si>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</si>
  <si>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</si>
  <si>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</si>
  <si>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</si>
  <si>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</si>
  <si>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</si>
  <si>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</si>
  <si>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</si>
  <si>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</si>
  <si>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</si>
  <si>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</si>
  <si>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</si>
  <si>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</si>
  <si>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</si>
  <si>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</si>
  <si>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</si>
  <si>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</si>
  <si>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</si>
  <si>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</si>
  <si>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</si>
  <si>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</si>
  <si>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</si>
  <si>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</si>
  <si>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</si>
  <si>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</si>
  <si>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</si>
  <si>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</si>
  <si>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</si>
  <si>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</si>
  <si>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</si>
  <si>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</si>
  <si>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</si>
  <si>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</si>
  <si>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</si>
  <si>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</si>
  <si>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</si>
  <si>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</si>
  <si>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</si>
  <si>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</si>
  <si>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</si>
  <si>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</si>
  <si>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</si>
  <si>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</si>
  <si>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</si>
  <si>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</si>
  <si>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</si>
  <si>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</si>
  <si>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</si>
  <si>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</si>
  <si>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</si>
  <si>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</si>
  <si>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</si>
  <si>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</si>
  <si>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</si>
  <si>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</si>
  <si>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</si>
  <si>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</si>
  <si>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</si>
  <si>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</si>
  <si>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</si>
  <si>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</si>
  <si>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</si>
  <si>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</si>
  <si>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</si>
  <si>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</si>
  <si>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</si>
  <si>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</si>
  <si>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</si>
  <si>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</si>
  <si>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</si>
  <si>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</si>
  <si>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</si>
  <si>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</si>
  <si>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</si>
  <si>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</si>
  <si>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</si>
  <si>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</si>
  <si>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</si>
  <si>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</si>
  <si>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</si>
  <si>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</si>
  <si>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</si>
  <si>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</si>
  <si>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</si>
  <si>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</si>
  <si>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</si>
  <si>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</si>
  <si>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</si>
  <si>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</si>
  <si>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</si>
  <si>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</si>
  <si>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</si>
  <si>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</si>
  <si>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</si>
  <si>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</si>
  <si>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</si>
  <si>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</si>
  <si>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</si>
  <si>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</si>
  <si>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</si>
  <si>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</si>
  <si>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</si>
  <si>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</si>
  <si>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</si>
  <si>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</si>
  <si>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</si>
  <si>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</si>
  <si>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</si>
  <si>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</si>
  <si>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</si>
  <si>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</si>
  <si>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</si>
  <si>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</si>
  <si>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</si>
  <si>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</si>
  <si>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</si>
  <si>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</si>
  <si>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</si>
  <si>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</si>
  <si>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</si>
  <si>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</si>
  <si>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</si>
  <si>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</si>
  <si>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</si>
  <si>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</si>
  <si>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</si>
  <si>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</si>
  <si>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</si>
  <si>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</si>
  <si>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</si>
  <si>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</si>
  <si>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</si>
  <si>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</si>
  <si>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</si>
  <si>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</si>
  <si>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</si>
  <si>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</si>
  <si>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</si>
  <si>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</si>
  <si>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</si>
  <si>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</si>
  <si>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</si>
  <si>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</si>
  <si>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</si>
  <si>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</si>
  <si>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</si>
  <si>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</si>
  <si>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</si>
  <si>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</si>
  <si>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</si>
  <si>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</si>
  <si>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</si>
  <si>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</si>
  <si>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</si>
  <si>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</si>
  <si>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</si>
  <si>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</si>
  <si>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</si>
  <si>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</si>
  <si>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</si>
  <si>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</si>
  <si>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</si>
  <si>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</si>
  <si>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</si>
  <si>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</si>
  <si>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</si>
  <si>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</si>
  <si>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</si>
  <si>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</si>
  <si>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</si>
  <si>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</si>
  <si>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ESTOPEROLES METÁLICOS CON ESPIGO. INCLUYE SUMINISTRO E INSTALACIÓN.</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</si>
  <si>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</si>
  <si>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</si>
  <si>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</si>
  <si>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</si>
  <si>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</si>
  <si>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</si>
  <si>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</si>
  <si>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</si>
  <si>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</si>
  <si>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</si>
  <si>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</si>
  <si>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</si>
  <si>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</si>
  <si>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</si>
  <si>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</si>
  <si>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</si>
  <si>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</si>
  <si>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</si>
  <si>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</si>
  <si>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</si>
  <si>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</si>
  <si>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</si>
  <si>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</si>
  <si>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</si>
  <si>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</si>
  <si>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</si>
  <si>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</si>
  <si>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</si>
  <si>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</si>
  <si>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</si>
  <si>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</si>
  <si>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</si>
  <si>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</si>
  <si>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</si>
  <si>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</si>
  <si>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</si>
  <si>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</si>
  <si>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</si>
  <si>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</si>
  <si>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</si>
  <si>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</si>
  <si>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</si>
  <si>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</si>
  <si>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</si>
  <si>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</si>
  <si>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</si>
  <si>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</si>
  <si>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</si>
  <si>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</si>
  <si>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</si>
  <si>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</si>
  <si>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</si>
  <si>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</si>
  <si>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</si>
  <si>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</si>
  <si>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</si>
  <si>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</si>
  <si>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</si>
  <si>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</si>
  <si>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</si>
  <si>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</si>
  <si>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</si>
  <si>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</si>
  <si>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</si>
  <si>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</si>
  <si>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</si>
  <si>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</si>
  <si>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</si>
  <si>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</si>
  <si>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</si>
  <si>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</si>
  <si>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</si>
  <si>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</si>
  <si>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</si>
  <si>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</si>
  <si>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</si>
  <si>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</si>
  <si>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</si>
  <si>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</si>
  <si>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</si>
  <si>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</si>
  <si>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</si>
  <si>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</si>
  <si>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</si>
  <si>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</si>
  <si>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</si>
  <si>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</si>
  <si>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</si>
  <si>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</si>
  <si>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</si>
  <si>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</si>
  <si>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</si>
  <si>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</si>
  <si>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</si>
  <si>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</si>
  <si>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</si>
  <si>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</si>
  <si>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</si>
  <si>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</si>
  <si>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</si>
  <si>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</si>
  <si>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</si>
  <si>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</si>
  <si>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</si>
  <si>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APIQUE MANUAL HASTA 2 M DE 1.5 M X 1.5 M - RELLENO Y ADECUACIÓN DEL SITIO - INCLUYE TRANSPORTE</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</si>
  <si>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</si>
  <si>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</si>
  <si>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</si>
  <si>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</si>
  <si>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</si>
  <si>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</si>
  <si>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</si>
  <si>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</si>
  <si>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</si>
  <si>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</si>
  <si>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</si>
  <si>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</si>
  <si>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</si>
  <si>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</si>
  <si>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</si>
  <si>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</si>
  <si>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</si>
  <si>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</si>
  <si>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</si>
  <si>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</si>
  <si>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</si>
  <si>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</si>
  <si>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</si>
  <si>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</si>
  <si>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</si>
  <si>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</si>
  <si>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</si>
  <si>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</si>
  <si>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</si>
  <si>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</si>
  <si>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</si>
  <si>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</si>
  <si>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</si>
  <si>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</si>
  <si>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</si>
  <si>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</si>
  <si>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</si>
  <si>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</si>
  <si>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</si>
  <si>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</si>
  <si>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</si>
  <si>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</si>
  <si>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</si>
  <si>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</si>
  <si>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</si>
  <si>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</si>
  <si>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</si>
  <si>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</si>
  <si>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</si>
  <si>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</si>
  <si>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</si>
  <si>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</si>
  <si>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</si>
  <si>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</si>
  <si>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</si>
  <si>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</si>
  <si>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</si>
  <si>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</si>
  <si>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</si>
  <si>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</si>
  <si>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</si>
  <si>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</si>
  <si>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</si>
  <si>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</si>
  <si>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</si>
  <si>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</si>
  <si>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</si>
  <si>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</si>
  <si>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</si>
  <si>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</si>
  <si>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</si>
  <si>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</si>
  <si>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</si>
  <si>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</si>
  <si>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</si>
  <si>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</si>
  <si>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</si>
  <si>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</si>
  <si>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</si>
  <si>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</si>
  <si>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</si>
  <si>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</si>
  <si>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</si>
  <si>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</si>
  <si>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</si>
  <si>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</si>
  <si>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</si>
  <si>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</si>
  <si>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</si>
  <si>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</si>
  <si>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</si>
  <si>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</si>
  <si>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</si>
  <si>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</si>
  <si>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</si>
  <si>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</si>
  <si>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</si>
  <si>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</si>
  <si>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</si>
  <si>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</si>
  <si>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</si>
  <si>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</si>
  <si>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</si>
  <si>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</si>
  <si>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</si>
  <si>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</si>
  <si>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</si>
  <si>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</si>
  <si>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</si>
  <si>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</si>
  <si>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</si>
  <si>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</si>
  <si>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</si>
  <si>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</si>
  <si>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</si>
  <si>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</si>
  <si>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</si>
  <si>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</si>
  <si>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</si>
  <si>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</si>
  <si>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</si>
  <si>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</si>
  <si>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</si>
  <si>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</si>
  <si>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</si>
  <si>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</si>
  <si>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</si>
  <si>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</si>
  <si>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</si>
  <si>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</si>
  <si>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</si>
  <si>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</si>
  <si>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</si>
  <si>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</si>
  <si>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</si>
  <si>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</si>
  <si>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</si>
  <si>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</si>
  <si>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</si>
  <si>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</si>
  <si>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</si>
  <si>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</si>
  <si>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</si>
  <si>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</si>
  <si>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</si>
  <si>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</si>
  <si>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</si>
  <si>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</si>
  <si>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</si>
  <si>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</si>
  <si>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</si>
  <si>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</si>
  <si>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</si>
  <si>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</si>
  <si>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</si>
  <si>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</si>
  <si>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</si>
  <si>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</si>
  <si>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</si>
  <si>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</si>
  <si>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</si>
  <si>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</si>
  <si>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</si>
  <si>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</si>
  <si>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</si>
  <si>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</si>
  <si>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</si>
  <si>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</si>
  <si>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</si>
  <si>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</si>
  <si>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</si>
  <si>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</si>
  <si>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</si>
  <si>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</si>
  <si>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</si>
  <si>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</si>
  <si>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</si>
  <si>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</si>
  <si>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</si>
  <si>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</si>
  <si>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</si>
  <si>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</si>
  <si>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</si>
  <si>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</si>
  <si>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</si>
  <si>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</si>
  <si>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</si>
  <si>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</si>
  <si>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</si>
  <si>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</si>
  <si>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</si>
  <si>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</si>
  <si>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</si>
  <si>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</si>
  <si>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</si>
  <si>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</si>
  <si>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</si>
  <si>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</si>
  <si>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</si>
  <si>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</si>
  <si>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</si>
  <si>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</si>
  <si>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</si>
  <si>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</si>
  <si>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</si>
  <si>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</si>
  <si>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</si>
  <si>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</si>
  <si>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</si>
  <si>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</si>
  <si>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</si>
  <si>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</si>
  <si>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</si>
  <si>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</si>
  <si>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</si>
  <si>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</si>
  <si>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</si>
  <si>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</si>
  <si>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</si>
  <si>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</si>
  <si>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</si>
  <si>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</si>
  <si>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</si>
  <si>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</si>
  <si>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</si>
  <si>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</si>
  <si>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</si>
  <si>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</si>
  <si>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</si>
  <si>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</si>
  <si>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</si>
  <si>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</si>
  <si>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</si>
  <si>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</si>
  <si>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</si>
  <si>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</si>
  <si>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</si>
  <si>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</si>
  <si>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</si>
  <si>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</si>
  <si>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</si>
  <si>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</si>
  <si>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</si>
  <si>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</si>
  <si>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</si>
  <si>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</si>
  <si>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</si>
  <si>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</si>
  <si>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</si>
  <si>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</si>
  <si>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</si>
  <si>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</si>
  <si>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</si>
  <si>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</si>
  <si>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</si>
  <si>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</si>
  <si>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</si>
  <si>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</si>
  <si>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</si>
  <si>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</si>
  <si>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</si>
  <si>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</si>
  <si>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</si>
  <si>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</si>
  <si>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</si>
  <si>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</si>
  <si>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</si>
  <si>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</si>
  <si>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</si>
  <si>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</si>
  <si>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</si>
  <si>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</si>
  <si>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</si>
  <si>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</si>
  <si>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</si>
  <si>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</si>
  <si>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</si>
  <si>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</si>
  <si>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</si>
  <si>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</si>
  <si>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</si>
  <si>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</si>
  <si>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</si>
  <si>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</si>
  <si>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</si>
  <si>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</si>
  <si>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</si>
  <si>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</si>
  <si>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</si>
  <si>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</si>
  <si>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</si>
  <si>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</si>
  <si>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</si>
  <si>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</si>
  <si>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</si>
  <si>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</si>
  <si>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</si>
  <si>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</si>
  <si>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</si>
  <si>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</si>
  <si>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</si>
  <si>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</si>
  <si>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</si>
  <si>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</si>
  <si>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</si>
  <si>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</si>
  <si>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</si>
  <si>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</si>
  <si>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</si>
  <si>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</si>
  <si>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</si>
  <si>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</si>
  <si>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</si>
  <si>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</si>
  <si>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</si>
  <si>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</si>
  <si>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</si>
  <si>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</si>
  <si>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</si>
  <si>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</si>
  <si>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</si>
  <si>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</si>
  <si>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</si>
  <si>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</si>
  <si>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</si>
  <si>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</si>
  <si>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</si>
  <si>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</si>
  <si>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</si>
  <si>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</si>
  <si>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</si>
  <si>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</si>
  <si>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</si>
  <si>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</si>
  <si>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</si>
  <si>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</si>
  <si>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</si>
  <si>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</si>
  <si>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</si>
  <si>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</si>
  <si>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</si>
  <si>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</si>
  <si>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</si>
  <si>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</si>
  <si>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</si>
  <si>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</si>
  <si>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</si>
  <si>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</si>
  <si>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</si>
  <si>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</si>
  <si>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</si>
  <si>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</si>
  <si>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</si>
  <si>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</si>
  <si>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</si>
  <si>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</si>
  <si>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</si>
  <si>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</si>
  <si>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</si>
  <si>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</si>
  <si>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</si>
  <si>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</si>
  <si>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</si>
  <si>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</si>
  <si>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</si>
  <si>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</si>
  <si>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</si>
  <si>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</si>
  <si>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</si>
  <si>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</si>
  <si>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</si>
  <si>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</si>
  <si>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</si>
  <si>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</si>
  <si>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</si>
  <si>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</si>
  <si>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</si>
  <si>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</si>
  <si>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</si>
  <si>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</si>
  <si>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</si>
  <si>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</si>
  <si>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</si>
  <si>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</si>
  <si>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</si>
  <si>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</si>
  <si>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</si>
  <si>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</si>
  <si>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</si>
  <si>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</si>
  <si>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</si>
  <si>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</si>
  <si>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</si>
  <si>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</si>
  <si>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</si>
  <si>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</si>
  <si>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</si>
  <si>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</si>
  <si>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</si>
  <si>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</si>
  <si>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</si>
  <si>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</si>
  <si>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</si>
  <si>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</si>
  <si>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</si>
  <si>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</si>
  <si>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</si>
  <si>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</si>
  <si>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</si>
  <si>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</si>
  <si>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</si>
  <si>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</si>
  <si>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</si>
  <si>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</si>
  <si>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</si>
  <si>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</si>
  <si>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</si>
  <si>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</si>
  <si>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</si>
  <si>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</si>
  <si>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</si>
  <si>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</si>
  <si>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</si>
  <si>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</si>
  <si>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</si>
  <si>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</si>
  <si>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</si>
  <si>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</si>
  <si>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</si>
  <si>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</si>
  <si>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</si>
  <si>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</si>
  <si>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</si>
  <si>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</si>
  <si>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</si>
  <si>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</si>
  <si>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</si>
  <si>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</si>
  <si>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</si>
  <si>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</si>
  <si>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</si>
  <si>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</si>
  <si>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</si>
  <si>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</si>
  <si>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</si>
  <si>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</si>
  <si>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</si>
  <si>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</si>
  <si>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</si>
  <si>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</si>
  <si>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</si>
  <si>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</si>
  <si>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</si>
  <si>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</si>
  <si>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</si>
  <si>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</si>
  <si>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</si>
  <si>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</si>
  <si>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</si>
  <si>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</si>
  <si>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</si>
  <si>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</si>
  <si>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</si>
  <si>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</si>
  <si>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</si>
  <si>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</si>
  <si>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</si>
  <si>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</si>
  <si>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</si>
  <si>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</si>
  <si>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</si>
  <si>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</si>
  <si>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</si>
  <si>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</si>
  <si>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</si>
  <si>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</si>
  <si>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</si>
  <si>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</si>
  <si>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</si>
  <si>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</si>
  <si>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</si>
  <si>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</si>
  <si>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</si>
  <si>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</si>
  <si>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</si>
  <si>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</si>
  <si>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</si>
  <si>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</si>
  <si>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</si>
  <si>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</si>
  <si>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</si>
  <si>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</si>
  <si>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</si>
  <si>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</si>
  <si>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</si>
  <si>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</si>
  <si>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</si>
  <si>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</si>
  <si>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</si>
  <si>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</si>
  <si>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</si>
  <si>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</si>
  <si>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</si>
  <si>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</si>
  <si>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</si>
  <si>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</si>
  <si>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</si>
  <si>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</si>
  <si>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</si>
  <si>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</si>
  <si>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</si>
  <si>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</si>
  <si>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</si>
  <si>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</si>
  <si>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</si>
  <si>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</si>
  <si>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</si>
  <si>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</si>
  <si>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</si>
  <si>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</si>
  <si>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</si>
  <si>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</si>
  <si>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</si>
  <si>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</si>
  <si>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</si>
  <si>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</si>
  <si>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</si>
  <si>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</si>
  <si>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</si>
  <si>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</si>
  <si>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</si>
  <si>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</si>
  <si>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</si>
  <si>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</si>
  <si>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</si>
  <si>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</si>
  <si>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</si>
  <si>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</si>
  <si>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</si>
  <si>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</si>
  <si>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</si>
  <si>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</si>
  <si>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</si>
  <si>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</si>
  <si>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</si>
  <si>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</si>
  <si>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</si>
  <si>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</si>
  <si>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</si>
  <si>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</si>
  <si>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</si>
  <si>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</si>
  <si>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</si>
  <si>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</si>
  <si>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</si>
  <si>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</si>
  <si>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</si>
  <si>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</si>
  <si>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</si>
  <si>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</si>
  <si>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</si>
  <si>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</si>
  <si>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</si>
  <si>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</si>
  <si>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</si>
  <si>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</si>
  <si>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</si>
  <si>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</si>
  <si>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</si>
  <si>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</si>
  <si>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</si>
  <si>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</si>
  <si>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</si>
  <si>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</si>
  <si>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</si>
  <si>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</si>
  <si>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</si>
  <si>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</si>
  <si>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</si>
  <si>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</si>
  <si>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</si>
  <si>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</si>
  <si>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</si>
  <si>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</si>
  <si>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</si>
  <si>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</si>
  <si>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</si>
  <si>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</si>
  <si>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</si>
  <si>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</si>
  <si>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</si>
  <si>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</si>
  <si>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</si>
  <si>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</si>
  <si>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</si>
  <si>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</si>
  <si>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</si>
  <si>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</si>
  <si>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</si>
  <si>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</si>
  <si>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</si>
  <si>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</si>
  <si>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</si>
  <si>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</si>
  <si>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</si>
  <si>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</si>
  <si>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</si>
  <si>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</si>
  <si>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</si>
  <si>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</si>
  <si>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</si>
  <si>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</si>
  <si>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</si>
  <si>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</si>
  <si>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</si>
  <si>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</si>
  <si>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</si>
  <si>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</si>
  <si>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</si>
  <si>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</si>
  <si>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</si>
  <si>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</si>
  <si>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</si>
  <si>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</si>
  <si>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</si>
  <si>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</si>
  <si>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</si>
  <si>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</si>
  <si>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</si>
  <si>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</si>
  <si>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</si>
  <si>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</si>
  <si>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</si>
  <si>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</si>
  <si>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</si>
  <si>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</si>
  <si>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</si>
  <si>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</si>
  <si>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</si>
  <si>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AVISO EN BANNER 13 ONZAS MATE, DE 7, 00m X 1,00m, CON OJALETES Y ARANDELAS METÁLICAS DE 3/8, HORIZONTALES Y VERTICALES CADA 50 CM.</t>
  </si>
  <si>
    <t>AVISO EN BANNER 13 ONZAS MATE, DE 5,00m X 1,00m, CON OJALETES Y ARANDELAS METÁLICAS DE 3/8, HORIZONTALES Y VERTICALES CADA 50 CM.</t>
  </si>
  <si>
    <t xml:space="preserve">VALLA MÓVIL DE PISO, UNA CARA, DE 1.80M X 1.20M, EN LÁMINA GALVANIZADA CALIBRE 20, ÁNGULO EN HIERRO DE 2 X 1-1/8" IMPRESO EN VINILO ADHESIVO. IMPRESIÓN 720 DPI; TINTAS PARA EXTERIORES. </t>
  </si>
  <si>
    <t>VALLA MÓVIL DE PISO, UNA CARA, DE 1.80M X 1.20M, EN VINILO ADHESIVO SOBRE ALUCOBOND DE 4MM, ÁNGULO EN HIERRO DE 2 X 1-1/8".  IMPRESIÓN 720 DPI; TINTAS PARA EXTERIORES.</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</si>
  <si>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</si>
  <si>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</si>
  <si>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</si>
  <si>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</si>
  <si>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</si>
  <si>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</si>
  <si>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</si>
  <si>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</si>
  <si>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</si>
  <si>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</si>
  <si>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</si>
  <si>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</si>
  <si>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</si>
  <si>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</si>
  <si>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</si>
  <si>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</si>
  <si>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</si>
  <si>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</si>
  <si>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</si>
  <si>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</si>
  <si>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</si>
  <si>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</si>
  <si>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</si>
  <si>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</si>
  <si>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</si>
  <si>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</si>
  <si>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</si>
  <si>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</si>
  <si>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</si>
  <si>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</si>
  <si>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</si>
  <si>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</si>
  <si>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</si>
  <si>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</si>
  <si>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</si>
  <si>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</si>
  <si>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</si>
  <si>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</si>
  <si>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</si>
  <si>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</si>
  <si>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</si>
  <si>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</si>
  <si>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</si>
  <si>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</si>
  <si>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</si>
  <si>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</si>
  <si>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</si>
  <si>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</si>
  <si>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</si>
  <si>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</si>
  <si>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</si>
  <si>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</si>
  <si>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</si>
  <si>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</si>
  <si>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</si>
  <si>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</si>
  <si>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</si>
  <si>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</si>
  <si>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</si>
  <si>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</si>
  <si>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</si>
  <si>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</si>
  <si>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</si>
  <si>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</si>
  <si>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</si>
  <si>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</si>
  <si>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</si>
  <si>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</si>
  <si>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</si>
  <si>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</si>
  <si>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</si>
  <si>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</si>
  <si>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</si>
  <si>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</si>
  <si>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Precio</t>
  </si>
  <si>
    <t xml:space="preserve">Fecha de Actualización </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</si>
  <si>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</si>
  <si>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</si>
  <si>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</si>
  <si>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</si>
  <si>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</si>
  <si>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</si>
  <si>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</si>
  <si>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</si>
  <si>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</si>
  <si>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</si>
  <si>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</si>
  <si>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</si>
  <si>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</si>
  <si>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</si>
  <si>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</si>
  <si>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</si>
  <si>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</si>
  <si>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</si>
  <si>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</si>
  <si>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MADERA (CAMILLA  0.73x1.4m, CRUCETA, CERCHA, PARAL CORTO)</t>
  </si>
  <si>
    <t>M2/MES</t>
  </si>
  <si>
    <t>FORMALETA MADERA PARA TAPAS-CAJAS Y CAMARAS</t>
  </si>
  <si>
    <t>DUCTO TELEFONICO LIVIANO PVC TIPO EB D=3"</t>
  </si>
  <si>
    <t>DUCTO TELEFONICO LIVIANO PVC TIPO EB D=4"</t>
  </si>
  <si>
    <t>DUCTO PVC TIPO TDP D=3"</t>
  </si>
  <si>
    <t>DUCTO PVC TIPO TDP D=4"</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</si>
  <si>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</si>
  <si>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</si>
  <si>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</si>
  <si>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</si>
  <si>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</si>
  <si>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</si>
  <si>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</si>
  <si>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</si>
  <si>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</si>
  <si>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</si>
  <si>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</si>
  <si>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</si>
  <si>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</si>
  <si>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</si>
  <si>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</si>
  <si>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</si>
  <si>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</si>
  <si>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</si>
  <si>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</si>
  <si>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</si>
  <si>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</si>
  <si>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</si>
  <si>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</si>
  <si>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</si>
  <si>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</si>
  <si>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</si>
  <si>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</si>
  <si>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</si>
  <si>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</si>
  <si>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</si>
  <si>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</si>
  <si>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</si>
  <si>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</si>
  <si>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</si>
  <si>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</si>
  <si>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</si>
  <si>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</si>
  <si>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</si>
  <si>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</si>
  <si>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</si>
  <si>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</si>
  <si>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</si>
  <si>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</si>
  <si>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</si>
  <si>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</si>
  <si>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</si>
  <si>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</si>
  <si>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</si>
  <si>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</si>
  <si>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</si>
  <si>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</si>
  <si>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</si>
  <si>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</si>
  <si>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</si>
  <si>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</si>
  <si>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</si>
  <si>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</si>
  <si>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</si>
  <si>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</si>
  <si>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</si>
  <si>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</si>
  <si>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</si>
  <si>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</si>
  <si>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</si>
  <si>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</si>
  <si>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</si>
  <si>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</si>
  <si>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</si>
  <si>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</si>
  <si>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</si>
  <si>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</si>
  <si>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</si>
  <si>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</si>
  <si>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</si>
  <si>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</si>
  <si>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</si>
  <si>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</si>
  <si>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</si>
  <si>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</si>
  <si>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</si>
  <si>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</si>
  <si>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</si>
  <si>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</si>
  <si>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</si>
  <si>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</si>
  <si>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</si>
  <si>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</si>
  <si>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</si>
  <si>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</si>
  <si>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</si>
  <si>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</si>
  <si>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</si>
  <si>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</si>
  <si>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</si>
  <si>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</si>
  <si>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</si>
  <si>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</si>
  <si>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</si>
  <si>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</si>
  <si>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</si>
  <si>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</si>
  <si>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</si>
  <si>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</si>
  <si>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</si>
  <si>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</si>
  <si>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</si>
  <si>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</si>
  <si>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</si>
  <si>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</si>
  <si>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</si>
  <si>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</si>
  <si>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</si>
  <si>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</si>
  <si>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</si>
  <si>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</si>
  <si>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</si>
  <si>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</si>
  <si>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</si>
  <si>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</si>
  <si>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</si>
  <si>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</si>
  <si>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</si>
  <si>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</si>
  <si>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</si>
  <si>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</si>
  <si>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</si>
  <si>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</si>
  <si>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</si>
  <si>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</si>
  <si>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</si>
  <si>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</si>
  <si>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</si>
  <si>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</si>
  <si>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</si>
  <si>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</si>
  <si>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</si>
  <si>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</si>
  <si>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</si>
  <si>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</si>
  <si>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</si>
  <si>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</si>
  <si>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</si>
  <si>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</si>
  <si>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</si>
  <si>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</si>
  <si>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</si>
  <si>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</si>
  <si>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</si>
  <si>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</si>
  <si>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</si>
  <si>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</si>
  <si>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</si>
  <si>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</si>
  <si>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</si>
  <si>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</si>
  <si>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</si>
  <si>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</si>
  <si>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</si>
  <si>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</si>
  <si>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</si>
  <si>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</si>
  <si>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</si>
  <si>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</si>
  <si>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</si>
  <si>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</si>
  <si>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</si>
  <si>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</si>
  <si>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</si>
  <si>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</si>
  <si>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</si>
  <si>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</si>
  <si>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</si>
  <si>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</si>
  <si>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</si>
  <si>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</si>
  <si>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</si>
  <si>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</si>
  <si>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</si>
  <si>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</si>
  <si>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</si>
  <si>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</si>
  <si>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</si>
  <si>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</si>
  <si>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</si>
  <si>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</si>
  <si>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</si>
  <si>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</si>
  <si>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</si>
  <si>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</si>
  <si>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</si>
  <si>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</si>
  <si>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</si>
  <si>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</si>
  <si>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</si>
  <si>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</si>
  <si>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</si>
  <si>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</si>
  <si>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</si>
  <si>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</si>
  <si>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</si>
  <si>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</si>
  <si>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</si>
  <si>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</si>
  <si>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</si>
  <si>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</si>
  <si>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</si>
  <si>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</si>
  <si>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</si>
  <si>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</si>
  <si>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</si>
  <si>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</si>
  <si>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</si>
  <si>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</si>
  <si>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</si>
  <si>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</si>
  <si>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</si>
  <si>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</si>
  <si>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</si>
  <si>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</si>
  <si>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</si>
  <si>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</si>
  <si>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</si>
  <si>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</si>
  <si>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</si>
  <si>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</si>
  <si>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</si>
  <si>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</si>
  <si>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</si>
  <si>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</si>
  <si>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</si>
  <si>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</si>
  <si>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</si>
  <si>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</si>
  <si>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</si>
  <si>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</si>
  <si>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</si>
  <si>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</si>
  <si>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</si>
  <si>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</si>
  <si>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</si>
  <si>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</si>
  <si>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</si>
  <si>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</si>
  <si>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</si>
  <si>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</si>
  <si>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</si>
  <si>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</si>
  <si>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</si>
  <si>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</si>
  <si>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</si>
  <si>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</si>
  <si>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</si>
  <si>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</si>
  <si>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</si>
  <si>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</si>
  <si>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</si>
  <si>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</si>
  <si>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</si>
  <si>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</si>
  <si>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</si>
  <si>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</si>
  <si>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</si>
  <si>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</si>
  <si>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</si>
  <si>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</si>
  <si>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</si>
  <si>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</si>
  <si>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</si>
  <si>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</si>
  <si>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</si>
  <si>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</si>
  <si>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</si>
  <si>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</si>
  <si>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</si>
  <si>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</si>
  <si>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</si>
  <si>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</si>
  <si>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</si>
  <si>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</si>
  <si>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</si>
  <si>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</si>
  <si>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</si>
  <si>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</si>
  <si>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</si>
  <si>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</si>
  <si>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</si>
  <si>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</si>
  <si>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</si>
  <si>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</si>
  <si>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</si>
  <si>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</si>
  <si>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</si>
  <si>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</si>
  <si>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</si>
  <si>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</si>
  <si>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</si>
  <si>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</si>
  <si>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</si>
  <si>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</si>
  <si>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</si>
  <si>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</si>
  <si>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</si>
  <si>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</si>
  <si>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</si>
  <si>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</si>
  <si>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</si>
  <si>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</si>
  <si>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</si>
  <si>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</si>
  <si>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</si>
  <si>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</si>
  <si>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</si>
  <si>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</si>
  <si>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</si>
  <si>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</si>
  <si>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</si>
  <si>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</si>
  <si>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</si>
  <si>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</si>
  <si>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</si>
  <si>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</si>
  <si>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</si>
  <si>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</si>
  <si>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</si>
  <si>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</si>
  <si>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</si>
  <si>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</si>
  <si>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</si>
  <si>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</si>
  <si>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</si>
  <si>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</si>
  <si>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</si>
  <si>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</si>
  <si>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</si>
  <si>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</si>
  <si>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</si>
  <si>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</si>
  <si>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</si>
  <si>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</si>
  <si>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</si>
  <si>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</si>
  <si>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</si>
  <si>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</si>
  <si>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</si>
  <si>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</si>
  <si>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</si>
  <si>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</si>
  <si>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</si>
  <si>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</si>
  <si>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</si>
  <si>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</si>
  <si>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</si>
  <si>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</si>
  <si>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</si>
  <si>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</si>
  <si>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</si>
  <si>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</si>
  <si>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</si>
  <si>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</si>
  <si>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</si>
  <si>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</si>
  <si>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</si>
  <si>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</si>
  <si>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</si>
  <si>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</si>
  <si>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</si>
  <si>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</si>
  <si>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</si>
  <si>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</si>
  <si>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</si>
  <si>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</si>
  <si>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</si>
  <si>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</si>
  <si>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</si>
  <si>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</si>
  <si>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</si>
  <si>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</si>
  <si>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</si>
  <si>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</si>
  <si>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</si>
  <si>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</si>
  <si>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</si>
  <si>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</si>
  <si>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</si>
  <si>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</si>
  <si>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</si>
  <si>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</si>
  <si>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</si>
  <si>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</si>
  <si>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</si>
  <si>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</si>
  <si>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</si>
  <si>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</si>
  <si>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</si>
  <si>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</si>
  <si>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</si>
  <si>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</si>
  <si>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</si>
  <si>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</si>
  <si>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</si>
  <si>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</si>
  <si>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</si>
  <si>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</si>
  <si>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</si>
  <si>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</si>
  <si>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</si>
  <si>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</si>
  <si>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</si>
  <si>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</si>
  <si>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</si>
  <si>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</si>
  <si>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</si>
  <si>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</si>
  <si>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</si>
  <si>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</si>
  <si>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</si>
  <si>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</si>
  <si>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</si>
  <si>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</si>
  <si>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</si>
  <si>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</si>
  <si>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</si>
  <si>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</si>
  <si>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</si>
  <si>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</si>
  <si>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</si>
  <si>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</si>
  <si>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</si>
  <si>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</si>
  <si>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</si>
  <si>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</si>
  <si>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</si>
  <si>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</si>
  <si>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</si>
  <si>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</si>
  <si>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</si>
  <si>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</si>
  <si>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</si>
  <si>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</si>
  <si>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</si>
  <si>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</si>
  <si>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</si>
  <si>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</si>
  <si>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</si>
  <si>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</si>
  <si>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</si>
  <si>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</si>
  <si>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</si>
  <si>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</si>
  <si>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</si>
  <si>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</si>
  <si>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</si>
  <si>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</si>
  <si>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</si>
  <si>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</si>
  <si>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</si>
  <si>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</si>
  <si>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</si>
  <si>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</si>
  <si>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</si>
  <si>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</si>
  <si>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</si>
  <si>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</si>
  <si>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</si>
  <si>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</si>
  <si>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</si>
  <si>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</si>
  <si>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</si>
  <si>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</si>
  <si>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</si>
  <si>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</si>
  <si>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</si>
  <si>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</si>
  <si>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</si>
  <si>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</si>
  <si>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</si>
  <si>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</si>
  <si>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</si>
  <si>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</si>
  <si>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</si>
  <si>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</si>
  <si>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</si>
  <si>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</si>
  <si>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</si>
  <si>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</si>
  <si>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</si>
  <si>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</si>
  <si>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</si>
  <si>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</si>
  <si>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</si>
  <si>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</si>
  <si>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</si>
  <si>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</si>
  <si>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</si>
  <si>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</si>
  <si>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</si>
  <si>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</si>
  <si>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</si>
  <si>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</si>
  <si>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</si>
  <si>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</si>
  <si>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</si>
  <si>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</si>
  <si>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</si>
  <si>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</si>
  <si>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</si>
  <si>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</si>
  <si>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</si>
  <si>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</si>
  <si>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</si>
  <si>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</si>
  <si>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</si>
  <si>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</si>
  <si>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</si>
  <si>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</si>
  <si>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</si>
  <si>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</si>
  <si>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</si>
  <si>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</si>
  <si>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</si>
  <si>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</si>
  <si>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</si>
  <si>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</si>
  <si>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</si>
  <si>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</si>
  <si>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</si>
  <si>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</si>
  <si>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</si>
  <si>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</si>
  <si>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</si>
  <si>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</si>
  <si>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</si>
  <si>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</si>
  <si>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</si>
  <si>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</si>
  <si>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</si>
  <si>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</si>
  <si>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</si>
  <si>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</si>
  <si>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</si>
  <si>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</si>
  <si>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</si>
  <si>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</si>
  <si>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</si>
  <si>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</si>
  <si>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</si>
  <si>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</si>
  <si>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</si>
  <si>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</si>
  <si>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</si>
  <si>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</si>
  <si>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</si>
  <si>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</si>
  <si>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</si>
  <si>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</si>
  <si>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</si>
  <si>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</si>
  <si>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</si>
  <si>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</si>
  <si>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</si>
  <si>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</si>
  <si>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</si>
  <si>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</si>
  <si>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</si>
  <si>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</si>
  <si>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</si>
  <si>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</si>
  <si>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</si>
  <si>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</si>
  <si>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</si>
  <si>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</si>
  <si>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</si>
  <si>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</si>
  <si>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</si>
  <si>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</si>
  <si>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</si>
  <si>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</si>
  <si>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</si>
  <si>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</si>
  <si>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</si>
  <si>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</si>
  <si>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</si>
  <si>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</si>
  <si>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</si>
  <si>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</si>
  <si>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</si>
  <si>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</si>
  <si>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</si>
  <si>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</si>
  <si>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</si>
  <si>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</si>
  <si>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</si>
  <si>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</si>
  <si>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</si>
  <si>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</si>
  <si>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</si>
  <si>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</si>
  <si>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CARROTANQUE IRRIGADOR DE ASFALTO - VOLUMEN DEL TANQUE DE 4500 A 6000 LITROS</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</si>
  <si>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</si>
  <si>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</si>
  <si>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</si>
  <si>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</si>
  <si>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</si>
  <si>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</si>
  <si>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</si>
  <si>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</si>
  <si>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</si>
  <si>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</si>
  <si>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</si>
  <si>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</si>
  <si>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</si>
  <si>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</si>
  <si>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</si>
  <si>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</si>
  <si>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</si>
  <si>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</si>
  <si>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</si>
  <si>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</si>
  <si>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</si>
  <si>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</si>
  <si>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</si>
  <si>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</si>
  <si>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</si>
  <si>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</si>
  <si>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</si>
  <si>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</si>
  <si>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</si>
  <si>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</si>
  <si>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</si>
  <si>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</si>
  <si>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</si>
  <si>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</si>
  <si>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</si>
  <si>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</si>
  <si>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</si>
  <si>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</si>
  <si>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</si>
  <si>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</si>
  <si>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</si>
  <si>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</si>
  <si>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</si>
  <si>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</si>
  <si>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</si>
  <si>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</si>
  <si>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</si>
  <si>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</si>
  <si>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</si>
  <si>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</si>
  <si>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</si>
  <si>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</si>
  <si>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</si>
  <si>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</si>
  <si>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</si>
  <si>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</si>
  <si>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</si>
  <si>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</si>
  <si>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</si>
  <si>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</si>
  <si>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</si>
  <si>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</si>
  <si>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</si>
  <si>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</si>
  <si>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</si>
  <si>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</si>
  <si>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</si>
  <si>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</si>
  <si>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</si>
  <si>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</si>
  <si>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</si>
  <si>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</si>
  <si>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</si>
  <si>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</si>
  <si>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</si>
  <si>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</si>
  <si>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</si>
  <si>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</si>
  <si>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</si>
  <si>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</si>
  <si>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</si>
  <si>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</si>
  <si>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</si>
  <si>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</si>
  <si>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</si>
  <si>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</si>
  <si>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</si>
  <si>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</si>
  <si>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</si>
  <si>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</si>
  <si>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</si>
  <si>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</si>
  <si>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</si>
  <si>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</si>
  <si>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</si>
  <si>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</si>
  <si>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</si>
  <si>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</si>
  <si>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</si>
  <si>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</si>
  <si>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</si>
  <si>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</si>
  <si>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</si>
  <si>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</si>
  <si>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</si>
  <si>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</si>
  <si>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</si>
  <si>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</si>
  <si>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</si>
  <si>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</si>
  <si>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</si>
  <si>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</si>
  <si>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</si>
  <si>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</si>
  <si>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</si>
  <si>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</si>
  <si>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</si>
  <si>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</si>
  <si>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</si>
  <si>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</si>
  <si>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</si>
  <si>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</si>
  <si>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</si>
  <si>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</si>
  <si>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</si>
  <si>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</si>
  <si>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</si>
  <si>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</si>
  <si>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</si>
  <si>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</si>
  <si>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</si>
  <si>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</si>
  <si>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</si>
  <si>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</si>
  <si>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</si>
  <si>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</si>
  <si>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</si>
  <si>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</si>
  <si>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</si>
  <si>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</si>
  <si>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</si>
  <si>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</si>
  <si>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</si>
  <si>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</si>
  <si>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</si>
  <si>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</si>
  <si>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</si>
  <si>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</si>
  <si>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</si>
  <si>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</si>
  <si>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</si>
  <si>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</si>
  <si>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</si>
  <si>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</si>
  <si>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</si>
  <si>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</si>
  <si>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</si>
  <si>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</si>
  <si>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</si>
  <si>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</si>
  <si>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</si>
  <si>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</si>
  <si>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</si>
  <si>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</si>
  <si>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</si>
  <si>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</si>
  <si>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</si>
  <si>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</si>
  <si>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</si>
  <si>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</si>
  <si>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</si>
  <si>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</si>
  <si>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</si>
  <si>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</si>
  <si>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</si>
  <si>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</si>
  <si>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</si>
  <si>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</si>
  <si>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</si>
  <si>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</si>
  <si>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</si>
  <si>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</si>
  <si>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</si>
  <si>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</si>
  <si>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</si>
  <si>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</si>
  <si>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</si>
  <si>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</si>
  <si>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</si>
  <si>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</si>
  <si>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</si>
  <si>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</si>
  <si>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</si>
  <si>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</si>
  <si>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</si>
  <si>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</si>
  <si>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</si>
  <si>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</si>
  <si>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</si>
  <si>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</si>
  <si>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</si>
  <si>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</si>
  <si>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</si>
  <si>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</si>
  <si>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</si>
  <si>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</si>
  <si>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</si>
  <si>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</si>
  <si>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</si>
  <si>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</si>
  <si>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</si>
  <si>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</si>
  <si>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</si>
  <si>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</si>
  <si>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</si>
  <si>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</si>
  <si>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</si>
  <si>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</si>
  <si>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</si>
  <si>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</si>
  <si>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</si>
  <si>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</si>
  <si>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</si>
  <si>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</si>
  <si>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</si>
  <si>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</si>
  <si>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</si>
  <si>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</si>
  <si>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</si>
  <si>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</si>
  <si>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</si>
  <si>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</si>
  <si>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</si>
  <si>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</si>
  <si>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</si>
  <si>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</si>
  <si>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</si>
  <si>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</si>
  <si>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</si>
  <si>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</si>
  <si>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</si>
  <si>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</si>
  <si>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</si>
  <si>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</si>
  <si>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</si>
  <si>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</si>
  <si>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</si>
  <si>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</si>
  <si>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</si>
  <si>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</si>
  <si>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</si>
  <si>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</si>
  <si>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</si>
  <si>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</si>
  <si>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</si>
  <si>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</si>
  <si>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</si>
  <si>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</si>
  <si>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</si>
  <si>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</si>
  <si>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</si>
  <si>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</si>
  <si>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</si>
  <si>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</si>
  <si>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</si>
  <si>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</si>
  <si>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</si>
  <si>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</si>
  <si>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</si>
  <si>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</si>
  <si>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</si>
  <si>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</si>
  <si>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</si>
  <si>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</si>
  <si>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</si>
  <si>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</si>
  <si>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</si>
  <si>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</si>
  <si>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</si>
  <si>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</si>
  <si>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</si>
  <si>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</si>
  <si>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</si>
  <si>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</si>
  <si>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</si>
  <si>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</si>
  <si>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</si>
  <si>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</si>
  <si>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</si>
  <si>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</si>
  <si>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</si>
  <si>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</si>
  <si>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</si>
  <si>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</si>
  <si>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</si>
  <si>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</si>
  <si>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</si>
  <si>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</si>
  <si>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</si>
  <si>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</si>
  <si>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</si>
  <si>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</si>
  <si>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</si>
  <si>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</si>
  <si>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</si>
  <si>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</si>
  <si>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</si>
  <si>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</si>
  <si>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</si>
  <si>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</si>
  <si>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</si>
  <si>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</si>
  <si>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</si>
  <si>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</si>
  <si>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</si>
  <si>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</si>
  <si>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</si>
  <si>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</si>
  <si>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</si>
  <si>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</si>
  <si>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</si>
  <si>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</si>
  <si>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</si>
  <si>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</si>
  <si>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</si>
  <si>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</si>
  <si>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</si>
  <si>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</si>
  <si>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</si>
  <si>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</si>
  <si>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</si>
  <si>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</si>
  <si>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</si>
  <si>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</si>
  <si>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</si>
  <si>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</si>
  <si>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</si>
  <si>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</si>
  <si>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</si>
  <si>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</si>
  <si>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</si>
  <si>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</si>
  <si>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</si>
  <si>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</si>
  <si>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</si>
  <si>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</si>
  <si>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</si>
  <si>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</si>
  <si>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</si>
  <si>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</si>
  <si>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</si>
  <si>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</si>
  <si>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</si>
  <si>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</si>
  <si>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</si>
  <si>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</si>
  <si>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</si>
  <si>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</si>
  <si>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</si>
  <si>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</si>
  <si>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</si>
  <si>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</si>
  <si>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</si>
  <si>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</si>
  <si>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</si>
  <si>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</si>
  <si>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</si>
  <si>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</si>
  <si>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</si>
  <si>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</si>
  <si>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</si>
  <si>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</si>
  <si>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</si>
  <si>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</si>
  <si>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</si>
  <si>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</si>
  <si>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</si>
  <si>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</si>
  <si>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</si>
  <si>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</si>
  <si>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</si>
  <si>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</si>
  <si>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</si>
  <si>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</si>
  <si>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</si>
  <si>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</si>
  <si>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</si>
  <si>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</si>
  <si>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</si>
  <si>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</si>
  <si>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</si>
  <si>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</si>
  <si>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</si>
  <si>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</si>
  <si>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</si>
  <si>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</si>
  <si>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</si>
  <si>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</si>
  <si>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</si>
  <si>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</si>
  <si>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</si>
  <si>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</si>
  <si>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</si>
  <si>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</si>
  <si>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</si>
  <si>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</si>
  <si>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</si>
  <si>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</si>
  <si>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</si>
  <si>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</si>
  <si>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</si>
  <si>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</si>
  <si>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</si>
  <si>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</si>
  <si>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</si>
  <si>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</si>
  <si>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</si>
  <si>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</si>
  <si>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</si>
  <si>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</si>
  <si>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</si>
  <si>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</si>
  <si>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</si>
  <si>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</si>
  <si>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</si>
  <si>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</si>
  <si>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</si>
  <si>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</si>
  <si>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</si>
  <si>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</si>
  <si>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</si>
  <si>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</si>
  <si>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</si>
  <si>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</si>
  <si>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</si>
  <si>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</si>
  <si>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</si>
  <si>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</si>
  <si>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</si>
  <si>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</si>
  <si>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</si>
  <si>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</si>
  <si>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</si>
  <si>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</si>
  <si>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</si>
  <si>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</si>
  <si>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</si>
  <si>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</si>
  <si>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</si>
  <si>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</si>
  <si>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</si>
  <si>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</si>
  <si>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</si>
  <si>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</si>
  <si>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</si>
  <si>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</si>
  <si>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</si>
  <si>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</si>
  <si>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</si>
  <si>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</si>
  <si>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</si>
  <si>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</si>
  <si>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</si>
  <si>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</si>
  <si>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</si>
  <si>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</si>
  <si>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</si>
  <si>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</si>
  <si>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</si>
  <si>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</si>
  <si>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</si>
  <si>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</si>
  <si>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</si>
  <si>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</si>
  <si>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</si>
  <si>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</si>
  <si>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</si>
  <si>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</si>
  <si>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</si>
  <si>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</si>
  <si>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</si>
  <si>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</si>
  <si>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</si>
  <si>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</si>
  <si>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</si>
  <si>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</si>
  <si>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</si>
  <si>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</si>
  <si>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</si>
  <si>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</si>
  <si>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</si>
  <si>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</si>
  <si>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</si>
  <si>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</si>
  <si>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</si>
  <si>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</si>
  <si>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</si>
  <si>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</si>
  <si>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</si>
  <si>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</si>
  <si>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</si>
  <si>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</si>
  <si>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</si>
  <si>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</si>
  <si>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</si>
  <si>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</si>
  <si>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</si>
  <si>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</si>
  <si>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</si>
  <si>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</si>
  <si>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</si>
  <si>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</si>
  <si>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</si>
  <si>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</si>
  <si>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</si>
  <si>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</si>
  <si>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</si>
  <si>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</si>
  <si>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</si>
  <si>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</si>
  <si>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</si>
  <si>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</si>
  <si>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</si>
  <si>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</si>
  <si>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</si>
  <si>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</si>
  <si>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</si>
  <si>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</si>
  <si>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</si>
  <si>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</si>
  <si>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</si>
  <si>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</si>
  <si>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</si>
  <si>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</si>
  <si>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</si>
  <si>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</si>
  <si>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</si>
  <si>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</si>
  <si>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</si>
  <si>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</si>
  <si>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</si>
  <si>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</si>
  <si>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</si>
  <si>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</si>
  <si>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</si>
  <si>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</si>
  <si>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</si>
  <si>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</si>
  <si>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</si>
  <si>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</si>
  <si>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</si>
  <si>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</si>
  <si>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</si>
  <si>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</si>
  <si>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</si>
  <si>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</si>
  <si>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</si>
  <si>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</si>
  <si>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</si>
  <si>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</si>
  <si>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</si>
  <si>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</si>
  <si>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</si>
  <si>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</si>
  <si>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</si>
  <si>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</si>
  <si>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</si>
  <si>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</si>
  <si>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</si>
  <si>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</si>
  <si>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</si>
  <si>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</si>
  <si>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</si>
  <si>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</si>
  <si>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</si>
  <si>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</si>
  <si>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</si>
  <si>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</si>
  <si>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</si>
  <si>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</si>
  <si>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</si>
  <si>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</si>
  <si>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</si>
  <si>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</si>
  <si>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</si>
  <si>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</si>
  <si>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</si>
  <si>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</si>
  <si>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</si>
  <si>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</si>
  <si>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</si>
  <si>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</si>
  <si>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</si>
  <si>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</si>
  <si>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</si>
  <si>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</si>
  <si>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</si>
  <si>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</si>
  <si>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</si>
  <si>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</si>
  <si>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</si>
  <si>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</si>
  <si>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</si>
  <si>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</si>
  <si>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</si>
  <si>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</si>
  <si>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</si>
  <si>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</si>
  <si>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</si>
  <si>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</si>
  <si>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</si>
  <si>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</si>
  <si>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</si>
  <si>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</si>
  <si>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</si>
  <si>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</si>
  <si>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</si>
  <si>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</si>
  <si>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</si>
  <si>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</si>
  <si>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</si>
  <si>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</si>
  <si>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</si>
  <si>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</si>
  <si>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</si>
  <si>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</si>
  <si>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</si>
  <si>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</si>
  <si>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</si>
  <si>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</si>
  <si>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</si>
  <si>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</si>
  <si>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</si>
  <si>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</si>
  <si>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</si>
  <si>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</si>
  <si>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</si>
  <si>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</si>
  <si>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</si>
  <si>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</si>
  <si>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</si>
  <si>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</si>
  <si>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</si>
  <si>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</si>
  <si>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</si>
  <si>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</si>
  <si>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</si>
  <si>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</si>
  <si>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</si>
  <si>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</si>
  <si>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</si>
  <si>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</si>
  <si>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</si>
  <si>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</si>
  <si>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</si>
  <si>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</si>
  <si>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</si>
  <si>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</si>
  <si>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</si>
  <si>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</si>
  <si>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</si>
  <si>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</si>
  <si>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</si>
  <si>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</si>
  <si>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</si>
  <si>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</si>
  <si>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</si>
  <si>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</si>
  <si>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</si>
  <si>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</si>
  <si>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</si>
  <si>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</si>
  <si>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</si>
  <si>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</si>
  <si>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</si>
  <si>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</si>
  <si>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</si>
  <si>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</si>
  <si>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</si>
  <si>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</si>
  <si>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</si>
  <si>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</si>
  <si>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</si>
  <si>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</si>
  <si>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</si>
  <si>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</si>
  <si>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</si>
  <si>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</si>
  <si>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</si>
  <si>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</si>
  <si>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</si>
  <si>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</si>
  <si>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</si>
  <si>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</si>
  <si>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</si>
  <si>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</si>
  <si>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</si>
  <si>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</si>
  <si>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</si>
  <si>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</si>
  <si>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</si>
  <si>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</si>
  <si>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</si>
  <si>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</si>
  <si>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</si>
  <si>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</si>
  <si>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</si>
  <si>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</si>
  <si>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</si>
  <si>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</si>
  <si>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</si>
  <si>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</si>
  <si>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</si>
  <si>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REGISTRO DE PASO DIRECTO TIPO PESADO 1/2" EN BRONCE</t>
  </si>
  <si>
    <t>TRANSFORMADOR TRIFASICO SECO 150 KVA, 11400 V - 208/120 V</t>
  </si>
  <si>
    <t>CONECTORES PLUG RJ 45 PARA CABLE UTP</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</si>
  <si>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</si>
  <si>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</si>
  <si>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</si>
  <si>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</si>
  <si>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</si>
  <si>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</si>
  <si>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</si>
  <si>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</si>
  <si>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</si>
  <si>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</si>
  <si>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</si>
  <si>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</si>
  <si>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</si>
  <si>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</si>
  <si>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</si>
  <si>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</si>
  <si>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</si>
  <si>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</si>
  <si>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</si>
  <si>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</si>
  <si>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</si>
  <si>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</si>
  <si>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</si>
  <si>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</si>
  <si>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</si>
  <si>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</si>
  <si>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</si>
  <si>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</si>
  <si>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</si>
  <si>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</si>
  <si>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</si>
  <si>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</si>
  <si>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</si>
  <si>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</si>
  <si>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</si>
  <si>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</si>
  <si>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</si>
  <si>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</si>
  <si>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</si>
  <si>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</si>
  <si>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</si>
  <si>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</si>
  <si>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</si>
  <si>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</si>
  <si>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</si>
  <si>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</si>
  <si>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</si>
  <si>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</si>
  <si>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</si>
  <si>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</si>
  <si>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</si>
  <si>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</si>
  <si>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</si>
  <si>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</si>
  <si>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</si>
  <si>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</si>
  <si>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</si>
  <si>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</si>
  <si>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</si>
  <si>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</si>
  <si>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</si>
  <si>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</si>
  <si>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</si>
  <si>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</si>
  <si>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</si>
  <si>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</si>
  <si>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</si>
  <si>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</si>
  <si>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</si>
  <si>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</si>
  <si>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</si>
  <si>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</si>
  <si>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</si>
  <si>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</si>
  <si>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</si>
  <si>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</si>
  <si>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</si>
  <si>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</si>
  <si>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</si>
  <si>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</si>
  <si>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</si>
  <si>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</si>
  <si>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</si>
  <si>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</si>
  <si>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</si>
  <si>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</si>
  <si>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</si>
  <si>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</si>
  <si>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</si>
  <si>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</si>
  <si>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SIFON PVC 135° D=3"</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</si>
  <si>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</si>
  <si>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</si>
  <si>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</si>
  <si>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</si>
  <si>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</si>
  <si>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</si>
  <si>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</si>
  <si>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</si>
  <si>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</si>
  <si>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</si>
  <si>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</si>
  <si>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</si>
  <si>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</si>
  <si>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</si>
  <si>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</si>
  <si>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</si>
  <si>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</si>
  <si>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</si>
  <si>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</si>
  <si>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</si>
  <si>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</si>
  <si>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</si>
  <si>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</si>
  <si>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</si>
  <si>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</si>
  <si>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</si>
  <si>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</si>
  <si>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</si>
  <si>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</si>
  <si>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</si>
  <si>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</si>
  <si>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</si>
  <si>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</si>
  <si>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</si>
  <si>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</si>
  <si>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</si>
  <si>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</si>
  <si>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</si>
  <si>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</si>
  <si>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</si>
  <si>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</si>
  <si>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</si>
  <si>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</si>
  <si>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</si>
  <si>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</si>
  <si>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</si>
  <si>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</si>
  <si>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</si>
  <si>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</si>
  <si>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</si>
  <si>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</si>
  <si>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</si>
  <si>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</si>
  <si>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</si>
  <si>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</si>
  <si>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</si>
  <si>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</si>
  <si>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</si>
  <si>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</si>
  <si>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</si>
  <si>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</si>
  <si>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</si>
  <si>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</si>
  <si>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</si>
  <si>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</si>
  <si>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</si>
  <si>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</si>
  <si>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</si>
  <si>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</si>
  <si>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</si>
  <si>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</si>
  <si>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</si>
  <si>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</si>
  <si>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</si>
  <si>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</si>
  <si>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</si>
  <si>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</si>
  <si>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ADAPTADOR TERMINAL CAMPANA PVC D= 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</si>
  <si>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</si>
  <si>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</si>
  <si>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</si>
  <si>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</si>
  <si>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</si>
  <si>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</si>
  <si>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</si>
  <si>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</si>
  <si>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</si>
  <si>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</si>
  <si>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</si>
  <si>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</si>
  <si>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</si>
  <si>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</si>
  <si>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</si>
  <si>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</si>
  <si>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</si>
  <si>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</si>
  <si>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</si>
  <si>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</si>
  <si>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</si>
  <si>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</si>
  <si>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</si>
  <si>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</si>
  <si>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</si>
  <si>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</si>
  <si>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</si>
  <si>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</si>
  <si>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</si>
  <si>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</si>
  <si>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</si>
  <si>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</si>
  <si>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</si>
  <si>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</si>
  <si>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</si>
  <si>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</si>
  <si>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</si>
  <si>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</si>
  <si>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</si>
  <si>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</si>
  <si>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</si>
  <si>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</si>
  <si>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</si>
  <si>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</si>
  <si>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</si>
  <si>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</si>
  <si>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</si>
  <si>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</si>
  <si>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</si>
  <si>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</si>
  <si>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</si>
  <si>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</si>
  <si>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</si>
  <si>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</si>
  <si>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</si>
  <si>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</si>
  <si>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</si>
  <si>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</si>
  <si>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</si>
  <si>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</si>
  <si>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</si>
  <si>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</si>
  <si>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</si>
  <si>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</si>
  <si>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</si>
  <si>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</si>
  <si>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</si>
  <si>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</si>
  <si>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</si>
  <si>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</si>
  <si>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</si>
  <si>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</si>
  <si>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</si>
  <si>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</si>
  <si>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</si>
  <si>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</si>
  <si>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</si>
  <si>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</si>
  <si>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</si>
  <si>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</si>
  <si>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</si>
  <si>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</si>
  <si>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</si>
  <si>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</si>
  <si>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</si>
  <si>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</si>
  <si>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</si>
  <si>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</si>
  <si>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</si>
  <si>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</si>
  <si>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</si>
  <si>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</si>
  <si>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</si>
  <si>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</si>
  <si>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</si>
  <si>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</si>
  <si>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</si>
  <si>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</si>
  <si>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</si>
  <si>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</si>
  <si>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</si>
  <si>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</si>
  <si>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</si>
  <si>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</si>
  <si>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</si>
  <si>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</si>
  <si>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</si>
  <si>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</si>
  <si>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</si>
  <si>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</si>
  <si>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</si>
  <si>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</si>
  <si>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</si>
  <si>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</si>
  <si>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</si>
  <si>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</si>
  <si>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</si>
  <si>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</si>
  <si>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4" PE 100, PN16 - RDE 11</t>
  </si>
  <si>
    <t>PORTABRIDA POLIETILENO D= 8" PE 100, PN 16 - RDE 11</t>
  </si>
  <si>
    <t>UNIÓN 6" PE 100, PN16 - RDE 11</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</si>
  <si>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</si>
  <si>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</si>
  <si>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</si>
  <si>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</si>
  <si>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</si>
  <si>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</si>
  <si>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</si>
  <si>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</si>
  <si>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PORTABRIDA POLIETILENO D= 3" PE 100, PN 16 - RDE 11</t>
  </si>
  <si>
    <t>TRAGANTE CÚPULA 3" x 2" EN ALUMINIO</t>
  </si>
  <si>
    <t>PORTABRIDA POLIETILENO D= 6" PE 100, PN 16 - RDE 11</t>
  </si>
  <si>
    <t>CAPACETE METALICO GALVANIZADO IMC DE 6"</t>
  </si>
  <si>
    <t>SOPORTE PARA TUBERÍA DIÁMETRO 3" TIPO "OMEGA"</t>
  </si>
  <si>
    <t>TRANSFORMADOR TIPO PEDESTAL PARA AP DE 75 KVA 11.4/0.380-0.220KV EN ACEITE VEGETAL.</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</si>
  <si>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</si>
  <si>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</si>
  <si>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</si>
  <si>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</si>
  <si>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</si>
  <si>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</si>
  <si>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</si>
  <si>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</si>
  <si>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</si>
  <si>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</si>
  <si>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</si>
  <si>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</si>
  <si>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</si>
  <si>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</si>
  <si>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</si>
  <si>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</si>
  <si>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</si>
  <si>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</si>
  <si>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</si>
  <si>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</si>
  <si>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</si>
  <si>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</si>
  <si>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</si>
  <si>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</si>
  <si>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</si>
  <si>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</si>
  <si>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</si>
  <si>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</si>
  <si>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</si>
  <si>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</si>
  <si>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</si>
  <si>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</si>
  <si>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</si>
  <si>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</si>
  <si>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</si>
  <si>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</si>
  <si>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</si>
  <si>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</si>
  <si>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</si>
  <si>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</si>
  <si>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</si>
  <si>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</si>
  <si>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</si>
  <si>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</si>
  <si>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</si>
  <si>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</si>
  <si>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</si>
  <si>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</si>
  <si>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</si>
  <si>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</si>
  <si>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</si>
  <si>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</si>
  <si>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</si>
  <si>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</si>
  <si>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</si>
  <si>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</si>
  <si>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</si>
  <si>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</si>
  <si>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</si>
  <si>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</si>
  <si>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</si>
  <si>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</si>
  <si>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</si>
  <si>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</si>
  <si>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</si>
  <si>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</si>
  <si>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</si>
  <si>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</si>
  <si>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</si>
  <si>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</si>
  <si>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</si>
  <si>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</si>
  <si>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</si>
  <si>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</si>
  <si>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</si>
  <si>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</si>
  <si>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</si>
  <si>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</si>
  <si>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</si>
  <si>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</si>
  <si>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</si>
  <si>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</si>
  <si>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</si>
  <si>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</si>
  <si>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</si>
  <si>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</si>
  <si>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</si>
  <si>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</si>
  <si>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</si>
  <si>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</si>
  <si>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</si>
  <si>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</si>
  <si>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</si>
  <si>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</si>
  <si>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</si>
  <si>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</si>
  <si>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</si>
  <si>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</si>
  <si>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</si>
  <si>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</si>
  <si>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</si>
  <si>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</si>
  <si>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</si>
  <si>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</si>
  <si>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</si>
  <si>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</si>
  <si>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</si>
  <si>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</si>
  <si>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</si>
  <si>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</si>
  <si>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</si>
  <si>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</si>
  <si>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</si>
  <si>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</si>
  <si>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</si>
  <si>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</si>
  <si>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</si>
  <si>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</si>
  <si>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</si>
  <si>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</si>
  <si>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</si>
  <si>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</si>
  <si>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</si>
  <si>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</si>
  <si>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</si>
  <si>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</si>
  <si>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</si>
  <si>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</si>
  <si>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</si>
  <si>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</si>
  <si>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</si>
  <si>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</si>
  <si>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</si>
  <si>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</si>
  <si>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</si>
  <si>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</si>
  <si>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</si>
  <si>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</si>
  <si>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</si>
  <si>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</si>
  <si>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</si>
  <si>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</si>
  <si>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</si>
  <si>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</si>
  <si>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</si>
  <si>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</si>
  <si>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</si>
  <si>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</si>
  <si>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</si>
  <si>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</si>
  <si>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</si>
  <si>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</si>
  <si>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</si>
  <si>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</si>
  <si>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</si>
  <si>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</si>
  <si>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</si>
  <si>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</si>
  <si>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</si>
  <si>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</si>
  <si>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</si>
  <si>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</si>
  <si>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</si>
  <si>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</si>
  <si>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</si>
  <si>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</si>
  <si>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</si>
  <si>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</si>
  <si>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</si>
  <si>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</si>
  <si>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</si>
  <si>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</si>
  <si>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</si>
  <si>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</si>
  <si>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</si>
  <si>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</si>
  <si>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</si>
  <si>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</si>
  <si>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</si>
  <si>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</si>
  <si>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</si>
  <si>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</si>
  <si>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</si>
  <si>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</si>
  <si>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</si>
  <si>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</si>
  <si>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</si>
  <si>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</si>
  <si>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</si>
  <si>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</si>
  <si>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</si>
  <si>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</si>
  <si>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</si>
  <si>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</si>
  <si>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</si>
  <si>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</si>
  <si>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</si>
  <si>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</si>
  <si>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</si>
  <si>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</si>
  <si>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</si>
  <si>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</si>
  <si>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</si>
  <si>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</si>
  <si>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</si>
  <si>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</si>
  <si>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</si>
  <si>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</si>
  <si>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</si>
  <si>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</si>
  <si>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</si>
  <si>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</si>
  <si>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</si>
  <si>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</si>
  <si>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</si>
  <si>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</si>
  <si>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</si>
  <si>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</si>
  <si>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</si>
  <si>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</si>
  <si>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</si>
  <si>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</si>
  <si>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</si>
  <si>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</si>
  <si>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</si>
  <si>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</si>
  <si>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</si>
  <si>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</si>
  <si>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</si>
  <si>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</si>
  <si>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</si>
  <si>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</si>
  <si>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</si>
  <si>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</si>
  <si>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</si>
  <si>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</si>
  <si>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</si>
  <si>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</si>
  <si>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</si>
  <si>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</si>
  <si>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</si>
  <si>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</si>
  <si>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</si>
  <si>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</si>
  <si>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</si>
  <si>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</si>
  <si>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</si>
  <si>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</si>
  <si>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</si>
  <si>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</si>
  <si>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</si>
  <si>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</si>
  <si>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</si>
  <si>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</si>
  <si>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</si>
  <si>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</si>
  <si>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</si>
  <si>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</si>
  <si>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</si>
  <si>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</si>
  <si>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</si>
  <si>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</si>
  <si>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</si>
  <si>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</si>
  <si>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</si>
  <si>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</si>
  <si>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</si>
  <si>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</si>
  <si>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</si>
  <si>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</si>
  <si>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</si>
  <si>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</si>
  <si>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</si>
  <si>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</si>
  <si>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</si>
  <si>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</si>
  <si>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</si>
  <si>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</si>
  <si>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</si>
  <si>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</si>
  <si>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</si>
  <si>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</si>
  <si>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</si>
  <si>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</si>
  <si>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</si>
  <si>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</si>
  <si>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</si>
  <si>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</si>
  <si>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</si>
  <si>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</si>
  <si>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</si>
  <si>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</si>
  <si>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ACOPLE PARA TUBERIA PVC A PEAD DE 4”</t>
  </si>
  <si>
    <t>ENDURECEDOR COLOR GRIS (4 Kg/m2)</t>
  </si>
  <si>
    <t>ENDURECEDOR COLOR AMARILLO (4 Kg/m2)</t>
  </si>
  <si>
    <t>ENDURECEDOR COLOR SALMON (4 Kg/m2)</t>
  </si>
  <si>
    <t>ENDURECEDOR COLOR OCRE (4 Kg/m2)</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</si>
  <si>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</si>
  <si>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</si>
  <si>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</si>
  <si>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</si>
  <si>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</si>
  <si>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</si>
  <si>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</si>
  <si>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</si>
  <si>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</si>
  <si>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</si>
  <si>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</si>
  <si>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</si>
  <si>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</si>
  <si>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</si>
  <si>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</si>
  <si>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</si>
  <si>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</si>
  <si>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</si>
  <si>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</si>
  <si>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</si>
  <si>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</si>
  <si>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</si>
  <si>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</si>
  <si>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</si>
  <si>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</si>
  <si>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</si>
  <si>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</si>
  <si>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</si>
  <si>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</si>
  <si>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</si>
  <si>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</si>
  <si>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</si>
  <si>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</si>
  <si>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</si>
  <si>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</si>
  <si>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</si>
  <si>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</si>
  <si>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</si>
  <si>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</si>
  <si>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</si>
  <si>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</si>
  <si>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</si>
  <si>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</si>
  <si>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 xml:space="preserve">TOTAL PROYECTO CD </t>
  </si>
  <si>
    <t>CIV</t>
  </si>
  <si>
    <t>DESDE</t>
  </si>
  <si>
    <t>HASTA</t>
  </si>
  <si>
    <t>AIU</t>
  </si>
  <si>
    <t>Cantidad</t>
  </si>
  <si>
    <t>Valor Unitario</t>
  </si>
  <si>
    <t>FECHA:</t>
  </si>
  <si>
    <t>CONTRATO No.</t>
  </si>
  <si>
    <t>COD IDU</t>
  </si>
  <si>
    <t>ÍTEM</t>
  </si>
  <si>
    <t>A. ADMINISTRACIÓN</t>
  </si>
  <si>
    <t>1. COSTOS MENSUALES DE PERSONAL</t>
  </si>
  <si>
    <t>CARGO</t>
  </si>
  <si>
    <t>CATEGORÍA</t>
  </si>
  <si>
    <t>OBRA</t>
  </si>
  <si>
    <t>TOPE SALARIO (MES)</t>
  </si>
  <si>
    <t>FACTOR PRESTACIONAL</t>
  </si>
  <si>
    <t>SALARIO + PRESTACIONES</t>
  </si>
  <si>
    <t>A</t>
  </si>
  <si>
    <t>B</t>
  </si>
  <si>
    <t>C</t>
  </si>
  <si>
    <t>D</t>
  </si>
  <si>
    <t>F=A*B*C*D*E</t>
  </si>
  <si>
    <t>PERSONAL PROFESIONAL (Ingenieros y Otros)</t>
  </si>
  <si>
    <t>DIRECTOR DE OBRA  (No incluye Factor de Prestaciones)</t>
  </si>
  <si>
    <t>RESIDENTE DE OBRA  (No incluye Factor de Prestaciones)</t>
  </si>
  <si>
    <t>ESPECIALISTA REDES HIDROSANITARIAS  (No incluye Factor de Prestaciones)</t>
  </si>
  <si>
    <t>PERSONAL TÉCNICO Y PERSONAL AUXILIAR</t>
  </si>
  <si>
    <t>N/A</t>
  </si>
  <si>
    <t>PERSONAL ADMINISTRATIVO</t>
  </si>
  <si>
    <t>GASTOS OPERACIONALES MENSUALES</t>
  </si>
  <si>
    <t>CANT.</t>
  </si>
  <si>
    <t>AREA (M2)</t>
  </si>
  <si>
    <t>DEDICACIÓN</t>
  </si>
  <si>
    <t>DEDICACIÓN X ÁREA (M2)</t>
  </si>
  <si>
    <t>COSTO ($/M2.MES)</t>
  </si>
  <si>
    <t>N. MESES</t>
  </si>
  <si>
    <t>VALOR ($)</t>
  </si>
  <si>
    <t>SUBTOTAL GASTOS OPERACIONALES MENSUALES</t>
  </si>
  <si>
    <t>TOTAL COSTOS PERSONAL + GASTOS OPERACIONALES POR EL TÉRMINO DE EJECUCIÓN</t>
  </si>
  <si>
    <t>TOTAL COSTOS PERSONAL + GASTOS OPERACIONALES POR EL TÉRMINO DE EJECUCIÓN EN PORCENTAJE DEL COSTO DIRECTO</t>
  </si>
  <si>
    <t>IMPUESTOS</t>
  </si>
  <si>
    <t>DESCRIPCIÓN</t>
  </si>
  <si>
    <t>IMPUESTO</t>
  </si>
  <si>
    <t>Contribución Especial (Impuesto de Guerra Ley 1738 Dic 18-2014 Prórroga 4 años)</t>
  </si>
  <si>
    <t>ICA (Ley 14 6 Jul 1983, Res 219 25 Feb 2004)</t>
  </si>
  <si>
    <t xml:space="preserve">Retefuente </t>
  </si>
  <si>
    <t>Estampilla Unipedagógica (Dec 584 de 19 Dic 2014)</t>
  </si>
  <si>
    <t>SUBTOTAL IMPUESTOS</t>
  </si>
  <si>
    <t>VR. BASE</t>
  </si>
  <si>
    <t>% ASEGURADO</t>
  </si>
  <si>
    <t>VIGENCIA AMPARO (MESES)</t>
  </si>
  <si>
    <t>TASA ASEGURADORA</t>
  </si>
  <si>
    <t>Cumplimiento</t>
  </si>
  <si>
    <t>GARANTÍA ÚNICA</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</si>
  <si>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</si>
  <si>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</si>
  <si>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</si>
  <si>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</si>
  <si>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</si>
  <si>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</si>
  <si>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</si>
  <si>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 xml:space="preserve">I. IMPREVISTOS </t>
  </si>
  <si>
    <t>U. UTILIDAD</t>
  </si>
  <si>
    <t>A.I.U. (ADMINISTRACIÓN, IMPREVISTOS Y UTILIDAD)</t>
  </si>
  <si>
    <t>COD</t>
  </si>
  <si>
    <t>TOPE MÁXIMO SALARIO</t>
  </si>
  <si>
    <t>SMLMV</t>
  </si>
  <si>
    <t>INSTITUTO DE DESARROLLO URBANO IDU</t>
  </si>
  <si>
    <t>"POR LA CUAL SE ESTABLECEN LOS TOPES MÁXIMOS PARA SUELDOS Y DEMÁS GASTOS QUE SE PUEDEN PAGAR EN LOS CONTRATOS DE CONSULTORÍA, POR EL SISTEMA DE COBRO DE COSTOS DIRECTOS MÁS SUELDOS AFECTADOS POR UN MULTIPLICADOR"</t>
  </si>
  <si>
    <t>SALARIO</t>
  </si>
  <si>
    <t>CODIGO IDU</t>
  </si>
  <si>
    <t>PERSONAL</t>
  </si>
  <si>
    <t>CATEGORIA</t>
  </si>
  <si>
    <t>CALENDARIO
SIN EXTRAS</t>
  </si>
  <si>
    <t>PERSONAL PROFESIONAL</t>
  </si>
  <si>
    <t>Categoría 1</t>
  </si>
  <si>
    <t>Categoría 2</t>
  </si>
  <si>
    <t>Categoría 3</t>
  </si>
  <si>
    <t>Categoría 4</t>
  </si>
  <si>
    <t>Categoría 5</t>
  </si>
  <si>
    <t>Categoría 6</t>
  </si>
  <si>
    <t>Categoría 7</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</si>
  <si>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</si>
  <si>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</si>
  <si>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</si>
  <si>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</si>
  <si>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</si>
  <si>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</si>
  <si>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</si>
  <si>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</si>
  <si>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</si>
  <si>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</si>
  <si>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</si>
  <si>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</si>
  <si>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</si>
  <si>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</si>
  <si>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1 horario nocturno - no incluye prestaciones</t>
  </si>
  <si>
    <t>Inspector 2</t>
  </si>
  <si>
    <t>Administrador</t>
  </si>
  <si>
    <t>Auxiliar Administrativo</t>
  </si>
  <si>
    <t>Secretaria 1</t>
  </si>
  <si>
    <t>Secretaria 2</t>
  </si>
  <si>
    <t>PERSONAL AUXILIAR TECNICO</t>
  </si>
  <si>
    <t>Cadenero 1</t>
  </si>
  <si>
    <t>Cadenero 2</t>
  </si>
  <si>
    <t>Secretaria o Motorista</t>
  </si>
  <si>
    <t>PERSONAL DE OBRA</t>
  </si>
  <si>
    <t>Maestro de Obra</t>
  </si>
  <si>
    <t>Oficial</t>
  </si>
  <si>
    <t>Ayudante</t>
  </si>
  <si>
    <t>Plomero-Electrcista</t>
  </si>
  <si>
    <t>Operario</t>
  </si>
  <si>
    <t>CELADURIA</t>
  </si>
  <si>
    <t>ESPECIALISTA EN URBANISMO Y ESPACIO PÚBLICO (No incluye Factor de Prestaciones)</t>
  </si>
  <si>
    <t>PROFESIONAL EN PRESUPUESTO Y PROGRAMACIÓN  (No incluye Factor de Prestaciones)</t>
  </si>
  <si>
    <t xml:space="preserve">DESCRIPCIÓN </t>
  </si>
  <si>
    <t xml:space="preserve">CELADOR ARMADO </t>
  </si>
  <si>
    <t>FORMATO</t>
  </si>
  <si>
    <t>TIPO</t>
  </si>
  <si>
    <t>PROCESO</t>
  </si>
  <si>
    <t>VERSIÓN</t>
  </si>
  <si>
    <t>MATRIZ PARA CÁLCULO DE AIU</t>
  </si>
  <si>
    <t>VIAS</t>
  </si>
  <si>
    <t>ALCALDÍA MAYOR DE BOGOTÁ D.C.</t>
  </si>
  <si>
    <t>COSTO DIRECTO ESTIMADO DE OBRA (CD)</t>
  </si>
  <si>
    <t>TERMINO ESTIMADO DE EJECUCIÓN DE OBRAS</t>
  </si>
  <si>
    <t>CANTIDAD</t>
  </si>
  <si>
    <t>DEDICACIÓN
N TOTAL</t>
  </si>
  <si>
    <t>DEDICACION  -   EJECUCION DE OBRA</t>
  </si>
  <si>
    <t>SUMA DEDICACION</t>
  </si>
  <si>
    <t>MES 1</t>
  </si>
  <si>
    <t>MES 2</t>
  </si>
  <si>
    <t>MES 3</t>
  </si>
  <si>
    <t>MES 4</t>
  </si>
  <si>
    <t>MES 5</t>
  </si>
  <si>
    <t>MES 6</t>
  </si>
  <si>
    <t>MES 7</t>
  </si>
  <si>
    <t>MES 8</t>
  </si>
  <si>
    <t>MES 9</t>
  </si>
  <si>
    <t>MES 10</t>
  </si>
  <si>
    <t>SUBTOTAL COSTOS DE PERSONAL</t>
  </si>
  <si>
    <t>4. IMPUESTOS Y GARANTÍAS</t>
  </si>
  <si>
    <t>Costo directo de obra o valor base</t>
  </si>
  <si>
    <t>GARANTIAS</t>
  </si>
  <si>
    <t>A. ADMINISTRACIÓN (1 + 2 + 3 + 4)</t>
  </si>
  <si>
    <t>NOTA:</t>
  </si>
  <si>
    <t>LA EDICIÓN DE LAS FÓRMULAS COMPROMETE LA RESPONSABILIDAD DEL USUARIO DE LA MATRIZ.</t>
  </si>
  <si>
    <t>ÁREA DE GESTIÓN DE DESARROLLO LOCAL SUBA</t>
  </si>
  <si>
    <t>OFICINA DE INFRAESTRUCTURA DEL FDLS</t>
  </si>
  <si>
    <t xml:space="preserve">DEDICACION     PRELIMINARES </t>
  </si>
  <si>
    <t>MES 11</t>
  </si>
  <si>
    <t>OFICINA DE INFRAESTRUCTURA DEL FDLB</t>
  </si>
  <si>
    <t>PLAN DE GESTIÓN AMBIENTAL, SEGURIDAD Y SALUD EN EL TRABAJO</t>
  </si>
  <si>
    <t>COMPONENTE A - PERSONAL</t>
  </si>
  <si>
    <t>EJECUCIÓN DE OBRA</t>
  </si>
  <si>
    <t>EJECUCIÓN DE OBRAS</t>
  </si>
  <si>
    <t>ÍTEMS</t>
  </si>
  <si>
    <t>UN.</t>
  </si>
  <si>
    <t>CANT/PROFESIONALES</t>
  </si>
  <si>
    <t>DEDIC 
H/MES</t>
  </si>
  <si>
    <t>TOTAL DEDIC H/PROY</t>
  </si>
  <si>
    <t>TARIFA</t>
  </si>
  <si>
    <t>F.P</t>
  </si>
  <si>
    <t>TOTAL ACTIVIDAD</t>
  </si>
  <si>
    <t>RESIDENTE AMBIENTAL</t>
  </si>
  <si>
    <t>RESIDENTE SST</t>
  </si>
  <si>
    <t>BRIGADA DE ORDEN, ASEO Y LIMPIEZA</t>
  </si>
  <si>
    <t>SUBTOTAL COMPONENTE A</t>
  </si>
  <si>
    <t>COMPONTE B. MANEJO DE LA VEGETACION Y DEL PAISAJE</t>
  </si>
  <si>
    <t>ESPECIFICACIÓN</t>
  </si>
  <si>
    <t>VALOR UNITARIO</t>
  </si>
  <si>
    <t>VALOR TOTAL</t>
  </si>
  <si>
    <t>B 1</t>
  </si>
  <si>
    <t>MANEJO DE LA VEGETACION EXISTENTE Y DE ACTIVIDADES DE DISEÑO PAISAJISTICO</t>
  </si>
  <si>
    <t>PROTECCION DE ARBOLES</t>
  </si>
  <si>
    <t>SOPORTE MALLA</t>
  </si>
  <si>
    <t>SUBTOTAL COMPONENTE B</t>
  </si>
  <si>
    <t xml:space="preserve">COMPONTE C. ACTIVIDADES CONSTRUCTIVAS </t>
  </si>
  <si>
    <t>C 1</t>
  </si>
  <si>
    <t xml:space="preserve"> MANEJO DE CAMPAMENTOS Y CENTROS DE ACOPIO</t>
  </si>
  <si>
    <t>CANECAS PARA CAMPAMENTOS Y FRENTES DE OBRA</t>
  </si>
  <si>
    <t>SUBTOTAL DEL PROGRAMA C 1</t>
  </si>
  <si>
    <t>C 2</t>
  </si>
  <si>
    <t>MANEJO DE MATERIALES DE CONSTRUCCIÓN</t>
  </si>
  <si>
    <t>PUNTO DE ACOPIO DE MATERIALES</t>
  </si>
  <si>
    <t>SUBTOTAL DEL PROGRAMA C 2</t>
  </si>
  <si>
    <t>C 3</t>
  </si>
  <si>
    <t>MANEJO INTEGRAL DE RESIDUOS SÓLIDOS</t>
  </si>
  <si>
    <t>ACOPIO TEMPORAL DE RCD EN FRENTES DE OBRA</t>
  </si>
  <si>
    <t>SUBTOTAL DEL PROGRAMA C 3</t>
  </si>
  <si>
    <t>C 4</t>
  </si>
  <si>
    <t>CONTROL DE EMISIONES POR FUENTES DE ÁREA</t>
  </si>
  <si>
    <t>DEMARCACIÓN DEL ÁREA DE TRABAJO</t>
  </si>
  <si>
    <t>SUBTOTAL DEL PROGRAMA C 4</t>
  </si>
  <si>
    <t xml:space="preserve">C 5 </t>
  </si>
  <si>
    <t>MANEJO INTEGRAL DE CUERPOS DE AGUA</t>
  </si>
  <si>
    <t>PROTECCIÓN DE SUMIDEROS</t>
  </si>
  <si>
    <t>SUBTOTAL DEL PROGRAMA C 5</t>
  </si>
  <si>
    <t>SUBTOTAL COMPONENTE C</t>
  </si>
  <si>
    <t>COMPONENTE D. GESTIÓN EN SEGURIDAD Y SALUD EN EL TRABAJO</t>
  </si>
  <si>
    <t>D 1</t>
  </si>
  <si>
    <t>SEGURIDAD Y SALUD EN EL TRABAJO</t>
  </si>
  <si>
    <t>EXÁMENES OCUPACIONALES</t>
  </si>
  <si>
    <t>SUBTOTAL COMPONENTE D</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</si>
  <si>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</si>
  <si>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E. PLAN DE SEÑALIZACIÓN</t>
  </si>
  <si>
    <t>E 1</t>
  </si>
  <si>
    <t>MANEJO SEÑALIZACIÓN FRENTE DE OBRA</t>
  </si>
  <si>
    <t>SEÑALIZACIÓN INTERNA DE EXCAVACIONES, POZOS, VACÍOS</t>
  </si>
  <si>
    <t>SEÑALES DE CAMPAMENTO Y FRENTES DE OBRA</t>
  </si>
  <si>
    <t>SUBTOTAL COMPONENTE E</t>
  </si>
  <si>
    <t>SUBTOTAL COMPONENTES A+B+C+D+E</t>
  </si>
  <si>
    <t>A.I.U.</t>
  </si>
  <si>
    <t>VALOR GLOBAL AMBIENTAL CON AIU : TOTAL COMPONENTES A+B+C+D+E</t>
  </si>
  <si>
    <t>CALCULO DE COMPONENTE PGA Y SST</t>
  </si>
  <si>
    <t>NOTA: EN LOS ITEMS MARCADOS  CON ** EL VALOR TOTAL SE OBTIENE DE MULTIPLICAR LA CANTIDAD POR EL NUMERO DE MESES DE EJECUCION DE OBRA Y POR EL VALOR UNITARIO.</t>
  </si>
  <si>
    <t>ALCALDÍA MAYOR DE BOGOTÁ</t>
  </si>
  <si>
    <t>MATRIZ PARA CÁLCULO DE AIU COMPONENTES</t>
  </si>
  <si>
    <t>TERMINO ESTIMADO DE EJECUCIÓN DE OBRA</t>
  </si>
  <si>
    <t>3. IMPUESTOS Y GARANTÍAS</t>
  </si>
  <si>
    <t>A. ADMINISTRACIÓN (1 + 2 + 3)</t>
  </si>
  <si>
    <t>CÓDIGO</t>
  </si>
  <si>
    <t>Proyectos</t>
  </si>
  <si>
    <t>CONTROL DE INVERSIÓN GESTIÓN SOCIAL PARA OBRAS</t>
  </si>
  <si>
    <t>COMPONENTE</t>
  </si>
  <si>
    <t>Unidad</t>
  </si>
  <si>
    <t>Factor Prestacional</t>
  </si>
  <si>
    <t>Dedicación H/Mes</t>
  </si>
  <si>
    <t>Plazo (Meses)</t>
  </si>
  <si>
    <t>Dedicación Total (Meses)</t>
  </si>
  <si>
    <t>Subtotal</t>
  </si>
  <si>
    <t>A.1</t>
  </si>
  <si>
    <t>A.2</t>
  </si>
  <si>
    <t xml:space="preserve">Asistente Social </t>
  </si>
  <si>
    <t>Subtotal Componente Personal Profesional</t>
  </si>
  <si>
    <t>Componente B.  Plan de Gestión Social</t>
  </si>
  <si>
    <t>Cantidad Obra</t>
  </si>
  <si>
    <t>B.1</t>
  </si>
  <si>
    <t>Programa de Información</t>
  </si>
  <si>
    <t>B.1.1</t>
  </si>
  <si>
    <t>Subtotal Programa de Información</t>
  </si>
  <si>
    <t>B.2</t>
  </si>
  <si>
    <t>Programa de Divulgación al Ciudadano</t>
  </si>
  <si>
    <t>B.2.1</t>
  </si>
  <si>
    <t>B.2.2</t>
  </si>
  <si>
    <t>B.2.3</t>
  </si>
  <si>
    <t>Subtotal Programa de Divulgación al Ciudadano</t>
  </si>
  <si>
    <t>B.3</t>
  </si>
  <si>
    <t>Programa de Atención al Ciudadano</t>
  </si>
  <si>
    <t>B.3.1</t>
  </si>
  <si>
    <t>B.3.1.1</t>
  </si>
  <si>
    <t>B.3.1.2</t>
  </si>
  <si>
    <t>B.3.1.3</t>
  </si>
  <si>
    <t>B.3.1.4</t>
  </si>
  <si>
    <t>B.3.1.5</t>
  </si>
  <si>
    <t>B.3.1.6</t>
  </si>
  <si>
    <t>B.3.1.7</t>
  </si>
  <si>
    <t>B.3.1.8</t>
  </si>
  <si>
    <t>Subtotal Programa de Atención al Ciudadano</t>
  </si>
  <si>
    <t>SUBTOTAL COSTO DE PERSONAL PARA EL PLAN DE GESTIÓN SOCIAL</t>
  </si>
  <si>
    <t>SUBTOTAL COSTOS DE SUBPROGRAMAS DE PLAN DE GESTIÓN SOCIAL</t>
  </si>
  <si>
    <t>SUBTOTAL COSTO DEL PLAN DE GESTIÓN SOCIAL</t>
  </si>
  <si>
    <t>TOTAL COSTO DEL PLAN DE GESTIÓN SOCIAL</t>
  </si>
  <si>
    <t>CALCULO DEL COMPONENTE PGS</t>
  </si>
  <si>
    <t>CONTROL DE INVERSIÓN PLAN DE MANEJO DE TRÁNSITO</t>
  </si>
  <si>
    <t xml:space="preserve">PLAZO: </t>
  </si>
  <si>
    <t>No.</t>
  </si>
  <si>
    <t>TIEMPO</t>
  </si>
  <si>
    <t xml:space="preserve">VALOR UNITARIO (MENSUAL) </t>
  </si>
  <si>
    <t>F.P.</t>
  </si>
  <si>
    <t>CANT TOTAL</t>
  </si>
  <si>
    <t>VR TOTAL</t>
  </si>
  <si>
    <t>Und</t>
  </si>
  <si>
    <t>Cant</t>
  </si>
  <si>
    <t xml:space="preserve">PERSONAL </t>
  </si>
  <si>
    <t>AFORADOR</t>
  </si>
  <si>
    <t>PALETERO</t>
  </si>
  <si>
    <t>SUBTOTAL COSTOS PERSONAL</t>
  </si>
  <si>
    <t>OTROS</t>
  </si>
  <si>
    <t>SEÑALIZACION TEMPORAL</t>
  </si>
  <si>
    <t>SUBTOTAL OTROS COSTOS DIRECTOS</t>
  </si>
  <si>
    <t>SUB TOTAL</t>
  </si>
  <si>
    <t>A.I.U</t>
  </si>
  <si>
    <t>CALCULO DEL COMPONENTE PMT</t>
  </si>
  <si>
    <t>MATRIZ PARA CÁLCULO DE AIU PLAN DE MANEJO DE TRÁNSITO</t>
  </si>
  <si>
    <t>Adecuación del Punto PAC - Atención al Ciudadano</t>
  </si>
  <si>
    <t>TARIFA MES - PERSONAL TÉCNICO - INSPECTOR 2 (No incluye Factor de Prestaciones)</t>
  </si>
  <si>
    <t>TARIFA MES - PERSONAL DE OBRA - AYUDANTE (No incluye Factor de Prestaciones)</t>
  </si>
  <si>
    <t xml:space="preserve">INSPECTOR AMBIENTAL Y SST </t>
  </si>
  <si>
    <t>codigo IDU</t>
  </si>
  <si>
    <t xml:space="preserve">BAÑO PORTATIL PARA CAMAPAMENTOS Y FRENTES DE OBRA </t>
  </si>
  <si>
    <t>Componente A. Personal Profesional de Gestión Social</t>
  </si>
  <si>
    <t>OFICINA DE INFRAESTRUCTURA FDLS</t>
  </si>
  <si>
    <t>B.1.2</t>
  </si>
  <si>
    <t>B.2.4</t>
  </si>
  <si>
    <t>B.2.5</t>
  </si>
  <si>
    <t>B.2.6</t>
  </si>
  <si>
    <t>B.3.1.10</t>
  </si>
  <si>
    <t xml:space="preserve">ETAPA PREIMINAR </t>
  </si>
  <si>
    <t xml:space="preserve">CONSTRUCCION </t>
  </si>
  <si>
    <t>DESCRIPCION</t>
  </si>
  <si>
    <t>500 SMLMV</t>
  </si>
  <si>
    <t>CL 144</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</si>
  <si>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</si>
  <si>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</si>
  <si>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</si>
  <si>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</si>
  <si>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</si>
  <si>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</si>
  <si>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</si>
  <si>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</si>
  <si>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</si>
  <si>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</si>
  <si>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</si>
  <si>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</si>
  <si>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</si>
  <si>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</si>
  <si>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</si>
  <si>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</si>
  <si>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</si>
  <si>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</si>
  <si>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</si>
  <si>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</si>
  <si>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</si>
  <si>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</si>
  <si>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</si>
  <si>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</si>
  <si>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</si>
  <si>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</si>
  <si>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</si>
  <si>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</si>
  <si>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</si>
  <si>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</si>
  <si>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</si>
  <si>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</si>
  <si>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</si>
  <si>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</si>
  <si>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</si>
  <si>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</si>
  <si>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</si>
  <si>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</si>
  <si>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</si>
  <si>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</si>
  <si>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</si>
  <si>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</si>
  <si>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</si>
  <si>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</si>
  <si>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</si>
  <si>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</si>
  <si>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</si>
  <si>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</si>
  <si>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</si>
  <si>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</si>
  <si>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</si>
  <si>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</si>
  <si>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</si>
  <si>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</si>
  <si>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</si>
  <si>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</si>
  <si>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</si>
  <si>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</si>
  <si>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</si>
  <si>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</si>
  <si>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</si>
  <si>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</si>
  <si>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</si>
  <si>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</si>
  <si>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</si>
  <si>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</si>
  <si>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</si>
  <si>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</si>
  <si>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</si>
  <si>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</si>
  <si>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</si>
  <si>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</si>
  <si>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</si>
  <si>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POSTE METALICO GALVANIZADO PEATONAL M130 H=6m BRAZO SENCILLO</t>
  </si>
  <si>
    <t>POSTE METALICO GALVANIZADO PEATONAL M130 H=6m BRAZO DOBLE</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</si>
  <si>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</si>
  <si>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</si>
  <si>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</si>
  <si>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</si>
  <si>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</si>
  <si>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</si>
  <si>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</si>
  <si>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</si>
  <si>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</si>
  <si>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</si>
  <si>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</si>
  <si>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</si>
  <si>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</si>
  <si>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</si>
  <si>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</si>
  <si>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</si>
  <si>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</si>
  <si>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</si>
  <si>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</si>
  <si>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</si>
  <si>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</si>
  <si>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</si>
  <si>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</si>
  <si>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</si>
  <si>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</si>
  <si>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</si>
  <si>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</si>
  <si>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</si>
  <si>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</si>
  <si>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</si>
  <si>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</si>
  <si>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</si>
  <si>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</si>
  <si>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</si>
  <si>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</si>
  <si>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</si>
  <si>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</si>
  <si>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</si>
  <si>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</si>
  <si>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</si>
  <si>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</si>
  <si>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</si>
  <si>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</si>
  <si>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</si>
  <si>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</si>
  <si>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</si>
  <si>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</si>
  <si>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</si>
  <si>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</si>
  <si>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</si>
  <si>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</si>
  <si>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</si>
  <si>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</si>
  <si>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</si>
  <si>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</si>
  <si>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</si>
  <si>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</si>
  <si>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</si>
  <si>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</si>
  <si>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</si>
  <si>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</si>
  <si>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</si>
  <si>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</si>
  <si>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</si>
  <si>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CORTADORA DE LADRILLO (SIN DISCO) - PROFUNDIDAD DE CORTE DE 10 A 17cm - INCLUYE COMBUSTIBLE</t>
  </si>
  <si>
    <t>TUBERIA PVC SANITARIA D=1 1/2"</t>
  </si>
  <si>
    <t>VIBRADOR DE EJE FLEXIBLE A COMBUSTIÓN - POTENCIA DE 5 A 7 HP - INCLUYE COMBUSTIBLE</t>
  </si>
  <si>
    <t>CODO 45° PVC E.L. D=1 1/2"</t>
  </si>
  <si>
    <t>TUBERIA PVC E.L. D=1 1/2" RDE 21</t>
  </si>
  <si>
    <t>PLATAFORMA METALICA PARA ANDAMIO</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</si>
  <si>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</si>
  <si>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</si>
  <si>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</si>
  <si>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</si>
  <si>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</si>
  <si>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</si>
  <si>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</si>
  <si>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</si>
  <si>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</si>
  <si>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</si>
  <si>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</si>
  <si>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</si>
  <si>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</si>
  <si>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</si>
  <si>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</si>
  <si>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</si>
  <si>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</si>
  <si>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</si>
  <si>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</si>
  <si>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</si>
  <si>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</si>
  <si>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</si>
  <si>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</si>
  <si>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</si>
  <si>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</si>
  <si>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</si>
  <si>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</si>
  <si>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</si>
  <si>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</si>
  <si>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</si>
  <si>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</si>
  <si>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</si>
  <si>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SELLADOR DE JUNTAS (300 CC). Masilla elástica sellante de un componente, con base en poliuretano, con proceso de curado en presencia de humedad del ambiente. Norma ASTM C-920.</t>
  </si>
  <si>
    <t>TUBERIA PVC SANITARIA D=3"</t>
  </si>
  <si>
    <t>CODO 90° CxC PVC SANITARIA D=2"</t>
  </si>
  <si>
    <t>CODO 90° CxC PVC SANITARIA D=4"</t>
  </si>
  <si>
    <t>TUBERIA PVC SANITARIA D=8"</t>
  </si>
  <si>
    <t>TUBERIA PVC VENTILACION D=3"</t>
  </si>
  <si>
    <t>TUBERIA PVC E.L. D=1" RDE 21</t>
  </si>
  <si>
    <t>ACOPLE PARA LAVAMANOS / LAVAPLATOS SIN VALVULA D=1/2" L=40CM</t>
  </si>
  <si>
    <t>TUBERIA PVC U.M. D=14" RDE 21. NORMA NTC 382</t>
  </si>
  <si>
    <t>MORTERO DE REPARACIÓN  ESTRUCTURAL MONOCOMPONENTE</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</si>
  <si>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</si>
  <si>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</si>
  <si>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</si>
  <si>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</si>
  <si>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</si>
  <si>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</si>
  <si>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</si>
  <si>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</si>
  <si>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</si>
  <si>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</si>
  <si>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</si>
  <si>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</si>
  <si>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</si>
  <si>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</si>
  <si>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</si>
  <si>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</si>
  <si>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</si>
  <si>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</si>
  <si>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</si>
  <si>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</si>
  <si>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</si>
  <si>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</si>
  <si>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</si>
  <si>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</si>
  <si>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</si>
  <si>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</si>
  <si>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</si>
  <si>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</si>
  <si>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</si>
  <si>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</si>
  <si>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</si>
  <si>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</si>
  <si>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</si>
  <si>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</si>
  <si>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</si>
  <si>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</si>
  <si>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</si>
  <si>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</si>
  <si>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</si>
  <si>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</si>
  <si>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</si>
  <si>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</si>
  <si>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</si>
  <si>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</si>
  <si>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</si>
  <si>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</si>
  <si>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</si>
  <si>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</si>
  <si>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</si>
  <si>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</si>
  <si>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</si>
  <si>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</si>
  <si>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</si>
  <si>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</si>
  <si>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</si>
  <si>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</si>
  <si>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</si>
  <si>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</si>
  <si>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</si>
  <si>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</si>
  <si>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</si>
  <si>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</si>
  <si>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</si>
  <si>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</si>
  <si>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</si>
  <si>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PLANTA ELÉCTRICA - POTENCIA ELÉCTRICA GENERADA 11-13 kW - INCLUYE COMBUSTIBLE</t>
  </si>
  <si>
    <t>MICROPÍLOTEADORA PESO 9.200 KG, DIÁMETRO MAXIMO DE ABRAZADERAS 26 CM, FUERZA DE EXTRACCIÓN 6 TONELADAS - INCLUYE OPERARIO Y COMBUSTIBLE</t>
  </si>
  <si>
    <t>MARTILLO HIDRAULICO PARA EXCAVADORA</t>
  </si>
  <si>
    <t>TEE REDUCIDA PVC U.M. D= 4" x 3"</t>
  </si>
  <si>
    <t>UNION UNIVERSAL PVC D=2"</t>
  </si>
  <si>
    <t>BUJE SOLDADO PRESION PVC D= 3" x 1 1/2"</t>
  </si>
  <si>
    <t>LOSETA PODOTACTIL EN POLIURETANO.  40 x 40 x 0.08 cm</t>
  </si>
  <si>
    <t>Actualización 2025-I Fase II + M.O. 2026</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</si>
  <si>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</si>
  <si>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</si>
  <si>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</si>
  <si>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</si>
  <si>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</si>
  <si>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</si>
  <si>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</si>
  <si>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</si>
  <si>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</si>
  <si>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</si>
  <si>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</si>
  <si>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</si>
  <si>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</si>
  <si>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</si>
  <si>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</si>
  <si>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</si>
  <si>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</si>
  <si>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</si>
  <si>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</si>
  <si>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</si>
  <si>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</si>
  <si>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</si>
  <si>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</si>
  <si>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</si>
  <si>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</si>
  <si>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</si>
  <si>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</si>
  <si>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</si>
  <si>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</si>
  <si>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</si>
  <si>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</si>
  <si>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</si>
  <si>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</si>
  <si>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</si>
  <si>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</si>
  <si>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</si>
  <si>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</si>
  <si>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</si>
  <si>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</si>
  <si>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</si>
  <si>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</si>
  <si>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</si>
  <si>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</si>
  <si>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</si>
  <si>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</si>
  <si>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</si>
  <si>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</si>
  <si>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</si>
  <si>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</si>
  <si>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</si>
  <si>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</si>
  <si>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</si>
  <si>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</si>
  <si>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</si>
  <si>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</si>
  <si>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</si>
  <si>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</si>
  <si>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</si>
  <si>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</si>
  <si>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</si>
  <si>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</si>
  <si>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</si>
  <si>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</si>
  <si>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</si>
  <si>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</si>
  <si>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</si>
  <si>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</si>
  <si>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</si>
  <si>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</si>
  <si>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</si>
  <si>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</si>
  <si>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</si>
  <si>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</si>
  <si>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</si>
  <si>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</si>
  <si>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</si>
  <si>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</si>
  <si>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</si>
  <si>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</si>
  <si>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</si>
  <si>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</si>
  <si>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</si>
  <si>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</si>
  <si>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</si>
  <si>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</si>
  <si>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</si>
  <si>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</si>
  <si>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</si>
  <si>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</si>
  <si>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</si>
  <si>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</si>
  <si>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</si>
  <si>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</si>
  <si>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</si>
  <si>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</si>
  <si>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</si>
  <si>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</si>
  <si>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</si>
  <si>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</si>
  <si>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</si>
  <si>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</si>
  <si>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</si>
  <si>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</si>
  <si>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</si>
  <si>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</si>
  <si>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</si>
  <si>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</si>
  <si>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</si>
  <si>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</si>
  <si>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</si>
  <si>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</si>
  <si>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</si>
  <si>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</si>
  <si>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</si>
  <si>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</si>
  <si>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</si>
  <si>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</si>
  <si>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</si>
  <si>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</si>
  <si>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</si>
  <si>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</si>
  <si>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</si>
  <si>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</si>
  <si>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</si>
  <si>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</si>
  <si>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</si>
  <si>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</si>
  <si>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</si>
  <si>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</si>
  <si>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</si>
  <si>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</si>
  <si>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</si>
  <si>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</si>
  <si>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</si>
  <si>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</si>
  <si>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 xml:space="preserve">GUANTE DE CARNAZA LARGO REFORZADO </t>
  </si>
  <si>
    <t>EQUIPO DE PRESION - SUCCION - SONDEO - LIMPIEZA - RECOLECCIÓN DE LODOS NO PELIGROSOS (No incluye agua).</t>
  </si>
  <si>
    <t>KIT DE NIVELACION PARA HIDRANTE TIPO TRAFICO D=6" LONGITUD 400mm</t>
  </si>
  <si>
    <t>REDUCCION HD E.L. D=4" x 3"</t>
  </si>
  <si>
    <t>REDUCCION HD J.H. D=6" x 4"</t>
  </si>
  <si>
    <t>REDUCCION HD J.H. D=4" x 2"</t>
  </si>
  <si>
    <t>SOLDADURA DE ESTAÑO 4060 x LB y 1/16" DE DIÁMETRO</t>
  </si>
  <si>
    <t>TUBERIA ACERO GALVANIZADO D=1" CALIBRE 16 (E=1.5MM)</t>
  </si>
  <si>
    <t>REDUCCION HD J.H. D=4" x 3"</t>
  </si>
  <si>
    <t>REDUCCION HD J.H. D=8" x 6"</t>
  </si>
  <si>
    <t>KIT DE NIVELACION PARA HIDRANTE TIPO TRAFICO D=4" LONGITUD 400mm</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</si>
  <si>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</si>
  <si>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</si>
  <si>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</si>
  <si>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</si>
  <si>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</si>
  <si>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</si>
  <si>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</si>
  <si>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</si>
  <si>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</si>
  <si>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</si>
  <si>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</si>
  <si>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</si>
  <si>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</si>
  <si>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</si>
  <si>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TARIFA MES OPERADOR EQUIPO (INCLUYE FACTOR DE PRESTACIONES)</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</si>
  <si>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</si>
  <si>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</si>
  <si>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</si>
  <si>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</si>
  <si>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</si>
  <si>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</si>
  <si>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NO DRENADA CU 3 PUNTOS). Norma técnica: INVE-153-13 UNE-EN-ISO-17892-9-19 Numerales 6.4 y 6.7.2* (Norma de referencia) ASTM D4767-11 (20)</t>
  </si>
  <si>
    <t>SOLDADURA EXOTÉRMICA 90gr</t>
  </si>
  <si>
    <t>REDUCCION HD E.L. D=4" x 2"</t>
  </si>
  <si>
    <t>REDUCCION HD E.L. D=14" x 12"</t>
  </si>
  <si>
    <t>TAPON HD E.L. D=3"</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</si>
  <si>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</si>
  <si>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</si>
  <si>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</si>
  <si>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</si>
  <si>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</si>
  <si>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</si>
  <si>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</si>
  <si>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</si>
  <si>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</si>
  <si>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</si>
  <si>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</si>
  <si>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</si>
  <si>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</si>
  <si>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</si>
  <si>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</si>
  <si>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</si>
  <si>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</si>
  <si>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</si>
  <si>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</si>
  <si>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</si>
  <si>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</si>
  <si>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</si>
  <si>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</si>
  <si>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</si>
  <si>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</si>
  <si>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</si>
  <si>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</si>
  <si>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</si>
  <si>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</si>
  <si>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</si>
  <si>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</si>
  <si>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</si>
  <si>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</si>
  <si>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</si>
  <si>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</si>
  <si>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</si>
  <si>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</si>
  <si>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</si>
  <si>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</si>
  <si>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</si>
  <si>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</si>
  <si>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</si>
  <si>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</si>
  <si>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</si>
  <si>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</si>
  <si>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</si>
  <si>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</si>
  <si>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</si>
  <si>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</si>
  <si>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</si>
  <si>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</si>
  <si>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</si>
  <si>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</si>
  <si>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</si>
  <si>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</si>
  <si>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USO DEL PENETROMETRO DINAMICO DE CONO EN APLICACIONES DE PAVIMENTOS A POCA PROFUNDIDAD. Norma técnica: INVE-172-13 ASTM D6951/D6951M-18 (23)</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</si>
  <si>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</si>
  <si>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</si>
  <si>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</si>
  <si>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</si>
  <si>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</si>
  <si>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</si>
  <si>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</si>
  <si>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</si>
  <si>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</si>
  <si>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</si>
  <si>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</si>
  <si>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</si>
  <si>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</si>
  <si>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</si>
  <si>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</si>
  <si>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BRIDA FLANGLES SLIP-ON ACERO AL CARBON D= 12" CLASE 150 LB. ANSI B16.5</t>
  </si>
  <si>
    <t xml:space="preserve">BRIDA FLANGLES SLIP-ON ACERO AL CARBON D= 4" CLASE 150 LB. ANSI B16.5 </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</si>
  <si>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</si>
  <si>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</si>
  <si>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</si>
  <si>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</si>
  <si>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</si>
  <si>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</si>
  <si>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</si>
  <si>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UNION DE DESMONTAJE AUTOPORTANTE HD D=16"</t>
  </si>
  <si>
    <t>UNION DE DESMONTAJE AUTOPORTANTE HD D=12"</t>
  </si>
  <si>
    <t>UNION DE DESMONTAJE AUTOPORTANTE HD D=24"</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</si>
  <si>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</si>
  <si>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</si>
  <si>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</si>
  <si>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</si>
  <si>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</si>
  <si>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</si>
  <si>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</si>
  <si>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</si>
  <si>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</si>
  <si>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BRIDA FLANGLES SLIP-ON ACERO AL CARBON D= 3" CLASE 150 LB. ANSI B16.5</t>
  </si>
  <si>
    <t>BRIDA FLANGLES SLIP-ON ACERO AL CARBON D= 6" CLASE 150 LB. ANSI B16.5</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</si>
  <si>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</si>
  <si>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</si>
  <si>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</si>
  <si>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</si>
  <si>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</si>
  <si>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</si>
  <si>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</si>
  <si>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</si>
  <si>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</si>
  <si>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</si>
  <si>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</si>
  <si>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</si>
  <si>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</si>
  <si>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</si>
  <si>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</si>
  <si>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</si>
  <si>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</si>
  <si>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</si>
  <si>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</si>
  <si>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</si>
  <si>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</si>
  <si>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</si>
  <si>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</si>
  <si>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</si>
  <si>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</si>
  <si>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</si>
  <si>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</si>
  <si>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</si>
  <si>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</si>
  <si>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</si>
  <si>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</si>
  <si>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</si>
  <si>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</si>
  <si>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</si>
  <si>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</si>
  <si>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</si>
  <si>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</si>
  <si>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</si>
  <si>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</si>
  <si>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</si>
  <si>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</si>
  <si>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</si>
  <si>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</si>
  <si>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</si>
  <si>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</si>
  <si>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</si>
  <si>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</si>
  <si>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</si>
  <si>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</si>
  <si>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</si>
  <si>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</si>
  <si>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</si>
  <si>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</si>
  <si>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</si>
  <si>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</si>
  <si>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</si>
  <si>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</si>
  <si>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</si>
  <si>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</si>
  <si>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</si>
  <si>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</si>
  <si>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</si>
  <si>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</si>
  <si>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</si>
  <si>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</si>
  <si>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</si>
  <si>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</si>
  <si>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</si>
  <si>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</si>
  <si>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</si>
  <si>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</si>
  <si>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</si>
  <si>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</si>
  <si>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</si>
  <si>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</si>
  <si>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</si>
  <si>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</si>
  <si>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</si>
  <si>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</si>
  <si>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</si>
  <si>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LIMPIADOR BASE ÁCIDO ESPECIAL PARA LIMPIAR Y DESMANCHAR LADRILLO-CONCRETO</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</si>
  <si>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</si>
  <si>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</si>
  <si>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</si>
  <si>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</si>
  <si>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</si>
  <si>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</si>
  <si>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</si>
  <si>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</si>
  <si>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</si>
  <si>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</si>
  <si>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</si>
  <si>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</si>
  <si>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</si>
  <si>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</si>
  <si>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</si>
  <si>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</si>
  <si>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</si>
  <si>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</si>
  <si>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</si>
  <si>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</si>
  <si>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</si>
  <si>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</si>
  <si>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</si>
  <si>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</si>
  <si>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</si>
  <si>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</si>
  <si>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</si>
  <si>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</si>
  <si>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</si>
  <si>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</si>
  <si>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</si>
  <si>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</si>
  <si>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</si>
  <si>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</si>
  <si>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</si>
  <si>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</si>
  <si>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</si>
  <si>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</si>
  <si>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</si>
  <si>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</si>
  <si>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</si>
  <si>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</si>
  <si>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</si>
  <si>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</si>
  <si>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</si>
  <si>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</si>
  <si>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</si>
  <si>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</si>
  <si>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</si>
  <si>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</si>
  <si>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</si>
  <si>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</si>
  <si>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</si>
  <si>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</si>
  <si>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</si>
  <si>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</si>
  <si>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</si>
  <si>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</si>
  <si>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</si>
  <si>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</si>
  <si>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</si>
  <si>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</si>
  <si>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</si>
  <si>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</si>
  <si>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</si>
  <si>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</si>
  <si>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</si>
  <si>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</si>
  <si>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</si>
  <si>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</si>
  <si>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</si>
  <si>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</si>
  <si>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</si>
  <si>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</si>
  <si>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</si>
  <si>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</si>
  <si>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</si>
  <si>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</si>
  <si>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</si>
  <si>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</si>
  <si>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</si>
  <si>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</si>
  <si>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</si>
  <si>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</si>
  <si>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</si>
  <si>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</si>
  <si>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</si>
  <si>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</si>
  <si>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</si>
  <si>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</si>
  <si>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</si>
  <si>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</si>
  <si>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</si>
  <si>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</si>
  <si>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</si>
  <si>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</si>
  <si>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</si>
  <si>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</si>
  <si>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</si>
  <si>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</si>
  <si>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</si>
  <si>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</si>
  <si>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</si>
  <si>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</si>
  <si>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</si>
  <si>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</si>
  <si>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</si>
  <si>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</si>
  <si>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</si>
  <si>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</si>
  <si>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</si>
  <si>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</si>
  <si>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</si>
  <si>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</si>
  <si>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</si>
  <si>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</si>
  <si>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</si>
  <si>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</si>
  <si>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</si>
  <si>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</si>
  <si>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</si>
  <si>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</si>
  <si>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</si>
  <si>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</si>
  <si>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</si>
  <si>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</si>
  <si>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</si>
  <si>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</si>
  <si>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</si>
  <si>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</si>
  <si>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</si>
  <si>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</si>
  <si>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</si>
  <si>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</si>
  <si>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</si>
  <si>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</si>
  <si>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</si>
  <si>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</si>
  <si>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</si>
  <si>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</si>
  <si>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</si>
  <si>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</si>
  <si>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</si>
  <si>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</si>
  <si>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</si>
  <si>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</si>
  <si>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</si>
  <si>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</si>
  <si>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</si>
  <si>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</si>
  <si>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</si>
  <si>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</si>
  <si>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</si>
  <si>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</si>
  <si>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</si>
  <si>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</si>
  <si>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</si>
  <si>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</si>
  <si>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</si>
  <si>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</si>
  <si>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SUBBASE GRANULAR CLASE A - Gr1 (SBGA_Gr1) ESTABILIZADA CON CEMENTO AL 4% (SUMINISTRO, EXTENDIDO, NIVELACIÓN, HUMEDECIMIENTO Y COMPACTACIÓN CON VIBROCOMPACTADOR), DISTANCIA DE TRANSPORTE A 21 KM</t>
  </si>
  <si>
    <t>AÑO 2026</t>
  </si>
  <si>
    <t>FORMATO:</t>
  </si>
  <si>
    <t>MATRIZ PARA CÁLCULO DE DIAGNOSTICOS, ESTUDIOS Y DISEÑOS</t>
  </si>
  <si>
    <t>COSTO DIRECTO ESTIMADO DE OBRA (CD) SIN A.M.</t>
  </si>
  <si>
    <t>EXPLORACIÓN DE SUELOS Y ENSAYOS DE LABORATORIO</t>
  </si>
  <si>
    <t>UNIDAD</t>
  </si>
  <si>
    <t>COSTO UNITARIO ($) SIN I.V.A</t>
  </si>
  <si>
    <t>FACTOR MULTIPLICADO R</t>
  </si>
  <si>
    <t>SUBTOTAL VALOR BASICO ($) INCLUYE FACTOR MULTIPLICADOR</t>
  </si>
  <si>
    <t>EXPLORACION DEL SUBSUELO</t>
  </si>
  <si>
    <t>CARACTERIZACION INICIAL</t>
  </si>
  <si>
    <t>DIAGNOSTICO</t>
  </si>
  <si>
    <t>SONDEO E INSPECCION DE REDES SANITARIAS</t>
  </si>
  <si>
    <t>VALOR BASICO ESTIMADO PARA ENSAYOS DE LABORATORIO</t>
  </si>
  <si>
    <t>VR. BASICO PARA AJUSTES</t>
  </si>
  <si>
    <t>SUBTOTAL VR. BASICO ENSAYOS DE LABORATORIO (INCLUYE AJUSTES)</t>
  </si>
  <si>
    <t>IVA 19%</t>
  </si>
  <si>
    <t xml:space="preserve"> VALOR ENSAYOS DE LABORATORIO  (INCLUYE AJUSTES E IVA)</t>
  </si>
  <si>
    <t xml:space="preserve">PORCENTAJE ESTIMADO PARA DIAGNOSTICOS, DISEÑOS Y ENSAYOS DE LABORATORIO </t>
  </si>
  <si>
    <t>Nota: La dedicación de los profesionales se esncuentran incluidos en el A.I.U.</t>
  </si>
  <si>
    <t>COSTOS ESTIMADOS PARA DIAGNOSTICOS, DISEÑOS Y ENSAYOS DE LABORATORIO (Incluye Iva)</t>
  </si>
  <si>
    <t>Origen</t>
  </si>
  <si>
    <t>Capítulo</t>
  </si>
  <si>
    <t>Subcapítulo</t>
  </si>
  <si>
    <t>Antiguo</t>
  </si>
  <si>
    <t>EXCAVACIONES</t>
  </si>
  <si>
    <t>EXC. CONFORMACIÓN DE SUBRASANTE</t>
  </si>
  <si>
    <t>EXC. ESTRUCTURAS Y REDES</t>
  </si>
  <si>
    <t>DEMOLICIONES</t>
  </si>
  <si>
    <t>REDES ELECTRICAS</t>
  </si>
  <si>
    <t>RED ELECTRICA CODENSA</t>
  </si>
  <si>
    <t>TRANSPORTES Y ACARREOS</t>
  </si>
  <si>
    <t>RELLENOS Y CAPAS GRANULARES</t>
  </si>
  <si>
    <t>RELLENOS EN TIERRA</t>
  </si>
  <si>
    <t>RELLENOS PARA ANDENES Y REDES</t>
  </si>
  <si>
    <t>ANDENES Y SARDINELES</t>
  </si>
  <si>
    <t>SARDINELES Y BORDILLOS</t>
  </si>
  <si>
    <t>REDES ALCANTARILLADO / DRENAJE</t>
  </si>
  <si>
    <t>REDES TELEFONICAS / DATOS</t>
  </si>
  <si>
    <t>RED TELEFONICA ETB</t>
  </si>
  <si>
    <t>MOBILIARIO URBANO - ARBOLES Y GRAMAS</t>
  </si>
  <si>
    <t>SIEMBRA DE ARBOLES Y GRAMA</t>
  </si>
  <si>
    <t>SEÑALIZACIÓN</t>
  </si>
  <si>
    <t>DEMARCACION DE PAVIMENTOS</t>
  </si>
  <si>
    <t>REDES ACUEDUCTO</t>
  </si>
  <si>
    <t>CONCRETO Y ACERO PARA ESTRUCTURAS</t>
  </si>
  <si>
    <t>CONCRETO PARA ESTRUCTURAS</t>
  </si>
  <si>
    <t>PAVIMENTOS</t>
  </si>
  <si>
    <t>PAVIMENTOS EN CONCRETO HIDRAULICO</t>
  </si>
  <si>
    <t>RED ELÉCTRICA CODENSA</t>
  </si>
  <si>
    <t>MOBILIARIO URBANO</t>
  </si>
  <si>
    <t>ANDENES EN CONCRETO</t>
  </si>
  <si>
    <t>SEÑALES DE TRANSITO</t>
  </si>
  <si>
    <t>CAPAS GRANULARES</t>
  </si>
  <si>
    <t>CONCRETOS Y MORTEROS HECHOS EN OBRA</t>
  </si>
  <si>
    <t>PISOS EN ADOQUINES Y EN LOSETAS</t>
  </si>
  <si>
    <t>ACERO DE REFUERZO</t>
  </si>
  <si>
    <t>ACTIVIDADES CONSERVACIÓN</t>
  </si>
  <si>
    <t>ANÁLISIS AUXILIARES</t>
  </si>
  <si>
    <t>CUADRILLAS (INCLUYE FACTOR PRESTACIONAL)</t>
  </si>
  <si>
    <t>JUNTAS PARA PAVIMENTOS</t>
  </si>
  <si>
    <t>PINTURA PARA ESTRUCTURAS</t>
  </si>
  <si>
    <t>PAVIMENTOS EN CONCRETO ASFALTICO</t>
  </si>
  <si>
    <t>GEOSINTETICOS</t>
  </si>
  <si>
    <t>GEOTEXTILES</t>
  </si>
  <si>
    <t>PAVIMENTOS ARTICULADOS</t>
  </si>
  <si>
    <t>RED TELEFONICA COLOMBIA TELECOMUNICACIONES</t>
  </si>
  <si>
    <t>RED ELECTRICA EPM</t>
  </si>
  <si>
    <t>Demanda</t>
  </si>
  <si>
    <t>PUENTES</t>
  </si>
  <si>
    <t>PUENTES PEATONALES</t>
  </si>
  <si>
    <t>MALLA VIAL RURAL</t>
  </si>
  <si>
    <t>VIAS RURALES</t>
  </si>
  <si>
    <t>GESTION SOCIAL</t>
  </si>
  <si>
    <t>GESTIÓN AMBIENTAL</t>
  </si>
  <si>
    <t>FORMALETAS, ENTIBADOS, ANDAMIOS Y ACCESORIOS</t>
  </si>
  <si>
    <t>VIAS FERREAS</t>
  </si>
  <si>
    <t>OBRAS DE ARTE Y EDIFICACIONES</t>
  </si>
  <si>
    <t>ACABADOS</t>
  </si>
  <si>
    <t>PINTURA</t>
  </si>
  <si>
    <t>ESTRUCTURAS EN ACERO</t>
  </si>
  <si>
    <t>OTROS-SEÑALIZACIÓN</t>
  </si>
  <si>
    <t>ENSAYOS - LABORATORIOS</t>
  </si>
  <si>
    <t>CUBIERTAS</t>
  </si>
  <si>
    <t>MAMPOSTERIA</t>
  </si>
  <si>
    <t>PISOS</t>
  </si>
  <si>
    <t>IMPERMEABILIZACIONES</t>
  </si>
  <si>
    <t>GEOMEMBRANAS</t>
  </si>
  <si>
    <t>ELEMENTOS DE OFICINA</t>
  </si>
  <si>
    <t>CARPINTERÍA METÁLICA</t>
  </si>
  <si>
    <t>MADERAS</t>
  </si>
  <si>
    <t xml:space="preserve">Nuevo </t>
  </si>
  <si>
    <t xml:space="preserve">Nuevo Carrera 7a. </t>
  </si>
  <si>
    <t>Nuevo - Tintal Alsacia</t>
  </si>
  <si>
    <t>RED TELEFONICA EPM</t>
  </si>
  <si>
    <t>Nuevo - Av. Rincón</t>
  </si>
  <si>
    <t>Nuevo - Troncal Caracas</t>
  </si>
  <si>
    <t>Nuevo - Portal Américas</t>
  </si>
  <si>
    <t>Nuevo - Av. Cali/Ferrocarril</t>
  </si>
  <si>
    <t xml:space="preserve">Nuevo - Portal Tunal </t>
  </si>
  <si>
    <t>Nuevo</t>
  </si>
  <si>
    <t>Nuevo - Carrera 7a</t>
  </si>
  <si>
    <t>Nuevo - Recurrente DTM</t>
  </si>
  <si>
    <t>Nuevo - DTM</t>
  </si>
  <si>
    <t>Nuevo - Proyecto</t>
  </si>
  <si>
    <t>Nuevo Troncal Caracas</t>
  </si>
  <si>
    <t>Nuevo - DTP</t>
  </si>
  <si>
    <t xml:space="preserve">Nuevo Proyecto </t>
  </si>
  <si>
    <t>Nuevo Av. 68</t>
  </si>
  <si>
    <t xml:space="preserve">Nuevo - Av. Cali </t>
  </si>
  <si>
    <t>Nuevo - Ciclo Puentes</t>
  </si>
  <si>
    <t>Nuevo Ciclopuentes</t>
  </si>
  <si>
    <t>Nuevo Aceras y CicloRutas</t>
  </si>
  <si>
    <t>Nuevo Centros Fundacionales</t>
  </si>
  <si>
    <t>Nuevo DTE</t>
  </si>
  <si>
    <t>Nuevo - Aceras y CicloRutas</t>
  </si>
  <si>
    <t>Nuevo - Emergencia Sanitaria</t>
  </si>
  <si>
    <t>TARIFAS DE EVALUACIÓN Y DIAGNÓSTICO</t>
  </si>
  <si>
    <t>Nuevo DTP</t>
  </si>
  <si>
    <t>ARQUEOLOGÍA</t>
  </si>
  <si>
    <t>PRUEBAS DE CARGA</t>
  </si>
  <si>
    <t>DTP - OGA</t>
  </si>
  <si>
    <t>ELEMENTOS DE BIOSEGURIDAD SEGÚN APÉNDICE</t>
  </si>
  <si>
    <t>Nuevo DTINI</t>
  </si>
  <si>
    <t xml:space="preserve">Nuevo STEST </t>
  </si>
  <si>
    <t>Nuevo DTC</t>
  </si>
  <si>
    <t>Nuevo STED</t>
  </si>
  <si>
    <t xml:space="preserve">Nuevo DTINI (Actualización con ET 2018) </t>
  </si>
  <si>
    <t>Nuevo OAC</t>
  </si>
  <si>
    <t>Depuración</t>
  </si>
  <si>
    <t>Demanada DTP</t>
  </si>
  <si>
    <t>Demanda-Depuración</t>
  </si>
  <si>
    <t>Solicitud SGI</t>
  </si>
  <si>
    <t>TRANSMILENIO</t>
  </si>
  <si>
    <t>ELEMENTOS DE SEÑALIZACION TRANSMILENIO</t>
  </si>
  <si>
    <t>Solicitud SGI-STCST</t>
  </si>
  <si>
    <t>Solicitud OCIT</t>
  </si>
  <si>
    <t>RED TELEFÓNICA CLARO</t>
  </si>
  <si>
    <t>Solicitud DTCI</t>
  </si>
  <si>
    <t>Solicitud DTP</t>
  </si>
  <si>
    <t>RETRIBUCION POR APROVECHAMIENTO ECONOMICO DEL ESPACIO PUBLICO</t>
  </si>
  <si>
    <t>Grupo de base de datos</t>
  </si>
  <si>
    <t>CONCRETOS Y MORTEROS PREMEZCLADOS</t>
  </si>
  <si>
    <t>EQUIPO PESADO</t>
  </si>
  <si>
    <t>ARBOLES-GRAMAS-VEGETACIÓN Y PLANTACIÓN PAISAJÍSTIC</t>
  </si>
  <si>
    <t>FORMALETAS, ANDAMIOS Y ACCESORIOS</t>
  </si>
  <si>
    <t>MALLAS Y ACEROS PARA REFUERZO</t>
  </si>
  <si>
    <t>LADRILLOS, BLOQUES Y ADOQUINES</t>
  </si>
  <si>
    <t>AGREGADOS PÉTREOS, BASES Y SUBBASES GRANULARES</t>
  </si>
  <si>
    <t>MARCOS, TAPAS, REJILLAS, HERRAJES Y CAJILLAS</t>
  </si>
  <si>
    <t>DUCTOS PVC - ELECTRICOS/TELEFONICOS TIPO TDP-DB-EB</t>
  </si>
  <si>
    <t>TUBERIAS Y ACCESORIOS DE PVC - ACUEDUCTO</t>
  </si>
  <si>
    <t>MATERIALES BÁSICOS</t>
  </si>
  <si>
    <t>TUBERÍA Y ACCESORIOS CONDUIT GALVANIZADAS</t>
  </si>
  <si>
    <t>COMBUSTIBLES Y LUBRICANTES</t>
  </si>
  <si>
    <t>EQUIPO LIVIANO Y HERRAMIENTAS</t>
  </si>
  <si>
    <t xml:space="preserve">SUELDOS Y JORNALES </t>
  </si>
  <si>
    <t>BORDILLOS Y LOSETAS</t>
  </si>
  <si>
    <t>TUBERÍA Y ACCESORIOS DE PVC PARA ALCANTARILLADO</t>
  </si>
  <si>
    <t>PINTURAS</t>
  </si>
  <si>
    <t>TUBERÍA Y ACCESORIOS DE CONCRETO</t>
  </si>
  <si>
    <t>POSTES Y ALUMBRADO PUBLICO</t>
  </si>
  <si>
    <t>MOBILIARIO URBANO Y DE PARQUES</t>
  </si>
  <si>
    <t>ACCESORIOS HD PARA REDES DE ACUEDUCTO</t>
  </si>
  <si>
    <t>SEÑALES, BARRERAS Y DEMARCACIÓN VIAL</t>
  </si>
  <si>
    <t>TRANSPORTES DE MATERIALES Y ACARREOS</t>
  </si>
  <si>
    <t>TUBERÍA Y ACCESORIOS EN POLIETILENO</t>
  </si>
  <si>
    <t>EMULSIONES Y MEZCLAS ASFÁLTICAS</t>
  </si>
  <si>
    <t>SELLANTES-IMPERMEABILIZANTES Y ADITIVOS CONCRETOS</t>
  </si>
  <si>
    <t>POZOS Y COMPONENTES - ALCANTARILLADO</t>
  </si>
  <si>
    <t>SUMIDEROS Y COMPONENTES</t>
  </si>
  <si>
    <t>SOLDADURA,  PEGANTES Y LIMPIADORES</t>
  </si>
  <si>
    <t>MATERIALES DE FERRETERÍA Y OTROS</t>
  </si>
  <si>
    <t>ENSAYO LABORATORIO - CEMENTOS HIDRÁULICOS</t>
  </si>
  <si>
    <t>ENSAYO LABORATORIO - SUELOS</t>
  </si>
  <si>
    <t>ENSAYO LABORATORIO - AGREGADOS PETREOS</t>
  </si>
  <si>
    <t>ENSAYO CAMPO - ELEMENTOS ESTRUCTURALES CONCRETO</t>
  </si>
  <si>
    <t>ENSAYO CAMPO - DIAGNOSTICO DE PAVIMENTOS</t>
  </si>
  <si>
    <t>ENSAYO LABORATORIO - CONCRETOS HIDRÁULICOS</t>
  </si>
  <si>
    <t>ENSAYO LABORATORIO - MATERIALES BITUMINOSOS</t>
  </si>
  <si>
    <t>ENSAYO LABORATORIO - MEZCLAS ASFALTICAS</t>
  </si>
  <si>
    <t>ELEMENTOS DE BIOSEGURIDAD</t>
  </si>
  <si>
    <t>DOTACIÓN (EPP) Y SEGURIDAD INDUSTRIAL</t>
  </si>
  <si>
    <t>TUBERÍA Y ACCESORIOS EN GRP</t>
  </si>
  <si>
    <t>TUBERÍA Y ACCESORIOS ACERO AL CARBÓN</t>
  </si>
  <si>
    <t>ENSAYO LABORATORIO - ANÁLISIS DE AGUAS</t>
  </si>
  <si>
    <t>MUEBLES - EQUIPOS Y ELEMENTOS OFICINA</t>
  </si>
  <si>
    <t>SERV. DIAGNÓSTICO-INSPECCIÓN REDES HIDROSANITARIAS</t>
  </si>
  <si>
    <t>GESTIÓN SOCIAL ELEMENTOS DE PUBLICIDAD</t>
  </si>
  <si>
    <t>EXÁMENES MÉDICOS</t>
  </si>
  <si>
    <t>PRODUCTOS QUÍMICOS - PESTICIDAS - FITOSANITARIOS</t>
  </si>
  <si>
    <t>TUBERIA Y ACCESORIOS EN ACERO GALVANIZADO</t>
  </si>
  <si>
    <t>TARIFA _ ALQUILER DE VEHICULO</t>
  </si>
  <si>
    <t>ACTIVIDADES A TODO COSTO</t>
  </si>
  <si>
    <t>SEMAFORIZACION</t>
  </si>
  <si>
    <t>CABLES Y ACCESORIOS ELECTRICOS</t>
  </si>
  <si>
    <t>ENSAYO LABORATORIO - ROCA</t>
  </si>
  <si>
    <t>PISOS (CONVENCIONALES Y TIPO TRANSMILENIO)</t>
  </si>
  <si>
    <t>CUBIERTA - CIELO RASO - CORTASOL TIPO TRANSMILENIO</t>
  </si>
  <si>
    <t>TARIFA _ EQUIPO</t>
  </si>
  <si>
    <t>ENTIBADOS Y ACCESORIOS</t>
  </si>
  <si>
    <t>ENSAYO LABORATORIO - COMPONENTE DE ESPACIO PÚBLICO</t>
  </si>
  <si>
    <t>ENSAYO LABORATORIO - GEOSINTÉTICOS</t>
  </si>
  <si>
    <t>TARIFA _ OPERACIÓN OFICINA</t>
  </si>
  <si>
    <t>TARIFA _ OBRA</t>
  </si>
  <si>
    <t>ENSAYO LABORATORIO - MORTERO</t>
  </si>
  <si>
    <t>NEOPRENOS</t>
  </si>
  <si>
    <t>ENSAYO LABORATORIO - AGREGADOS PROVENIENTES DE RCD</t>
  </si>
  <si>
    <t>ENSAYO CAMPO - SUELOS</t>
  </si>
  <si>
    <t>TUBERÍA Y ACCESORIOS EN ACERO</t>
  </si>
  <si>
    <t>GESTIÓN SOCIAL ELEMENTOS DE IDENTIFICACIÓN EN OBRA</t>
  </si>
  <si>
    <t>ENSAYO CAMPO - PERFORACIONES</t>
  </si>
  <si>
    <t>CANAL DE DRENAJE</t>
  </si>
  <si>
    <t>ENSAYO CAMPO - SOLDADURAS</t>
  </si>
  <si>
    <t>ENSAYO CAMPO -RECUBRIMIENTO ESTRUCTURA METÁLICA</t>
  </si>
  <si>
    <t>ENSAYO LABORATORIO - ACERO ESTRUCTURAL</t>
  </si>
  <si>
    <t>ENSAYO LABORATORIO - ACERO REFUERZO Y PRETENSADO</t>
  </si>
  <si>
    <t>ENSAYO LABORATORIO - ALUMINIO</t>
  </si>
  <si>
    <t>ENSAYO LABORATORIO - CONCRETO PRETENSADO</t>
  </si>
  <si>
    <t>ENSAYO LABORATORIO - NEOPRENO</t>
  </si>
  <si>
    <t>ENSAYO LABORATORIO - PINTURA</t>
  </si>
  <si>
    <t>ENSAYO LABORATORIO - PLÁSTICO RÍGIDO</t>
  </si>
  <si>
    <t>AMBIENTAL</t>
  </si>
  <si>
    <t>AFORO DE TRANSITO</t>
  </si>
  <si>
    <t>ELEMENTO DE BIOSEGURIDAD SEGÚN APÉNDICE</t>
  </si>
  <si>
    <t>ENSAYO LABORATORIO - RUIDO</t>
  </si>
  <si>
    <t>ENSAYO LABORATORIO - AIRE</t>
  </si>
  <si>
    <t>LEVANTAMIENTO TOPOGRÁFICO</t>
  </si>
  <si>
    <t>EJECUTAR POR EL SISTEMA DE PRECIOS UNITARIOS Y A MONTO AGOTABLE LAS ACTIVIDADES PARA LA CONSERVACION DE LA MALLA VIAL LOCAL E INTERMEDIA Y ESPACIO PÚBLICO EN LA LOCALIDAD DE SUBA EN LA CIUDAD DE BOGOTA D.C</t>
  </si>
  <si>
    <t>FACTOR PRESTACIONAL 2026</t>
  </si>
  <si>
    <t>Actualización 2026-I Fase I</t>
  </si>
  <si>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</si>
  <si>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</si>
  <si>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</si>
  <si>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</si>
  <si>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</si>
  <si>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</si>
  <si>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</si>
  <si>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</si>
  <si>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</si>
  <si>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</si>
  <si>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</si>
  <si>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</si>
  <si>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</si>
  <si>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</si>
  <si>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</si>
  <si>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</si>
  <si>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</si>
  <si>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</si>
  <si>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</si>
  <si>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</si>
  <si>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</si>
  <si>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</si>
  <si>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GUANTE DE VAQUETA</t>
  </si>
  <si>
    <t>BOTA LISA CON PUNTERA EN ACERO DE CAUCHO, CINTA AMARILLA, PUNTERA Y PLANTILLA EN ACERO</t>
  </si>
  <si>
    <t>FILTRO PARTICULAS PARA RESPIRADOR N95 MATERIAL PARTICULADO</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</si>
  <si>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</si>
  <si>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</si>
  <si>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</si>
  <si>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</si>
  <si>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</si>
  <si>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</si>
  <si>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</si>
  <si>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</si>
  <si>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</si>
  <si>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</si>
  <si>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</si>
  <si>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</si>
  <si>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</si>
  <si>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</si>
  <si>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</si>
  <si>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Malla vial</t>
  </si>
  <si>
    <t>EspacioPublico</t>
  </si>
  <si>
    <t>Cicloruta</t>
  </si>
  <si>
    <t>Local</t>
  </si>
  <si>
    <t>Intermedia</t>
  </si>
  <si>
    <t>Arterial</t>
  </si>
  <si>
    <t>Rigido</t>
  </si>
  <si>
    <t>Flexibe</t>
  </si>
  <si>
    <t>Adoquin concreto</t>
  </si>
  <si>
    <t>Adoquin Arcilla</t>
  </si>
  <si>
    <t>Mantenimiento Periodico</t>
  </si>
  <si>
    <t>Mantenimiento Rutinario</t>
  </si>
  <si>
    <t>Rehabilitación</t>
  </si>
  <si>
    <t>Reconstrucción</t>
  </si>
  <si>
    <t>TipoEstructura</t>
  </si>
  <si>
    <t>Superficie</t>
  </si>
  <si>
    <t>TipoMalla</t>
  </si>
  <si>
    <t>TipoIntervencion</t>
  </si>
  <si>
    <t>Codigo unico</t>
  </si>
  <si>
    <t>EP</t>
  </si>
  <si>
    <t>04</t>
  </si>
  <si>
    <t>XM</t>
  </si>
  <si>
    <t>02</t>
  </si>
  <si>
    <t>EP04XM02</t>
  </si>
  <si>
    <t>MV</t>
  </si>
  <si>
    <t>XS</t>
  </si>
  <si>
    <t>RU</t>
  </si>
  <si>
    <t>MVXSRU04</t>
  </si>
  <si>
    <t>LO</t>
  </si>
  <si>
    <t>XI</t>
  </si>
  <si>
    <t>MVXSLOXI</t>
  </si>
  <si>
    <t>IN</t>
  </si>
  <si>
    <t>03</t>
  </si>
  <si>
    <t>MVXSIN03</t>
  </si>
  <si>
    <t>01</t>
  </si>
  <si>
    <t>EP01XM04</t>
  </si>
  <si>
    <t>EX</t>
  </si>
  <si>
    <t>MVXSEX03</t>
  </si>
  <si>
    <t>FD</t>
  </si>
  <si>
    <t>MVXSFD02</t>
  </si>
  <si>
    <t>MVXSXM02</t>
  </si>
  <si>
    <t>05</t>
  </si>
  <si>
    <t>EP05XM04</t>
  </si>
  <si>
    <t>MANTENIMIENTO RUTINARIO DE CICLORUTA SOBRE ANDÉN, EN ADOQUÍN. INCLUYE SELLO DE JUNTAS, BARRIDO, RETIRO MANUAL DE CAPA VEGETAL Y TRANSPORTE Y DISPOSICION DE ESCOMBROS A 21KM.</t>
  </si>
  <si>
    <t>CR</t>
  </si>
  <si>
    <t>CRXSXM01</t>
  </si>
  <si>
    <t>MANTENIMIENTO RUTINARIO DE CICLORUTA SOBRE ANDÉN, EN PAVIMENTO FLEXIBLE. INCLUYE SELLO DE GRIETAS Y SELLO DE FISURAS.</t>
  </si>
  <si>
    <t>CRXSXM02</t>
  </si>
  <si>
    <t>CRXSXM03</t>
  </si>
  <si>
    <t>EP04XM04</t>
  </si>
  <si>
    <t>MVXSXM01</t>
  </si>
  <si>
    <t>CRXSXM04</t>
  </si>
  <si>
    <t>MVXSXMXI</t>
  </si>
  <si>
    <t>MVXSXM03</t>
  </si>
  <si>
    <t>MV02IN04</t>
  </si>
  <si>
    <t>MV01IN04</t>
  </si>
  <si>
    <t>MV02IN03</t>
  </si>
  <si>
    <t>MV01IN03</t>
  </si>
  <si>
    <t>MV02IN02</t>
  </si>
  <si>
    <t>MV01IN02</t>
  </si>
  <si>
    <t>MV02IN01</t>
  </si>
  <si>
    <t>MV01IN01</t>
  </si>
  <si>
    <t>EP01XM03</t>
  </si>
  <si>
    <t>MV02LO04</t>
  </si>
  <si>
    <t>EP05XM03</t>
  </si>
  <si>
    <t>MV01LO04</t>
  </si>
  <si>
    <t>EP04XM03</t>
  </si>
  <si>
    <t>MV02LO03</t>
  </si>
  <si>
    <t>MV01LO03</t>
  </si>
  <si>
    <t>MV02LO02</t>
  </si>
  <si>
    <t>MV01LO02</t>
  </si>
  <si>
    <t>MV02LO01</t>
  </si>
  <si>
    <t>MV01LO01</t>
  </si>
  <si>
    <t>EP01XM02</t>
  </si>
  <si>
    <t>MANTENIMIENTO PERIODICO ESPACIO PÚBLICO EN ADOQUÍN DE ARCILLA TRAFICO LIVIANO SOBRE MORTERO. INCLUYE RETIRO Y LIMPIEZA ADOQUÍN E INSTALAR NUEVO,TRANSPORTE Y DISPOSICION DE ESCOMBROS A 21KM.</t>
  </si>
  <si>
    <t>EP05XM02</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</si>
  <si>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</si>
  <si>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</si>
  <si>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</si>
  <si>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</si>
  <si>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EPXSXM02</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</si>
  <si>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</si>
  <si>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</si>
  <si>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RUTINARIO DE ESPACIO PÚBLICO EN ADOQUÍN O LOSETA INCLUYE SELLO DE JUNTAS, BARRIDO, RETIRO MANUAL DE CAPA VEGETAL Y TRANSPORTE Y DISPOSICION DE ESCOMBROS A 21KM.</t>
  </si>
  <si>
    <t>EPXSXM01</t>
  </si>
  <si>
    <t>MANTENIMIENTO RUTINARIO DE BICICARRIL EN ADOQUÍN SOBRE MALLA VIAL ARTERIAL. INCLUYE SELLO DE JUNTAS Y TRANSPORTE Y DISPOSICION DE ESCOMBROS A 21KM.</t>
  </si>
  <si>
    <t>CRXSIN01</t>
  </si>
  <si>
    <t>CRXSLO01</t>
  </si>
  <si>
    <t>MANTENIMIENTO RUTINARIO DE BICICARRIL EN ADOQUÍN SOBRE MALLA VIAL LOCAL.  INCLUYE SELLO DE JUNTAS, TRANSPORTE Y DISPOSICION DE ESCOMBROS A 21KM.</t>
  </si>
  <si>
    <t>CRXSIN02</t>
  </si>
  <si>
    <t>CRXSLO02</t>
  </si>
  <si>
    <t>MANTENIMIENTO PERIODICO  DE BICICARRIL EN ADOQUÍN DE CONCRETO SOBRE MALLA VIAL LOCAL. INCLUYE RETIRO Y LIMPIEZA ADOQUÍN E INSTALAR NUEVO. EMBOQUILLADA CON ARENA CEMENTO 5:1., TRANSPORTE Y DISPOSICION DE ESCOMBROS A 21KM.</t>
  </si>
  <si>
    <t>CRXSIN03</t>
  </si>
  <si>
    <t>CRXSLO03</t>
  </si>
  <si>
    <t>CRXSXMXI</t>
  </si>
  <si>
    <t>CRXSIN04</t>
  </si>
  <si>
    <t>CRXSLO04</t>
  </si>
  <si>
    <t>CRXSLOXI</t>
  </si>
  <si>
    <t>REHABILITACION ZONA VERDE E=10 CM. INCLUYE DESCAPOTE, SIEMBRA DE GRAMA, TIERRA NEGRA Y RETIRO DE MATERIAL ORGANICO. NO INCLUYE REDES.</t>
  </si>
  <si>
    <t>MANTENIMIENTO PERIODICO ESPACIO PÚBLICO EN ADOQUÍN DE CONCRETO TR LIVIANO SOBRE MORTERO. INCLUYE RETIRO Y LIMPIEZA ADOQUÍN E INSTALAR NUEVO. EMBOQUILLADA CON ARENA CEMENTO 5:1., TRANSPORTE Y DISPOSICION DE ESCOMBROS A 21KM.</t>
  </si>
  <si>
    <t>RECONSTRUCCION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</si>
  <si>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MALLA VIAL TRONCAL EN PAVIMENTO RIGIDO MR 45 e=0.25 (NO INCLUYE SARDINEL), INCLUYE DEMOLICIÓN RETIRO Y REEMPLAZO DEL MATERIAL, EXCAVACIÓN MECANICA, ESTABILIZACIÓN DE SUBRASANTE, CURADO, SELLADO DE JUNTAS, DEMARCACIÓN, TRANSPORTE Y DISPOSICION DE ESCOMBROS A 21KM.</t>
  </si>
  <si>
    <t>REHABILITACION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</si>
  <si>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ESPACIO PÚBLICO EN PAVIMENTO RIGIDO DE 3000 PSI, INCLUYE DEMOLICIÓN RETIRO Y REEMPLAZO DEL MATERIAL, EXCAVACIÓN MANUAL, SARDINEL, BORDILLO,  TRANSPORTE Y DISPOSICION DE ESCOMBROS A 21KM.</t>
  </si>
  <si>
    <t>REHABILITACION DE  MALLA VIAL TRONCAL EN PAVIMENTO RIGIDO MR 45 e=0.25 (NO INCLUYE SARDINEL), INCLUYE DEMOLICIÓN RETIRO Y REEMPLAZO DEL MATERIAL, EXCAVACIÓN MECANICA, CURADO, SELLADO DE JUNTAS, DEMARCACIÓN, TRANSPORTE Y DISPOSICION DE ESCOMBROS A 21KM.</t>
  </si>
  <si>
    <t>MANTENIMIENTO PERIODICO DE  MALLA VIAL TRONCAL EN PAVIMENTO FLEXIBLE HORARIO NOCTURNO, INCLUYE DEMOLICIÓN RETIRO Y REEMPLAZO DEL MATERIAL, EXCAVACIÓN MANUAL, CURADO, SELLADO DE JUNTAS, RIEGO, IMPRIMACIÓN, DEMARCACIÓN, TRANSPORTE Y DISPOSICION DE ESCOMBROS A 21KM.</t>
  </si>
  <si>
    <t>MANTENIMIENTO PERIODICO DE  MALLA VIAL TRONCAL EN CONCRETO RIGIDO HORARIO NOCTURNO, INCLUYE DEMOLICIÓN RETIRO Y REEMPLAZO DEL MATERIAL, EXCAVACIÓN MECANICA, CURADO, SELLADO DE JUNTAS, DEMARCACIÓN, TRANSPORTE Y DISPOSICION DE ESCOMBROS A 21KM.</t>
  </si>
  <si>
    <t>RECONSTRUCCIÓN DE ESPACIO PÚBLICO EN CONCRETO ESTAMPADO INCLUYE DEMOLICIÓN RETIRO Y REEMPLAZO DEL MATERIAL, SARDINEL, EXCAVACIÓN MANUAL, BORDILLO, JUEGO DE MOLDES, CURADOR, DESMOLDANTE, TRANSPORTE Y DISPOSICION DE ESCOMBROS A 21KM.</t>
  </si>
  <si>
    <t>RECONSTRUCCION ESPACIO PUBLICO ADOQUIN ARCILLA TRAFICO LIVIANO SOBRE MORTERO. INCL. RETIRO ADOQUIN E INSTALAR NUEVO. INCLUYE SARDINEL, BORDILLO, EXCAVACIÓN MANUAL, NIVELACIÓN Y COMPACTACIÓN DE SUBRASANTE, TRANSPORTE Y DISPOSICION DE ESCOMBROS A 21KM.</t>
  </si>
  <si>
    <t>RECONSTRUCCION ESPACIO PÚBLICO ADOQUIN ARCILLA TRAFICO PESADO SOBRE MORTERO.  INCL. RETIRO ADOQUIN E INSTALAR NUEVO, INCLUYE SARDINEL, BORDILLO, EXCAVACIÓN MANUAL, NIVELACIÓN Y COMPACTACIÓN DE SUBRASANTE, TRANSPORTE Y DISPOSICION DE ESCOMBROS A 21KM.</t>
  </si>
  <si>
    <t>MANTENIMIENTO RUTINARIO DE CICLORUTA SOBRE ANDÉN, EN PAVIMENTO RIGIDO. INCLUYE SELLO DE JUNTAS Y RETIRO MANUAL DE CAPA VEGETAL, TRANSPORTE Y DISPOSICION DE ESCOMBROS A 21KM.</t>
  </si>
  <si>
    <t>MANTENIMIENTO PERIODICO DE CICLORRUTA SOBRE ANDÉN, EN ADOQUÍN DE CONCRETO SOBRE MORTERO. INCLUYE RETIRO Y LIMPIEZA ADOQUÍN E INSTALAR NUEVO, SEÑALIZACIÓN, DEMARCACIÓN Y TRANSPORTE Y DISPOSICION DE ESCOMBROS A 21KM.</t>
  </si>
  <si>
    <t>MANTENIMIENTO PERIODICO DE CICLORRUTA SOBRE ANDÉN, EN ADOQUÍN DE ARCILLA TRAFICO LIVIANO SOBRE MORTERO. INCLUYE RETIRO Y LIMPIEZA ADOQUÍN E INSTALAR NUEVO, SEÑALIZACIÓN, DEMARCACIÓN Y TRANSPORTE Y DISPOSICION DE ESCOMBROS A 21KM.</t>
  </si>
  <si>
    <t>MANTENIMIENTO PERIODICO DE CICLORUTA SOBRE ANDÉN, EN PAVIMENTO RIGIDO.   INCLUYE DEMOLICIÓN, RETIRO Y REEMPLAZO DEL MATERIAL, SEÑALIZACIÓN, DEMARCACIÓN Y TRANSPORTE Y DISPOSICION DE ESCOMBROS A 21KM.</t>
  </si>
  <si>
    <t>MANTENIMIENTO PERIODICO DE CICLORUTA SOBRE ANDÉN, EN PAVIMENTO FLEXIBLE. (INCLUYE DEMOLICIÓN, CORTE, RIEGO DE LIGA, SEÑALIZACIÓN, DEMARCACIÓN Y TRANSPORTE Y DISPOSICION DE ESCOMBROS A 21KM.).</t>
  </si>
  <si>
    <t>REHABILITACION DE CICLORUTA SOBRE ANDÉN, EN PAVIMENTO FLEXIBLE E=0,07 M.  (INCLUYE NCLUYE DEMOLICIÓN RETIRO Y REEMPLAZO DEL MATERIAL, RIEGO DE LIGA, IMPRIMACION, EXCAVACION MANUAL, BORDILLO, SEÑALIZACIÓN, DEMARCACIÓN Y TRANSPORTE Y DISPOSICION DE ESCOMBROS A 21KM. ).</t>
  </si>
  <si>
    <t xml:space="preserve">RECONSTRUCCIÓN ESPACIO PÚBLICO ADOQUIN EN CONCRETO A-25 TRAFICO LIVIANO 200X100X60MM SOBRE MORTERO. INCLUYE RETIRO ADOQUIN E INSTALAR NUEVO, EXCAVACIÓN MANUAL, BORDILLO, SARDINEL, TRANSPORTE Y DISPOSICION DE ESCOMBROS A 21KM. </t>
  </si>
  <si>
    <t xml:space="preserve">RECONSTRUCCIÓN ESPACIO PUBLICO ADOQUIN EN CONCRETO A-25 TRAFICO PESADO 200X100X80MM SOBRE MORTERO.  INCLUYE RETIRO ADOQUIN E INSTALAR NUEVO, EXCAVACIÓN MANUAL, BORDILLO, SARDINEL, TRANSPORTE Y DISPOSICION DE ESCOMBROS A 21KM. </t>
  </si>
  <si>
    <t xml:space="preserve">RECONSTRUCCION ESPACIO PUBLICO LOSETA SOBRE MORTERO.  INCLUYE RETIRO DE LOSETA  E INSTALAR NUEVA, EXCAVACIÓN MANUAL, BORDILLO, SARDINEL, TRANSPORTE Y DISPOSICION DE ESCOMBROS A 21KM. </t>
  </si>
  <si>
    <t>REHABILITACION DE CICLORRUTA SOBRE ANDÉN, EN PAVIMENTO RIGIDO. INCLUYE DEMOLICIÓN RETIRO Y REEMPLAZO DEL MATERIAL, EXCAVACION MANUAL, BORDILLO, SEÑALIZACIÓN, DEMARCACIÓN Y TRANSPORTE Y DISPOSICION DE ESCOMBROS A 21KM.</t>
  </si>
  <si>
    <t>REHABILITACION DE CICLORRUTA SOBRE ANDÉN, EN ADOQUIN DE ARCILLA TRAFICO LIVIANO SOBRE MORTERO. RETIRO ADOQUIN E INSTALAR NUEVO, EXCAVACIÓN MANUAL, BORDILLO, SEÑALIZACIÓN, DEMARCACIÓN Y TRANSPORTE Y DISPOSICION DE ESCOMBROS A 21KM.</t>
  </si>
  <si>
    <t>REHABILITACION DE CICLORRUTA SOBRE ANDÉN, EN ADOQUIN DE CONCRETO TRAFICO LIVIANO BASE MORTERO. INCLUYE RETIRO ADOQUIN E INSTALAR NUEVO,  EXCAVACIÓN MANUAL, BORDILLO, SEÑALIZACIÓN, DEMARCACIÓN Y TRANSPORTE Y DISPOSICION DE ESCOMBROS A 21KM.</t>
  </si>
  <si>
    <t xml:space="preserve">MANTENIMIENTO RUTINARIO DE  MALLA VIAL TRONCAL EN PAVIMENTO RIGIDO, INCLUYE SELLO DE GRIETAS, SELLADO DE JUNTAS, SELLO DE FISURAS, LIMPIEZA DE POZOS, LIMPIEZA DE SUMIDEROS Y REALCE DE SARDINEL </t>
  </si>
  <si>
    <t>RECONSTRUCCION DE CICLORUTA SOBRE ANDÉN, EN PAVIMENTO FLEXIBLE E=0,07 M. (INCLUYE DEMOLICIÓN RETIRO Y REEMPLAZO DEL MATERIAL, EXCAVACIÓN MECANICA, NIVELACIÓN Y COMPACTACIÓN, RIEGO, IMPRIMACIÓN, GEOTEXTIL, BORDILLO, SEÑALIZACIÓN, DEMARCACIÓN Y TRANSPORTE Y DISPOSICION DE ESCOMBROS A 21KM. ).</t>
  </si>
  <si>
    <t>RECONSTRUCCION ESPACIO PUBLICO EN TABLETA A-20. INCLUYE RETIRO TABLETA E INSTALAR NUEVA, INCLUYE  SARDINEL, BORDILLO, EXCAVACIÓN MANUAL, NIVELACIÓN Y COMPACTACIÓN DE SUBRASANTE, TRANSPORTE Y DISPOSICION DE ESCOMBROS A 21KM.</t>
  </si>
  <si>
    <t>RECONSTRUCCION ESPACIO PUBLICO EN ADOQUIN ECOLOGICO EN CONCRETO DE 40 X 40 X 8CM - GRAMOQUIN, SOBRE ARENA. INCLUYE RETIRO ADOQUIN E INSTALAR NUEVO, INCLUYE SARDINEL, BORDILLO, EXCAVACIÓN MANUAL, NIVELACIÓN Y COMPACTACIÓN DE SUBRASANTE, TRANSPORTE Y DISPOSICION DE ESCOMBROS A 21KM.</t>
  </si>
  <si>
    <t>RECONSTRUCCIÓN  DE MALLA VIAL ARTERIAL EN PAVIMENTO FLEXIBLE  e=0.26, INCLUYE DEMOLICIÓN, EXCAVACIÓN MECANICA, ESTABILIZACIÓN DE SUBRASANTE, IMPRIMACIÓN, RIEGO, DEMARCACIÓN, TRANSPORTE Y DISPOSICION DE ESCOMBROS A 21KM.</t>
  </si>
  <si>
    <t>RECONSTRUCCIÓN DE MALLA VIAL ARTERIAL EN PAVIMENTO RIGIDO  MR 45 e=0.30, INCLUYE DEMOLICIÓN, EXCAVACIÓN MECANICA ESTABILIZACIÓN DE SUBRASANTE, CURADO, CORTE DE PAVIMENTO, SELLADO DE JUNTAS, DEMARCACIÓN, TRANSPORTE Y DISPOSICION DE ESCOMBROS A 21KM.</t>
  </si>
  <si>
    <t>REHABILITACION  DE MALLA VIAL ARTERIAL EN PAVIMENTO FLEXIBLE  e=0.26, INCLUYE DEMOLICIÓN, EXCAVACIÓN MECANICA, IMPRIMACIÓN, RIEGO, DEMARCACIÓN, TRANSPORTE Y DISPOSICION DE ESCOMBROS A 21KM.</t>
  </si>
  <si>
    <t>REHABILITACION DE MALLA VIAL ARTERIAL EN PAVIMENTO RIGIDO MR 45 e=0.25, INCLUYE DEMOLICIÓN, EXCAVACIÓN MECANICA, CURADO, CORTE DE PAVIMENTO, SELLADO DE JUNTAS, DEMARCACIÓN, TRANSPORTE Y DISPOSICION DE ESCOMBROS A 21KM.</t>
  </si>
  <si>
    <t>MANTENIMIENTO PERIODICO DE MALLA VIAL ARTERIAL EN PAVIMENTO RIGIDO HORARIO NOCTURNO, INCLUYE DEMOLICIÓN, EXCAVACIÓN MECANICA, LIMPIEZA DE POZOS, LIMPIEZA DE SUMIDEROS, CURADO, DEMARCACIÓN, TRANSPORTE Y DISPOSICION DE ESCOMBROS A 21KM.</t>
  </si>
  <si>
    <t>RECONSTRUCCION DE MALLA VIAL INTERMEDIA EN PAVIMENTO FLEXIBLE e=0.17 (NO INCLUYE SARDINEL), INCLUYE DEMOLICIÓN, EXCAVACIÓN MECANICA, ESTABILIZACIÓN DE SUBRASANTE, RIEGO, IMPRIMACIÓN, DEMARCACIÓN, TRANSPORTE Y DISPOSICION DE ESCOMBROS A 21KM.</t>
  </si>
  <si>
    <t>RECONSTRUCCIÓN DE MALLA VIAL INTERMEDIA EN LOSAS EN PAVIMENTO RIGIDO MR-45 e=0.20m  (NO INCLUYE SARDINEL), INCLUYE DEMOLICIÓN, EXCAVACIÓN MECANICA, CORTE DE PAVIMENTO, SELLADO DE JUNTAS,  CURADO, ESTABILIZACIÓN DE SUBRASANTE, DEMARCACIÓN, TRANSPORTE Y DISPOSICION DE ESCOMBROS A 21KM.</t>
  </si>
  <si>
    <t>REHABILITACIÓN DE MALLA VIAL INTERMEDIA EN PAVIMENTO FLEXIBLE e= 0.17m  (NO INCLUYE SARDINEL), INCLUYE DEMOLICIÓN, EXCAVACIÓN MECANICA, RIEGO, IMPRIMACIÓN, DEMARCACIÓN, TRANSPORTE Y DISPOSICION DE ESCOMBROS A 21KM.</t>
  </si>
  <si>
    <t>REHABILITACIÓN DE MALLA VIAL INTERMEDIA EN PAVIMENTO RÍGIDO: LOSAS EN CONCRETO HIDRÁULICO MR-45 e=0.20m  (NO INCLUYE SARDINEL), INCLUYE DEMOLICIÓN, EXCAVACIÓN MECANICA, CORTE DE PAVIMENTO, SELLADO DE JUNTAS,  CURADO, DEMARCACIÓN, TRANSPORTE Y DISPOSICION DE ESCOMBROS A 21KM.</t>
  </si>
  <si>
    <t>MANTENIMIENTO PERIÓDICO DE MALLA VIAL INTERMEDIA EN PAVIMENTO RIGIDO, INCLUYE LIMPIEZA DE POZOS Y SUMIDEROS, REPOSICION DE LOSAS, EXCAVACIÓN MECANICA, SELLADO DE JUNTAS, DEMARCACIÓN, TRANSPORTE Y DISPOSICION DE ESCOMBROS A 21KM. HORARIO NOCTURNO</t>
  </si>
  <si>
    <t>MANTENIMIENTO RUTINARIO DE MALLA VIAL INTERMEDIA EN PAVIMENTO RIGIDO, (INCLUYE SELLO JUNTAS, SELLO DE FISURAS, LIMPIEZA DE  SUMIDEROS Y LIMPIEZA DE  POZOS)</t>
  </si>
  <si>
    <t>REHABILITACION DE ESPACIO PÚBLICO EN PAVIMENTO RIGIDO, GRAVA COMÚN DE 3000 PSI. INCLUYE DEMOLICIÓN RETIRO Y REEMPLAZO DEL MATERIAL, EXCAVACIÓN MANUAL, SARDINEL, BORDILLO, TRANSPORTE Y DISPOSICION DE ESCOMBROS A 21.</t>
  </si>
  <si>
    <t>RECONSTRUCCION DE MALLA VIAL LOCAL EN PAVIMENTO FLEXIBLE e=0.17 (NO INCLUYE SARDINEL), INCLUYE DEMOLICIÓN, EXCAVACIÓN MECANICA, ESTABILIZACIÓN DE SUBRASANTE, IMPRIMACIÓN, RIEGO, DEMARCACIÓN, TRANSPORTE Y DISPOSICION DE ESCOMBROS A 21.</t>
  </si>
  <si>
    <t>REHABILITACIÓN DE ESPACIO PÚBLICO EN CONCRETO ESTAMPADO INCLUYE DEMOLICIÓN RETIRO Y REEMPLAZO DEL MATERIAL, EXCAVACIÓN MANUAL, BORDILLO, SARDINEL, JUEGO DE MOLDES, CURADOR, DESMOLDANTE, TRANSPORTE Y DISPOSICION DE ESCOMBROS A 21KM.</t>
  </si>
  <si>
    <t>REHABILITACION DE ESPACIO PUBLICO EN ADOQUIN DE ARCILLA TRAFICO LIVIANO SOBRE MORTERO. RETIRO ADOQUIN E INSTALAR NUEVO, INCLUYE EXCAVACIÓN MANUAL, SARDINEL, BORDILLO, TRANSPORTE Y DISPOSICION DE ESCOMBROS A 21KM.</t>
  </si>
  <si>
    <t>RECONSTRUCCIÓN DE MALLA VIAL LOCAL EN PAVIMENTO RIGIDO: LOSAS DE CONCRETO MR-45 e=0.20m (NO INCLUYE SARDINEL), INCLUYE EXCAVACIÓN MECANICA, DEMOLICIÓN, ESTABILIZACIÓN DE SUBRASANTE, CORTE DE PAVIMENTO, CURADO, SELLO DE JUNTAS, DEMARCACIÓN, TRANSPORTE Y DISPOSICION DE ESCOMBROS A 21KM.</t>
  </si>
  <si>
    <t>REHABILITACION DE ESPACIO PÚBLICO EN ADOQUIN DE ARCILLA TRAFICO PESADO SOBRE MORTERO. RETIRO ADOQUIN E INSTALAR NUEVO, INCLUYE EXCAVACIÓN MANUAL, SARDINEL, BORDILLO, TRANSPORTE Y DISPOSICION DE ESCOMBROS A 21KM.</t>
  </si>
  <si>
    <t>REHABILITACION DE ESPACIO PÚBLICO EN ADOQUIN DE CONCRETO TRAFICO LIVIANO BASE MORTERO. RETIRO ADOQUIN E INSTALAR NUEVO, INCLUYE EXCAVACIÓN MANUAL, SARDINEL, BORDILLO, TRANSPORTE Y DISPOSICION DE ESCOMBROS A 21KM.</t>
  </si>
  <si>
    <t>REHABILITACION DE ESPACIO PÚBLICO EN ADOQUIN DE CONCRETO TRAFICO PESADO (20X10X8CM) BASE MORTERO. RETIRO ADOQUIN E INSTALAR NUEVO, INCLUYE SARDINEL, BORDILLO, EXCAVACIÓN MANUAL, TRANSPORTE Y DISPOSICION DE ESCOMBROS A 21KM.</t>
  </si>
  <si>
    <t>REHABILITACION DE ESPACIO PÚBLICO EN LOSETA SOBRE MORTERO. RETIRO ADOQUIN E INSTALAR NUEVO, INCLUYE SARDINEL, BORDILLO, EXCAVACIÓN MANUAL, TRANSPORTE Y DISPOSICION DE ESCOMBROS A 21KM.</t>
  </si>
  <si>
    <t>REHABILITACION DE ESPACIO PÚBLICO EN ADOQUÍN DE PIEDRA SOBRE MORTERO. RETIRO ADOQUIN E INSTALAR NUEVO, INCLUYE SARDINEL, BORDILLO, EXCAVACIÓN MANUAL, TRANSPORTE Y DISPOSICION DE ESCOMBROS A 21KM.</t>
  </si>
  <si>
    <t>REHABILITACIÓN DE MALLA VIAL LOCAL EN PAVIMENTO FLEXIBLE e= 0.17m (NO INCLUYE SARDINEL), INCLUYE DEMOLICIÓN, EXCAVACIÓN MECANICA, IMPRIMACIÓN, RIEGO, DEMARCACIÓN, TRANSPORTE Y DISPOSICION DE ESCOMBROS A 21KM.</t>
  </si>
  <si>
    <t>REHABILITACIÓN DE MALLA VIAL LOCAL EN PAVIMENTO RÍGIDO: LOSAS EN CONCRETO HIDRÁULICO MR-45, e=0,20 m, (NO INCLUYE SARDINEL), INCLUYE EXCAVACIÓN MECANICA, DEMOLICIÓN, CORTE DE PAVIMENTO SELLADO DE JUNTAS, CURADO, TRANSPORTE Y DISPOSICION DE ESCOMBROS A 21KM.</t>
  </si>
  <si>
    <t>MANTENIMIENTO PERIÓDICO DE MALLA VIAL LOCAL EN PAVIMENTO RIGIDO, INCLUYE DEMOLICIÓN, EXCAVACIÓN MECANICA, LIMPIEZA DE POZOS Y SUMIDEROS, REPOSICION DE LOSAS Y SELLO DE JUNTAS, DEMARCACIÓN, TRANSPORTE Y DISPOSICION DE ESCOMBROS A 21KM.</t>
  </si>
  <si>
    <t>MANTENIMIENTO RUTINARIO DE MALLA VIAL LOCAL EN PAVIMENTO RIGIDO, (INCLUYE SELLO JUNTAS, SELLO DE FISURAS, LIMPIEZA DE  SUMIDEROS Y LIMPIEZA DE  POZOS)</t>
  </si>
  <si>
    <t>REHABILITACION DE ESPACIO PÚBLICO EN TABLETA A-20 SOBRE MORTERO. RETIRO ADOQUIN E INSTALAR NUEVO, INCLUYE EXCAVACIÓN MANUAL, SARDINEL, BORDILLO, TRANSPORTE Y DISPOSICION DE ESCOMBROS A 21KM.</t>
  </si>
  <si>
    <t>REHABILITACION DE ESPACIO PUBLICO EN ADOQUIN ECOLOGICO EN CONCRETO DE 40 X 40 X 8CM - GRAMOQUIN,  SOBRE ARENA. RETIRO ADOQUIN E INSTALAR NUEVO, INCLUYE EXCAVACIÓN MANUAL, SARDINEL, BORDILLO, TRANSPORTE Y DISPOSICION DE ESCOMBROS A 21KM.</t>
  </si>
  <si>
    <t>MANTENIMIENTO PERIODICO DE ESPACIO PÚBLICO EN PAVIMENTO RIGIDO,  INCLUYE DEMOLICIÓN, RETIRO Y REEMPLAZO DEL MATERIAL, TRANSPORTE Y DISPOSICION DE ESCOMBROS A 21KM.</t>
  </si>
  <si>
    <t>MANTENIMIENTO PERIODICO DE ESPACIO PÚBLICO EN PAVIMENTO RIGIDO ESTAMPADO INCLUYE DEMOLICIÓN, RETIRO Y REEMPLAZO DEL MATERIAL, JUEGO DE MOLDES, CURADOR, DESMOLDANTE, TRANSPORTE Y DISPOSICION DE ESCOMBROS A 21KM.</t>
  </si>
  <si>
    <t>MANTENIMIENTO RUTINARIO DE ESPACIO PÚBLICO EN PAVIMENTO RIGIDO, INCLUYE SELLO DE JUNTAS Y RETIRO MANUAL DE CAPA VEGETAL, TRANSPORTE Y DISPOSICION DE ESCOMBROS A 21KM.</t>
  </si>
  <si>
    <t>MANTENIMIENTO RUTINARIO DE BICICARRIL EN PAVIMENTO RIGIDO SOBRE MALLA VIAL TRONCAL.  INCLUYE SELLO DE JUNTAS Y RETIRO MANUAL DE CAPA VEGETAL, TRANSPORTE Y DISPOSICION DE ESCOMBROS A 21KM.</t>
  </si>
  <si>
    <t>MANTENIMIENTO RUTINARIO DE BICICARRIL EN PAVIMENTO RIGIDO SOBRE MALLA VIAL ARTERIAL.  INCLUYE SELLO DE JUNTAS, SELLO DE FISURAS Y RETIRO MANUAL DE CAPA VEGETAL, TRANSPORTE Y DISPOSICION DE ESCOMBROS A 21KM.</t>
  </si>
  <si>
    <t xml:space="preserve">MANTENIMIENTO RUTINARIO DE BICICARRIL EN PAVIMENTO RIGIDO SOBRE MALLA VIAL INTERMEDIA. INCLUYE SELLO DE JUNTAS, SELLO DE FISURAS, RETIRO MANUAL DE CAPA VEGETAL, TRANSPORTE Y DISPOSICION DE ESCOMBROS A 21KM. </t>
  </si>
  <si>
    <t>MANTENIMIENTO RUTINARIO DE BICICARRIL EN PAVIMENTO RIGIDO SOBRE MALLA VIAL LOCAL. INCLUYE SELLADO DE JUNTAS, SELLO DE FISURAS Y RETIRO MANUAL DE CAPA VEGETAL, TRANSPORTE Y DISPOSICION DE ESCOMBROS A 21KM.</t>
  </si>
  <si>
    <t>MANTENIMIENTO PERIODICO DE BICICARRIL EN PAVIMENTO RIGIDO SOBRE MALLA VIAL TRONCAL. INCLUYE DEMOLICION, SELLADO DE JUNTAS, REPOSICIÓN DE LOSA, ELEMENTO SEGREGADOR, DEMARCACION, TRANSPORTE Y DISPOSICION DE ESCOMBROS A 21KM.</t>
  </si>
  <si>
    <t>MANTENIMIENTO PERIODICO DE BICICARRIL EN PAVIMENO RIGIDO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</si>
  <si>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 TRANSPORTE Y DISPOSICION DE ESCOMBROS A 21KM.</t>
  </si>
  <si>
    <t>MANTENIMIENTO PERIODICO DE BICICARRIL EN PAVIMENTO RIGIDO SOBRE MALLA VIAL INTERMEDIA.  INCLUYE DEMOLICION, SELLADO DE JUNTAS, REPOSICIÓN DE LOSA, ELEMENTO SEGREGADOR, DEMARCACION, TRANSPORTE Y DISPOSICION DE ESCOMBROS A 21KM.</t>
  </si>
  <si>
    <t>MANTENIMIENTO PERIODICO DE BICICARRIL EN PAVIMENTO RIGIDO SOBRE MALLA VIAL LOCAL.  INCLUYE DEMOLICION, SELLADO DE JUNTAS, REPOSICIÓN DE LOSA, ELEMENTO SEGREGADOR, DEMARCACION, TRANSPORTE Y DISPOSICION DE ESCOMBROS A 21KM.</t>
  </si>
  <si>
    <t>REHABILITACION DE BICICARRIL EN PAVIMENTO FLEXIBLE SOBRE MALLA VIAL TRONCAL. INCLUYE EXCAVACIÓN MECÁNICA, FRESADO, IMPRIMACION, RIEGO DE LIGA, GEOTEXTIL, ELEMENTO SEGREGADOR, DEMARCACION, TRANSPORTE Y DISPOSICION DE ESCOMBROS A 21KM.</t>
  </si>
  <si>
    <t>REHABILITACION DE BICICARRIL EN PAVIMENTO RIGIDO SOBRE MALLA VIAL TRONCAL. INCLUYE DEMOLICION, EXCAVACIÓN MECÁNICA, LOSA DE CONCRETO MR45, SELLADO DE JUNTAS, GEOTEXTIL, ELEMENTO SEGREGADOR, DEMARCACION, TRANSPORTE Y DISPOSICION DE ESCOMBROS A 21KM.</t>
  </si>
  <si>
    <t>REHABILITACION DE BICICARRIL EN PAVIMENTO FLEXIBLE SOBRE MALLA VIAL ARTERIAL. INCLUYE EXCAVACIÓN MECÁNICA, FRESADO, IMPRIMACION, RIEGO DE LIGA, GEOTEXTIL, ELEMENTO SEGREGADOR, DEMARCACION, TRANSPORTE Y DISPOSICION DE ESCOMBROS A 21KM.</t>
  </si>
  <si>
    <t>REHABILITACION DE BICICARRIL EN PAVIMENTO RIGIDO SOBRE MALLA VIAL ARTERIAL. INCLUYE DEMOLICION, EXCAVACIÓN MECÁNICA, LOSA DE CONCRETO MR45, SELLADO DE JUNTAS, GEOTEXTIL, ELEMENTO SEGREGADOR, DEMARCACION, TRANSPORTE Y DISPOSICION DE ESCOMBROS A 21KM.</t>
  </si>
  <si>
    <t>REHABILITACION DE BICICARRIL EN ADOQUIN DE CONCRETO SOBRE MALLA VIAL  ARTERIAL.  INCLUYE RETIRO ADOQUIN E INSTALAR NUEVO, INCLUYE EXCAVACIÓN MECANICA, SUBBASE GRANULAR, ELEMENTO SEGREGADOR, DEMARCACIÓN, TRANSPORTE Y DISPOSICION DE ESCOMBROS A 21KM.</t>
  </si>
  <si>
    <t>REHABILITACION DE BICICARRIL EN PAVIMENTO FLEXIBLE SOBRE MALLA VIAL INTERMEDIA. INCLUYE EXCAVACIÓN MECÁNICA, FRESADO, IMPRIMACION, RIEGO DE LIGA, GEOTEXTIL, ELEMENTO SEGREGADOR, DEMARCACION, TRANSPORTE Y DISPOSICION DE ESCOMBROS A 21KM.</t>
  </si>
  <si>
    <t>REHABILITACION DE BICICARRIL EN PAVIMENTO RIGIDO, SOBRE MALLA VIAL INTERMEDIA. INCLUYE DEMOLICION, EXCAVACIÓN MECÁNICA, SELLADO DE JUNTAS, GEOTEXTIL, LOSA DE CONCRETO MR45, ELEMENTO SEGREGADOR, DEMARCACION, TRANSPORTE Y DISPOSICION DE ESCOMBROS A 21KM.</t>
  </si>
  <si>
    <t>REHABILITACION DE BICICARRIL EN PAVIMENTO FLEXIBLE SOBRE MALLA VIAL LOCAL. INCLUYE FRESADO, EXCAVACIÓN MECÁNICA, IMPRIMACION, RIEGO DE LIGA, GEOTEXTIL, ELEMENTO SEGREGADOR, DEMARCACION, TRANSPORTE Y DISPOSICION DE ESCOMBROS A 21KM.</t>
  </si>
  <si>
    <t>REHABILITACION DE BICICARRIL EN PAVIMENTO RIGIDO SOBRE MALLA VIAL LOCAL. INCLUYE DEMOLICION, EXCAVACIÓN MECÁNICA, LOSA DE CONCRETO MR45, SELLADO DE JUNTAS, GEOTEXTIL, ELEMENTO SEGREGADOR, DEMARCACION, TRANSPORTE Y DISPOSICION DE ESCOMBROS A 21KM.</t>
  </si>
  <si>
    <t>REHABILITACION DE BICICARRIL EN ADOQUIN DE CONCRETO SOBRE MALLA VIAL  LOCAL.  INCLUYE RETIRO ADOQUIN E INSTALAR NUEVO, INCLUYE EXCAVACIÓN MECÁNICA, SUBBASE GRANULAR, ELEMENTO SEGREGADOR, DEMARCACIÓN, TRANSPORTE Y DISPOSICION DE ESCOMBROS A 21KM.</t>
  </si>
  <si>
    <t>RECONSTRUCCION DE BICICARRIL EN PAVIMENTO  FLEXIBLE SOBRE MALLA VIAL TRONCAL. INCLUYE FRESADO, EXCAVACION MECANICA, BASE GRANULAR, SUBBASE, ESTABILIZACION DE SUBRASANTE, GEOTEXTIL, MEZCLA ASFALTICA, ELEMENTO SEGREGADOR, DEMARCACION, TRANSPORTE Y DISPOSICION DE ESCOMBROS A 21KM.</t>
  </si>
  <si>
    <t>RECONSTRUCCION DE BICICARRIL EN PAVIMENTO RIGIDO SOBRE MALLA VIAL TRONCAL.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</si>
  <si>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ARTERIAL. INCLUYE FRESADO, EXCAVACION MECANICA, BASE GRANULAR, SUBBASE, ESTABILIZACION DE SUBRASANTE, GEOTEXTIL, MEZCLA ASFALTICA, ELEMENTO SEGREGADOR, DEMARCACION, TRANSPORTE Y DISPOSICION DE ESCOMBROS A 21KM.</t>
  </si>
  <si>
    <t>RECONSTRUCCION DE BICICARRIL EN PAVIMENTO RIGIDO SOBRE MALLA VIAL ARTERIAL. INCLUYE DEMOLICION, EXCAVACION MECANICA, ESTABILIZACION DE SUBRASANTE, SUBBASE, BASE GRANULAR, ACERO DE REFUERZO, LOSA DE CONCRETO  MR45, GEOTEXTIL, ELEMENTO SEGREGADOR, DEMARCACION, TRANSPORTE Y DISPOSICION DE ESCOMBROS A 21KM.</t>
  </si>
  <si>
    <t>RECONSTRUCCIÓN DE BICICARRIL EN ADOQUIN DE CONCRETO SOBRE MALLA VIAL ARTERIAL. INCLUYE RETIRO ADOQUIN E INSTALAR NUEVO. INCLUYE EXCAVACION MECANICA, ESTABILIZACION DE SUBRASANTE, SUBBASE, BASE GRANULAR, GEOTEXTIL, ELEMENTO SEGREGADOR, DEMARCACION, TRANSPORTE Y DISPOSICION DE ESCOMBROS A 21KM.</t>
  </si>
  <si>
    <t>RECONSTRUCCION DE BICICARRIL EN PAVIMENTO  FLEXIBLE SOBRE MALLA VIAL INTERMEDIA. INCLUYE FRESADO, EXCAVACION MECANICA, BASE GRANULAR, SUBBASE, ESTABILIZACION DE SUBRASANTE, RIEGO DE LIGA, IMPRIMACIÓN, GEOTEXTIL, MEZCLA ASFALTICA, ELEMENTO SEGREGADOR, DEMARCACION, TRANSPORTE Y DISPOSICION DE ESCOMBROS A 21KM.</t>
  </si>
  <si>
    <t>RECONSTRUCCION DE BICICARRIL EN PAVIMENTO RIGIDO SOBRE MALLA VIAL INTERMEDIA.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</si>
  <si>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LOCAL. INCLUYE FRESADO, EXCAVACION MECANICA, BASE GRANULAR, SUBBASE, ESTABILIZACION DE SUBRASANTE, GEOTEXTIL, MEZCLA ASFALTICA, ELEMENTO SEGREGADOR, DEMARCACION, TRANSPORTE Y DISPOSICION DE ESCOMBROS A 21KM.</t>
  </si>
  <si>
    <t>RECONSTRUCCION DE BICICARRIL EN PAVIMENTO RIGIDO SOBRE MALLA VIAL LOCAL. INCLUYE DEMOLICION, EXCAVACION MECANICA, ESTABILIZACION DE SUBRASANTE, SUBBASE, BASE GRANULAR, ACERO DE REFUERZO, LOSA DE CONCRETO MR 45, GEOTEXTIL, ELEMENTO SEGREGADOR, DEMARCACION, TRANSPORTE Y DISPOSICION DE ESCOMBROS A 21KM.</t>
  </si>
  <si>
    <t>RECONSTRUCCIÓN DE BICICARRIL EN ADOQUIN DE CONCRETO SOBRE MALLA VIAL LOCAL. INCLUYE RETIRO ADOQUIN E INSTALAR NUEVO. INCLUYE EXCAVACION MECANICA,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</si>
  <si>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</si>
  <si>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</si>
  <si>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MANUAL,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</si>
  <si>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</si>
  <si>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NUEVO.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</si>
  <si>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</si>
  <si>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MANUAL, SARDINEL, BORDILLO, TRANSPORTE Y DISPOSICION DE ESCOMBROS A 21KM</t>
  </si>
  <si>
    <t>REHABILITACION DE ESPACIO PÚBLICO EN ADOQUIN DE CONCRETO TRAFICO PESADO (20X10X8CM) BASE ARENA. RETIRO ADOQUIN E INSTALAR NUEVO, INCLUYE SARDINEL, BORDILLO, EXCAVACIÓN MANUAL, TRANSPORTE Y DISPOSICION DE ESCOMBROS A 21KM</t>
  </si>
  <si>
    <t>REHABILITACION DE ESPACIO PÚBLICO EN ADOQUIN DE CONCRETO TRAFICO LIVIANO BASE ARENA. RETIRO ADOQUIN E INSTALAR NUEVO, INCLUYE EXCAVACIÓN MANUAL,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</si>
  <si>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</si>
  <si>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MANUAL, SARDINEL, BORDILLO, INCLUYE MOBILIARIO, INCLUYE TRANSPORTE Y DISPOSICION DE ESCOMBROS A 21KM</t>
  </si>
  <si>
    <t>REHABILITACION DE ESPACIO PÚBLICO EN LOSETA A-50 SOBRE MORTERO. RETIRO ADOQUIN E INSTALAR NUEVO, INCLUYE SARDINEL, BORDILLO, EXCAVACIÓN MANUAL, INCLUYE MOBILIARIO, INCLUYE TRANSPORTE Y DISPOSICION DE ESCOMBROS A 21KM</t>
  </si>
  <si>
    <t>REHABILITACION DE ESPACIO PÚBLICO EN PAVIMENTO RIGIDO, CONCRETO GRAVA COMÚN DE 3000 PSI. INCLUYE DEMOLICIÓN RETIRO Y REEMPLAZO DEL MATERIAL, EXCAVACIÓN MANUAL,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</si>
  <si>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</si>
  <si>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</si>
  <si>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MANUAL, NIVELACIÓN Y COMPACTACIÓN DE SUBRASANTE, TRANSPORTE Y DISPOSICION DE ESCOMBROS A 21KM. NO INCLUYE BORDILLO</t>
  </si>
  <si>
    <t>CONSTRUCCIÓN DE ESPACIO PÚBLICO EN PAVIMENTO RIGIDO,  LOSA DE CONCRETO DE 3000 PSI PREMEZCLADO, INCLUYE SUBBASE GRANULAR PEA CLASE B, EXCAVACIÓN MANUAL, FRANJA DE AJUSTE,  GEOTEXTIL, SARDINEL, TRANSPORTE Y DISPOSICION DE ESCOMBROS A 21KM. NO INCLUYE BORDILLO</t>
  </si>
  <si>
    <t>CONSTRUCCION DE CICLORUTA SOBRE ANDÉN, EN PAVIMENTO FLEXIBLE E=0,07 M. (INCLUYE EXCAVACIÓN MECANICA, NIVELACIÓN Y COMPACTACIÓN, RIEGO DE LIGA, IMPRIMACIÓN, GEOTEXTIL, BORDILLO, SEÑALIZACIÓN, DEMARCACIÓN Y TRANSPORTE Y DISPOSICION DE ESCOMBROS A 21KM)</t>
  </si>
  <si>
    <t>CONSTRUCCION ESPACIO PUBLICO EN LOSETA A-50 SOBRE MORTERO.  INCLUYE SUBBASE GRANULAR PEA CLASE B, EXCAVACIÓN MANUAL,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</si>
  <si>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MANUAL,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</si>
  <si>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MANUAL, NIVELACIÓN Y COMPACTACIÓN DE SUBRASANTE, TRANSPORTE Y DISPOSICION DE ESCOMBROS A 21KM. NO INCLUYE BORDILLO</t>
  </si>
  <si>
    <t>MANTENIMIENTO PERIODICO DE BICICARRIL  EN ADOQUÍN DE ARCILLA TR PESADO BASE MORTERO, SOBRE MALLA VIAL ARTERIAL, ,  INCLUYE RETIRO ADOQUIN E INSTALAR NUEVO, TRANSPORTE Y DISPOSICION DE ESCOMBROS A 21KM.</t>
  </si>
  <si>
    <t>MANTENIMIENTO RUTINARIO DE  MALLA VIAL TRONCAL EN PAVIMENTO ASFALTICO, INCLUYE SELLO DE GRIETAS, SELLO DE FISURAS, LIMPIEZA DE POZOS, LIMPIEZA DE SUMIDEROS Y REALCE DE SARDINEL</t>
  </si>
  <si>
    <t>RECONSTRUCCION DE CICLORRUTA SOBRE ANDÉN, EN ADOQUIN DE ARCILLA TRAFICO LIVIANO SOBRE MORTERO. INCLUYE RETIRO ADOQUIN E INSTALAR NUEVO,  EXCAVACIÓN MANUAL, NIVELACIÓN Y COMPACTACIÓN,  GEOTEXTIL, BORDILLO, SEÑALIZACIÓN, DEMARCACIÓN Y TRANSPORTE Y DISPOSICION DE ESCOMBROS A 21KM. ).</t>
  </si>
  <si>
    <t>RECONSTRUCCION DE CICLORRUTA SOBRE ANDÉN, EN PAVIMENTO RIGIDO. (INCLUYE DEMOLICIÓN RETIRO Y REEMPLAZO DEL MATERIAL, EXCAVACIÓN MANUAL, NIVELACIÓN Y COMPACTACIÓN, GEOTEXTIL, BORDILLO, SEÑALIZACIÓN, DEMARCACIÓN Y TRANSPORTE Y DISPOSICION DE ESCOMBROS A 21KM. ).</t>
  </si>
  <si>
    <t>RECONSTRUCCION DE CICLORRUTA SOBRE ANDÉN, EN ADOQUIN DE CONCRETO SOBRE MORTERO. INCLUYE RETIRO ADOQUIN E INSTALAR NUEVO, EXCAVACIÓN MANUAL, NIVELACIÓN Y COMPACTACIÓN, GEOTEXTIL, BORDILLO, SEÑALIZACIÓN, DEMARCACIÓN Y TRANSPORTE Y DISPOSICION DE ESCOMBROS A 21KM. ).</t>
  </si>
  <si>
    <t xml:space="preserve">RECONSTRUCCIÓN ESPACIO PUBLICO EN ADOQUIN DE PIEDRA. INCLUYE RETIRO ADOQUIN E INSTALAR NUEVO, EXCAVACIÓN MANUAL, BORDILLO, SARDINEL, TRANSPORTE Y DISPOSICION DE ESCOMBROS A 21KM. </t>
  </si>
  <si>
    <t>MANTENIMIENTO PERIODICO DE MALLA VIAL ARTERIAL EN PAVIMENTO ASFALTICO (INCLUYE FRESADO Y REPOSICION CARPETA) HORARIO NOCTURNO, INCLUYE EXCAVACIÓN MANUAL, LIMPIEZA DE POZOS, LIMPIEZA DE SUMIDEROS, RIEGO, IMPRIMACIÓN, DEMARCACIÓN, TRANSPORTE Y DISPOSICION DE ESCOMBROS A 21KM.</t>
  </si>
  <si>
    <t>MANTENIMIENTO RUTINARIO DE MALLA VIAL ARTERIAL EN PAVIMENTO ASFALTICO, INCLUYE LIMPIEZA DE POZOS, LIMPIEZA DE SUMIDEROS, SELLO DE GRIETAS, SELLO DE FISURAS Y REALCE DE SARDINEL.</t>
  </si>
  <si>
    <t>MANTENIMIENTO RUTINARIO DE MALLA VIAL ARTERIAL EN PAVIMENTO RIGIDO, INCLUYE LIMPIEZA DE POZOS, LIMPIEZA DE SUMIDEROS, SELLADO DE JUNTAS, SELLO DE FISURAS Y REALCE DE SARDINEL.</t>
  </si>
  <si>
    <t>MANTENIMIENTO PERIÓDICO DE MALLA VIAL INTERMEDIA EN PAVIMENTO ASFÁLTICO, (INCLUYE EXCAVACIÓN MANUAL, FRESADO, CORTE DE PAVIMENTO, SELLADO DE JUNTAS, RIEGO, LIMPIEZA DE  SUMIDEROS, LIMPIEZA DE  POZOS, DEMARCACIÓN, TRANSPORTE Y DISPOSICION DE ESCOMBROS A 21KM.  HORARIO NOCTURNO</t>
  </si>
  <si>
    <t>MANTENIMIENTO RUTINARIO DE MALLA VIAL INTERMEDIA EN PAVIMENTO ASFÁLTICO (INCLUYE SELLO DE FISURAS, SELLO DE GRIETAS, LIMPIEZA DE  SUMIDEROS, LIMPIEZA DE  POZOS Y REALCE DE SARDINEL)</t>
  </si>
  <si>
    <t>MANTENIMIENTO PERIÓDICO DE MALLA VIAL LOCAL EN PAVIMENTO ASFÁLTICO, (INCLUYE FRESADO, RIEGO, SELLO DE GRIETAS, LIMPIEZA DE  SUMIDEROS Y LIMPIEZA DE  POZOS, EXCAVACIÓN MANUAL, DEMARCACIÓN, TRANSPORTE Y DISPOSICION DE ESCOMBROS A 21KM.</t>
  </si>
  <si>
    <t>MANTENIMIENTO RUTINARIO DE MALLA VIAL LOCAL EN PAVIMENTO ASFÁLTICO, (INCLUYE SELLO DE FISURAS, SELLO DE GRIETAS, LIMPIEZA DE  SUMIDEROS Y LIMPIEZA DE  POZOS, Y REALCE DE SARDINEL)</t>
  </si>
  <si>
    <t>MANTENIMIENTO RUTINARIO DE BICICARRIL EN PAVIMENTO FLEXIBLE SOBRE MALLA VIAL TRONCAL. INCLUYE SELLO DE GRIETAS Y SELLO DE FISURAS.</t>
  </si>
  <si>
    <t>MANTENIMIENTO RUTINARIO DE BICICARRIL EN PAVIMENTO FLEXIBLE SOBRE MALLA VIAL ARTERIAL.  INCLUYE SELLO DE GRIETAS Y SELLO DE FISURAS.</t>
  </si>
  <si>
    <t xml:space="preserve">MANTENIMIENTO RUTINARIO DE BICICARRIL EN PAVIMENTO FLEXIBLE SOBRE MALLA VIAL INTERMEDIA. INCLUYE SELLO DE GRIETAS Y SELLO DE FISURAS. </t>
  </si>
  <si>
    <t>MANTENIMIENTO RUTINARIO DE BICICARRIL EN PAVIMENTO FLEXIBLE SOBRE MALLA VIAL LOCAL.  INCLUYE SELLO DE GRIETAS Y SELLO DE FISURAS.</t>
  </si>
  <si>
    <t>MANTENIMIENTO PERIODICO DE BICICARRIL EN PAVIMENTO FLEXIBLE SOBRE MALLA VIAL TRONCAL. INCLUYE FRESADO Y REPOSICIÓN CARPETA, SELLO DE JUNTAS, DEMARCACION VIAL, ELEMENTO SEGREGADOR, TRANSPORTE Y DISPOSICION DE ESCOMBROS A 21KM.</t>
  </si>
  <si>
    <t>MANTENIMIENTO PERIODICO DE BICICARRIL EN PAVIMENTO FLEXIBLE SOBRE MALLA VIAL ARTERIAL. INCLUYE FRESADO Y REPOSICIÓN CARPETA. RIEGO DE LIGA, IMPRIMACIÓN, SELLO DE JUNTAS, DEMARCACION VIAL, ELEMENTO SEGREGADOR, TRANSPORTE Y DISPOSICION DE ESCOMBROS A 21KM.</t>
  </si>
  <si>
    <t>MANTENIMIENTO PERIODICO DE BICICARRIL EN PAVIMENTO FLEXIBLE SOBRE MALLA VIAL INTERMEDIA.  INCLUYE FRESADO Y REPOSICIÓN CARPETA, RIEGO DE LIGA, IMPRIMACIÓN, SELLO DE JUNTAS, DEMARCACION VIAL, ELEMENTO SEGREGADOR, TRANSPORTE Y DISPOSICION DE ESCOMBROS A 21KM.</t>
  </si>
  <si>
    <t>MANTENIMIENTO PERIODICO DE BICICARRIL EN PAVIMENTO FLEXIBLE SOBRE MALLA VIAL LOCAL.  INCLUYE FRESADO Y REPOSICIÓN CARPETA, RIEGO DE LIGA, IMPRIMACIÓN,SELLO DE JUNTAS, DEMARCACION VIAL, ELEMENTO SEGREGADOR, TRANSPORTE Y DISPOSICION DE ESCOMBROS A 21KM.</t>
  </si>
  <si>
    <t>Numero</t>
  </si>
  <si>
    <t>Referencia</t>
  </si>
  <si>
    <t>Año</t>
  </si>
  <si>
    <t>Mes</t>
  </si>
  <si>
    <t>Índice</t>
  </si>
  <si>
    <t>Indice Proyectado</t>
  </si>
  <si>
    <t>Índice de Costos de la Construcción de Obras Civiles - ICOCIV</t>
  </si>
  <si>
    <t>Enero</t>
  </si>
  <si>
    <t>A16. ICOCIV - Serie histórica índice por agrupaciones de subclases CPC V 2.0 A.C.</t>
  </si>
  <si>
    <t>Febrero</t>
  </si>
  <si>
    <t>Código grupos de obra CPC V 2.0 A.C.</t>
  </si>
  <si>
    <t>Grupos de obra CPC V 2.0 A.C.</t>
  </si>
  <si>
    <t>Ponderación (%)</t>
  </si>
  <si>
    <t>Boletín reporte</t>
  </si>
  <si>
    <t>Marzo</t>
  </si>
  <si>
    <t>Carreteras, calles, vías férreas y pistas de aterrizaje, puentes, carreteras elevadas y túneles</t>
  </si>
  <si>
    <t>Abril</t>
  </si>
  <si>
    <t>Mayo</t>
  </si>
  <si>
    <t>Junio</t>
  </si>
  <si>
    <t>m</t>
  </si>
  <si>
    <t>Julio</t>
  </si>
  <si>
    <t>b</t>
  </si>
  <si>
    <t xml:space="preserve">Agosto </t>
  </si>
  <si>
    <t>Septiembre</t>
  </si>
  <si>
    <t>Octubre</t>
  </si>
  <si>
    <t>Noviembre</t>
  </si>
  <si>
    <t>Diciembre</t>
  </si>
  <si>
    <t>v</t>
  </si>
  <si>
    <t>pc</t>
  </si>
  <si>
    <t>f</t>
  </si>
  <si>
    <t>Año inicio construcción</t>
  </si>
  <si>
    <t>Mes inicio Construcción</t>
  </si>
  <si>
    <t>Año Cambio Vigencia Construcción</t>
  </si>
  <si>
    <t>Mes Cambio Vigencia Construcción</t>
  </si>
  <si>
    <t>Indice inicio precio inicial</t>
  </si>
  <si>
    <t>Indice mes final</t>
  </si>
  <si>
    <t>Agosto</t>
  </si>
  <si>
    <t>Residente Social (Categoria 7)</t>
  </si>
  <si>
    <t>ESPECIALISTA EN TRANSITO Y TRANSPORTE  (No incluye Factor de Prestaciones) (Categoria 7)</t>
  </si>
  <si>
    <t>PROVISIÓN POR CAMBIO DE VIGENCIA</t>
  </si>
  <si>
    <t xml:space="preserve">EJECUCIÓN DE OBRAS MALLA VIAL COSTO DIRECTO </t>
  </si>
  <si>
    <t xml:space="preserve">EJECUCIÓN DE OBRAS ESPACIO PUBLICO COSTO DIRECTO </t>
  </si>
  <si>
    <t>Ancho (m)</t>
  </si>
  <si>
    <t>Largo (m)</t>
  </si>
  <si>
    <t>Calzada</t>
  </si>
  <si>
    <t>Flexible</t>
  </si>
  <si>
    <t>Anden</t>
  </si>
  <si>
    <t>Total</t>
  </si>
  <si>
    <t>Valor total</t>
  </si>
  <si>
    <t>Nº</t>
  </si>
  <si>
    <t>UND.</t>
  </si>
  <si>
    <t>PK</t>
  </si>
  <si>
    <t>Area (m²)</t>
  </si>
  <si>
    <t>Tipo elemento</t>
  </si>
  <si>
    <t>Tipo de intervención</t>
  </si>
  <si>
    <t>Tipo de superficie</t>
  </si>
  <si>
    <t>Tipo de malla vial</t>
  </si>
  <si>
    <t>Espesor superficie pavimento</t>
  </si>
  <si>
    <t>Espesor Base</t>
  </si>
  <si>
    <t>Subbase</t>
  </si>
  <si>
    <t>Suelo estabilizado</t>
  </si>
  <si>
    <t>intervención</t>
  </si>
  <si>
    <t>cod Idu</t>
  </si>
  <si>
    <t>Descripcion</t>
  </si>
  <si>
    <t>VU</t>
  </si>
  <si>
    <t>472330</t>
  </si>
  <si>
    <t>170896</t>
  </si>
  <si>
    <t>170897</t>
  </si>
  <si>
    <t>170898</t>
  </si>
  <si>
    <t>91064150</t>
  </si>
  <si>
    <t>52456</t>
  </si>
  <si>
    <t>92058103</t>
  </si>
  <si>
    <t>52531</t>
  </si>
  <si>
    <t>20011114</t>
  </si>
  <si>
    <t>92087422</t>
  </si>
  <si>
    <t>55337</t>
  </si>
  <si>
    <t>55259</t>
  </si>
  <si>
    <t>466904</t>
  </si>
  <si>
    <t>Formulario 1 - Propuesta económica  - Documento tipo de licitación de obra pública de infraestructura de transporte - versión 4</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</si>
  <si>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</si>
  <si>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</si>
  <si>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</si>
  <si>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</si>
  <si>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</si>
  <si>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</si>
  <si>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</si>
  <si>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 xml:space="preserve">ESPECIFICACIONES </t>
  </si>
  <si>
    <t xml:space="preserve">VALOR TOTAL                                </t>
  </si>
  <si>
    <t>GENERAL</t>
  </si>
  <si>
    <t>PARTICULAR</t>
  </si>
  <si>
    <t>IDU</t>
  </si>
  <si>
    <t>SUBTOTAL VALORES OFERTADOS</t>
  </si>
  <si>
    <t>SUBTOTAL OBRAS (INCLUYE COSTOS DIRECTOS E INDIRECTOS)</t>
  </si>
  <si>
    <t>COMPONENTE GESTIÓN AMBIENTAL Y SST (INCLUYE A.I.U.) - VALOR NO OFERTABLE</t>
  </si>
  <si>
    <t>COMPONENTE GESTIÓN SOCIAL (INCLUYE A.I.U.) - VALOR NO OFERTABLE</t>
  </si>
  <si>
    <t>COMPONENTE PLAN DE MANEJO DE TRAFICO - PMT (INCLUYE A.I.U.) - VALOR NO OFERTABLE</t>
  </si>
  <si>
    <t>PROVISIÓN POR CAMBIO DE VIGENCIA - VALOR NO OFERTABLE</t>
  </si>
  <si>
    <t>VALOR TOTAL OFERTA ECONOMICA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</si>
  <si>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</si>
  <si>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</si>
  <si>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</si>
  <si>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</si>
  <si>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</si>
  <si>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</si>
  <si>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</si>
  <si>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</si>
  <si>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</si>
  <si>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</si>
  <si>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</si>
  <si>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</si>
  <si>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48561</t>
  </si>
  <si>
    <t>RECONSTRUCCION - REHABILITACION VIA PAVIMENTO FLEXIBLE</t>
  </si>
  <si>
    <t>91013913</t>
  </si>
  <si>
    <t>167810</t>
  </si>
  <si>
    <t>166646</t>
  </si>
  <si>
    <t>167491</t>
  </si>
  <si>
    <t>167266</t>
  </si>
  <si>
    <t>168919</t>
  </si>
  <si>
    <t>168426</t>
  </si>
  <si>
    <t>91020796</t>
  </si>
  <si>
    <t>176184</t>
  </si>
  <si>
    <t>167636</t>
  </si>
  <si>
    <t>176730</t>
  </si>
  <si>
    <t>173038</t>
  </si>
  <si>
    <t>170229</t>
  </si>
  <si>
    <t>170227</t>
  </si>
  <si>
    <t>170226</t>
  </si>
  <si>
    <t>171567</t>
  </si>
  <si>
    <t>166632</t>
  </si>
  <si>
    <t>170228</t>
  </si>
  <si>
    <t>48591</t>
  </si>
  <si>
    <t>48590</t>
  </si>
  <si>
    <t>48560</t>
  </si>
  <si>
    <t>RECONSTRUCCION - REHABILITACION VIA PAVIMENTO RIGIDO</t>
  </si>
  <si>
    <t>ACUEDUCTO</t>
  </si>
  <si>
    <t>PK-ID</t>
  </si>
  <si>
    <t>Tipo</t>
  </si>
  <si>
    <t>Área (m²)</t>
  </si>
  <si>
    <t>km-carril</t>
  </si>
  <si>
    <t>KR 49</t>
  </si>
  <si>
    <t>KR 50</t>
  </si>
  <si>
    <t>KR 53</t>
  </si>
  <si>
    <t>CL 96</t>
  </si>
  <si>
    <t>DG 150</t>
  </si>
  <si>
    <t>TV 142</t>
  </si>
  <si>
    <t>KR 145</t>
  </si>
  <si>
    <t>KR 69B</t>
  </si>
  <si>
    <t>KR 69D</t>
  </si>
  <si>
    <t>KR 58D</t>
  </si>
  <si>
    <t>CL 128B</t>
  </si>
  <si>
    <t>CL 128BBIS</t>
  </si>
  <si>
    <t>CL 104C</t>
  </si>
  <si>
    <t>KR 47</t>
  </si>
  <si>
    <t>Sin Establecer</t>
  </si>
  <si>
    <t>CL 131A</t>
  </si>
  <si>
    <t>CL 128A</t>
  </si>
  <si>
    <t>KR 53A</t>
  </si>
  <si>
    <t>KR 92</t>
  </si>
  <si>
    <t>CL 128C</t>
  </si>
  <si>
    <t>CL 128CBIS</t>
  </si>
  <si>
    <t>CL 128D</t>
  </si>
  <si>
    <t>CL 128F</t>
  </si>
  <si>
    <t>AK 45</t>
  </si>
  <si>
    <t>KR 46</t>
  </si>
  <si>
    <t>CL 107</t>
  </si>
  <si>
    <t>KR 70A</t>
  </si>
  <si>
    <t>KR 70B</t>
  </si>
  <si>
    <t>CL 130C</t>
  </si>
  <si>
    <t>KR 94D</t>
  </si>
  <si>
    <t>KR 95</t>
  </si>
  <si>
    <t>CL 146A</t>
  </si>
  <si>
    <t>KR 94C</t>
  </si>
  <si>
    <t>CL 137A</t>
  </si>
  <si>
    <t>KR 45A</t>
  </si>
  <si>
    <t>KR 98A</t>
  </si>
  <si>
    <t>CL 157A</t>
  </si>
  <si>
    <t>CL 157B</t>
  </si>
  <si>
    <t>KR 103C</t>
  </si>
  <si>
    <t>CL 136BIS</t>
  </si>
  <si>
    <t>CL 137BIS</t>
  </si>
  <si>
    <t>KR 58BBIS</t>
  </si>
  <si>
    <t>CL 127ABIS</t>
  </si>
  <si>
    <t>KR 90C</t>
  </si>
  <si>
    <t>KR 90D</t>
  </si>
  <si>
    <t>KR 90A</t>
  </si>
  <si>
    <t>KR 90B</t>
  </si>
  <si>
    <t>SE</t>
  </si>
  <si>
    <t>CL 129B</t>
  </si>
  <si>
    <t>CL 129C</t>
  </si>
  <si>
    <t>CL 101B</t>
  </si>
  <si>
    <t>CL 101</t>
  </si>
  <si>
    <t xml:space="preserve">KR 95 </t>
  </si>
  <si>
    <t xml:space="preserve">CL 129B </t>
  </si>
  <si>
    <t>KR 94B</t>
  </si>
  <si>
    <t>KR 96</t>
  </si>
  <si>
    <t>CL 130CBIS</t>
  </si>
  <si>
    <t>KR 122 D</t>
  </si>
  <si>
    <t>CL 129 D</t>
  </si>
  <si>
    <t xml:space="preserve">KR 122 </t>
  </si>
  <si>
    <t>KR 121C</t>
  </si>
  <si>
    <t>KR 122</t>
  </si>
  <si>
    <t>KR 54C</t>
  </si>
  <si>
    <t>CL 167A</t>
  </si>
  <si>
    <t>CL 166BIS</t>
  </si>
  <si>
    <t>KR 54 C</t>
  </si>
  <si>
    <t>KR 55A</t>
  </si>
  <si>
    <t>CL 166</t>
  </si>
  <si>
    <t xml:space="preserve">	KR 55A</t>
  </si>
  <si>
    <t>172926</t>
  </si>
  <si>
    <t xml:space="preserve">COSTO DIRECTO MALLA VIAL </t>
  </si>
  <si>
    <t>COSTO DIRECTO ESPACIO PUBLICO</t>
  </si>
  <si>
    <t>CL 138</t>
  </si>
  <si>
    <t>KR 101B</t>
  </si>
  <si>
    <t>KR 101C</t>
  </si>
  <si>
    <t>ESPECIALISTA EN GEOTECNIA VIAL Y PAVIMENTOS  (No incluye Factor de Prestaciones)</t>
  </si>
  <si>
    <t>INGENIERO FORESTAL</t>
  </si>
  <si>
    <t>CATE</t>
  </si>
  <si>
    <t>170222</t>
  </si>
  <si>
    <t>PROVISION ATENCION DE EMERGENCIAS</t>
  </si>
  <si>
    <t>COSTOS ESTIMADOS PARA DIAGNOSTICOS, DISEÑOS Y ENSAYOS DE LABORATORIO (Incluye Iva)  - VALOR NO OFERTABLE</t>
  </si>
  <si>
    <t>KR 54B</t>
  </si>
  <si>
    <t>KR 54A</t>
  </si>
  <si>
    <t>Actualización 2026-I Fase II + M.O. Ley 2101 de 2021</t>
  </si>
  <si>
    <t>CONTROLADOR CON CAPACIDAD PARA 16 GRUPOS VEHICULARES O PEATONALES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</si>
  <si>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</si>
  <si>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</si>
  <si>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PORCENTAJE DE VACIOS CON AIRE EN MEZCLAS ASFALTICAS COMPACTADAS DENSAS Y ABIERTAS.  (Excluye la ejecuciòn de ensayos de gravedad especifica Bulk y gravedad especìfica màxima teòrica) Norma técnica: INVE-736-13 ASTM D3203/D3203M-22.</t>
  </si>
  <si>
    <t xml:space="preserve">BRIDA LOCA EN HD PARA POLIETILENO  D= 8" </t>
  </si>
  <si>
    <t>BRIDA LOCA EN HD PARA POLIETILENO D= 4"</t>
  </si>
  <si>
    <t>BRIDA LOCA EN HD PARA POLIETILENO D= 3"</t>
  </si>
  <si>
    <t>BRIDA LOCA EN HD PARA POLIETILENO D= 6"</t>
  </si>
  <si>
    <t>ANALISIS VOLUMETRICO DE MEZCLAS ASFALTICAS COMPACTADAS EN CALIENTE. (Excluye la ejecuciòn de ensayos para la determinación de las diferentes variables volumetricas) Norma técnica: INVE-799-13.</t>
  </si>
  <si>
    <t>CONTROLADOR OCIT - SIL3 COMPATIBLE CON LA CENTRAL DE BOGOTÁ Y APROBADO POR LA SECRETARIA DE MOVILIDAD, CON CAPACIDAD PARA 16 GRUPOS VEHICULARES O PEATONALES. (Suministro, instalación y puesta en funcionamiento). CON POSIBILIDAD DE AMPLIACIÓN HASTA 32 GRUPOS, PROTOCOLO ABIERTO OCIT, INCLUYE GPS.</t>
  </si>
  <si>
    <t>CONTROLADOR OCIT - SIL3 COMPATIBLE CON LA CENTRAL DE BOGOTÁ Y APROBADO POR LA SECRETARIA DE MOVILIDAD, CON CAPACIDAD PARA 24 GRUPOS VEHICULARES O PEATONALES. (Suministro, instalación y puesta en funcionamiento). CON POSIBILIDAD DE AMPLIACIÓN HASTA 32 GRUPOS, RELOJ EN TIEMPO REAL, 32, PROTOCOLO ABIERTO OCIT, INCLUYE GPS.</t>
  </si>
  <si>
    <t>CONTROLADOR OCIT - SIL3 COMPATIBLE CON LA CENTRAL DE BOGOTÁ Y APROBADO POR LA SECRETARIA DE MOVILIDAD, CON CAPACIDAD PARA 32 GRUPOS VEHICULARES O PEATONALES. (Suministro, instalación y puesta en funcionamiento). CON POSIBILIDAD DE AMPLIACIÓN HASTA 32 GRUPOS, PROTOCOLO ABIERTO OCIT, INCLUYE GPS.</t>
  </si>
  <si>
    <t>INSTALACIÓN Y PUESTA EN SERVICIO DE CONTROLADOR DE TRAFICO EN BOGOTÁ, (INCLUYE TRANSPORTE DE CONTROLADOR DESDE SDM HASTA LUGAR DE INSTALACIÓN EN BOGOTÁ, M. DE O. E IVA, NO INCLUYE SUMINISTRO DE CONTROLADOR</t>
  </si>
  <si>
    <t>CL 131</t>
  </si>
  <si>
    <t>AK 91</t>
  </si>
  <si>
    <t>KR 93</t>
  </si>
  <si>
    <t>CL 137ABIS</t>
  </si>
  <si>
    <t>KR 103</t>
  </si>
  <si>
    <t>CL 137</t>
  </si>
  <si>
    <t>KR 129</t>
  </si>
  <si>
    <t>KR 131</t>
  </si>
  <si>
    <t>CL 112</t>
  </si>
  <si>
    <t>KR 152</t>
  </si>
  <si>
    <t>CL 143</t>
  </si>
  <si>
    <t>CL 143B</t>
  </si>
  <si>
    <t>KR 70C</t>
  </si>
  <si>
    <t>DG 115A</t>
  </si>
  <si>
    <t>AC 116</t>
  </si>
  <si>
    <t>CL 114</t>
  </si>
  <si>
    <t>KR 51</t>
  </si>
  <si>
    <t>CL 130CBISA</t>
  </si>
  <si>
    <t>Rígido</t>
  </si>
  <si>
    <t>171152</t>
  </si>
  <si>
    <t>173058</t>
  </si>
  <si>
    <t>174478</t>
  </si>
  <si>
    <t>91010089</t>
  </si>
  <si>
    <t>176122</t>
  </si>
  <si>
    <t>168536</t>
  </si>
  <si>
    <t>166934</t>
  </si>
  <si>
    <t>20013540</t>
  </si>
  <si>
    <t>48657</t>
  </si>
  <si>
    <t>48655</t>
  </si>
  <si>
    <t>PROVISION ATENCION DE EMERGENCIAS (INCLUYE A.I.U. (27,14%)) - VALOR NO OFERTABLE</t>
  </si>
  <si>
    <t>KR 136</t>
  </si>
  <si>
    <t>CL 132A</t>
  </si>
  <si>
    <t>CL 132B</t>
  </si>
  <si>
    <t>174353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</si>
</sst>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numFmt numFmtId="165" formatCode="&quot;$&quot;\ #,##0.00"/>
    <numFmt numFmtId="166" formatCode="&quot;$&quot;\ #,##0"/>
    <numFmt numFmtId="167" formatCode="_-&quot;$&quot;\ * #,##0_-;\-&quot;$&quot;\ * #,##0_-;_-&quot;$&quot;\ * &quot;-&quot;??_-;_-@_-"/>
    <numFmt numFmtId="168" formatCode="_(&quot;$&quot;\ * #,##0_);_(&quot;$&quot;\ * \(#,##0\);_(&quot;$&quot;\ * &quot;-&quot;??_);_(@_)"/>
    <numFmt numFmtId="169" formatCode="_ &quot;$&quot;\ * #,##0.00_ ;_ &quot;$&quot;\ * \-#,##0.00_ ;_ &quot;$&quot;\ * &quot;-&quot;??_ ;_ @_ "/>
    <numFmt numFmtId="170" formatCode="_(* #,##0.00_);_(* \(#,##0.00\);_(* &quot;-&quot;??_);_(@_)"/>
    <numFmt numFmtId="171" formatCode="_(&quot;$&quot;* #,##0.00_);_(&quot;$&quot;* \(#,##0.00\);_(&quot;$&quot;* &quot;-&quot;??_);_(@_)"/>
    <numFmt numFmtId="172" formatCode="0.000"/>
    <numFmt numFmtId="173" formatCode="[$$-240A]#,##0.00;[Red]\([$$-240A]#,##0.00\)"/>
    <numFmt numFmtId="174" formatCode="#,##0.0000"/>
    <numFmt numFmtId="175" formatCode="0.0"/>
    <numFmt numFmtId="176" formatCode="#,##0.00;[Red]#,##0.00"/>
    <numFmt numFmtId="177" formatCode="0.0%"/>
    <numFmt numFmtId="178" formatCode="_-&quot;$&quot;* #,##0.00_-;\-&quot;$&quot;* #,##0.00_-;_-&quot;$&quot;* &quot;-&quot;??_-;_-@_-"/>
    <numFmt numFmtId="179" formatCode="_(&quot;$&quot;\ * #,##0.00_);_(&quot;$&quot;\ * \(#,##0.00\);_(&quot;$&quot;\ * &quot;-&quot;??_);_(@_)"/>
    <numFmt numFmtId="180" formatCode="_ * #,##0.00_ ;_ * \-#,##0.00_ ;_ * &quot;-&quot;??_ ;_ @_ "/>
    <numFmt numFmtId="181" formatCode="_ * #,##0_ ;_ * \-#,##0_ ;_ * &quot;-&quot;??_ ;_ @_ "/>
    <numFmt numFmtId="182" formatCode="_(* #,##0.0000_);_(* \(#,##0.0000\);_(* &quot;-&quot;??_);_(@_)"/>
    <numFmt numFmtId="183" formatCode="[$$-240A]\ #,##0.00;[Red][$$-240A]\ #,##0.00"/>
    <numFmt numFmtId="184" formatCode="_(* #,##0.0000_);_(* \(#,##0.0000\);_(* &quot;-&quot;????_);_(@_)"/>
    <numFmt numFmtId="185" formatCode="_-[$$-240A]\ * #,##0.00_-;\-[$$-240A]\ * #,##0.00_-;_-[$$-240A]\ * &quot;-&quot;??_-;_-@_-"/>
    <numFmt numFmtId="186" formatCode="_-* #,##0.00\ &quot;€&quot;_-;\-* #,##0.00\ &quot;€&quot;_-;_-* &quot;-&quot;??\ &quot;€&quot;_-;_-@_-"/>
    <numFmt numFmtId="187" formatCode="0.0000%"/>
    <numFmt numFmtId="188" formatCode="0.000%"/>
    <numFmt numFmtId="189" formatCode="0.000000000000000%"/>
    <numFmt numFmtId="190" formatCode="[$$-240A]\ #,##0"/>
    <numFmt numFmtId="191" formatCode="0.0000"/>
    <numFmt numFmtId="192" formatCode="[$$-240A]\ #,##0.0"/>
    <numFmt numFmtId="193" formatCode="[$$-240A]\ #,##0.00"/>
    <numFmt numFmtId="194" formatCode="_ * #,##0.0_ ;_ * \-#,##0.0_ ;_ * &quot;-&quot;??_ ;_ @_ "/>
    <numFmt numFmtId="195" formatCode="_-* #,##0_-;\-* #,##0_-;_-* &quot;-&quot;??_-;_-@_-"/>
    <numFmt numFmtId="196" formatCode="&quot;$&quot;\ #,##0.0"/>
    <numFmt numFmtId="197" formatCode="0.000000000%"/>
    <numFmt numFmtId="198" formatCode="[$$-240A]\ #,##0.00_);[Red]\([$$-240A]\ #,##0.00\)"/>
    <numFmt numFmtId="199" formatCode="&quot;$&quot;\ #,##0;[Red]&quot;$&quot;\ \-#,##0"/>
    <numFmt numFmtId="200" formatCode="&quot;$&quot;\ #,##0.00;[Red]&quot;$&quot;\ \-#,##0.00"/>
    <numFmt numFmtId="201" formatCode="&quot;$&quot;\ #,##0.0;[Red]&quot;$&quot;\ \-#,##0.0"/>
    <numFmt numFmtId="202" formatCode="_-&quot;$&quot;* #,##0_-;\-&quot;$&quot;* #,##0_-;_-&quot;$&quot;* &quot;-&quot;??_-;_-@"/>
    <numFmt numFmtId="203" formatCode="_-&quot;$&quot;* #,##0_-;\-&quot;$&quot;* #,##0_-;_-&quot;$&quot;* &quot;-&quot;_-;_-@_-"/>
    <numFmt numFmtId="204" formatCode="_-&quot;$&quot;* #,##0_-;\-&quot;$&quot;* #,##0_-;_-&quot;$&quot;* &quot;-&quot;??_-;_-@_-"/>
    <numFmt numFmtId="205" formatCode="_-&quot;$&quot;\ * #,##0.000000000000_-;\-&quot;$&quot;\ * #,##0.000000000000_-;_-&quot;$&quot;\ * &quot;-&quot;_-;_-@_-"/>
    <numFmt numFmtId="206" formatCode="_-[$$-240A]\ * #,##0.000000000_-;\-[$$-240A]\ * #,##0.000000000_-;_-[$$-240A]\ * &quot;-&quot;??_-;_-@_-"/>
    <numFmt numFmtId="207" formatCode="_ &quot;$&quot;\ * #,##0_ ;_ &quot;$&quot;\ * \-#,##0_ ;_ &quot;$&quot;\ * &quot;-&quot;_ ;_ @_ "/>
    <numFmt numFmtId="208" formatCode="#,##0.000"/>
    <numFmt numFmtId="209" formatCode="_-* #,##0.00\ &quot;Pts&quot;_-;\-* #,##0.00\ &quot;Pts&quot;_-;_-* &quot;-&quot;??\ &quot;Pts&quot;_-;_-@_-"/>
    <numFmt numFmtId="210" formatCode="_-* #,##0.00\ [$€]_-;\-* #,##0.00\ [$€]_-;_-* &quot;-&quot;??\ [$€]_-;_-@_-"/>
    <numFmt numFmtId="211" formatCode="##0"/>
    <numFmt numFmtId="212" formatCode="_-* #,##0\ _P_t_s_-;\-* #,##0\ _P_t_s_-;_-* &quot;-&quot;??\ _P_t_s_-;_-@_-"/>
    <numFmt numFmtId="213" formatCode="0.00%;\-0.00%;&quot;&quot;"/>
    <numFmt numFmtId="214" formatCode="&quot;$&quot;#,##0\ ;\(&quot;$&quot;#,##0\)"/>
    <numFmt numFmtId="215" formatCode="\(0%\)"/>
    <numFmt numFmtId="216" formatCode=";;"/>
    <numFmt numFmtId="217" formatCode="d\ \d\e\ mmmm\ \d\e\ yyyy"/>
    <numFmt numFmtId="218" formatCode="0%;\-0%;&quot;&quot;"/>
    <numFmt numFmtId="219" formatCode="#0&quot;.&quot;000&quot;´&quot;000&quot;.&quot;000"/>
    <numFmt numFmtId="220" formatCode="##0&quot;.&quot;000"/>
    <numFmt numFmtId="221" formatCode="##0&quot;´&quot;000&quot;.&quot;000"/>
    <numFmt numFmtId="222" formatCode="#0&quot;.&quot;"/>
    <numFmt numFmtId="223" formatCode="0.0%;\-0.0%;&quot;&quot;"/>
    <numFmt numFmtId="224" formatCode="0.0000000000000%"/>
    <numFmt numFmtId="225" formatCode="\$\ #,##0"/>
    <numFmt numFmtId="226" formatCode="\$\ 0"/>
    <numFmt numFmtId="227" formatCode="\$\ #,##0.0"/>
    <numFmt numFmtId="228" formatCode="&quot;$&quot;\ #,##0.00_);\(&quot;$&quot;\ #,##0.00\)"/>
    <numFmt numFmtId="229" formatCode="_-[$$-240A]* #,##0.00_-;\-[$$-240A]* #,##0.00_-;_-[$$-240A]* &quot;-&quot;??_-;_-@_-"/>
    <numFmt numFmtId="230" formatCode="_-[$$-240A]\ * #,##0.00_ ;_-[$$-240A]\ * \-#,##0.00\ ;_-[$$-240A]\ * &quot;-&quot;??_ ;_-@_ "/>
    <numFmt numFmtId="231" formatCode="_([$$-240A]\ * #,##0.00_);_([$$-240A]\ * \(#,##0.00\);_([$$-240A]\ * &quot;-&quot;??_);_(@_)"/>
    <numFmt numFmtId="232" formatCode="_([$$-240A]\ * #,##0_);_([$$-240A]\ * \(#,##0\);_([$$-240A]\ * &quot;-&quot;??_);_(@_)"/>
    <numFmt numFmtId="233" formatCode="0#.00\ \L\t"/>
    <numFmt numFmtId="234" formatCode="_ [$$-240A]\ * #,##0.00_ ;_ [$$-240A]\ * \-#,##0.00_ ;_ [$$-240A]\ * &quot;-&quot;??_ ;_ @_ "/>
  </numFmts>
  <fonts count="9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color theme="1"/>
      <name val="Arial"/>
      <family val="2"/>
    </font>
    <font>
      <b/>
      <sz val="8"/>
      <name val="Arial"/>
      <family val="2"/>
    </font>
    <font>
      <b/>
      <sz val="10"/>
      <name val="Arial"/>
      <family val="2"/>
    </font>
    <font>
      <b/>
      <sz val="10"/>
      <color theme="1"/>
      <name val="Arial"/>
      <family val="2"/>
    </font>
    <font>
      <b/>
      <sz val="8"/>
      <color theme="1"/>
      <name val="Arial"/>
      <family val="2"/>
    </font>
    <font>
      <b/>
      <sz val="11"/>
      <name val="Arial"/>
      <family val="2"/>
    </font>
    <font>
      <sz val="9"/>
      <color theme="1"/>
      <name val="Arial"/>
      <family val="2"/>
    </font>
    <font>
      <sz val="9"/>
      <name val="Arial"/>
      <family val="2"/>
    </font>
    <font>
      <sz val="10"/>
      <color rgb="FF000000"/>
      <name val="Arial"/>
      <family val="2"/>
    </font>
    <font>
      <b/>
      <sz val="9"/>
      <color theme="1"/>
      <name val="Arial"/>
      <family val="2"/>
    </font>
    <font>
      <sz val="11"/>
      <color rgb="FF000000"/>
      <name val="Calibri"/>
      <family val="2"/>
    </font>
    <font>
      <b/>
      <sz val="12"/>
      <name val="Arial"/>
      <family val="2"/>
    </font>
    <font>
      <sz val="12"/>
      <name val="Arial"/>
      <family val="2"/>
    </font>
    <font>
      <b/>
      <sz val="9"/>
      <name val="Arial"/>
      <family val="2"/>
    </font>
    <font>
      <sz val="8"/>
      <name val="Calibri"/>
      <family val="2"/>
      <scheme val="minor"/>
    </font>
    <font>
      <b/>
      <sz val="8"/>
      <name val="Arial"/>
      <family val="2"/>
      <charset val="1"/>
    </font>
    <font>
      <sz val="8"/>
      <name val="Arial"/>
      <family val="2"/>
      <charset val="1"/>
    </font>
    <font>
      <sz val="8"/>
      <name val="Arial"/>
      <family val="2"/>
    </font>
    <font>
      <sz val="6"/>
      <name val="Arial"/>
      <family val="2"/>
    </font>
    <font>
      <sz val="8"/>
      <color theme="1"/>
      <name val="Arial"/>
      <family val="2"/>
    </font>
    <font>
      <sz val="8"/>
      <color rgb="FFFF0000"/>
      <name val="Arial"/>
      <family val="2"/>
    </font>
    <font>
      <b/>
      <u/>
      <sz val="10"/>
      <name val="Arial"/>
      <family val="2"/>
    </font>
    <font>
      <b/>
      <sz val="7"/>
      <name val="Arial"/>
      <family val="2"/>
    </font>
    <font>
      <sz val="9"/>
      <color theme="1"/>
      <name val="Calibri"/>
      <family val="2"/>
      <scheme val="minor"/>
    </font>
    <font>
      <sz val="9"/>
      <name val="Arial"/>
      <family val="2"/>
      <charset val="1"/>
    </font>
    <font>
      <b/>
      <sz val="10"/>
      <name val="Arial"/>
      <family val="2"/>
      <charset val="1"/>
    </font>
    <font>
      <sz val="11"/>
      <name val="Arial"/>
      <family val="2"/>
    </font>
    <font>
      <sz val="5"/>
      <name val="Arial"/>
      <family val="2"/>
    </font>
    <font>
      <sz val="11"/>
      <color theme="1"/>
      <name val="Arial"/>
      <family val="2"/>
    </font>
    <font>
      <b/>
      <sz val="7.5"/>
      <name val="Arial"/>
      <family val="2"/>
    </font>
    <font>
      <b/>
      <sz val="9"/>
      <color indexed="8"/>
      <name val="Arial"/>
      <family val="2"/>
    </font>
    <font>
      <b/>
      <sz val="8"/>
      <color indexed="8"/>
      <name val="Arial"/>
      <family val="2"/>
    </font>
    <font>
      <sz val="9"/>
      <color indexed="8"/>
      <name val="Arial"/>
      <family val="2"/>
    </font>
    <font>
      <b/>
      <sz val="11"/>
      <color theme="1"/>
      <name val="Arial"/>
      <family val="2"/>
    </font>
    <font>
      <b/>
      <sz val="10"/>
      <color indexed="8"/>
      <name val="Arial"/>
      <family val="2"/>
    </font>
    <font>
      <sz val="11"/>
      <color theme="0" tint="-0.34998626667073579"/>
      <name val="Arial"/>
      <family val="2"/>
    </font>
    <font>
      <b/>
      <sz val="6"/>
      <name val="Arial"/>
      <family val="2"/>
    </font>
    <font>
      <sz val="11"/>
      <color rgb="FF000000"/>
      <name val="Arial"/>
      <family val="2"/>
    </font>
    <font>
      <b/>
      <sz val="11"/>
      <color theme="0"/>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Garamond"/>
      <family val="1"/>
    </font>
    <font>
      <b/>
      <sz val="11"/>
      <name val="Segoe UI"/>
      <family val="2"/>
    </font>
    <font>
      <sz val="10"/>
      <color rgb="FF000000"/>
      <name val="Segoe UI"/>
      <family val="2"/>
    </font>
    <font>
      <sz val="10"/>
      <name val="Segoe UI"/>
      <family val="2"/>
    </font>
    <font>
      <sz val="10"/>
      <color rgb="FF000000"/>
      <name val="Times New Roman"/>
      <family val="1"/>
    </font>
    <font>
      <sz val="11"/>
      <color rgb="FF000000"/>
      <name val="Garamond"/>
      <family val="1"/>
    </font>
    <font>
      <b/>
      <sz val="11"/>
      <name val="Garamond"/>
      <family val="1"/>
    </font>
    <font>
      <sz val="10"/>
      <color rgb="FF000000"/>
      <name val="Garamond"/>
      <family val="1"/>
    </font>
    <font>
      <b/>
      <sz val="10"/>
      <name val="Garamond"/>
      <family val="1"/>
    </font>
    <font>
      <sz val="10"/>
      <name val="Garamond"/>
      <family val="1"/>
    </font>
    <font>
      <b/>
      <sz val="10"/>
      <color rgb="FF000000"/>
      <name val="Garamond"/>
      <family val="1"/>
    </font>
    <font>
      <b/>
      <sz val="11"/>
      <color rgb="FF000000"/>
      <name val="Garamond"/>
      <family val="1"/>
    </font>
    <font>
      <sz val="9"/>
      <color rgb="FF000000"/>
      <name val="Garamond"/>
      <family val="1"/>
    </font>
    <font>
      <sz val="9"/>
      <name val="Garamond"/>
      <family val="1"/>
    </font>
    <font>
      <sz val="9"/>
      <color rgb="FF000000"/>
      <name val="Segoe UI"/>
      <family val="2"/>
    </font>
    <font>
      <b/>
      <sz val="14"/>
      <name val="Calibri"/>
      <family val="2"/>
      <scheme val="minor"/>
    </font>
    <font>
      <b/>
      <sz val="11"/>
      <name val="Calibri"/>
      <family val="2"/>
      <scheme val="minor"/>
    </font>
    <font>
      <sz val="10"/>
      <color theme="1"/>
      <name val="Segoe UI"/>
      <family val="2"/>
    </font>
    <font>
      <b/>
      <sz val="9"/>
      <name val="Segoe UI"/>
      <family val="2"/>
    </font>
    <font>
      <b/>
      <sz val="14"/>
      <color theme="0"/>
      <name val="Segoe UI"/>
      <family val="2"/>
    </font>
    <font>
      <sz val="9"/>
      <name val="Segoe UI"/>
      <family val="2"/>
    </font>
    <font>
      <sz val="11"/>
      <name val="Calibri"/>
      <family val="2"/>
      <scheme val="minor"/>
    </font>
    <font>
      <sz val="12"/>
      <name val="Arial Narrow"/>
      <family val="2"/>
    </font>
    <font>
      <b/>
      <u/>
      <sz val="11"/>
      <name val="Arial"/>
      <family val="2"/>
    </font>
    <font>
      <sz val="11"/>
      <name val="Arial Narrow"/>
      <family val="2"/>
    </font>
    <font>
      <b/>
      <sz val="11"/>
      <color rgb="FFFF0000"/>
      <name val="Arial"/>
      <family val="2"/>
    </font>
    <font>
      <sz val="10"/>
      <name val="Calibri"/>
      <family val="2"/>
    </font>
  </fonts>
  <fills count="4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2" tint="-9.9978637043366805E-2"/>
        <bgColor rgb="FFDBE5F1"/>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0000"/>
        <bgColor indexed="64"/>
      </patternFill>
    </fill>
    <fill>
      <patternFill patternType="solid">
        <fgColor rgb="FFDBE5F1"/>
        <bgColor rgb="FFDBE5F1"/>
      </patternFill>
    </fill>
    <fill>
      <patternFill patternType="solid">
        <fgColor theme="6" tint="0.39997558519241921"/>
        <bgColor rgb="FFDBE5F1"/>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D9D9D9"/>
      </patternFill>
    </fill>
    <fill>
      <patternFill patternType="solid">
        <fgColor rgb="FFB6004B"/>
        <bgColor indexed="64"/>
      </patternFill>
    </fill>
    <fill>
      <patternFill patternType="solid">
        <fgColor theme="0" tint="-4.9989318521683403E-2"/>
        <bgColor indexed="64"/>
      </patternFill>
    </fill>
    <fill>
      <patternFill patternType="solid">
        <fgColor theme="4" tint="0.79998168889431442"/>
        <bgColor theme="4" tint="0.79998168889431442"/>
      </patternFill>
    </fill>
    <fill>
      <patternFill patternType="solid">
        <fgColor theme="4"/>
        <bgColor theme="4"/>
      </patternFill>
    </fill>
    <fill>
      <patternFill patternType="solid">
        <fgColor theme="6" tint="0.79998168889431442"/>
        <bgColor indexed="64"/>
      </patternFill>
    </fill>
    <fill>
      <patternFill patternType="solid">
        <fgColor theme="0" tint="-0.499984740745262"/>
        <bgColor indexed="64"/>
      </patternFill>
    </fill>
    <fill>
      <patternFill patternType="solid">
        <fgColor rgb="FF92D050"/>
        <bgColor indexed="64"/>
      </patternFill>
    </fill>
  </fills>
  <borders count="1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style="medium">
        <color indexed="64"/>
      </top>
      <bottom style="thin">
        <color indexed="64"/>
      </bottom>
      <diagonal/>
    </border>
    <border>
      <left style="thin">
        <color auto="1"/>
      </left>
      <right style="thin">
        <color auto="1"/>
      </right>
      <top/>
      <bottom/>
      <diagonal/>
    </border>
    <border>
      <left/>
      <right style="thin">
        <color rgb="FF000000"/>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theme="0" tint="-0.24994659260841701"/>
      </right>
      <top/>
      <bottom/>
      <diagonal/>
    </border>
    <border>
      <left style="thin">
        <color theme="0" tint="-0.24994659260841701"/>
      </left>
      <right style="thin">
        <color theme="0" tint="-0.24994659260841701"/>
      </right>
      <top/>
      <bottom/>
      <diagonal/>
    </border>
    <border>
      <left style="thin">
        <color theme="0" tint="-0.24994659260841701"/>
      </left>
      <right/>
      <top/>
      <bottom/>
      <diagonal/>
    </border>
    <border>
      <left style="thin">
        <color theme="0" tint="-0.249977111117893"/>
      </left>
      <right style="thin">
        <color theme="0" tint="-0.249977111117893"/>
      </right>
      <top style="thin">
        <color theme="0" tint="-0.249977111117893"/>
      </top>
      <bottom/>
      <diagonal/>
    </border>
    <border>
      <left/>
      <right style="thin">
        <color rgb="FF000000"/>
      </right>
      <top style="thin">
        <color rgb="FF000000"/>
      </top>
      <bottom/>
      <diagonal/>
    </border>
    <border>
      <left style="thin">
        <color rgb="FF000000"/>
      </left>
      <right style="thin">
        <color rgb="FF000000"/>
      </right>
      <top/>
      <bottom/>
      <diagonal/>
    </border>
    <border>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auto="1"/>
      </left>
      <right style="hair">
        <color auto="1"/>
      </right>
      <top/>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rgb="FF000000"/>
      </bottom>
      <diagonal/>
    </border>
    <border>
      <left style="thin">
        <color indexed="64"/>
      </left>
      <right style="medium">
        <color indexed="64"/>
      </right>
      <top style="medium">
        <color indexed="64"/>
      </top>
      <bottom/>
      <diagonal/>
    </border>
    <border>
      <left style="medium">
        <color indexed="64"/>
      </left>
      <right style="thin">
        <color auto="1"/>
      </right>
      <top style="thin">
        <color auto="1"/>
      </top>
      <bottom style="thin">
        <color indexed="64"/>
      </bottom>
      <diagonal/>
    </border>
    <border>
      <left style="thin">
        <color auto="1"/>
      </left>
      <right style="medium">
        <color indexed="64"/>
      </right>
      <top style="thin">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329">
    <xf numFmtId="0" fontId="0" fillId="0" borderId="0"/>
    <xf numFmtId="44" fontId="1" fillId="0" borderId="0" applyFont="0" applyFill="0" applyBorder="0" applyAlignment="0" applyProtection="0"/>
    <xf numFmtId="0" fontId="3" fillId="0" borderId="0"/>
    <xf numFmtId="0" fontId="3" fillId="0" borderId="0" applyBorder="0"/>
    <xf numFmtId="43" fontId="3" fillId="0" borderId="0" applyFont="0" applyFill="0" applyBorder="0" applyAlignment="0" applyProtection="0"/>
    <xf numFmtId="9" fontId="3" fillId="0" borderId="0" applyFont="0" applyFill="0" applyBorder="0" applyAlignment="0" applyProtection="0"/>
    <xf numFmtId="44" fontId="14" fillId="0" borderId="0" applyFont="0" applyFill="0" applyBorder="0" applyAlignment="0" applyProtection="0"/>
    <xf numFmtId="9" fontId="1" fillId="0" borderId="0" applyFont="0" applyFill="0" applyBorder="0" applyAlignment="0" applyProtection="0"/>
    <xf numFmtId="0" fontId="3" fillId="0" borderId="0"/>
    <xf numFmtId="169" fontId="3" fillId="0" borderId="0" applyFont="0" applyFill="0" applyBorder="0" applyAlignment="0" applyProtection="0"/>
    <xf numFmtId="170" fontId="1" fillId="0" borderId="0" applyFont="0" applyFill="0" applyBorder="0" applyAlignment="0" applyProtection="0"/>
    <xf numFmtId="0" fontId="3" fillId="0" borderId="0"/>
    <xf numFmtId="171"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78" fontId="3" fillId="0" borderId="0" applyFont="0" applyFill="0" applyBorder="0" applyAlignment="0" applyProtection="0"/>
    <xf numFmtId="178"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 fillId="0" borderId="0"/>
    <xf numFmtId="179" fontId="3" fillId="0" borderId="0" applyFont="0" applyFill="0" applyBorder="0" applyAlignment="0" applyProtection="0"/>
    <xf numFmtId="0" fontId="3" fillId="0" borderId="0"/>
    <xf numFmtId="180" fontId="3" fillId="0" borderId="0" applyFont="0" applyFill="0" applyBorder="0" applyAlignment="0" applyProtection="0"/>
    <xf numFmtId="170" fontId="1" fillId="0" borderId="0" applyFont="0" applyFill="0" applyBorder="0" applyAlignment="0" applyProtection="0"/>
    <xf numFmtId="179" fontId="1" fillId="0" borderId="0" applyFont="0" applyFill="0" applyBorder="0" applyAlignment="0" applyProtection="0"/>
    <xf numFmtId="0" fontId="3" fillId="0" borderId="0"/>
    <xf numFmtId="186" fontId="3" fillId="0" borderId="0" applyFont="0" applyFill="0" applyBorder="0" applyAlignment="0" applyProtection="0"/>
    <xf numFmtId="9" fontId="3" fillId="0" borderId="0" applyFill="0" applyBorder="0" applyAlignment="0" applyProtection="0"/>
    <xf numFmtId="0" fontId="3" fillId="0" borderId="0"/>
    <xf numFmtId="0" fontId="3" fillId="0" borderId="0" applyBorder="0"/>
    <xf numFmtId="0" fontId="3" fillId="0" borderId="0"/>
    <xf numFmtId="170" fontId="3" fillId="0" borderId="0" applyFont="0" applyFill="0" applyBorder="0" applyAlignment="0" applyProtection="0"/>
    <xf numFmtId="170" fontId="1" fillId="0" borderId="0" applyFont="0" applyFill="0" applyBorder="0" applyAlignment="0" applyProtection="0"/>
    <xf numFmtId="170" fontId="3" fillId="0" borderId="0" applyFont="0" applyFill="0" applyBorder="0" applyAlignment="0" applyProtection="0"/>
    <xf numFmtId="9" fontId="1"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3" fillId="0" borderId="0"/>
    <xf numFmtId="9" fontId="3" fillId="0" borderId="0" applyFont="0" applyFill="0" applyBorder="0" applyAlignment="0" applyProtection="0"/>
    <xf numFmtId="203" fontId="3" fillId="0" borderId="0" applyFont="0" applyFill="0" applyBorder="0" applyAlignment="0" applyProtection="0"/>
    <xf numFmtId="0" fontId="3" fillId="0" borderId="0" applyBorder="0"/>
    <xf numFmtId="169" fontId="3" fillId="0" borderId="0" applyFont="0" applyFill="0" applyBorder="0" applyAlignment="0" applyProtection="0"/>
    <xf numFmtId="9" fontId="1" fillId="0" borderId="0" applyFont="0" applyFill="0" applyBorder="0" applyAlignment="0" applyProtection="0"/>
    <xf numFmtId="203" fontId="1" fillId="0" borderId="0" applyFont="0" applyFill="0" applyBorder="0" applyAlignment="0" applyProtection="0"/>
    <xf numFmtId="0" fontId="3" fillId="0" borderId="0"/>
    <xf numFmtId="0" fontId="43" fillId="0" borderId="0"/>
    <xf numFmtId="0" fontId="44" fillId="17" borderId="0" applyNumberFormat="0" applyBorder="0" applyAlignment="0" applyProtection="0"/>
    <xf numFmtId="0" fontId="44"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5" borderId="0" applyNumberFormat="0" applyBorder="0" applyAlignment="0" applyProtection="0"/>
    <xf numFmtId="0" fontId="44" fillId="20" borderId="0" applyNumberFormat="0" applyBorder="0" applyAlignment="0" applyProtection="0"/>
    <xf numFmtId="0" fontId="44" fillId="23" borderId="0" applyNumberFormat="0" applyBorder="0" applyAlignment="0" applyProtection="0"/>
    <xf numFmtId="0" fontId="44" fillId="26" borderId="0" applyNumberFormat="0" applyBorder="0" applyAlignment="0" applyProtection="0"/>
    <xf numFmtId="0" fontId="45" fillId="27"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6" fillId="19" borderId="0" applyNumberFormat="0" applyBorder="0" applyAlignment="0" applyProtection="0"/>
    <xf numFmtId="0" fontId="47" fillId="31" borderId="74" applyNumberFormat="0" applyAlignment="0" applyProtection="0"/>
    <xf numFmtId="0" fontId="48" fillId="32" borderId="75" applyNumberFormat="0" applyAlignment="0" applyProtection="0"/>
    <xf numFmtId="0" fontId="49" fillId="0" borderId="76" applyNumberFormat="0" applyFill="0" applyAlignment="0" applyProtection="0"/>
    <xf numFmtId="0" fontId="50" fillId="0" borderId="0" applyNumberFormat="0" applyFill="0" applyBorder="0" applyAlignment="0" applyProtection="0"/>
    <xf numFmtId="0" fontId="45" fillId="33" borderId="0" applyNumberFormat="0" applyBorder="0" applyAlignment="0" applyProtection="0"/>
    <xf numFmtId="0" fontId="45" fillId="34" borderId="0" applyNumberFormat="0" applyBorder="0" applyAlignment="0" applyProtection="0"/>
    <xf numFmtId="0" fontId="45" fillId="3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6" borderId="0" applyNumberFormat="0" applyBorder="0" applyAlignment="0" applyProtection="0"/>
    <xf numFmtId="0" fontId="51" fillId="22" borderId="74" applyNumberFormat="0" applyAlignment="0" applyProtection="0"/>
    <xf numFmtId="0" fontId="61" fillId="0" borderId="0">
      <alignment vertical="top"/>
    </xf>
    <xf numFmtId="210" fontId="3" fillId="0" borderId="0" applyFont="0" applyFill="0" applyBorder="0" applyAlignment="0" applyProtection="0"/>
    <xf numFmtId="0" fontId="52" fillId="18" borderId="0" applyNumberFormat="0" applyBorder="0" applyAlignment="0" applyProtection="0"/>
    <xf numFmtId="180" fontId="3" fillId="0" borderId="0" applyFont="0" applyFill="0" applyBorder="0" applyAlignment="0" applyProtection="0"/>
    <xf numFmtId="2" fontId="21" fillId="0" borderId="77" applyFont="0" applyBorder="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207" fontId="3" fillId="0" borderId="0" applyFont="0" applyFill="0" applyBorder="0" applyAlignment="0" applyProtection="0"/>
    <xf numFmtId="207" fontId="3" fillId="0" borderId="0" applyFont="0" applyFill="0" applyBorder="0" applyAlignment="0" applyProtection="0"/>
    <xf numFmtId="180" fontId="3" fillId="0" borderId="0" applyFont="0" applyFill="0" applyBorder="0" applyAlignment="0" applyProtection="0"/>
    <xf numFmtId="43" fontId="3" fillId="0" borderId="0" applyFont="0" applyFill="0" applyBorder="0" applyAlignment="0" applyProtection="0"/>
    <xf numFmtId="17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74" fontId="3" fillId="0" borderId="0" applyFont="0" applyFill="0" applyBorder="0" applyAlignment="0" applyProtection="0"/>
    <xf numFmtId="208" fontId="3" fillId="0" borderId="0" applyFont="0" applyFill="0" applyBorder="0" applyAlignment="0" applyProtection="0"/>
    <xf numFmtId="43" fontId="44" fillId="0" borderId="0" applyFont="0" applyFill="0" applyBorder="0" applyAlignment="0" applyProtection="0"/>
    <xf numFmtId="208"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79" fontId="44" fillId="0" borderId="0" applyFont="0" applyFill="0" applyBorder="0" applyAlignment="0" applyProtection="0"/>
    <xf numFmtId="200" fontId="3" fillId="0" borderId="0" applyFont="0" applyFill="0" applyBorder="0" applyAlignment="0" applyProtection="0"/>
    <xf numFmtId="209" fontId="3" fillId="0" borderId="0" applyFont="0" applyFill="0" applyBorder="0" applyAlignment="0" applyProtection="0"/>
    <xf numFmtId="186" fontId="3" fillId="0" borderId="0" applyFont="0" applyFill="0" applyBorder="0" applyAlignment="0" applyProtection="0"/>
    <xf numFmtId="209" fontId="3" fillId="0" borderId="0" applyFont="0" applyFill="0" applyBorder="0" applyAlignment="0" applyProtection="0"/>
    <xf numFmtId="186" fontId="3" fillId="0" borderId="0" applyFont="0" applyFill="0" applyBorder="0" applyAlignment="0" applyProtection="0"/>
    <xf numFmtId="186" fontId="3" fillId="0" borderId="0" applyFont="0" applyFill="0" applyBorder="0" applyAlignment="0" applyProtection="0"/>
    <xf numFmtId="20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53" fillId="37" borderId="0" applyNumberFormat="0" applyBorder="0" applyAlignment="0" applyProtection="0"/>
    <xf numFmtId="0" fontId="53" fillId="37" borderId="0" applyNumberFormat="0" applyBorder="0" applyAlignment="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4" fillId="0" borderId="0"/>
    <xf numFmtId="0" fontId="1" fillId="0" borderId="0"/>
    <xf numFmtId="0" fontId="1" fillId="0" borderId="0"/>
    <xf numFmtId="0" fontId="3" fillId="0" borderId="0"/>
    <xf numFmtId="0" fontId="3" fillId="38" borderId="78" applyNumberFormat="0" applyFont="0" applyAlignment="0" applyProtection="0"/>
    <xf numFmtId="9" fontId="44"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4" fillId="31" borderId="79"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8" fillId="0" borderId="80" applyNumberFormat="0" applyFill="0" applyAlignment="0" applyProtection="0"/>
    <xf numFmtId="0" fontId="59" fillId="0" borderId="81" applyNumberFormat="0" applyFill="0" applyAlignment="0" applyProtection="0"/>
    <xf numFmtId="0" fontId="50" fillId="0" borderId="82" applyNumberFormat="0" applyFill="0" applyAlignment="0" applyProtection="0"/>
    <xf numFmtId="0" fontId="57" fillId="0" borderId="0" applyNumberFormat="0" applyFill="0" applyBorder="0" applyAlignment="0" applyProtection="0"/>
    <xf numFmtId="0" fontId="60" fillId="0" borderId="83" applyNumberFormat="0" applyFill="0" applyAlignment="0" applyProtection="0"/>
    <xf numFmtId="0" fontId="60" fillId="0" borderId="83" applyNumberFormat="0" applyFill="0" applyAlignment="0" applyProtection="0"/>
    <xf numFmtId="180"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209" fontId="3" fillId="0" borderId="0" applyFont="0" applyFill="0" applyBorder="0" applyAlignment="0" applyProtection="0"/>
    <xf numFmtId="0" fontId="1" fillId="0" borderId="0"/>
    <xf numFmtId="0" fontId="3" fillId="0" borderId="0"/>
    <xf numFmtId="0" fontId="1" fillId="0" borderId="0"/>
    <xf numFmtId="43" fontId="1" fillId="0" borderId="0" applyFont="0" applyFill="0" applyBorder="0" applyAlignment="0" applyProtection="0"/>
    <xf numFmtId="0" fontId="3" fillId="0" borderId="0"/>
    <xf numFmtId="0" fontId="44" fillId="17" borderId="0" applyNumberFormat="0" applyBorder="0" applyAlignment="0" applyProtection="0"/>
    <xf numFmtId="0" fontId="44"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5" borderId="0" applyNumberFormat="0" applyBorder="0" applyAlignment="0" applyProtection="0"/>
    <xf numFmtId="0" fontId="44" fillId="20" borderId="0" applyNumberFormat="0" applyBorder="0" applyAlignment="0" applyProtection="0"/>
    <xf numFmtId="0" fontId="44" fillId="23" borderId="0" applyNumberFormat="0" applyBorder="0" applyAlignment="0" applyProtection="0"/>
    <xf numFmtId="0" fontId="44" fillId="26" borderId="0" applyNumberFormat="0" applyBorder="0" applyAlignment="0" applyProtection="0"/>
    <xf numFmtId="0" fontId="45" fillId="27"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6" fillId="19" borderId="0" applyNumberFormat="0" applyBorder="0" applyAlignment="0" applyProtection="0"/>
    <xf numFmtId="0" fontId="47" fillId="31" borderId="74" applyNumberFormat="0" applyAlignment="0" applyProtection="0"/>
    <xf numFmtId="0" fontId="3" fillId="0" borderId="0"/>
    <xf numFmtId="0" fontId="48" fillId="32" borderId="75" applyNumberFormat="0" applyAlignment="0" applyProtection="0"/>
    <xf numFmtId="0" fontId="49" fillId="0" borderId="76" applyNumberFormat="0" applyFill="0" applyAlignment="0" applyProtection="0"/>
    <xf numFmtId="211" fontId="21" fillId="0" borderId="30">
      <alignment horizontal="right"/>
    </xf>
    <xf numFmtId="211" fontId="21" fillId="0" borderId="30">
      <alignment horizontal="right"/>
    </xf>
    <xf numFmtId="2" fontId="21" fillId="0" borderId="0"/>
    <xf numFmtId="2" fontId="21" fillId="0" borderId="0"/>
    <xf numFmtId="2" fontId="21" fillId="0" borderId="0"/>
    <xf numFmtId="172" fontId="21" fillId="0" borderId="0"/>
    <xf numFmtId="172" fontId="21" fillId="0" borderId="0"/>
    <xf numFmtId="172" fontId="21" fillId="0" borderId="0"/>
    <xf numFmtId="191" fontId="5" fillId="0" borderId="0"/>
    <xf numFmtId="191" fontId="5" fillId="0" borderId="0"/>
    <xf numFmtId="191" fontId="5" fillId="0" borderId="0"/>
    <xf numFmtId="211" fontId="21" fillId="0" borderId="30">
      <alignment horizontal="right"/>
    </xf>
    <xf numFmtId="212" fontId="3" fillId="0" borderId="0">
      <protection locked="0"/>
    </xf>
    <xf numFmtId="3" fontId="62" fillId="0" borderId="0" applyFont="0" applyFill="0" applyBorder="0" applyAlignment="0" applyProtection="0"/>
    <xf numFmtId="213" fontId="3" fillId="0" borderId="0">
      <protection locked="0"/>
    </xf>
    <xf numFmtId="214" fontId="62" fillId="0" borderId="0" applyFont="0" applyFill="0" applyBorder="0" applyAlignment="0" applyProtection="0"/>
    <xf numFmtId="215" fontId="3" fillId="0" borderId="0">
      <protection locked="0"/>
    </xf>
    <xf numFmtId="0" fontId="50" fillId="0" borderId="0" applyNumberFormat="0" applyFill="0" applyBorder="0" applyAlignment="0" applyProtection="0"/>
    <xf numFmtId="0" fontId="45" fillId="33" borderId="0" applyNumberFormat="0" applyBorder="0" applyAlignment="0" applyProtection="0"/>
    <xf numFmtId="0" fontId="45" fillId="34" borderId="0" applyNumberFormat="0" applyBorder="0" applyAlignment="0" applyProtection="0"/>
    <xf numFmtId="0" fontId="45" fillId="3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6" borderId="0" applyNumberFormat="0" applyBorder="0" applyAlignment="0" applyProtection="0"/>
    <xf numFmtId="0" fontId="51" fillId="22" borderId="74" applyNumberFormat="0" applyAlignment="0" applyProtection="0"/>
    <xf numFmtId="216" fontId="63" fillId="0" borderId="0">
      <protection locked="0"/>
    </xf>
    <xf numFmtId="216" fontId="63" fillId="0" borderId="0">
      <protection locked="0"/>
    </xf>
    <xf numFmtId="216" fontId="63" fillId="0" borderId="0">
      <protection locked="0"/>
    </xf>
    <xf numFmtId="216" fontId="63" fillId="0" borderId="0">
      <protection locked="0"/>
    </xf>
    <xf numFmtId="216" fontId="63" fillId="0" borderId="0">
      <protection locked="0"/>
    </xf>
    <xf numFmtId="216" fontId="63" fillId="0" borderId="0">
      <protection locked="0"/>
    </xf>
    <xf numFmtId="216" fontId="63" fillId="0" borderId="0">
      <protection locked="0"/>
    </xf>
    <xf numFmtId="217" fontId="3" fillId="0" borderId="0">
      <protection locked="0"/>
    </xf>
    <xf numFmtId="0" fontId="64" fillId="0" borderId="0" applyNumberFormat="0" applyFill="0" applyBorder="0" applyAlignment="0" applyProtection="0"/>
    <xf numFmtId="0" fontId="65" fillId="0" borderId="0" applyNumberFormat="0" applyFill="0" applyBorder="0" applyAlignment="0" applyProtection="0"/>
    <xf numFmtId="218" fontId="3" fillId="0" borderId="0">
      <protection locked="0"/>
    </xf>
    <xf numFmtId="218" fontId="3" fillId="0" borderId="0">
      <protection locked="0"/>
    </xf>
    <xf numFmtId="0" fontId="52" fillId="18" borderId="0" applyNumberFormat="0" applyBorder="0" applyAlignment="0" applyProtection="0"/>
    <xf numFmtId="219" fontId="21" fillId="0" borderId="0">
      <alignment horizontal="right"/>
    </xf>
    <xf numFmtId="219" fontId="21" fillId="0" borderId="0">
      <alignment horizontal="right"/>
    </xf>
    <xf numFmtId="219" fontId="21" fillId="0" borderId="0">
      <alignment horizontal="right"/>
    </xf>
    <xf numFmtId="220" fontId="21" fillId="0" borderId="0" applyFont="0" applyFill="0" applyBorder="0" applyAlignment="0">
      <alignment horizontal="center"/>
    </xf>
    <xf numFmtId="220" fontId="21" fillId="0" borderId="0" applyFont="0" applyFill="0" applyBorder="0" applyAlignment="0">
      <alignment horizontal="center"/>
    </xf>
    <xf numFmtId="2" fontId="21" fillId="0" borderId="77" applyFont="0" applyBorder="0"/>
    <xf numFmtId="43" fontId="44" fillId="0" borderId="0" applyFont="0" applyFill="0" applyBorder="0" applyAlignment="0" applyProtection="0"/>
    <xf numFmtId="180" fontId="3" fillId="0" borderId="0" applyFont="0" applyFill="0" applyBorder="0" applyAlignment="0" applyProtection="0"/>
    <xf numFmtId="43" fontId="3"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221" fontId="21" fillId="0" borderId="0">
      <alignment horizontal="right"/>
    </xf>
    <xf numFmtId="221" fontId="21" fillId="0" borderId="0">
      <alignment horizontal="right"/>
    </xf>
    <xf numFmtId="221" fontId="21" fillId="0" borderId="0">
      <alignment horizontal="right"/>
    </xf>
    <xf numFmtId="168" fontId="3" fillId="0" borderId="0" applyFont="0" applyFill="0" applyBorder="0" applyAlignment="0" applyProtection="0"/>
    <xf numFmtId="168" fontId="3" fillId="0" borderId="0" applyFont="0" applyFill="0" applyBorder="0" applyAlignment="0" applyProtection="0"/>
    <xf numFmtId="178" fontId="3" fillId="0" borderId="0" applyFont="0" applyFill="0" applyBorder="0" applyAlignment="0" applyProtection="0"/>
    <xf numFmtId="179"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8" fontId="3" fillId="0" borderId="0" applyFont="0" applyFill="0" applyBorder="0" applyAlignment="0" applyProtection="0"/>
    <xf numFmtId="179" fontId="44" fillId="0" borderId="0" applyFont="0" applyFill="0" applyBorder="0" applyAlignment="0" applyProtection="0"/>
    <xf numFmtId="214" fontId="67" fillId="0" borderId="0" applyFont="0" applyFill="0" applyBorder="0" applyAlignment="0" applyProtection="0"/>
    <xf numFmtId="0" fontId="53" fillId="37" borderId="0" applyNumberFormat="0" applyBorder="0" applyAlignment="0" applyProtection="0"/>
    <xf numFmtId="222" fontId="21" fillId="0" borderId="0" applyFont="0" applyFill="0" applyBorder="0" applyAlignment="0">
      <alignment horizontal="center"/>
    </xf>
    <xf numFmtId="222" fontId="21" fillId="0" borderId="0" applyFont="0" applyFill="0" applyBorder="0" applyAlignment="0">
      <alignment horizontal="center"/>
    </xf>
    <xf numFmtId="0" fontId="3" fillId="0" borderId="0"/>
    <xf numFmtId="0" fontId="3" fillId="0" borderId="0"/>
    <xf numFmtId="0" fontId="66" fillId="0" borderId="0"/>
    <xf numFmtId="0" fontId="1" fillId="0" borderId="0"/>
    <xf numFmtId="0" fontId="66" fillId="0" borderId="0"/>
    <xf numFmtId="0" fontId="3" fillId="0" borderId="0"/>
    <xf numFmtId="0" fontId="3" fillId="0" borderId="0"/>
    <xf numFmtId="0" fontId="3" fillId="0" borderId="0"/>
    <xf numFmtId="0" fontId="3" fillId="0" borderId="0"/>
    <xf numFmtId="0" fontId="68" fillId="0" borderId="0"/>
    <xf numFmtId="0" fontId="3" fillId="0" borderId="0"/>
    <xf numFmtId="0" fontId="3" fillId="38" borderId="78" applyNumberFormat="0" applyFont="0" applyAlignment="0" applyProtection="0"/>
    <xf numFmtId="22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66" fillId="0" borderId="0" applyFont="0" applyFill="0" applyBorder="0" applyAlignment="0" applyProtection="0"/>
    <xf numFmtId="0" fontId="69" fillId="0" borderId="0">
      <alignment vertical="top"/>
    </xf>
    <xf numFmtId="0" fontId="54" fillId="31" borderId="79"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8" fillId="0" borderId="80" applyNumberFormat="0" applyFill="0" applyAlignment="0" applyProtection="0"/>
    <xf numFmtId="0" fontId="59" fillId="0" borderId="81" applyNumberFormat="0" applyFill="0" applyAlignment="0" applyProtection="0"/>
    <xf numFmtId="0" fontId="50" fillId="0" borderId="82" applyNumberFormat="0" applyFill="0" applyAlignment="0" applyProtection="0"/>
    <xf numFmtId="0" fontId="57" fillId="0" borderId="0" applyNumberFormat="0" applyFill="0" applyBorder="0" applyAlignment="0" applyProtection="0"/>
    <xf numFmtId="218" fontId="3" fillId="0" borderId="84">
      <protection locked="0"/>
    </xf>
    <xf numFmtId="44" fontId="3" fillId="0" borderId="0" applyFont="0" applyFill="0" applyBorder="0" applyAlignment="0" applyProtection="0"/>
    <xf numFmtId="0" fontId="1" fillId="0" borderId="0"/>
    <xf numFmtId="0" fontId="74" fillId="0" borderId="0"/>
    <xf numFmtId="0" fontId="3" fillId="0" borderId="0"/>
    <xf numFmtId="0" fontId="12" fillId="0" borderId="0"/>
    <xf numFmtId="44" fontId="1" fillId="0" borderId="0" applyFont="0" applyFill="0" applyBorder="0" applyAlignment="0" applyProtection="0"/>
    <xf numFmtId="43" fontId="3" fillId="0" borderId="0" applyFont="0" applyFill="0" applyBorder="0" applyAlignment="0" applyProtection="0"/>
    <xf numFmtId="44" fontId="14"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4" fontId="3" fillId="0" borderId="0" applyFont="0" applyFill="0" applyBorder="0" applyAlignment="0" applyProtection="0"/>
    <xf numFmtId="0" fontId="74" fillId="0" borderId="0"/>
    <xf numFmtId="9" fontId="74" fillId="0" borderId="0" applyFont="0" applyFill="0" applyBorder="0" applyAlignment="0" applyProtection="0"/>
    <xf numFmtId="0" fontId="14" fillId="0" borderId="0"/>
    <xf numFmtId="0" fontId="14" fillId="0" borderId="0"/>
    <xf numFmtId="0" fontId="3" fillId="0" borderId="0"/>
    <xf numFmtId="233" fontId="3" fillId="0" borderId="0" applyFont="0" applyFill="0" applyBorder="0" applyAlignment="0" applyProtection="0"/>
    <xf numFmtId="0" fontId="1" fillId="0" borderId="0"/>
    <xf numFmtId="180" fontId="3" fillId="0" borderId="0" applyFont="0" applyFill="0" applyBorder="0" applyAlignment="0" applyProtection="0"/>
    <xf numFmtId="41" fontId="1" fillId="0" borderId="0" applyFont="0" applyFill="0" applyBorder="0" applyAlignment="0" applyProtection="0"/>
  </cellStyleXfs>
  <cellXfs count="1244">
    <xf numFmtId="0" fontId="0" fillId="0" borderId="0" xfId="0"/>
    <xf numFmtId="0" fontId="4" fillId="0" borderId="0" xfId="2" applyFont="1" applyAlignment="1">
      <alignment vertical="center"/>
    </xf>
    <xf numFmtId="0" fontId="4" fillId="0" borderId="0" xfId="2" applyFont="1" applyAlignment="1">
      <alignment horizontal="center" vertical="center"/>
    </xf>
    <xf numFmtId="0" fontId="3" fillId="0" borderId="0" xfId="2" applyAlignment="1">
      <alignment vertical="center" wrapText="1"/>
    </xf>
    <xf numFmtId="0" fontId="6" fillId="0" borderId="0" xfId="2" applyFont="1" applyAlignment="1">
      <alignment horizontal="center" vertical="center" wrapText="1"/>
    </xf>
    <xf numFmtId="164" fontId="3" fillId="0" borderId="0" xfId="2" applyNumberFormat="1" applyAlignment="1">
      <alignment vertical="center" wrapText="1"/>
    </xf>
    <xf numFmtId="165" fontId="11" fillId="0" borderId="1" xfId="4" applyNumberFormat="1" applyFont="1" applyFill="1" applyBorder="1" applyAlignment="1" applyProtection="1">
      <alignment horizontal="right" vertical="center" wrapText="1"/>
    </xf>
    <xf numFmtId="166" fontId="11" fillId="0" borderId="0" xfId="4" applyNumberFormat="1" applyFont="1" applyFill="1" applyBorder="1" applyAlignment="1" applyProtection="1">
      <alignment horizontal="right" vertical="center" wrapText="1"/>
    </xf>
    <xf numFmtId="165" fontId="0" fillId="0" borderId="0" xfId="0" applyNumberFormat="1"/>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10" fillId="0" borderId="1" xfId="2" applyFont="1" applyBorder="1" applyAlignment="1">
      <alignment horizontal="justify" vertical="center" wrapText="1"/>
    </xf>
    <xf numFmtId="165" fontId="9" fillId="0" borderId="1" xfId="4" applyNumberFormat="1" applyFont="1" applyFill="1" applyBorder="1" applyAlignment="1" applyProtection="1">
      <alignment horizontal="center" vertical="center" wrapText="1"/>
    </xf>
    <xf numFmtId="165" fontId="9" fillId="0" borderId="1" xfId="4" applyNumberFormat="1" applyFont="1" applyFill="1" applyBorder="1" applyAlignment="1" applyProtection="1">
      <alignment horizontal="right" vertical="center" wrapText="1"/>
    </xf>
    <xf numFmtId="0" fontId="7" fillId="0" borderId="0" xfId="2" applyFont="1" applyAlignment="1">
      <alignment horizontal="justify" vertical="center" wrapText="1"/>
    </xf>
    <xf numFmtId="0" fontId="7" fillId="0" borderId="0" xfId="2" applyFont="1" applyAlignment="1">
      <alignment horizontal="center" vertical="center"/>
    </xf>
    <xf numFmtId="0" fontId="13" fillId="0" borderId="1" xfId="2" applyFont="1" applyBorder="1" applyAlignment="1">
      <alignment horizontal="justify" vertical="center" wrapText="1"/>
    </xf>
    <xf numFmtId="44" fontId="0" fillId="0" borderId="0" xfId="1" applyFont="1"/>
    <xf numFmtId="44" fontId="0" fillId="0" borderId="0" xfId="0" applyNumberFormat="1"/>
    <xf numFmtId="0" fontId="0" fillId="0" borderId="0" xfId="0" applyAlignment="1">
      <alignment wrapText="1"/>
    </xf>
    <xf numFmtId="0" fontId="5" fillId="5" borderId="1" xfId="13" applyFont="1" applyFill="1" applyBorder="1" applyAlignment="1">
      <alignment horizontal="center" vertical="center" wrapText="1"/>
    </xf>
    <xf numFmtId="0" fontId="21" fillId="0" borderId="1" xfId="13" applyFont="1" applyBorder="1" applyAlignment="1">
      <alignment horizontal="center" vertical="center" wrapText="1"/>
    </xf>
    <xf numFmtId="0" fontId="21" fillId="0" borderId="33" xfId="0" applyFont="1" applyBorder="1" applyAlignment="1">
      <alignment horizontal="center" vertical="center"/>
    </xf>
    <xf numFmtId="9" fontId="21" fillId="0" borderId="1" xfId="7" applyFont="1" applyFill="1" applyBorder="1" applyAlignment="1">
      <alignment horizontal="center" vertical="center"/>
    </xf>
    <xf numFmtId="173" fontId="21" fillId="0" borderId="1" xfId="13" applyNumberFormat="1" applyFont="1" applyBorder="1" applyAlignment="1">
      <alignment horizontal="right" vertical="center"/>
    </xf>
    <xf numFmtId="174" fontId="21" fillId="0" borderId="1" xfId="13" applyNumberFormat="1" applyFont="1" applyBorder="1" applyAlignment="1">
      <alignment horizontal="center" vertical="center"/>
    </xf>
    <xf numFmtId="173" fontId="21" fillId="0" borderId="1" xfId="13" applyNumberFormat="1" applyFont="1" applyBorder="1" applyAlignment="1">
      <alignment vertical="center"/>
    </xf>
    <xf numFmtId="0" fontId="20" fillId="0" borderId="0" xfId="13" applyFont="1" applyAlignment="1">
      <alignment vertical="center"/>
    </xf>
    <xf numFmtId="0" fontId="21" fillId="0" borderId="1" xfId="13" applyFont="1" applyBorder="1" applyAlignment="1">
      <alignment horizontal="center" vertical="center"/>
    </xf>
    <xf numFmtId="164" fontId="21" fillId="0" borderId="1" xfId="13" applyNumberFormat="1" applyFont="1" applyBorder="1" applyAlignment="1">
      <alignment horizontal="center" vertical="center"/>
    </xf>
    <xf numFmtId="0" fontId="20" fillId="0" borderId="0" xfId="13" applyFont="1" applyAlignment="1">
      <alignment vertical="center" wrapText="1"/>
    </xf>
    <xf numFmtId="0" fontId="21" fillId="6" borderId="1" xfId="13" applyFont="1" applyFill="1" applyBorder="1" applyAlignment="1">
      <alignment horizontal="center" vertical="center" wrapText="1"/>
    </xf>
    <xf numFmtId="0" fontId="20" fillId="0" borderId="0" xfId="13" applyFont="1" applyAlignment="1">
      <alignment horizontal="center" vertical="center"/>
    </xf>
    <xf numFmtId="173" fontId="5" fillId="0" borderId="1" xfId="13" applyNumberFormat="1" applyFont="1" applyBorder="1" applyAlignment="1">
      <alignment vertical="center"/>
    </xf>
    <xf numFmtId="0" fontId="21" fillId="0" borderId="0" xfId="13" applyFont="1" applyAlignment="1">
      <alignment horizontal="left" vertical="center"/>
    </xf>
    <xf numFmtId="37" fontId="21" fillId="0" borderId="0" xfId="13" applyNumberFormat="1" applyFont="1" applyAlignment="1">
      <alignment vertical="center"/>
    </xf>
    <xf numFmtId="0" fontId="5" fillId="0" borderId="0" xfId="13" applyFont="1" applyAlignment="1">
      <alignment horizontal="center" vertical="center" wrapText="1"/>
    </xf>
    <xf numFmtId="175" fontId="5" fillId="3" borderId="1" xfId="13" applyNumberFormat="1" applyFont="1" applyFill="1" applyBorder="1" applyAlignment="1">
      <alignment vertical="center"/>
    </xf>
    <xf numFmtId="0" fontId="19" fillId="0" borderId="0" xfId="13" applyFont="1" applyAlignment="1">
      <alignment horizontal="center" vertical="center"/>
    </xf>
    <xf numFmtId="0" fontId="5" fillId="3" borderId="5" xfId="13" applyFont="1" applyFill="1" applyBorder="1" applyAlignment="1">
      <alignment horizontal="left" vertical="center" wrapText="1"/>
    </xf>
    <xf numFmtId="0" fontId="21" fillId="3" borderId="5" xfId="13" applyFont="1" applyFill="1" applyBorder="1" applyAlignment="1">
      <alignment vertical="center" wrapText="1"/>
    </xf>
    <xf numFmtId="172" fontId="20" fillId="0" borderId="1" xfId="13" applyNumberFormat="1" applyFont="1" applyBorder="1" applyAlignment="1">
      <alignment horizontal="center" vertical="center"/>
    </xf>
    <xf numFmtId="0" fontId="21" fillId="0" borderId="5" xfId="13" applyFont="1" applyBorder="1" applyAlignment="1">
      <alignment horizontal="left" vertical="center"/>
    </xf>
    <xf numFmtId="173" fontId="21" fillId="0" borderId="1" xfId="13" applyNumberFormat="1" applyFont="1" applyBorder="1" applyAlignment="1">
      <alignment horizontal="right" vertical="center" wrapText="1"/>
    </xf>
    <xf numFmtId="0" fontId="21" fillId="0" borderId="2" xfId="13" applyFont="1" applyBorder="1" applyAlignment="1">
      <alignment horizontal="left" vertical="center"/>
    </xf>
    <xf numFmtId="37" fontId="5" fillId="0" borderId="0" xfId="13" applyNumberFormat="1" applyFont="1" applyAlignment="1">
      <alignment vertical="center"/>
    </xf>
    <xf numFmtId="0" fontId="5" fillId="3" borderId="1" xfId="13" applyFont="1" applyFill="1" applyBorder="1" applyAlignment="1">
      <alignment horizontal="center" vertical="center"/>
    </xf>
    <xf numFmtId="0" fontId="5" fillId="3" borderId="1" xfId="13" applyFont="1" applyFill="1" applyBorder="1" applyAlignment="1">
      <alignment horizontal="center" vertical="center" wrapText="1"/>
    </xf>
    <xf numFmtId="0" fontId="19" fillId="0" borderId="0" xfId="13" applyFont="1" applyAlignment="1">
      <alignment vertical="center"/>
    </xf>
    <xf numFmtId="0" fontId="21" fillId="0" borderId="1" xfId="13" applyFont="1" applyBorder="1" applyAlignment="1">
      <alignment vertical="center" wrapText="1"/>
    </xf>
    <xf numFmtId="176" fontId="21" fillId="0" borderId="1" xfId="13" applyNumberFormat="1" applyFont="1" applyBorder="1" applyAlignment="1">
      <alignment horizontal="center" vertical="center" wrapText="1"/>
    </xf>
    <xf numFmtId="0" fontId="21" fillId="0" borderId="1" xfId="13" applyFont="1" applyBorder="1" applyAlignment="1">
      <alignment horizontal="justify" vertical="center" wrapText="1"/>
    </xf>
    <xf numFmtId="0" fontId="22" fillId="0" borderId="9" xfId="13" applyFont="1" applyBorder="1" applyAlignment="1">
      <alignment horizontal="center" vertical="center" wrapText="1"/>
    </xf>
    <xf numFmtId="0" fontId="5" fillId="0" borderId="2" xfId="13" applyFont="1" applyBorder="1" applyAlignment="1">
      <alignment vertical="center"/>
    </xf>
    <xf numFmtId="0" fontId="5" fillId="0" borderId="5" xfId="13" applyFont="1" applyBorder="1" applyAlignment="1">
      <alignment vertical="center"/>
    </xf>
    <xf numFmtId="0" fontId="5" fillId="0" borderId="3" xfId="13" applyFont="1" applyBorder="1" applyAlignment="1">
      <alignment horizontal="left" vertical="center"/>
    </xf>
    <xf numFmtId="0" fontId="5" fillId="7" borderId="1" xfId="16" applyFont="1" applyFill="1" applyBorder="1" applyAlignment="1">
      <alignment horizontal="center" vertical="center" wrapText="1"/>
    </xf>
    <xf numFmtId="0" fontId="5" fillId="0" borderId="0" xfId="16" applyFont="1" applyAlignment="1">
      <alignment horizontal="center" vertical="center" wrapText="1"/>
    </xf>
    <xf numFmtId="0" fontId="21" fillId="0" borderId="0" xfId="16" applyFont="1"/>
    <xf numFmtId="0" fontId="21" fillId="0" borderId="1" xfId="17" applyFont="1" applyBorder="1" applyAlignment="1">
      <alignment vertical="center"/>
    </xf>
    <xf numFmtId="0" fontId="21" fillId="0" borderId="1" xfId="16" applyFont="1" applyBorder="1" applyAlignment="1">
      <alignment horizontal="center" vertical="center" wrapText="1"/>
    </xf>
    <xf numFmtId="173" fontId="23" fillId="0" borderId="1" xfId="16" applyNumberFormat="1" applyFont="1" applyBorder="1" applyAlignment="1">
      <alignment horizontal="right" vertical="center"/>
    </xf>
    <xf numFmtId="174" fontId="21" fillId="0" borderId="1" xfId="16" applyNumberFormat="1" applyFont="1" applyBorder="1" applyAlignment="1">
      <alignment horizontal="center" vertical="center"/>
    </xf>
    <xf numFmtId="174" fontId="21" fillId="0" borderId="0" xfId="16" applyNumberFormat="1" applyFont="1" applyAlignment="1">
      <alignment horizontal="center" vertical="center"/>
    </xf>
    <xf numFmtId="178" fontId="21" fillId="0" borderId="0" xfId="18" applyFont="1" applyFill="1" applyBorder="1" applyAlignment="1" applyProtection="1">
      <alignment horizontal="center" vertical="center"/>
    </xf>
    <xf numFmtId="174" fontId="24" fillId="0" borderId="0" xfId="16" applyNumberFormat="1" applyFont="1" applyAlignment="1">
      <alignment horizontal="center" vertical="center"/>
    </xf>
    <xf numFmtId="174" fontId="21" fillId="0" borderId="0" xfId="16" applyNumberFormat="1" applyFont="1"/>
    <xf numFmtId="0" fontId="3" fillId="0" borderId="0" xfId="17"/>
    <xf numFmtId="0" fontId="3" fillId="0" borderId="0" xfId="24"/>
    <xf numFmtId="0" fontId="3" fillId="0" borderId="0" xfId="24" applyAlignment="1">
      <alignment vertical="center"/>
    </xf>
    <xf numFmtId="181" fontId="15" fillId="0" borderId="0" xfId="25" applyNumberFormat="1" applyFont="1" applyFill="1" applyBorder="1" applyAlignment="1">
      <alignment vertical="center"/>
    </xf>
    <xf numFmtId="181" fontId="15" fillId="0" borderId="0" xfId="25" applyNumberFormat="1" applyFont="1" applyFill="1" applyBorder="1" applyAlignment="1">
      <alignment horizontal="right" vertical="center"/>
    </xf>
    <xf numFmtId="0" fontId="16" fillId="0" borderId="0" xfId="24" applyFont="1" applyAlignment="1">
      <alignment vertical="center"/>
    </xf>
    <xf numFmtId="181" fontId="15" fillId="0" borderId="0" xfId="25" applyNumberFormat="1" applyFont="1" applyBorder="1" applyAlignment="1">
      <alignment horizontal="right" vertical="center"/>
    </xf>
    <xf numFmtId="0" fontId="15" fillId="0" borderId="10" xfId="24" applyFont="1" applyBorder="1" applyAlignment="1">
      <alignment horizontal="center" vertical="top" wrapText="1"/>
    </xf>
    <xf numFmtId="0" fontId="25" fillId="0" borderId="1" xfId="24" applyFont="1" applyBorder="1" applyAlignment="1">
      <alignment horizontal="center" vertical="center"/>
    </xf>
    <xf numFmtId="181" fontId="6" fillId="0" borderId="1" xfId="25" applyNumberFormat="1" applyFont="1" applyBorder="1" applyAlignment="1">
      <alignment horizontal="center" vertical="center"/>
    </xf>
    <xf numFmtId="181" fontId="6" fillId="0" borderId="1" xfId="25" applyNumberFormat="1" applyFont="1" applyFill="1" applyBorder="1" applyAlignment="1">
      <alignment horizontal="center" vertical="center" wrapText="1"/>
    </xf>
    <xf numFmtId="0" fontId="6" fillId="0" borderId="1" xfId="24" applyFont="1" applyBorder="1" applyAlignment="1">
      <alignment horizontal="center" vertical="center"/>
    </xf>
    <xf numFmtId="0" fontId="6" fillId="0" borderId="1" xfId="24" applyFont="1" applyBorder="1" applyAlignment="1">
      <alignment horizontal="center" vertical="center" wrapText="1"/>
    </xf>
    <xf numFmtId="1" fontId="6" fillId="7" borderId="1" xfId="26" applyNumberFormat="1" applyFont="1" applyFill="1" applyBorder="1" applyAlignment="1">
      <alignment horizontal="center" vertical="center" wrapText="1"/>
    </xf>
    <xf numFmtId="0" fontId="3" fillId="0" borderId="1" xfId="24" applyBorder="1" applyAlignment="1">
      <alignment horizontal="left" vertical="center"/>
    </xf>
    <xf numFmtId="0" fontId="3" fillId="0" borderId="1" xfId="24" applyBorder="1" applyAlignment="1">
      <alignment horizontal="center" vertical="center"/>
    </xf>
    <xf numFmtId="173" fontId="3" fillId="0" borderId="1" xfId="27" applyNumberFormat="1" applyFont="1" applyFill="1" applyBorder="1" applyAlignment="1">
      <alignment vertical="center"/>
    </xf>
    <xf numFmtId="180" fontId="3" fillId="0" borderId="1" xfId="25" applyFill="1" applyBorder="1" applyAlignment="1">
      <alignment vertical="center"/>
    </xf>
    <xf numFmtId="182" fontId="3" fillId="0" borderId="1" xfId="26" applyNumberFormat="1" applyFont="1" applyFill="1" applyBorder="1" applyAlignment="1">
      <alignment horizontal="right"/>
    </xf>
    <xf numFmtId="1" fontId="3" fillId="0" borderId="0" xfId="24" applyNumberFormat="1" applyAlignment="1">
      <alignment vertical="center"/>
    </xf>
    <xf numFmtId="0" fontId="3" fillId="0" borderId="0" xfId="24" applyAlignment="1">
      <alignment horizontal="center" vertical="center"/>
    </xf>
    <xf numFmtId="181" fontId="6" fillId="0" borderId="0" xfId="25" applyNumberFormat="1" applyFont="1" applyAlignment="1">
      <alignment horizontal="center" vertical="center"/>
    </xf>
    <xf numFmtId="168" fontId="3" fillId="0" borderId="1" xfId="27" applyNumberFormat="1" applyFont="1" applyFill="1" applyBorder="1" applyAlignment="1">
      <alignment vertical="center"/>
    </xf>
    <xf numFmtId="181" fontId="3" fillId="0" borderId="1" xfId="25" applyNumberFormat="1" applyFill="1" applyBorder="1" applyAlignment="1">
      <alignment vertical="center"/>
    </xf>
    <xf numFmtId="0" fontId="0" fillId="0" borderId="0" xfId="24" applyFont="1"/>
    <xf numFmtId="1" fontId="6" fillId="7" borderId="1" xfId="25" applyNumberFormat="1" applyFont="1" applyFill="1" applyBorder="1" applyAlignment="1">
      <alignment horizontal="center" vertical="center" wrapText="1"/>
    </xf>
    <xf numFmtId="0" fontId="3" fillId="0" borderId="1" xfId="26" applyNumberFormat="1" applyFont="1" applyFill="1" applyBorder="1" applyAlignment="1">
      <alignment horizontal="center" vertical="center"/>
    </xf>
    <xf numFmtId="183" fontId="3" fillId="0" borderId="0" xfId="24" applyNumberFormat="1"/>
    <xf numFmtId="184" fontId="3" fillId="0" borderId="0" xfId="24" applyNumberFormat="1"/>
    <xf numFmtId="181" fontId="3" fillId="0" borderId="0" xfId="25" applyNumberFormat="1" applyBorder="1" applyAlignment="1">
      <alignment vertical="center"/>
    </xf>
    <xf numFmtId="0" fontId="3" fillId="0" borderId="1" xfId="24" applyBorder="1"/>
    <xf numFmtId="181" fontId="3" fillId="0" borderId="1" xfId="25" applyNumberFormat="1" applyBorder="1" applyAlignment="1">
      <alignment vertical="center"/>
    </xf>
    <xf numFmtId="181" fontId="6" fillId="0" borderId="24" xfId="25" applyNumberFormat="1" applyFont="1" applyFill="1" applyBorder="1" applyAlignment="1">
      <alignment vertical="center" wrapText="1"/>
    </xf>
    <xf numFmtId="1" fontId="6" fillId="0" borderId="0" xfId="25" applyNumberFormat="1" applyFont="1" applyFill="1" applyBorder="1" applyAlignment="1">
      <alignment vertical="center" wrapText="1"/>
    </xf>
    <xf numFmtId="181" fontId="3" fillId="0" borderId="5" xfId="25" applyNumberFormat="1" applyBorder="1" applyAlignment="1">
      <alignment vertical="center"/>
    </xf>
    <xf numFmtId="168" fontId="3" fillId="0" borderId="1" xfId="27" applyNumberFormat="1" applyFont="1" applyFill="1" applyBorder="1"/>
    <xf numFmtId="168" fontId="3" fillId="0" borderId="0" xfId="27" applyNumberFormat="1" applyFont="1" applyFill="1"/>
    <xf numFmtId="181" fontId="6" fillId="7" borderId="1" xfId="25" applyNumberFormat="1" applyFont="1" applyFill="1" applyBorder="1" applyAlignment="1">
      <alignment horizontal="center" vertical="center" wrapText="1"/>
    </xf>
    <xf numFmtId="0" fontId="6" fillId="7" borderId="1" xfId="26" applyNumberFormat="1" applyFont="1" applyFill="1" applyBorder="1" applyAlignment="1">
      <alignment horizontal="center" vertical="center" wrapText="1"/>
    </xf>
    <xf numFmtId="0" fontId="3" fillId="0" borderId="1" xfId="24" applyBorder="1" applyAlignment="1">
      <alignment horizontal="left" vertical="center" wrapText="1"/>
    </xf>
    <xf numFmtId="180" fontId="3" fillId="0" borderId="0" xfId="25" applyFill="1" applyBorder="1" applyAlignment="1">
      <alignment vertical="center"/>
    </xf>
    <xf numFmtId="182" fontId="3" fillId="0" borderId="0" xfId="26" applyNumberFormat="1" applyFont="1" applyFill="1" applyAlignment="1">
      <alignment horizontal="right"/>
    </xf>
    <xf numFmtId="181" fontId="3" fillId="0" borderId="23" xfId="25" applyNumberFormat="1" applyBorder="1" applyAlignment="1">
      <alignment vertical="center"/>
    </xf>
    <xf numFmtId="181" fontId="3" fillId="0" borderId="0" xfId="25" applyNumberFormat="1" applyAlignment="1">
      <alignment vertical="center"/>
    </xf>
    <xf numFmtId="181" fontId="3" fillId="0" borderId="0" xfId="25" applyNumberFormat="1" applyFill="1" applyAlignment="1">
      <alignment vertical="center"/>
    </xf>
    <xf numFmtId="181" fontId="3" fillId="0" borderId="0" xfId="25" applyNumberFormat="1" applyFont="1" applyBorder="1" applyAlignment="1">
      <alignment horizontal="right" vertical="center"/>
    </xf>
    <xf numFmtId="181" fontId="3" fillId="0" borderId="0" xfId="25" applyNumberFormat="1" applyFont="1" applyAlignment="1">
      <alignment horizontal="right" vertical="center"/>
    </xf>
    <xf numFmtId="0" fontId="21" fillId="0" borderId="1" xfId="16" applyFont="1" applyBorder="1" applyAlignment="1">
      <alignment horizontal="justify" vertical="center"/>
    </xf>
    <xf numFmtId="0" fontId="3" fillId="0" borderId="1" xfId="24" applyBorder="1" applyAlignment="1">
      <alignment horizontal="center" vertical="center" wrapText="1"/>
    </xf>
    <xf numFmtId="173" fontId="3" fillId="0" borderId="1" xfId="27" applyNumberFormat="1" applyFont="1" applyFill="1" applyBorder="1" applyAlignment="1">
      <alignment horizontal="center" vertical="center"/>
    </xf>
    <xf numFmtId="180" fontId="3" fillId="0" borderId="1" xfId="25" applyFill="1" applyBorder="1" applyAlignment="1">
      <alignment horizontal="center" vertical="center"/>
    </xf>
    <xf numFmtId="182" fontId="3" fillId="0" borderId="1" xfId="26" applyNumberFormat="1" applyFont="1" applyFill="1" applyBorder="1" applyAlignment="1">
      <alignment horizontal="center"/>
    </xf>
    <xf numFmtId="181" fontId="3" fillId="0" borderId="1" xfId="25" applyNumberFormat="1" applyFill="1" applyBorder="1" applyAlignment="1">
      <alignment vertical="center" wrapText="1"/>
    </xf>
    <xf numFmtId="0" fontId="21" fillId="0" borderId="2" xfId="15" applyFont="1" applyBorder="1" applyAlignment="1">
      <alignment horizontal="left" vertical="center" wrapText="1"/>
    </xf>
    <xf numFmtId="0" fontId="21" fillId="0" borderId="31" xfId="15" applyFont="1" applyBorder="1" applyAlignment="1">
      <alignment horizontal="left" vertical="center" wrapText="1"/>
    </xf>
    <xf numFmtId="0" fontId="3" fillId="0" borderId="0" xfId="2" applyAlignment="1">
      <alignment horizontal="center" vertical="center"/>
    </xf>
    <xf numFmtId="0" fontId="3" fillId="0" borderId="0" xfId="2" applyAlignment="1">
      <alignment vertical="center"/>
    </xf>
    <xf numFmtId="0" fontId="6" fillId="0" borderId="12" xfId="2" applyFont="1" applyBorder="1" applyAlignment="1">
      <alignment horizontal="center" vertical="center"/>
    </xf>
    <xf numFmtId="0" fontId="6" fillId="0" borderId="29" xfId="2" applyFont="1" applyBorder="1" applyAlignment="1">
      <alignment horizontal="center" vertical="center"/>
    </xf>
    <xf numFmtId="0" fontId="0" fillId="0" borderId="1" xfId="2" applyFont="1" applyBorder="1" applyAlignment="1">
      <alignment horizontal="center" vertical="center"/>
    </xf>
    <xf numFmtId="0" fontId="3" fillId="0" borderId="2" xfId="2" applyBorder="1" applyAlignment="1">
      <alignment horizontal="center" vertical="center"/>
    </xf>
    <xf numFmtId="0" fontId="3" fillId="0" borderId="0" xfId="2" applyAlignment="1">
      <alignment vertical="top" wrapText="1"/>
    </xf>
    <xf numFmtId="0" fontId="3" fillId="0" borderId="25" xfId="2" applyBorder="1" applyAlignment="1">
      <alignment vertical="top" wrapText="1"/>
    </xf>
    <xf numFmtId="0" fontId="3" fillId="0" borderId="20" xfId="2" applyBorder="1" applyAlignment="1">
      <alignment vertical="center"/>
    </xf>
    <xf numFmtId="0" fontId="6" fillId="0" borderId="15" xfId="2" applyFont="1" applyBorder="1" applyAlignment="1">
      <alignment vertical="center"/>
    </xf>
    <xf numFmtId="0" fontId="5" fillId="0" borderId="14" xfId="13" applyFont="1" applyBorder="1" applyAlignment="1">
      <alignment horizontal="center" vertical="center"/>
    </xf>
    <xf numFmtId="0" fontId="3" fillId="0" borderId="42" xfId="2" applyBorder="1" applyAlignment="1">
      <alignment vertical="center"/>
    </xf>
    <xf numFmtId="0" fontId="26" fillId="0" borderId="39" xfId="2" applyFont="1" applyBorder="1" applyAlignment="1">
      <alignment vertical="center"/>
    </xf>
    <xf numFmtId="0" fontId="21" fillId="3" borderId="1" xfId="13" applyFont="1" applyFill="1" applyBorder="1" applyAlignment="1">
      <alignment horizontal="center" vertical="center" wrapText="1"/>
    </xf>
    <xf numFmtId="0" fontId="5" fillId="3" borderId="24" xfId="13" applyFont="1" applyFill="1" applyBorder="1" applyAlignment="1">
      <alignment vertical="center"/>
    </xf>
    <xf numFmtId="0" fontId="5" fillId="3" borderId="0" xfId="13" applyFont="1" applyFill="1" applyAlignment="1">
      <alignment vertical="center" wrapText="1"/>
    </xf>
    <xf numFmtId="0" fontId="5" fillId="3" borderId="5" xfId="13" applyFont="1" applyFill="1" applyBorder="1" applyAlignment="1">
      <alignment vertical="center"/>
    </xf>
    <xf numFmtId="0" fontId="5" fillId="3" borderId="3" xfId="13" applyFont="1" applyFill="1" applyBorder="1" applyAlignment="1">
      <alignment vertical="center"/>
    </xf>
    <xf numFmtId="0" fontId="5" fillId="0" borderId="0" xfId="13" applyFont="1" applyAlignment="1">
      <alignment vertical="center" wrapText="1"/>
    </xf>
    <xf numFmtId="0" fontId="20" fillId="0" borderId="1" xfId="13" applyFont="1" applyBorder="1" applyAlignment="1">
      <alignment horizontal="center" vertical="center"/>
    </xf>
    <xf numFmtId="164" fontId="21" fillId="0" borderId="9" xfId="13" applyNumberFormat="1" applyFont="1" applyBorder="1" applyAlignment="1">
      <alignment horizontal="center" vertical="center"/>
    </xf>
    <xf numFmtId="185" fontId="20" fillId="0" borderId="0" xfId="13" applyNumberFormat="1" applyFont="1" applyAlignment="1">
      <alignment vertical="center"/>
    </xf>
    <xf numFmtId="0" fontId="5" fillId="5" borderId="9" xfId="13" applyFont="1" applyFill="1" applyBorder="1" applyAlignment="1">
      <alignment horizontal="center" vertical="center"/>
    </xf>
    <xf numFmtId="0" fontId="5" fillId="3" borderId="9" xfId="13" applyFont="1" applyFill="1" applyBorder="1" applyAlignment="1">
      <alignment horizontal="center" vertical="center" wrapText="1"/>
    </xf>
    <xf numFmtId="0" fontId="5" fillId="3" borderId="4" xfId="13" applyFont="1" applyFill="1" applyBorder="1" applyAlignment="1">
      <alignment vertical="center"/>
    </xf>
    <xf numFmtId="0" fontId="5" fillId="3" borderId="22" xfId="13" applyFont="1" applyFill="1" applyBorder="1" applyAlignment="1">
      <alignment vertical="center"/>
    </xf>
    <xf numFmtId="174" fontId="5" fillId="3" borderId="22" xfId="13" applyNumberFormat="1" applyFont="1" applyFill="1" applyBorder="1" applyAlignment="1">
      <alignment vertical="center"/>
    </xf>
    <xf numFmtId="0" fontId="5" fillId="3" borderId="8" xfId="13" applyFont="1" applyFill="1" applyBorder="1" applyAlignment="1">
      <alignment vertical="center"/>
    </xf>
    <xf numFmtId="0" fontId="20" fillId="5" borderId="1" xfId="13" applyFont="1" applyFill="1" applyBorder="1" applyAlignment="1">
      <alignment horizontal="center" vertical="center" wrapText="1"/>
    </xf>
    <xf numFmtId="0" fontId="5" fillId="3" borderId="30" xfId="13" applyFont="1" applyFill="1" applyBorder="1" applyAlignment="1">
      <alignment horizontal="center" vertical="center" wrapText="1"/>
    </xf>
    <xf numFmtId="0" fontId="5" fillId="3" borderId="0" xfId="13" applyFont="1" applyFill="1" applyAlignment="1">
      <alignment horizontal="center" vertical="center" wrapText="1"/>
    </xf>
    <xf numFmtId="0" fontId="21" fillId="3" borderId="0" xfId="13" applyFont="1" applyFill="1" applyAlignment="1">
      <alignment horizontal="center" vertical="center"/>
    </xf>
    <xf numFmtId="9" fontId="5" fillId="3" borderId="0" xfId="5" applyFont="1" applyFill="1" applyBorder="1" applyAlignment="1" applyProtection="1">
      <alignment horizontal="center" vertical="center"/>
    </xf>
    <xf numFmtId="173" fontId="21" fillId="3" borderId="0" xfId="13" applyNumberFormat="1" applyFont="1" applyFill="1" applyAlignment="1">
      <alignment horizontal="right" vertical="center"/>
    </xf>
    <xf numFmtId="174" fontId="21" fillId="3" borderId="0" xfId="13" applyNumberFormat="1" applyFont="1" applyFill="1" applyAlignment="1">
      <alignment horizontal="center" vertical="center"/>
    </xf>
    <xf numFmtId="164" fontId="21" fillId="3" borderId="0" xfId="13" applyNumberFormat="1" applyFont="1" applyFill="1" applyAlignment="1">
      <alignment horizontal="center" vertical="center"/>
    </xf>
    <xf numFmtId="173" fontId="21" fillId="3" borderId="0" xfId="13" applyNumberFormat="1" applyFont="1" applyFill="1" applyAlignment="1">
      <alignment vertical="center"/>
    </xf>
    <xf numFmtId="0" fontId="21" fillId="0" borderId="32" xfId="2" applyFont="1" applyBorder="1" applyAlignment="1">
      <alignment horizontal="center" vertical="center"/>
    </xf>
    <xf numFmtId="0" fontId="20" fillId="0" borderId="0" xfId="13" applyFont="1" applyAlignment="1">
      <alignment horizontal="center" vertical="center" wrapText="1"/>
    </xf>
    <xf numFmtId="175" fontId="5" fillId="3" borderId="2" xfId="13" applyNumberFormat="1" applyFont="1" applyFill="1" applyBorder="1" applyAlignment="1">
      <alignment vertical="center"/>
    </xf>
    <xf numFmtId="185" fontId="5" fillId="3" borderId="5" xfId="29" applyNumberFormat="1" applyFont="1" applyFill="1" applyBorder="1" applyAlignment="1" applyProtection="1">
      <alignment vertical="center"/>
    </xf>
    <xf numFmtId="175" fontId="5" fillId="3" borderId="5" xfId="13" applyNumberFormat="1" applyFont="1" applyFill="1" applyBorder="1" applyAlignment="1">
      <alignment vertical="center"/>
    </xf>
    <xf numFmtId="175" fontId="5" fillId="3" borderId="3" xfId="13" applyNumberFormat="1" applyFont="1" applyFill="1" applyBorder="1" applyAlignment="1">
      <alignment vertical="center"/>
    </xf>
    <xf numFmtId="0" fontId="21" fillId="3" borderId="3" xfId="13" applyFont="1" applyFill="1" applyBorder="1" applyAlignment="1">
      <alignment vertical="center" wrapText="1"/>
    </xf>
    <xf numFmtId="185" fontId="19" fillId="0" borderId="0" xfId="29" applyNumberFormat="1" applyFont="1" applyFill="1" applyAlignment="1">
      <alignment horizontal="center" vertical="center"/>
    </xf>
    <xf numFmtId="0" fontId="21" fillId="0" borderId="3" xfId="13" applyFont="1" applyBorder="1" applyAlignment="1">
      <alignment horizontal="left" vertical="center"/>
    </xf>
    <xf numFmtId="177" fontId="28" fillId="0" borderId="0" xfId="31" applyNumberFormat="1" applyFont="1" applyAlignment="1">
      <alignment horizontal="center" vertical="center"/>
    </xf>
    <xf numFmtId="9" fontId="5" fillId="0" borderId="3" xfId="13" applyNumberFormat="1" applyFont="1" applyBorder="1" applyAlignment="1">
      <alignment horizontal="center" vertical="center"/>
    </xf>
    <xf numFmtId="179" fontId="19" fillId="0" borderId="0" xfId="13" applyNumberFormat="1" applyFont="1" applyAlignment="1">
      <alignment vertical="center"/>
    </xf>
    <xf numFmtId="10" fontId="20" fillId="0" borderId="0" xfId="13" applyNumberFormat="1" applyFont="1" applyAlignment="1">
      <alignment vertical="center"/>
    </xf>
    <xf numFmtId="0" fontId="19" fillId="0" borderId="3" xfId="13" applyFont="1" applyBorder="1" applyAlignment="1">
      <alignment horizontal="left" vertical="center"/>
    </xf>
    <xf numFmtId="189" fontId="28" fillId="0" borderId="0" xfId="31" applyNumberFormat="1" applyFont="1" applyAlignment="1">
      <alignment horizontal="center" vertical="center"/>
    </xf>
    <xf numFmtId="0" fontId="29" fillId="0" borderId="0" xfId="13" applyFont="1" applyAlignment="1">
      <alignment horizontal="left" vertical="center"/>
    </xf>
    <xf numFmtId="0" fontId="29" fillId="0" borderId="0" xfId="13" applyFont="1" applyAlignment="1">
      <alignment vertical="center"/>
    </xf>
    <xf numFmtId="187" fontId="29" fillId="0" borderId="0" xfId="13" applyNumberFormat="1" applyFont="1" applyAlignment="1">
      <alignment vertical="center"/>
    </xf>
    <xf numFmtId="0" fontId="20" fillId="0" borderId="6" xfId="13" applyFont="1" applyBorder="1" applyAlignment="1">
      <alignment vertical="center"/>
    </xf>
    <xf numFmtId="10" fontId="20" fillId="0" borderId="0" xfId="5" applyNumberFormat="1" applyFont="1" applyFill="1" applyAlignment="1">
      <alignment vertical="center"/>
    </xf>
    <xf numFmtId="0" fontId="20" fillId="0" borderId="24" xfId="13" applyFont="1" applyBorder="1" applyAlignment="1">
      <alignment vertical="center"/>
    </xf>
    <xf numFmtId="0" fontId="20" fillId="0" borderId="4" xfId="13" applyFont="1" applyBorder="1" applyAlignment="1">
      <alignment vertical="center"/>
    </xf>
    <xf numFmtId="0" fontId="0" fillId="0" borderId="0" xfId="2" applyFont="1" applyAlignment="1">
      <alignment vertical="center"/>
    </xf>
    <xf numFmtId="0" fontId="5" fillId="3" borderId="1" xfId="13" applyFont="1" applyFill="1" applyBorder="1" applyAlignment="1">
      <alignment vertical="center" wrapText="1"/>
    </xf>
    <xf numFmtId="9" fontId="21" fillId="0" borderId="1" xfId="7" applyFont="1" applyBorder="1" applyAlignment="1">
      <alignment horizontal="center" vertical="center"/>
    </xf>
    <xf numFmtId="0" fontId="21" fillId="6" borderId="32" xfId="0" applyFont="1" applyFill="1" applyBorder="1" applyAlignment="1">
      <alignment horizontal="center" vertical="center"/>
    </xf>
    <xf numFmtId="0" fontId="21" fillId="6" borderId="1" xfId="13" applyFont="1" applyFill="1" applyBorder="1" applyAlignment="1">
      <alignment horizontal="center" vertical="center"/>
    </xf>
    <xf numFmtId="0" fontId="21" fillId="9" borderId="32" xfId="2" applyFont="1" applyFill="1" applyBorder="1" applyAlignment="1">
      <alignment horizontal="center" vertical="center"/>
    </xf>
    <xf numFmtId="0" fontId="21" fillId="6" borderId="1" xfId="2" applyFont="1" applyFill="1" applyBorder="1" applyAlignment="1">
      <alignment horizontal="center" vertical="center"/>
    </xf>
    <xf numFmtId="0" fontId="30" fillId="0" borderId="0" xfId="17" applyFont="1" applyAlignment="1">
      <alignment vertical="center"/>
    </xf>
    <xf numFmtId="0" fontId="3" fillId="0" borderId="0" xfId="17" applyAlignment="1">
      <alignment horizontal="center" vertical="center"/>
    </xf>
    <xf numFmtId="0" fontId="3" fillId="0" borderId="0" xfId="17" applyAlignment="1">
      <alignment vertical="center"/>
    </xf>
    <xf numFmtId="186" fontId="30" fillId="0" borderId="0" xfId="29" applyFont="1" applyAlignment="1">
      <alignment vertical="center"/>
    </xf>
    <xf numFmtId="0" fontId="3" fillId="0" borderId="20" xfId="17" applyBorder="1" applyAlignment="1">
      <alignment vertical="top" wrapText="1"/>
    </xf>
    <xf numFmtId="0" fontId="3" fillId="0" borderId="21" xfId="17" applyBorder="1" applyAlignment="1">
      <alignment vertical="top" wrapText="1"/>
    </xf>
    <xf numFmtId="0" fontId="6" fillId="0" borderId="2" xfId="32" applyFont="1" applyBorder="1" applyAlignment="1">
      <alignment vertical="center"/>
    </xf>
    <xf numFmtId="0" fontId="6" fillId="0" borderId="5" xfId="32" applyFont="1" applyBorder="1" applyAlignment="1">
      <alignment vertical="center"/>
    </xf>
    <xf numFmtId="0" fontId="6" fillId="0" borderId="3" xfId="32" applyFont="1" applyBorder="1" applyAlignment="1">
      <alignment vertical="center"/>
    </xf>
    <xf numFmtId="0" fontId="6" fillId="0" borderId="4" xfId="33" applyFont="1" applyBorder="1" applyAlignment="1">
      <alignment horizontal="center" vertical="center" wrapText="1"/>
    </xf>
    <xf numFmtId="0" fontId="3" fillId="0" borderId="22" xfId="33" applyBorder="1" applyAlignment="1">
      <alignment horizontal="left" vertical="center"/>
    </xf>
    <xf numFmtId="0" fontId="3" fillId="0" borderId="22" xfId="33" applyBorder="1" applyAlignment="1">
      <alignment horizontal="center" vertical="center"/>
    </xf>
    <xf numFmtId="175" fontId="3" fillId="0" borderId="22" xfId="33" applyNumberFormat="1" applyBorder="1" applyAlignment="1">
      <alignment horizontal="center" vertical="center"/>
    </xf>
    <xf numFmtId="2" fontId="3" fillId="0" borderId="22" xfId="21" applyNumberFormat="1" applyFont="1" applyFill="1" applyBorder="1" applyAlignment="1">
      <alignment horizontal="center" vertical="center"/>
    </xf>
    <xf numFmtId="2" fontId="3" fillId="0" borderId="22" xfId="33" applyNumberFormat="1" applyBorder="1" applyAlignment="1">
      <alignment horizontal="center" vertical="center"/>
    </xf>
    <xf numFmtId="190" fontId="3" fillId="0" borderId="22" xfId="33" applyNumberFormat="1" applyBorder="1" applyAlignment="1">
      <alignment horizontal="right" vertical="center"/>
    </xf>
    <xf numFmtId="191" fontId="3" fillId="0" borderId="22" xfId="33" applyNumberFormat="1" applyBorder="1" applyAlignment="1">
      <alignment horizontal="center" vertical="center"/>
    </xf>
    <xf numFmtId="192" fontId="3" fillId="0" borderId="8" xfId="34" applyNumberFormat="1" applyFont="1" applyFill="1" applyBorder="1" applyAlignment="1">
      <alignment horizontal="right" vertical="center"/>
    </xf>
    <xf numFmtId="186" fontId="30" fillId="0" borderId="0" xfId="29" applyFont="1" applyFill="1" applyAlignment="1">
      <alignment vertical="center"/>
    </xf>
    <xf numFmtId="0" fontId="6" fillId="0" borderId="5" xfId="32" applyFont="1" applyBorder="1" applyAlignment="1">
      <alignment horizontal="center" vertical="center"/>
    </xf>
    <xf numFmtId="192" fontId="6" fillId="0" borderId="3" xfId="32" applyNumberFormat="1" applyFont="1" applyBorder="1" applyAlignment="1">
      <alignment vertical="center"/>
    </xf>
    <xf numFmtId="0" fontId="6" fillId="10" borderId="1" xfId="33" applyFont="1" applyFill="1" applyBorder="1" applyAlignment="1">
      <alignment horizontal="center" vertical="center"/>
    </xf>
    <xf numFmtId="0" fontId="5" fillId="10" borderId="1" xfId="33" applyFont="1" applyFill="1" applyBorder="1" applyAlignment="1">
      <alignment horizontal="center" vertical="center" wrapText="1"/>
    </xf>
    <xf numFmtId="0" fontId="26" fillId="10" borderId="1" xfId="33" applyFont="1" applyFill="1" applyBorder="1" applyAlignment="1">
      <alignment horizontal="center" vertical="center" wrapText="1"/>
    </xf>
    <xf numFmtId="192" fontId="6" fillId="10" borderId="1" xfId="33" applyNumberFormat="1" applyFont="1" applyFill="1" applyBorder="1" applyAlignment="1">
      <alignment horizontal="center" vertical="center" wrapText="1"/>
    </xf>
    <xf numFmtId="190" fontId="6" fillId="10" borderId="1" xfId="33" applyNumberFormat="1" applyFont="1" applyFill="1" applyBorder="1" applyAlignment="1">
      <alignment horizontal="center" vertical="center" wrapText="1"/>
    </xf>
    <xf numFmtId="0" fontId="6" fillId="0" borderId="1" xfId="33" applyFont="1" applyBorder="1" applyAlignment="1">
      <alignment horizontal="center" vertical="center" wrapText="1"/>
    </xf>
    <xf numFmtId="0" fontId="3" fillId="8" borderId="1" xfId="33" applyFill="1" applyBorder="1" applyAlignment="1">
      <alignment horizontal="center" vertical="center"/>
    </xf>
    <xf numFmtId="1" fontId="3" fillId="11" borderId="1" xfId="33" applyNumberFormat="1" applyFill="1" applyBorder="1" applyAlignment="1">
      <alignment horizontal="center" vertical="center"/>
    </xf>
    <xf numFmtId="2" fontId="3" fillId="11" borderId="1" xfId="21" applyNumberFormat="1" applyFont="1" applyFill="1" applyBorder="1" applyAlignment="1">
      <alignment horizontal="center" vertical="center"/>
    </xf>
    <xf numFmtId="2" fontId="3" fillId="0" borderId="1" xfId="33" applyNumberFormat="1" applyBorder="1" applyAlignment="1">
      <alignment horizontal="center" vertical="center"/>
    </xf>
    <xf numFmtId="190" fontId="3" fillId="2" borderId="1" xfId="33" applyNumberFormat="1" applyFill="1" applyBorder="1" applyAlignment="1">
      <alignment horizontal="right" vertical="center"/>
    </xf>
    <xf numFmtId="191" fontId="3" fillId="0" borderId="1" xfId="33" applyNumberFormat="1" applyBorder="1" applyAlignment="1">
      <alignment horizontal="center" vertical="center"/>
    </xf>
    <xf numFmtId="193" fontId="3" fillId="0" borderId="1" xfId="34" applyNumberFormat="1" applyFont="1" applyFill="1" applyBorder="1" applyAlignment="1">
      <alignment horizontal="right" vertical="center"/>
    </xf>
    <xf numFmtId="190" fontId="30" fillId="0" borderId="0" xfId="17" applyNumberFormat="1" applyFont="1" applyAlignment="1">
      <alignment vertical="center"/>
    </xf>
    <xf numFmtId="0" fontId="6" fillId="0" borderId="0" xfId="33" applyFont="1" applyAlignment="1">
      <alignment horizontal="center" vertical="center" wrapText="1"/>
    </xf>
    <xf numFmtId="0" fontId="3" fillId="0" borderId="0" xfId="33" applyAlignment="1">
      <alignment horizontal="center" vertical="center"/>
    </xf>
    <xf numFmtId="0" fontId="3" fillId="8" borderId="0" xfId="33" applyFill="1" applyAlignment="1">
      <alignment horizontal="center" vertical="center"/>
    </xf>
    <xf numFmtId="1" fontId="3" fillId="8" borderId="0" xfId="33" applyNumberFormat="1" applyFill="1" applyAlignment="1">
      <alignment horizontal="center" vertical="center"/>
    </xf>
    <xf numFmtId="2" fontId="3" fillId="8" borderId="0" xfId="21" applyNumberFormat="1" applyFont="1" applyFill="1" applyBorder="1" applyAlignment="1">
      <alignment horizontal="center" vertical="center"/>
    </xf>
    <xf numFmtId="2" fontId="3" fillId="0" borderId="0" xfId="33" applyNumberFormat="1" applyAlignment="1">
      <alignment horizontal="center" vertical="center"/>
    </xf>
    <xf numFmtId="190" fontId="3" fillId="2" borderId="0" xfId="33" applyNumberFormat="1" applyFill="1" applyAlignment="1">
      <alignment horizontal="right" vertical="center"/>
    </xf>
    <xf numFmtId="191" fontId="3" fillId="0" borderId="0" xfId="33" applyNumberFormat="1" applyAlignment="1">
      <alignment horizontal="center" vertical="center"/>
    </xf>
    <xf numFmtId="192" fontId="3" fillId="0" borderId="0" xfId="34" applyNumberFormat="1" applyFont="1" applyFill="1" applyBorder="1" applyAlignment="1">
      <alignment horizontal="right" vertical="center"/>
    </xf>
    <xf numFmtId="0" fontId="0" fillId="8" borderId="1" xfId="33" applyFont="1" applyFill="1" applyBorder="1" applyAlignment="1">
      <alignment horizontal="center" vertical="center"/>
    </xf>
    <xf numFmtId="0" fontId="6" fillId="0" borderId="0" xfId="33" applyFont="1" applyAlignment="1">
      <alignment vertical="center"/>
    </xf>
    <xf numFmtId="0" fontId="6" fillId="0" borderId="2" xfId="33" applyFont="1" applyBorder="1" applyAlignment="1">
      <alignment vertical="center"/>
    </xf>
    <xf numFmtId="0" fontId="6" fillId="0" borderId="5" xfId="33" applyFont="1" applyBorder="1" applyAlignment="1">
      <alignment vertical="center"/>
    </xf>
    <xf numFmtId="0" fontId="6" fillId="0" borderId="3" xfId="33" applyFont="1" applyBorder="1" applyAlignment="1">
      <alignment vertical="center"/>
    </xf>
    <xf numFmtId="193" fontId="6" fillId="0" borderId="1" xfId="34" applyNumberFormat="1" applyFont="1" applyFill="1" applyBorder="1" applyAlignment="1">
      <alignment horizontal="right" vertical="center"/>
    </xf>
    <xf numFmtId="0" fontId="6" fillId="0" borderId="0" xfId="33" applyFont="1" applyAlignment="1">
      <alignment horizontal="center" vertical="center"/>
    </xf>
    <xf numFmtId="192" fontId="6" fillId="0" borderId="0" xfId="34" applyNumberFormat="1" applyFont="1" applyFill="1" applyBorder="1" applyAlignment="1">
      <alignment horizontal="right" vertical="center"/>
    </xf>
    <xf numFmtId="43" fontId="30" fillId="0" borderId="0" xfId="20" applyFont="1" applyFill="1" applyBorder="1" applyAlignment="1">
      <alignment vertical="center"/>
    </xf>
    <xf numFmtId="0" fontId="6" fillId="10" borderId="30" xfId="17" applyFont="1" applyFill="1" applyBorder="1" applyAlignment="1">
      <alignment horizontal="center" vertical="center"/>
    </xf>
    <xf numFmtId="0" fontId="30" fillId="0" borderId="0" xfId="17" applyFont="1" applyAlignment="1">
      <alignment horizontal="center" vertical="center"/>
    </xf>
    <xf numFmtId="0" fontId="6" fillId="0" borderId="2" xfId="17" applyFont="1" applyBorder="1" applyAlignment="1">
      <alignment horizontal="center" vertical="center" wrapText="1"/>
    </xf>
    <xf numFmtId="0" fontId="3" fillId="0" borderId="2" xfId="17" applyBorder="1" applyAlignment="1">
      <alignment horizontal="left" vertical="top"/>
    </xf>
    <xf numFmtId="0" fontId="6" fillId="0" borderId="5" xfId="17" applyFont="1" applyBorder="1" applyAlignment="1">
      <alignment vertical="center" wrapText="1"/>
    </xf>
    <xf numFmtId="0" fontId="6" fillId="0" borderId="3" xfId="17" applyFont="1" applyBorder="1" applyAlignment="1">
      <alignment vertical="center" wrapText="1"/>
    </xf>
    <xf numFmtId="0" fontId="3" fillId="0" borderId="9" xfId="17" applyBorder="1" applyAlignment="1">
      <alignment horizontal="justify" vertical="center" wrapText="1"/>
    </xf>
    <xf numFmtId="2" fontId="30" fillId="0" borderId="0" xfId="17" applyNumberFormat="1" applyFont="1" applyAlignment="1">
      <alignment vertical="center"/>
    </xf>
    <xf numFmtId="0" fontId="30" fillId="0" borderId="23" xfId="17" applyFont="1" applyBorder="1" applyAlignment="1">
      <alignment vertical="center"/>
    </xf>
    <xf numFmtId="0" fontId="6" fillId="0" borderId="2" xfId="33" applyFont="1" applyBorder="1" applyAlignment="1">
      <alignment horizontal="left" vertical="center"/>
    </xf>
    <xf numFmtId="0" fontId="6" fillId="0" borderId="5" xfId="33" applyFont="1" applyBorder="1" applyAlignment="1">
      <alignment vertical="center" wrapText="1"/>
    </xf>
    <xf numFmtId="0" fontId="6" fillId="0" borderId="3" xfId="33" applyFont="1" applyBorder="1" applyAlignment="1">
      <alignment vertical="center" wrapText="1"/>
    </xf>
    <xf numFmtId="0" fontId="30" fillId="0" borderId="22" xfId="17" applyFont="1" applyBorder="1" applyAlignment="1">
      <alignment vertical="center"/>
    </xf>
    <xf numFmtId="0" fontId="6" fillId="0" borderId="2" xfId="17" applyFont="1" applyBorder="1" applyAlignment="1">
      <alignment horizontal="left" vertical="center"/>
    </xf>
    <xf numFmtId="0" fontId="6" fillId="0" borderId="1" xfId="33" applyFont="1" applyBorder="1" applyAlignment="1">
      <alignment vertical="center"/>
    </xf>
    <xf numFmtId="0" fontId="6" fillId="0" borderId="0" xfId="33" applyFont="1" applyAlignment="1">
      <alignment vertical="center" wrapText="1"/>
    </xf>
    <xf numFmtId="0" fontId="6" fillId="0" borderId="5" xfId="33" applyFont="1" applyBorder="1" applyAlignment="1">
      <alignment horizontal="left" vertical="center"/>
    </xf>
    <xf numFmtId="0" fontId="6" fillId="0" borderId="3" xfId="33" applyFont="1" applyBorder="1" applyAlignment="1">
      <alignment horizontal="left" vertical="center"/>
    </xf>
    <xf numFmtId="0" fontId="6" fillId="0" borderId="2" xfId="33" applyFont="1" applyBorder="1" applyAlignment="1">
      <alignment horizontal="center" vertical="center" wrapText="1"/>
    </xf>
    <xf numFmtId="186" fontId="30" fillId="0" borderId="0" xfId="29" applyFont="1" applyAlignment="1">
      <alignment horizontal="center" vertical="center"/>
    </xf>
    <xf numFmtId="0" fontId="6" fillId="10" borderId="30" xfId="33" applyFont="1" applyFill="1" applyBorder="1" applyAlignment="1">
      <alignment horizontal="center" vertical="center"/>
    </xf>
    <xf numFmtId="2" fontId="6" fillId="0" borderId="1" xfId="33" applyNumberFormat="1" applyFont="1" applyBorder="1" applyAlignment="1">
      <alignment horizontal="center" vertical="center"/>
    </xf>
    <xf numFmtId="0" fontId="6" fillId="3" borderId="1" xfId="33" applyFont="1" applyFill="1" applyBorder="1" applyAlignment="1">
      <alignment horizontal="center" vertical="center"/>
    </xf>
    <xf numFmtId="0" fontId="6" fillId="3" borderId="2" xfId="33" applyFont="1" applyFill="1" applyBorder="1" applyAlignment="1">
      <alignment vertical="center"/>
    </xf>
    <xf numFmtId="0" fontId="6" fillId="3" borderId="5" xfId="33" applyFont="1" applyFill="1" applyBorder="1" applyAlignment="1">
      <alignment vertical="center"/>
    </xf>
    <xf numFmtId="0" fontId="3" fillId="3" borderId="5" xfId="33" applyFill="1" applyBorder="1" applyAlignment="1">
      <alignment vertical="center"/>
    </xf>
    <xf numFmtId="0" fontId="3" fillId="3" borderId="3" xfId="33" applyFill="1" applyBorder="1" applyAlignment="1">
      <alignment vertical="center"/>
    </xf>
    <xf numFmtId="195" fontId="3" fillId="3" borderId="1" xfId="36" applyNumberFormat="1" applyFont="1" applyFill="1" applyBorder="1" applyAlignment="1">
      <alignment horizontal="center" vertical="center" wrapText="1"/>
    </xf>
    <xf numFmtId="2" fontId="3" fillId="0" borderId="2" xfId="32" applyNumberFormat="1" applyBorder="1" applyAlignment="1">
      <alignment horizontal="center" vertical="center" wrapText="1"/>
    </xf>
    <xf numFmtId="2" fontId="3" fillId="0" borderId="3" xfId="32" applyNumberFormat="1" applyBorder="1" applyAlignment="1">
      <alignment horizontal="center" vertical="center" wrapText="1"/>
    </xf>
    <xf numFmtId="192" fontId="6" fillId="0" borderId="0" xfId="34" applyNumberFormat="1" applyFont="1" applyFill="1" applyBorder="1" applyAlignment="1">
      <alignment vertical="center"/>
    </xf>
    <xf numFmtId="0" fontId="3" fillId="0" borderId="1" xfId="33" applyBorder="1" applyAlignment="1">
      <alignment vertical="center" wrapText="1"/>
    </xf>
    <xf numFmtId="192" fontId="30" fillId="0" borderId="0" xfId="17" applyNumberFormat="1" applyFont="1" applyAlignment="1">
      <alignment vertical="center"/>
    </xf>
    <xf numFmtId="0" fontId="6" fillId="0" borderId="24" xfId="33" applyFont="1" applyBorder="1" applyAlignment="1">
      <alignment vertical="center"/>
    </xf>
    <xf numFmtId="0" fontId="6" fillId="0" borderId="25" xfId="33" applyFont="1" applyBorder="1" applyAlignment="1">
      <alignment vertical="center"/>
    </xf>
    <xf numFmtId="10" fontId="9" fillId="0" borderId="9" xfId="37" applyNumberFormat="1" applyFont="1" applyFill="1" applyBorder="1" applyAlignment="1">
      <alignment horizontal="right" vertical="center"/>
    </xf>
    <xf numFmtId="185" fontId="30" fillId="0" borderId="0" xfId="29" applyNumberFormat="1" applyFont="1" applyAlignment="1">
      <alignment vertical="center"/>
    </xf>
    <xf numFmtId="42" fontId="30" fillId="0" borderId="0" xfId="38" applyFont="1" applyBorder="1" applyAlignment="1">
      <alignment vertical="center"/>
    </xf>
    <xf numFmtId="10" fontId="6" fillId="0" borderId="5" xfId="33" applyNumberFormat="1" applyFont="1" applyBorder="1" applyAlignment="1">
      <alignment horizontal="right" vertical="center" wrapText="1"/>
    </xf>
    <xf numFmtId="0" fontId="9" fillId="0" borderId="0" xfId="17" applyFont="1" applyAlignment="1">
      <alignment vertical="center"/>
    </xf>
    <xf numFmtId="197" fontId="6" fillId="0" borderId="0" xfId="33" applyNumberFormat="1" applyFont="1" applyAlignment="1">
      <alignment horizontal="right" vertical="center" wrapText="1"/>
    </xf>
    <xf numFmtId="188" fontId="30" fillId="0" borderId="0" xfId="21" applyNumberFormat="1" applyFont="1" applyAlignment="1">
      <alignment vertical="center"/>
    </xf>
    <xf numFmtId="0" fontId="3" fillId="0" borderId="0" xfId="28" applyAlignment="1">
      <alignment horizontal="center" vertical="center"/>
    </xf>
    <xf numFmtId="0" fontId="3" fillId="0" borderId="0" xfId="28" applyAlignment="1">
      <alignment vertical="center"/>
    </xf>
    <xf numFmtId="0" fontId="3" fillId="2" borderId="20" xfId="28" applyFill="1" applyBorder="1" applyAlignment="1">
      <alignment vertical="center"/>
    </xf>
    <xf numFmtId="0" fontId="3" fillId="2" borderId="21" xfId="28" applyFill="1" applyBorder="1" applyAlignment="1">
      <alignment vertical="center"/>
    </xf>
    <xf numFmtId="0" fontId="3" fillId="2" borderId="0" xfId="28" applyFill="1" applyAlignment="1">
      <alignment vertical="center"/>
    </xf>
    <xf numFmtId="0" fontId="3" fillId="2" borderId="38" xfId="28" applyFill="1" applyBorder="1" applyAlignment="1">
      <alignment vertical="center"/>
    </xf>
    <xf numFmtId="0" fontId="3" fillId="0" borderId="0" xfId="28" applyAlignment="1">
      <alignment vertical="top" wrapText="1"/>
    </xf>
    <xf numFmtId="0" fontId="3" fillId="0" borderId="25" xfId="28" applyBorder="1" applyAlignment="1">
      <alignment vertical="top" wrapText="1"/>
    </xf>
    <xf numFmtId="0" fontId="3" fillId="0" borderId="22" xfId="28" applyBorder="1" applyAlignment="1">
      <alignment vertical="center"/>
    </xf>
    <xf numFmtId="0" fontId="6" fillId="0" borderId="15" xfId="28" applyFont="1" applyBorder="1" applyAlignment="1">
      <alignment vertical="center"/>
    </xf>
    <xf numFmtId="0" fontId="3" fillId="0" borderId="40" xfId="28" applyBorder="1" applyAlignment="1">
      <alignment vertical="center"/>
    </xf>
    <xf numFmtId="0" fontId="6" fillId="0" borderId="16" xfId="28" applyFont="1" applyBorder="1" applyAlignment="1">
      <alignment vertical="center"/>
    </xf>
    <xf numFmtId="0" fontId="21" fillId="2" borderId="2" xfId="13" applyFont="1" applyFill="1" applyBorder="1" applyAlignment="1">
      <alignment horizontal="left" vertical="center"/>
    </xf>
    <xf numFmtId="0" fontId="21" fillId="2" borderId="5" xfId="13" applyFont="1" applyFill="1" applyBorder="1" applyAlignment="1">
      <alignment horizontal="left" vertical="center"/>
    </xf>
    <xf numFmtId="0" fontId="21" fillId="2" borderId="3" xfId="13" applyFont="1" applyFill="1" applyBorder="1" applyAlignment="1">
      <alignment horizontal="left" vertical="center"/>
    </xf>
    <xf numFmtId="173" fontId="20" fillId="0" borderId="0" xfId="13" applyNumberFormat="1" applyFont="1" applyAlignment="1">
      <alignment vertical="center"/>
    </xf>
    <xf numFmtId="0" fontId="27" fillId="0" borderId="0" xfId="28" applyFont="1"/>
    <xf numFmtId="198" fontId="20" fillId="0" borderId="0" xfId="13" applyNumberFormat="1" applyFont="1" applyAlignment="1">
      <alignment vertical="center"/>
    </xf>
    <xf numFmtId="10" fontId="27" fillId="0" borderId="0" xfId="28" applyNumberFormat="1" applyFont="1"/>
    <xf numFmtId="0" fontId="31" fillId="0" borderId="1" xfId="13" applyFont="1" applyBorder="1" applyAlignment="1">
      <alignment horizontal="center" vertical="center" wrapText="1"/>
    </xf>
    <xf numFmtId="179" fontId="20" fillId="0" borderId="0" xfId="13" applyNumberFormat="1" applyFont="1" applyAlignment="1">
      <alignment vertical="center"/>
    </xf>
    <xf numFmtId="43" fontId="20" fillId="0" borderId="0" xfId="39" applyFont="1" applyFill="1" applyAlignment="1">
      <alignment vertical="center"/>
    </xf>
    <xf numFmtId="10" fontId="6" fillId="0" borderId="3" xfId="30" applyNumberFormat="1" applyFont="1" applyFill="1" applyBorder="1" applyAlignment="1" applyProtection="1">
      <alignment horizontal="center" vertical="center"/>
    </xf>
    <xf numFmtId="10" fontId="5" fillId="0" borderId="1" xfId="13" applyNumberFormat="1" applyFont="1" applyBorder="1" applyAlignment="1">
      <alignment horizontal="center" vertical="center"/>
    </xf>
    <xf numFmtId="178" fontId="19" fillId="0" borderId="0" xfId="40" applyFont="1" applyFill="1" applyAlignment="1">
      <alignment vertical="center"/>
    </xf>
    <xf numFmtId="10" fontId="29" fillId="0" borderId="1" xfId="13" applyNumberFormat="1" applyFont="1" applyBorder="1" applyAlignment="1">
      <alignment horizontal="center" vertical="center"/>
    </xf>
    <xf numFmtId="10" fontId="28" fillId="13" borderId="0" xfId="31" applyNumberFormat="1" applyFont="1" applyFill="1" applyAlignment="1">
      <alignment horizontal="center" vertical="center"/>
    </xf>
    <xf numFmtId="0" fontId="10" fillId="0" borderId="0" xfId="28" applyFont="1" applyAlignment="1">
      <alignment vertical="center"/>
    </xf>
    <xf numFmtId="0" fontId="3" fillId="0" borderId="0" xfId="28"/>
    <xf numFmtId="0" fontId="32" fillId="0" borderId="0" xfId="28" applyFont="1"/>
    <xf numFmtId="0" fontId="6" fillId="0" borderId="12" xfId="28" applyFont="1" applyBorder="1" applyAlignment="1">
      <alignment horizontal="center" vertical="center"/>
    </xf>
    <xf numFmtId="0" fontId="6" fillId="0" borderId="0" xfId="28" applyFont="1" applyAlignment="1">
      <alignment vertical="center"/>
    </xf>
    <xf numFmtId="0" fontId="3" fillId="0" borderId="1" xfId="28" applyBorder="1" applyAlignment="1">
      <alignment horizontal="center" vertical="center"/>
    </xf>
    <xf numFmtId="0" fontId="6" fillId="0" borderId="0" xfId="28" applyFont="1" applyAlignment="1">
      <alignment vertical="top"/>
    </xf>
    <xf numFmtId="0" fontId="3" fillId="0" borderId="22" xfId="28" applyBorder="1" applyAlignment="1">
      <alignment vertical="top" wrapText="1"/>
    </xf>
    <xf numFmtId="0" fontId="3" fillId="0" borderId="9" xfId="28" applyBorder="1" applyAlignment="1">
      <alignment horizontal="center" vertical="center" wrapText="1"/>
    </xf>
    <xf numFmtId="0" fontId="0" fillId="0" borderId="22" xfId="28" applyFont="1" applyBorder="1" applyAlignment="1">
      <alignment vertical="center" wrapText="1"/>
    </xf>
    <xf numFmtId="0" fontId="34" fillId="0" borderId="10" xfId="28" applyFont="1" applyBorder="1" applyAlignment="1">
      <alignment horizontal="center" vertical="center" wrapText="1"/>
    </xf>
    <xf numFmtId="0" fontId="34" fillId="3" borderId="10" xfId="28" applyFont="1" applyFill="1" applyBorder="1" applyAlignment="1">
      <alignment horizontal="center" vertical="center" wrapText="1"/>
    </xf>
    <xf numFmtId="0" fontId="35" fillId="3" borderId="10" xfId="28" applyFont="1" applyFill="1" applyBorder="1" applyAlignment="1">
      <alignment horizontal="center" vertical="center" wrapText="1"/>
    </xf>
    <xf numFmtId="0" fontId="3" fillId="0" borderId="5" xfId="28" applyBorder="1" applyAlignment="1">
      <alignment horizontal="center" vertical="center" wrapText="1"/>
    </xf>
    <xf numFmtId="0" fontId="3" fillId="0" borderId="5" xfId="28" applyBorder="1" applyAlignment="1">
      <alignment horizontal="right" vertical="center" wrapText="1"/>
    </xf>
    <xf numFmtId="199" fontId="3" fillId="0" borderId="3" xfId="28" applyNumberFormat="1" applyBorder="1" applyAlignment="1">
      <alignment horizontal="right" vertical="center" wrapText="1"/>
    </xf>
    <xf numFmtId="0" fontId="36" fillId="0" borderId="1" xfId="28" applyFont="1" applyBorder="1" applyAlignment="1">
      <alignment horizontal="center" vertical="center" wrapText="1"/>
    </xf>
    <xf numFmtId="0" fontId="36" fillId="0" borderId="1" xfId="28" applyFont="1" applyBorder="1" applyAlignment="1">
      <alignment vertical="center" wrapText="1"/>
    </xf>
    <xf numFmtId="191" fontId="36" fillId="0" borderId="1" xfId="28" applyNumberFormat="1" applyFont="1" applyBorder="1" applyAlignment="1">
      <alignment horizontal="center" vertical="center" wrapText="1"/>
    </xf>
    <xf numFmtId="2" fontId="36" fillId="11" borderId="1" xfId="28" applyNumberFormat="1" applyFont="1" applyFill="1" applyBorder="1" applyAlignment="1">
      <alignment horizontal="center" vertical="center" wrapText="1"/>
    </xf>
    <xf numFmtId="4" fontId="36" fillId="11" borderId="1" xfId="39" applyNumberFormat="1" applyFont="1" applyFill="1" applyBorder="1" applyAlignment="1">
      <alignment horizontal="center" vertical="center" wrapText="1"/>
    </xf>
    <xf numFmtId="2" fontId="36" fillId="0" borderId="1" xfId="28" applyNumberFormat="1" applyFont="1" applyBorder="1" applyAlignment="1">
      <alignment horizontal="center" vertical="center" wrapText="1"/>
    </xf>
    <xf numFmtId="200" fontId="36" fillId="0" borderId="1" xfId="28" applyNumberFormat="1" applyFont="1" applyBorder="1" applyAlignment="1">
      <alignment horizontal="right" vertical="center" wrapText="1"/>
    </xf>
    <xf numFmtId="186" fontId="32" fillId="0" borderId="0" xfId="29" applyFont="1"/>
    <xf numFmtId="0" fontId="3" fillId="0" borderId="2" xfId="28" applyBorder="1" applyAlignment="1">
      <alignment vertical="center" wrapText="1"/>
    </xf>
    <xf numFmtId="0" fontId="32" fillId="0" borderId="5" xfId="28" applyFont="1" applyBorder="1"/>
    <xf numFmtId="0" fontId="3" fillId="0" borderId="5" xfId="28" applyBorder="1" applyAlignment="1">
      <alignment vertical="center" wrapText="1"/>
    </xf>
    <xf numFmtId="0" fontId="11" fillId="0" borderId="5" xfId="41" applyFont="1" applyBorder="1" applyAlignment="1">
      <alignment horizontal="center" vertical="center" wrapText="1"/>
    </xf>
    <xf numFmtId="0" fontId="34" fillId="0" borderId="3" xfId="28" applyFont="1" applyBorder="1" applyAlignment="1">
      <alignment horizontal="right" vertical="center"/>
    </xf>
    <xf numFmtId="200" fontId="34" fillId="0" borderId="3" xfId="28" applyNumberFormat="1" applyFont="1" applyBorder="1" applyAlignment="1">
      <alignment horizontal="right" vertical="center" wrapText="1"/>
    </xf>
    <xf numFmtId="0" fontId="32" fillId="0" borderId="23" xfId="28" applyFont="1" applyBorder="1"/>
    <xf numFmtId="0" fontId="3" fillId="0" borderId="23" xfId="28" applyBorder="1" applyAlignment="1">
      <alignment horizontal="center" vertical="center" wrapText="1"/>
    </xf>
    <xf numFmtId="0" fontId="3" fillId="0" borderId="23" xfId="28" applyBorder="1" applyAlignment="1">
      <alignment vertical="center" wrapText="1"/>
    </xf>
    <xf numFmtId="0" fontId="11" fillId="0" borderId="23" xfId="41" applyFont="1" applyBorder="1" applyAlignment="1">
      <alignment horizontal="center" vertical="center" wrapText="1"/>
    </xf>
    <xf numFmtId="0" fontId="34" fillId="0" borderId="23" xfId="28" applyFont="1" applyBorder="1" applyAlignment="1">
      <alignment horizontal="right" vertical="center"/>
    </xf>
    <xf numFmtId="199" fontId="34" fillId="0" borderId="7" xfId="28" applyNumberFormat="1" applyFont="1" applyBorder="1" applyAlignment="1">
      <alignment horizontal="right" vertical="center" wrapText="1"/>
    </xf>
    <xf numFmtId="0" fontId="3" fillId="0" borderId="23" xfId="28" applyBorder="1" applyAlignment="1">
      <alignment horizontal="right" vertical="center" wrapText="1"/>
    </xf>
    <xf numFmtId="199" fontId="3" fillId="0" borderId="7" xfId="28" applyNumberFormat="1" applyBorder="1" applyAlignment="1">
      <alignment horizontal="right" vertical="center" wrapText="1"/>
    </xf>
    <xf numFmtId="0" fontId="34" fillId="3" borderId="1" xfId="28" applyFont="1" applyFill="1" applyBorder="1" applyAlignment="1">
      <alignment horizontal="center" vertical="center" wrapText="1"/>
    </xf>
    <xf numFmtId="0" fontId="34" fillId="3" borderId="3" xfId="28" applyFont="1" applyFill="1" applyBorder="1" applyAlignment="1">
      <alignment horizontal="center" vertical="center" wrapText="1"/>
    </xf>
    <xf numFmtId="0" fontId="35" fillId="3" borderId="1" xfId="28" applyFont="1" applyFill="1" applyBorder="1" applyAlignment="1">
      <alignment horizontal="center" vertical="center" wrapText="1"/>
    </xf>
    <xf numFmtId="0" fontId="30" fillId="0" borderId="0" xfId="28" applyFont="1" applyAlignment="1">
      <alignment horizontal="center" vertical="center"/>
    </xf>
    <xf numFmtId="0" fontId="34" fillId="0" borderId="4" xfId="28" applyFont="1" applyBorder="1" applyAlignment="1">
      <alignment horizontal="center" vertical="center" wrapText="1"/>
    </xf>
    <xf numFmtId="0" fontId="34" fillId="0" borderId="24" xfId="28" applyFont="1" applyBorder="1" applyAlignment="1">
      <alignment vertical="center" wrapText="1"/>
    </xf>
    <xf numFmtId="0" fontId="32" fillId="0" borderId="0" xfId="28" applyFont="1" applyAlignment="1">
      <alignment horizontal="center"/>
    </xf>
    <xf numFmtId="199" fontId="36" fillId="0" borderId="3" xfId="28" applyNumberFormat="1" applyFont="1" applyBorder="1" applyAlignment="1">
      <alignment horizontal="right" vertical="center" wrapText="1"/>
    </xf>
    <xf numFmtId="175" fontId="36" fillId="0" borderId="1" xfId="28" applyNumberFormat="1" applyFont="1" applyBorder="1" applyAlignment="1">
      <alignment vertical="center" wrapText="1"/>
    </xf>
    <xf numFmtId="0" fontId="34" fillId="0" borderId="1" xfId="28" applyFont="1" applyBorder="1" applyAlignment="1">
      <alignment horizontal="center" vertical="center" wrapText="1"/>
    </xf>
    <xf numFmtId="0" fontId="34" fillId="0" borderId="2" xfId="28" applyFont="1" applyBorder="1" applyAlignment="1">
      <alignment vertical="center" wrapText="1"/>
    </xf>
    <xf numFmtId="0" fontId="34" fillId="0" borderId="5" xfId="28" applyFont="1" applyBorder="1" applyAlignment="1">
      <alignment horizontal="center" vertical="center" wrapText="1"/>
    </xf>
    <xf numFmtId="201" fontId="34" fillId="0" borderId="3" xfId="28" applyNumberFormat="1" applyFont="1" applyBorder="1" applyAlignment="1">
      <alignment horizontal="center" vertical="center" wrapText="1"/>
    </xf>
    <xf numFmtId="2" fontId="36" fillId="11" borderId="1" xfId="28" applyNumberFormat="1" applyFont="1" applyFill="1" applyBorder="1" applyAlignment="1">
      <alignment vertical="center" wrapText="1"/>
    </xf>
    <xf numFmtId="164" fontId="36" fillId="0" borderId="1" xfId="28" applyNumberFormat="1" applyFont="1" applyBorder="1" applyAlignment="1">
      <alignment vertical="center" wrapText="1"/>
    </xf>
    <xf numFmtId="0" fontId="32" fillId="0" borderId="5" xfId="28" applyFont="1" applyBorder="1" applyAlignment="1">
      <alignment horizontal="center"/>
    </xf>
    <xf numFmtId="0" fontId="13" fillId="0" borderId="0" xfId="28" applyFont="1" applyAlignment="1">
      <alignment vertical="center"/>
    </xf>
    <xf numFmtId="0" fontId="34" fillId="0" borderId="3" xfId="28" applyFont="1" applyBorder="1" applyAlignment="1">
      <alignment horizontal="center" vertical="center" wrapText="1"/>
    </xf>
    <xf numFmtId="0" fontId="37" fillId="0" borderId="0" xfId="28" applyFont="1"/>
    <xf numFmtId="4" fontId="36" fillId="11" borderId="1" xfId="28" applyNumberFormat="1" applyFont="1" applyFill="1" applyBorder="1" applyAlignment="1">
      <alignment horizontal="center" vertical="center" wrapText="1"/>
    </xf>
    <xf numFmtId="4" fontId="36" fillId="0" borderId="3" xfId="28" applyNumberFormat="1" applyFont="1" applyBorder="1" applyAlignment="1">
      <alignment horizontal="center" vertical="center" wrapText="1"/>
    </xf>
    <xf numFmtId="4" fontId="36" fillId="0" borderId="3" xfId="39" applyNumberFormat="1" applyFont="1" applyFill="1" applyBorder="1" applyAlignment="1">
      <alignment horizontal="center" vertical="center" wrapText="1"/>
    </xf>
    <xf numFmtId="200" fontId="11" fillId="0" borderId="1" xfId="28" applyNumberFormat="1" applyFont="1" applyBorder="1" applyAlignment="1">
      <alignment horizontal="right" vertical="center" wrapText="1"/>
    </xf>
    <xf numFmtId="4" fontId="34" fillId="0" borderId="3" xfId="39" applyNumberFormat="1" applyFont="1" applyFill="1" applyBorder="1" applyAlignment="1">
      <alignment horizontal="center" vertical="center" wrapText="1"/>
    </xf>
    <xf numFmtId="0" fontId="3" fillId="0" borderId="0" xfId="28" applyAlignment="1">
      <alignment horizontal="center" vertical="center" wrapText="1"/>
    </xf>
    <xf numFmtId="0" fontId="36" fillId="0" borderId="0" xfId="28" applyFont="1" applyAlignment="1">
      <alignment vertical="center" wrapText="1"/>
    </xf>
    <xf numFmtId="0" fontId="36" fillId="0" borderId="0" xfId="28" applyFont="1" applyAlignment="1">
      <alignment horizontal="center" vertical="center" wrapText="1"/>
    </xf>
    <xf numFmtId="0" fontId="3" fillId="0" borderId="0" xfId="28" applyAlignment="1">
      <alignment horizontal="right" vertical="center" wrapText="1"/>
    </xf>
    <xf numFmtId="201" fontId="34" fillId="0" borderId="0" xfId="28" applyNumberFormat="1" applyFont="1" applyAlignment="1">
      <alignment horizontal="right" vertical="center" wrapText="1"/>
    </xf>
    <xf numFmtId="0" fontId="32" fillId="0" borderId="0" xfId="28" applyFont="1" applyAlignment="1">
      <alignment vertical="center" wrapText="1"/>
    </xf>
    <xf numFmtId="0" fontId="34" fillId="0" borderId="5" xfId="28" applyFont="1" applyBorder="1" applyAlignment="1">
      <alignment vertical="center" wrapText="1"/>
    </xf>
    <xf numFmtId="0" fontId="32" fillId="0" borderId="0" xfId="28" applyFont="1" applyAlignment="1">
      <alignment horizontal="left" vertical="center" wrapText="1"/>
    </xf>
    <xf numFmtId="0" fontId="34" fillId="0" borderId="0" xfId="28" applyFont="1" applyAlignment="1">
      <alignment vertical="center" wrapText="1"/>
    </xf>
    <xf numFmtId="201" fontId="32" fillId="0" borderId="0" xfId="28" applyNumberFormat="1" applyFont="1" applyAlignment="1">
      <alignment vertical="center" wrapText="1"/>
    </xf>
    <xf numFmtId="10" fontId="34" fillId="0" borderId="5" xfId="42" applyNumberFormat="1" applyFont="1" applyBorder="1" applyAlignment="1">
      <alignment vertical="center" wrapText="1"/>
    </xf>
    <xf numFmtId="0" fontId="3" fillId="0" borderId="0" xfId="28" applyAlignment="1">
      <alignment horizontal="left" vertical="center" wrapText="1"/>
    </xf>
    <xf numFmtId="10" fontId="3" fillId="0" borderId="0" xfId="28" applyNumberFormat="1" applyAlignment="1">
      <alignment horizontal="center" vertical="center" wrapText="1"/>
    </xf>
    <xf numFmtId="190" fontId="3" fillId="0" borderId="0" xfId="28" applyNumberFormat="1" applyAlignment="1">
      <alignment horizontal="center" vertical="center" wrapText="1"/>
    </xf>
    <xf numFmtId="200" fontId="38" fillId="0" borderId="3" xfId="28" applyNumberFormat="1" applyFont="1" applyBorder="1" applyAlignment="1">
      <alignment horizontal="right" vertical="center" wrapText="1"/>
    </xf>
    <xf numFmtId="10" fontId="32" fillId="0" borderId="0" xfId="28" applyNumberFormat="1" applyFont="1"/>
    <xf numFmtId="2" fontId="39" fillId="0" borderId="0" xfId="28" applyNumberFormat="1" applyFont="1"/>
    <xf numFmtId="0" fontId="32" fillId="0" borderId="0" xfId="42" applyNumberFormat="1" applyFont="1"/>
    <xf numFmtId="0" fontId="32" fillId="0" borderId="0" xfId="43" applyNumberFormat="1" applyFont="1"/>
    <xf numFmtId="0" fontId="32" fillId="0" borderId="0" xfId="28" applyFont="1" applyAlignment="1">
      <alignment horizontal="center" vertical="center"/>
    </xf>
    <xf numFmtId="0" fontId="3" fillId="0" borderId="22" xfId="44" applyBorder="1" applyAlignment="1">
      <alignment vertical="center"/>
    </xf>
    <xf numFmtId="0" fontId="3" fillId="0" borderId="8" xfId="44" applyBorder="1" applyAlignment="1">
      <alignment vertical="center"/>
    </xf>
    <xf numFmtId="0" fontId="3" fillId="0" borderId="0" xfId="44" applyAlignment="1">
      <alignment horizontal="center" vertical="center"/>
    </xf>
    <xf numFmtId="0" fontId="3" fillId="0" borderId="0" xfId="44" applyAlignment="1">
      <alignment vertical="center"/>
    </xf>
    <xf numFmtId="0" fontId="6" fillId="0" borderId="0" xfId="44" applyFont="1" applyAlignment="1">
      <alignment vertical="center"/>
    </xf>
    <xf numFmtId="0" fontId="37" fillId="0" borderId="1" xfId="28" applyFont="1" applyBorder="1" applyAlignment="1">
      <alignment horizontal="center" vertical="center"/>
    </xf>
    <xf numFmtId="0" fontId="7" fillId="0" borderId="24" xfId="28" applyFont="1" applyBorder="1" applyAlignment="1">
      <alignment horizontal="center" vertical="center"/>
    </xf>
    <xf numFmtId="0" fontId="7" fillId="0" borderId="0" xfId="28" applyFont="1" applyAlignment="1">
      <alignment horizontal="center" vertical="center"/>
    </xf>
    <xf numFmtId="175" fontId="6" fillId="3" borderId="14" xfId="44" applyNumberFormat="1" applyFont="1" applyFill="1" applyBorder="1" applyAlignment="1">
      <alignment horizontal="center" vertical="center"/>
    </xf>
    <xf numFmtId="0" fontId="6" fillId="3" borderId="14" xfId="44" applyFont="1" applyFill="1" applyBorder="1" applyAlignment="1">
      <alignment horizontal="center" vertical="center"/>
    </xf>
    <xf numFmtId="0" fontId="6" fillId="0" borderId="57" xfId="44" applyFont="1" applyBorder="1" applyAlignment="1">
      <alignment horizontal="center" vertical="center"/>
    </xf>
    <xf numFmtId="0" fontId="6" fillId="2" borderId="4" xfId="44" applyFont="1" applyFill="1" applyBorder="1" applyAlignment="1">
      <alignment horizontal="left" vertical="center"/>
    </xf>
    <xf numFmtId="0" fontId="3" fillId="2" borderId="22" xfId="44" applyFill="1" applyBorder="1" applyAlignment="1">
      <alignment horizontal="left" vertical="center"/>
    </xf>
    <xf numFmtId="0" fontId="3" fillId="2" borderId="22" xfId="44" applyFill="1" applyBorder="1" applyAlignment="1">
      <alignment horizontal="center" vertical="center"/>
    </xf>
    <xf numFmtId="4" fontId="3" fillId="2" borderId="22" xfId="44" applyNumberFormat="1" applyFill="1" applyBorder="1" applyAlignment="1">
      <alignment horizontal="right" vertical="center"/>
    </xf>
    <xf numFmtId="4" fontId="3" fillId="2" borderId="58" xfId="44" applyNumberFormat="1" applyFill="1" applyBorder="1" applyAlignment="1">
      <alignment horizontal="right" vertical="center"/>
    </xf>
    <xf numFmtId="0" fontId="6" fillId="0" borderId="55" xfId="44" applyFont="1" applyBorder="1" applyAlignment="1">
      <alignment horizontal="center" vertical="center"/>
    </xf>
    <xf numFmtId="0" fontId="0" fillId="0" borderId="32" xfId="28" applyFont="1" applyBorder="1" applyAlignment="1">
      <alignment horizontal="center" vertical="center"/>
    </xf>
    <xf numFmtId="174" fontId="3" fillId="0" borderId="33" xfId="28" applyNumberFormat="1" applyBorder="1" applyAlignment="1">
      <alignment horizontal="center" vertical="center"/>
    </xf>
    <xf numFmtId="4" fontId="3" fillId="11" borderId="33" xfId="28" applyNumberFormat="1" applyFill="1" applyBorder="1" applyAlignment="1">
      <alignment horizontal="center" vertical="center"/>
    </xf>
    <xf numFmtId="4" fontId="3" fillId="15" borderId="33" xfId="28" applyNumberFormat="1" applyFill="1" applyBorder="1" applyAlignment="1">
      <alignment horizontal="center" vertical="center"/>
    </xf>
    <xf numFmtId="4" fontId="3" fillId="0" borderId="32" xfId="28" applyNumberFormat="1" applyBorder="1" applyAlignment="1">
      <alignment horizontal="center" vertical="center"/>
    </xf>
    <xf numFmtId="165" fontId="3" fillId="0" borderId="65" xfId="28" applyNumberFormat="1" applyBorder="1" applyAlignment="1">
      <alignment horizontal="right" vertical="center"/>
    </xf>
    <xf numFmtId="0" fontId="41" fillId="0" borderId="0" xfId="28" applyFont="1" applyAlignment="1">
      <alignment horizontal="center" vertical="center"/>
    </xf>
    <xf numFmtId="0" fontId="6" fillId="0" borderId="66" xfId="28" applyFont="1" applyBorder="1" applyAlignment="1">
      <alignment horizontal="center" vertical="center"/>
    </xf>
    <xf numFmtId="0" fontId="6" fillId="2" borderId="33" xfId="28" applyFont="1" applyFill="1" applyBorder="1" applyAlignment="1">
      <alignment horizontal="left" vertical="center"/>
    </xf>
    <xf numFmtId="0" fontId="3" fillId="2" borderId="67" xfId="28" applyFill="1" applyBorder="1" applyAlignment="1">
      <alignment horizontal="left" vertical="center"/>
    </xf>
    <xf numFmtId="0" fontId="3" fillId="2" borderId="67" xfId="28" applyFill="1" applyBorder="1" applyAlignment="1">
      <alignment horizontal="center" vertical="center"/>
    </xf>
    <xf numFmtId="4" fontId="3" fillId="2" borderId="67" xfId="28" applyNumberFormat="1" applyFill="1" applyBorder="1" applyAlignment="1">
      <alignment horizontal="right" vertical="center"/>
    </xf>
    <xf numFmtId="164" fontId="3" fillId="2" borderId="67" xfId="28" applyNumberFormat="1" applyFill="1" applyBorder="1" applyAlignment="1">
      <alignment horizontal="right" vertical="center"/>
    </xf>
    <xf numFmtId="196" fontId="3" fillId="2" borderId="68" xfId="28" applyNumberFormat="1" applyFill="1" applyBorder="1" applyAlignment="1">
      <alignment horizontal="right" vertical="center"/>
    </xf>
    <xf numFmtId="175" fontId="3" fillId="0" borderId="69" xfId="28" applyNumberFormat="1" applyBorder="1" applyAlignment="1">
      <alignment horizontal="center" vertical="center"/>
    </xf>
    <xf numFmtId="2" fontId="3" fillId="0" borderId="71" xfId="28" applyNumberFormat="1" applyBorder="1" applyAlignment="1">
      <alignment horizontal="center" vertical="center"/>
    </xf>
    <xf numFmtId="0" fontId="6" fillId="0" borderId="33" xfId="28" applyFont="1" applyBorder="1" applyAlignment="1">
      <alignment horizontal="left" vertical="center"/>
    </xf>
    <xf numFmtId="0" fontId="3" fillId="0" borderId="32" xfId="28" applyBorder="1" applyAlignment="1">
      <alignment horizontal="center" vertical="center"/>
    </xf>
    <xf numFmtId="0" fontId="3" fillId="0" borderId="70" xfId="28" applyBorder="1" applyAlignment="1">
      <alignment horizontal="center" vertical="center"/>
    </xf>
    <xf numFmtId="4" fontId="3" fillId="0" borderId="33" xfId="28" applyNumberFormat="1" applyBorder="1" applyAlignment="1">
      <alignment horizontal="center" vertical="center"/>
    </xf>
    <xf numFmtId="164" fontId="3" fillId="0" borderId="32" xfId="28" applyNumberFormat="1" applyBorder="1" applyAlignment="1">
      <alignment horizontal="center" vertical="center"/>
    </xf>
    <xf numFmtId="196" fontId="3" fillId="0" borderId="65" xfId="28" applyNumberFormat="1" applyBorder="1" applyAlignment="1">
      <alignment horizontal="right" vertical="center"/>
    </xf>
    <xf numFmtId="175" fontId="3" fillId="16" borderId="36" xfId="44" applyNumberFormat="1" applyFill="1" applyBorder="1" applyAlignment="1">
      <alignment horizontal="center" vertical="center"/>
    </xf>
    <xf numFmtId="0" fontId="6" fillId="16" borderId="2" xfId="44" applyFont="1" applyFill="1" applyBorder="1" applyAlignment="1">
      <alignment horizontal="right" vertical="center"/>
    </xf>
    <xf numFmtId="175" fontId="3" fillId="16" borderId="5" xfId="44" applyNumberFormat="1" applyFill="1" applyBorder="1" applyAlignment="1">
      <alignment horizontal="left" vertical="center"/>
    </xf>
    <xf numFmtId="0" fontId="3" fillId="16" borderId="5" xfId="44" applyFill="1" applyBorder="1" applyAlignment="1">
      <alignment horizontal="left" vertical="center"/>
    </xf>
    <xf numFmtId="175" fontId="3" fillId="16" borderId="5" xfId="44" applyNumberFormat="1" applyFill="1" applyBorder="1" applyAlignment="1">
      <alignment vertical="center"/>
    </xf>
    <xf numFmtId="4" fontId="3" fillId="16" borderId="5" xfId="44" applyNumberFormat="1" applyFill="1" applyBorder="1" applyAlignment="1">
      <alignment horizontal="right" vertical="center"/>
    </xf>
    <xf numFmtId="164" fontId="6" fillId="16" borderId="3" xfId="44" applyNumberFormat="1" applyFont="1" applyFill="1" applyBorder="1" applyAlignment="1">
      <alignment horizontal="right" vertical="center"/>
    </xf>
    <xf numFmtId="165" fontId="6" fillId="16" borderId="56" xfId="44" applyNumberFormat="1" applyFont="1" applyFill="1" applyBorder="1" applyAlignment="1">
      <alignment horizontal="right" vertical="center"/>
    </xf>
    <xf numFmtId="0" fontId="6" fillId="0" borderId="2" xfId="44" applyFont="1" applyBorder="1" applyAlignment="1">
      <alignment horizontal="left" vertical="center"/>
    </xf>
    <xf numFmtId="0" fontId="3" fillId="0" borderId="5" xfId="44" applyBorder="1" applyAlignment="1">
      <alignment horizontal="left" vertical="center"/>
    </xf>
    <xf numFmtId="0" fontId="3" fillId="0" borderId="5" xfId="44" applyBorder="1" applyAlignment="1">
      <alignment horizontal="center" vertical="center"/>
    </xf>
    <xf numFmtId="4" fontId="3" fillId="0" borderId="5" xfId="44" applyNumberFormat="1" applyBorder="1" applyAlignment="1">
      <alignment horizontal="right" vertical="center"/>
    </xf>
    <xf numFmtId="164" fontId="3" fillId="0" borderId="5" xfId="44" applyNumberFormat="1" applyBorder="1" applyAlignment="1">
      <alignment horizontal="right" vertical="center"/>
    </xf>
    <xf numFmtId="4" fontId="3" fillId="0" borderId="64" xfId="44" applyNumberFormat="1" applyBorder="1" applyAlignment="1">
      <alignment horizontal="right" vertical="center"/>
    </xf>
    <xf numFmtId="175" fontId="3" fillId="0" borderId="55" xfId="44" applyNumberFormat="1" applyBorder="1" applyAlignment="1">
      <alignment horizontal="center" vertical="center"/>
    </xf>
    <xf numFmtId="0" fontId="3" fillId="0" borderId="1" xfId="44" applyBorder="1" applyAlignment="1">
      <alignment horizontal="center" vertical="center"/>
    </xf>
    <xf numFmtId="0" fontId="3" fillId="11" borderId="1" xfId="44" applyFill="1" applyBorder="1" applyAlignment="1">
      <alignment horizontal="center" vertical="center" wrapText="1"/>
    </xf>
    <xf numFmtId="204" fontId="3" fillId="0" borderId="1" xfId="45" applyNumberFormat="1" applyFont="1" applyFill="1" applyBorder="1" applyAlignment="1">
      <alignment horizontal="center" vertical="center"/>
    </xf>
    <xf numFmtId="4" fontId="3" fillId="11" borderId="2" xfId="45" applyNumberFormat="1" applyFont="1" applyFill="1" applyBorder="1" applyAlignment="1">
      <alignment horizontal="center" vertical="center"/>
    </xf>
    <xf numFmtId="165" fontId="3" fillId="0" borderId="56" xfId="44" applyNumberFormat="1" applyBorder="1" applyAlignment="1">
      <alignment horizontal="right" vertical="center"/>
    </xf>
    <xf numFmtId="196" fontId="3" fillId="0" borderId="64" xfId="44" applyNumberFormat="1" applyBorder="1" applyAlignment="1">
      <alignment horizontal="right" vertical="center"/>
    </xf>
    <xf numFmtId="0" fontId="3" fillId="15" borderId="52" xfId="28" applyFill="1" applyBorder="1" applyAlignment="1">
      <alignment horizontal="center" vertical="center" wrapText="1"/>
    </xf>
    <xf numFmtId="0" fontId="3" fillId="14" borderId="0" xfId="28" applyFill="1" applyAlignment="1">
      <alignment horizontal="center" vertical="center" wrapText="1"/>
    </xf>
    <xf numFmtId="186" fontId="30" fillId="0" borderId="0" xfId="29" applyFont="1"/>
    <xf numFmtId="0" fontId="30" fillId="0" borderId="0" xfId="28" applyFont="1"/>
    <xf numFmtId="175" fontId="3" fillId="16" borderId="39" xfId="44" applyNumberFormat="1" applyFill="1" applyBorder="1" applyAlignment="1">
      <alignment horizontal="center" vertical="center"/>
    </xf>
    <xf numFmtId="0" fontId="6" fillId="16" borderId="72" xfId="44" applyFont="1" applyFill="1" applyBorder="1" applyAlignment="1">
      <alignment horizontal="right" vertical="center"/>
    </xf>
    <xf numFmtId="175" fontId="3" fillId="16" borderId="40" xfId="44" applyNumberFormat="1" applyFill="1" applyBorder="1" applyAlignment="1">
      <alignment horizontal="left" vertical="center"/>
    </xf>
    <xf numFmtId="0" fontId="3" fillId="16" borderId="40" xfId="44" applyFill="1" applyBorder="1" applyAlignment="1">
      <alignment horizontal="left" vertical="center"/>
    </xf>
    <xf numFmtId="175" fontId="3" fillId="16" borderId="40" xfId="44" applyNumberFormat="1" applyFill="1" applyBorder="1" applyAlignment="1">
      <alignment vertical="center"/>
    </xf>
    <xf numFmtId="4" fontId="3" fillId="16" borderId="40" xfId="44" applyNumberFormat="1" applyFill="1" applyBorder="1" applyAlignment="1">
      <alignment horizontal="right" vertical="center"/>
    </xf>
    <xf numFmtId="165" fontId="6" fillId="16" borderId="46" xfId="44" applyNumberFormat="1" applyFont="1" applyFill="1" applyBorder="1" applyAlignment="1">
      <alignment horizontal="right" vertical="center"/>
    </xf>
    <xf numFmtId="175" fontId="3" fillId="0" borderId="0" xfId="44" applyNumberFormat="1" applyBorder="1" applyAlignment="1">
      <alignment horizontal="center" vertical="center"/>
    </xf>
    <xf numFmtId="0" fontId="6" fillId="0" borderId="0" xfId="44" applyFont="1" applyBorder="1" applyAlignment="1">
      <alignment horizontal="right" vertical="center"/>
    </xf>
    <xf numFmtId="175" fontId="6" fillId="0" borderId="0" xfId="44" applyNumberFormat="1" applyFont="1" applyBorder="1" applyAlignment="1">
      <alignment horizontal="center" vertical="center"/>
    </xf>
    <xf numFmtId="175" fontId="3" fillId="0" borderId="0" xfId="44" applyNumberFormat="1" applyBorder="1" applyAlignment="1">
      <alignment vertical="center"/>
    </xf>
    <xf numFmtId="4" fontId="3" fillId="0" borderId="0" xfId="44" applyNumberFormat="1" applyBorder="1" applyAlignment="1">
      <alignment vertical="center"/>
    </xf>
    <xf numFmtId="196" fontId="3" fillId="0" borderId="0" xfId="44" applyNumberFormat="1" applyBorder="1" applyAlignment="1">
      <alignment vertical="center"/>
    </xf>
    <xf numFmtId="0" fontId="6" fillId="0" borderId="5" xfId="44" applyFont="1" applyBorder="1" applyAlignment="1">
      <alignment horizontal="center" vertical="center"/>
    </xf>
    <xf numFmtId="0" fontId="6" fillId="0" borderId="3" xfId="44" applyFont="1" applyBorder="1" applyAlignment="1">
      <alignment horizontal="center" vertical="center"/>
    </xf>
    <xf numFmtId="165" fontId="6" fillId="0" borderId="1" xfId="45" applyNumberFormat="1" applyFont="1" applyFill="1" applyBorder="1" applyAlignment="1">
      <alignment vertical="center"/>
    </xf>
    <xf numFmtId="205" fontId="32" fillId="0" borderId="0" xfId="38" applyNumberFormat="1" applyFont="1"/>
    <xf numFmtId="4" fontId="6" fillId="0" borderId="5" xfId="44" applyNumberFormat="1" applyFont="1" applyBorder="1" applyAlignment="1">
      <alignment horizontal="center" vertical="center"/>
    </xf>
    <xf numFmtId="10" fontId="6" fillId="0" borderId="1" xfId="46" applyNumberFormat="1" applyFont="1" applyFill="1" applyBorder="1" applyAlignment="1">
      <alignment vertical="center"/>
    </xf>
    <xf numFmtId="0" fontId="3" fillId="0" borderId="0" xfId="44" applyBorder="1" applyAlignment="1">
      <alignment vertical="center"/>
    </xf>
    <xf numFmtId="165" fontId="15" fillId="16" borderId="1" xfId="44" applyNumberFormat="1" applyFont="1" applyFill="1" applyBorder="1" applyAlignment="1">
      <alignment vertical="center"/>
    </xf>
    <xf numFmtId="206" fontId="32" fillId="0" borderId="0" xfId="29" applyNumberFormat="1" applyFont="1"/>
    <xf numFmtId="0" fontId="9" fillId="0" borderId="0" xfId="28" applyFont="1"/>
    <xf numFmtId="10" fontId="30" fillId="0" borderId="0" xfId="21" applyNumberFormat="1" applyFont="1"/>
    <xf numFmtId="0" fontId="32" fillId="0" borderId="0" xfId="47" applyNumberFormat="1" applyFont="1"/>
    <xf numFmtId="0" fontId="9" fillId="0" borderId="1" xfId="4" applyNumberFormat="1" applyFont="1" applyFill="1" applyBorder="1" applyAlignment="1" applyProtection="1">
      <alignment horizontal="center" vertical="center" wrapText="1"/>
    </xf>
    <xf numFmtId="0" fontId="30" fillId="0" borderId="0" xfId="17" applyFont="1" applyAlignment="1">
      <alignment vertical="center" wrapText="1"/>
    </xf>
    <xf numFmtId="1" fontId="3" fillId="6" borderId="1" xfId="33" applyNumberFormat="1" applyFill="1" applyBorder="1" applyAlignment="1">
      <alignment horizontal="center" vertical="center"/>
    </xf>
    <xf numFmtId="2" fontId="3" fillId="6" borderId="1" xfId="21" applyNumberFormat="1" applyFont="1" applyFill="1" applyBorder="1" applyAlignment="1">
      <alignment horizontal="center" vertical="center"/>
    </xf>
    <xf numFmtId="10" fontId="30" fillId="0" borderId="0" xfId="7" applyNumberFormat="1" applyFont="1"/>
    <xf numFmtId="0" fontId="10" fillId="0" borderId="1" xfId="28" applyFont="1" applyBorder="1" applyAlignment="1">
      <alignment horizontal="center" vertical="center" wrapText="1"/>
    </xf>
    <xf numFmtId="200" fontId="36" fillId="0" borderId="1" xfId="28" applyNumberFormat="1" applyFont="1" applyBorder="1" applyAlignment="1">
      <alignment horizontal="center" vertical="center" wrapText="1"/>
    </xf>
    <xf numFmtId="199" fontId="36" fillId="0" borderId="1" xfId="28" applyNumberFormat="1" applyFont="1" applyBorder="1" applyAlignment="1">
      <alignment horizontal="center" vertical="center" wrapText="1"/>
    </xf>
    <xf numFmtId="175" fontId="36" fillId="0" borderId="1" xfId="28" applyNumberFormat="1" applyFont="1" applyBorder="1" applyAlignment="1">
      <alignment horizontal="center" vertical="center" wrapText="1"/>
    </xf>
    <xf numFmtId="0" fontId="32" fillId="0" borderId="1" xfId="28" applyFont="1" applyBorder="1" applyAlignment="1">
      <alignment horizontal="center" vertical="center"/>
    </xf>
    <xf numFmtId="0" fontId="0" fillId="0" borderId="32" xfId="28" applyFont="1" applyBorder="1" applyAlignment="1">
      <alignment horizontal="center" vertical="center" wrapText="1"/>
    </xf>
    <xf numFmtId="44" fontId="0" fillId="0" borderId="32" xfId="1" applyFont="1" applyBorder="1" applyAlignment="1">
      <alignment horizontal="center" vertical="center"/>
    </xf>
    <xf numFmtId="44" fontId="3" fillId="0" borderId="32" xfId="1" applyFont="1" applyBorder="1" applyAlignment="1">
      <alignment horizontal="center" vertical="center"/>
    </xf>
    <xf numFmtId="0" fontId="6" fillId="3" borderId="18" xfId="44" applyFont="1" applyFill="1" applyBorder="1" applyAlignment="1">
      <alignment horizontal="center" vertical="center" wrapText="1"/>
    </xf>
    <xf numFmtId="0" fontId="40" fillId="3" borderId="73" xfId="44" applyFont="1" applyFill="1" applyBorder="1" applyAlignment="1">
      <alignment vertical="center" wrapText="1"/>
    </xf>
    <xf numFmtId="188" fontId="5" fillId="0" borderId="3" xfId="7" applyNumberFormat="1" applyFont="1" applyBorder="1" applyAlignment="1">
      <alignment horizontal="center" vertical="center"/>
    </xf>
    <xf numFmtId="0" fontId="0" fillId="0" borderId="1" xfId="0" applyBorder="1"/>
    <xf numFmtId="0" fontId="0" fillId="0" borderId="1" xfId="0" applyBorder="1" applyAlignment="1">
      <alignment wrapText="1"/>
    </xf>
    <xf numFmtId="44" fontId="0" fillId="0" borderId="1" xfId="1" applyFont="1" applyBorder="1"/>
    <xf numFmtId="0" fontId="0" fillId="0" borderId="12" xfId="0" applyBorder="1"/>
    <xf numFmtId="0" fontId="0" fillId="0" borderId="55" xfId="0" applyBorder="1"/>
    <xf numFmtId="0" fontId="5" fillId="0" borderId="0" xfId="13" applyFont="1" applyAlignment="1">
      <alignment horizontal="left" vertical="center"/>
    </xf>
    <xf numFmtId="9" fontId="5" fillId="0" borderId="1" xfId="7" applyFont="1" applyBorder="1" applyAlignment="1">
      <alignment vertical="center"/>
    </xf>
    <xf numFmtId="188" fontId="5" fillId="0" borderId="0" xfId="13" applyNumberFormat="1" applyFont="1" applyAlignment="1">
      <alignment vertical="center"/>
    </xf>
    <xf numFmtId="0" fontId="5" fillId="0" borderId="0" xfId="13" applyFont="1" applyAlignment="1">
      <alignment vertical="center"/>
    </xf>
    <xf numFmtId="188" fontId="5" fillId="0" borderId="1" xfId="13" applyNumberFormat="1" applyFont="1" applyBorder="1" applyAlignment="1">
      <alignment vertical="center"/>
    </xf>
    <xf numFmtId="10" fontId="5" fillId="0" borderId="3" xfId="5" applyNumberFormat="1" applyFont="1" applyFill="1" applyBorder="1" applyAlignment="1" applyProtection="1">
      <alignment horizontal="center" vertical="center"/>
    </xf>
    <xf numFmtId="10" fontId="5" fillId="0" borderId="3" xfId="30" applyNumberFormat="1" applyFont="1" applyFill="1" applyBorder="1" applyAlignment="1" applyProtection="1">
      <alignment horizontal="center" vertical="center"/>
    </xf>
    <xf numFmtId="0" fontId="3" fillId="11" borderId="1" xfId="7" applyNumberFormat="1" applyFont="1" applyFill="1" applyBorder="1" applyAlignment="1">
      <alignment horizontal="center" vertical="center"/>
    </xf>
    <xf numFmtId="4" fontId="21" fillId="0" borderId="1" xfId="13" applyNumberFormat="1" applyFont="1" applyBorder="1" applyAlignment="1">
      <alignment horizontal="center" vertical="center" wrapText="1"/>
    </xf>
    <xf numFmtId="0" fontId="0" fillId="0" borderId="1" xfId="0" applyBorder="1" applyAlignment="1">
      <alignment horizontal="center" vertical="center" wrapText="1"/>
    </xf>
    <xf numFmtId="0" fontId="72" fillId="0" borderId="85" xfId="2" applyFont="1" applyBorder="1" applyAlignment="1">
      <alignment horizontal="left"/>
    </xf>
    <xf numFmtId="0" fontId="72" fillId="0" borderId="85" xfId="2" applyFont="1" applyBorder="1" applyAlignment="1">
      <alignment horizontal="center"/>
    </xf>
    <xf numFmtId="167" fontId="73" fillId="0" borderId="85" xfId="6" applyNumberFormat="1" applyFont="1" applyFill="1" applyBorder="1" applyAlignment="1">
      <alignment horizontal="left"/>
    </xf>
    <xf numFmtId="0" fontId="73" fillId="0" borderId="85" xfId="2" applyFont="1" applyBorder="1" applyAlignment="1">
      <alignment horizontal="left"/>
    </xf>
    <xf numFmtId="167" fontId="72" fillId="0" borderId="85" xfId="6" applyNumberFormat="1" applyFont="1" applyFill="1" applyBorder="1" applyAlignment="1">
      <alignment horizontal="left"/>
    </xf>
    <xf numFmtId="0" fontId="72" fillId="2" borderId="85" xfId="0" applyFont="1" applyFill="1" applyBorder="1" applyAlignment="1">
      <alignment horizontal="left" vertical="center"/>
    </xf>
    <xf numFmtId="0" fontId="72" fillId="2" borderId="85" xfId="0" applyFont="1" applyFill="1" applyBorder="1" applyAlignment="1">
      <alignment horizontal="center" vertical="center"/>
    </xf>
    <xf numFmtId="168" fontId="72" fillId="2" borderId="85" xfId="1" applyNumberFormat="1" applyFont="1" applyFill="1" applyBorder="1" applyAlignment="1">
      <alignment horizontal="right" vertical="center"/>
    </xf>
    <xf numFmtId="0" fontId="0" fillId="4" borderId="0" xfId="0" applyFill="1"/>
    <xf numFmtId="44" fontId="0" fillId="0" borderId="1" xfId="1" applyFont="1" applyBorder="1" applyAlignment="1">
      <alignment horizontal="center" vertical="center"/>
    </xf>
    <xf numFmtId="4" fontId="36" fillId="0" borderId="86" xfId="28" applyNumberFormat="1" applyFont="1" applyBorder="1" applyAlignment="1">
      <alignment horizontal="center" vertical="center" wrapText="1"/>
    </xf>
    <xf numFmtId="4" fontId="34" fillId="0" borderId="86" xfId="39" applyNumberFormat="1" applyFont="1" applyFill="1" applyBorder="1" applyAlignment="1">
      <alignment horizontal="center" vertical="center" wrapText="1"/>
    </xf>
    <xf numFmtId="224" fontId="0" fillId="0" borderId="0" xfId="7" applyNumberFormat="1" applyFont="1"/>
    <xf numFmtId="44" fontId="3" fillId="0" borderId="0" xfId="1" applyFont="1" applyAlignment="1">
      <alignment vertical="center"/>
    </xf>
    <xf numFmtId="181" fontId="3" fillId="0" borderId="0" xfId="24" applyNumberFormat="1"/>
    <xf numFmtId="199" fontId="36" fillId="0" borderId="1" xfId="28" applyNumberFormat="1" applyFont="1" applyBorder="1" applyAlignment="1">
      <alignment vertical="center" wrapText="1"/>
    </xf>
    <xf numFmtId="0" fontId="10" fillId="0" borderId="1" xfId="28" applyFont="1" applyBorder="1" applyAlignment="1">
      <alignment horizontal="center" vertical="center"/>
    </xf>
    <xf numFmtId="202" fontId="11" fillId="0" borderId="32" xfId="28" applyNumberFormat="1" applyFont="1" applyBorder="1" applyAlignment="1">
      <alignment vertical="center"/>
    </xf>
    <xf numFmtId="2" fontId="3" fillId="11" borderId="1" xfId="7" applyNumberFormat="1" applyFont="1" applyFill="1" applyBorder="1" applyAlignment="1">
      <alignment horizontal="center" vertical="center"/>
    </xf>
    <xf numFmtId="196" fontId="9" fillId="0" borderId="1" xfId="4" applyNumberFormat="1" applyFont="1" applyFill="1" applyBorder="1" applyAlignment="1" applyProtection="1">
      <alignment horizontal="right" vertical="center" wrapText="1"/>
    </xf>
    <xf numFmtId="0" fontId="75" fillId="0" borderId="0" xfId="320" applyFont="1" applyAlignment="1">
      <alignment horizontal="left" vertical="top"/>
    </xf>
    <xf numFmtId="0" fontId="76" fillId="0" borderId="0" xfId="2" applyFont="1" applyAlignment="1">
      <alignment vertical="center"/>
    </xf>
    <xf numFmtId="0" fontId="70" fillId="0" borderId="0" xfId="2" applyFont="1" applyAlignment="1">
      <alignment vertical="center"/>
    </xf>
    <xf numFmtId="0" fontId="70" fillId="0" borderId="0" xfId="2" applyFont="1" applyAlignment="1">
      <alignment vertical="center" wrapText="1"/>
    </xf>
    <xf numFmtId="15" fontId="70" fillId="0" borderId="0" xfId="2" applyNumberFormat="1" applyFont="1" applyAlignment="1">
      <alignment vertical="center"/>
    </xf>
    <xf numFmtId="0" fontId="77" fillId="0" borderId="32" xfId="320" applyFont="1" applyBorder="1" applyAlignment="1">
      <alignment horizontal="left" wrapText="1"/>
    </xf>
    <xf numFmtId="2" fontId="77" fillId="0" borderId="32" xfId="320" applyNumberFormat="1" applyFont="1" applyBorder="1" applyAlignment="1">
      <alignment horizontal="center" vertical="center" shrinkToFit="1"/>
    </xf>
    <xf numFmtId="10" fontId="81" fillId="3" borderId="88" xfId="283" applyNumberFormat="1" applyFont="1" applyFill="1" applyBorder="1" applyAlignment="1">
      <alignment horizontal="center" vertical="center"/>
    </xf>
    <xf numFmtId="0" fontId="13" fillId="0" borderId="90" xfId="2" applyFont="1" applyBorder="1" applyAlignment="1">
      <alignment horizontal="justify" vertical="center" wrapText="1"/>
    </xf>
    <xf numFmtId="187" fontId="7" fillId="0" borderId="91" xfId="5" applyNumberFormat="1" applyFont="1" applyFill="1" applyBorder="1" applyAlignment="1">
      <alignment horizontal="center" vertical="center"/>
    </xf>
    <xf numFmtId="165" fontId="11" fillId="0" borderId="86" xfId="4" applyNumberFormat="1" applyFont="1" applyFill="1" applyBorder="1" applyAlignment="1" applyProtection="1">
      <alignment horizontal="right" vertical="center" wrapText="1"/>
    </xf>
    <xf numFmtId="165" fontId="11" fillId="0" borderId="88" xfId="4" applyNumberFormat="1" applyFont="1" applyFill="1" applyBorder="1" applyAlignment="1" applyProtection="1">
      <alignment horizontal="right" vertical="center" wrapText="1"/>
    </xf>
    <xf numFmtId="0" fontId="72" fillId="2" borderId="85" xfId="0" applyFont="1" applyFill="1" applyBorder="1"/>
    <xf numFmtId="0" fontId="71" fillId="3" borderId="93" xfId="0" applyFont="1" applyFill="1" applyBorder="1" applyAlignment="1">
      <alignment horizontal="center" vertical="center" wrapText="1"/>
    </xf>
    <xf numFmtId="166" fontId="71" fillId="3" borderId="93" xfId="0" applyNumberFormat="1" applyFont="1" applyFill="1" applyBorder="1" applyAlignment="1">
      <alignment horizontal="center" vertical="center" wrapText="1"/>
    </xf>
    <xf numFmtId="167" fontId="71" fillId="3" borderId="93" xfId="1" applyNumberFormat="1" applyFont="1" applyFill="1" applyBorder="1" applyAlignment="1">
      <alignment horizontal="center" vertical="center" wrapText="1"/>
    </xf>
    <xf numFmtId="165" fontId="71" fillId="3" borderId="94" xfId="0" applyNumberFormat="1" applyFont="1" applyFill="1" applyBorder="1" applyAlignment="1">
      <alignment horizontal="center" vertical="center" wrapText="1"/>
    </xf>
    <xf numFmtId="0" fontId="72" fillId="0" borderId="95" xfId="2" applyFont="1" applyBorder="1" applyAlignment="1">
      <alignment horizontal="left"/>
    </xf>
    <xf numFmtId="0" fontId="72" fillId="0" borderId="95" xfId="2" applyFont="1" applyBorder="1" applyAlignment="1">
      <alignment horizontal="center"/>
    </xf>
    <xf numFmtId="167" fontId="73" fillId="0" borderId="95" xfId="6" applyNumberFormat="1" applyFont="1" applyFill="1" applyBorder="1" applyAlignment="1">
      <alignment horizontal="left"/>
    </xf>
    <xf numFmtId="0" fontId="73" fillId="0" borderId="95" xfId="2" applyFont="1" applyBorder="1" applyAlignment="1">
      <alignment horizontal="left"/>
    </xf>
    <xf numFmtId="1" fontId="71" fillId="3" borderId="93" xfId="0" applyNumberFormat="1" applyFont="1" applyFill="1" applyBorder="1" applyAlignment="1">
      <alignment horizontal="left" vertical="center"/>
    </xf>
    <xf numFmtId="1" fontId="71" fillId="3" borderId="93" xfId="0" applyNumberFormat="1" applyFont="1" applyFill="1" applyBorder="1" applyAlignment="1">
      <alignment horizontal="center" vertical="center"/>
    </xf>
    <xf numFmtId="0" fontId="71" fillId="3" borderId="93" xfId="0" applyFont="1" applyFill="1" applyBorder="1" applyAlignment="1">
      <alignment horizontal="center" vertical="center"/>
    </xf>
    <xf numFmtId="166" fontId="71" fillId="3" borderId="93" xfId="0" applyNumberFormat="1" applyFont="1" applyFill="1" applyBorder="1" applyAlignment="1">
      <alignment horizontal="center" vertical="center"/>
    </xf>
    <xf numFmtId="0" fontId="72" fillId="2" borderId="95" xfId="0" applyFont="1" applyFill="1" applyBorder="1"/>
    <xf numFmtId="0" fontId="72" fillId="2" borderId="95" xfId="0" applyFont="1" applyFill="1" applyBorder="1" applyAlignment="1">
      <alignment horizontal="left" vertical="center"/>
    </xf>
    <xf numFmtId="0" fontId="72" fillId="2" borderId="95" xfId="0" applyFont="1" applyFill="1" applyBorder="1" applyAlignment="1">
      <alignment horizontal="center" vertical="center"/>
    </xf>
    <xf numFmtId="168" fontId="72" fillId="2" borderId="95" xfId="1" applyNumberFormat="1" applyFont="1" applyFill="1" applyBorder="1" applyAlignment="1">
      <alignment horizontal="right" vertical="center"/>
    </xf>
    <xf numFmtId="0" fontId="76" fillId="0" borderId="88" xfId="2" applyFont="1" applyBorder="1" applyAlignment="1">
      <alignment vertical="center"/>
    </xf>
    <xf numFmtId="0" fontId="76" fillId="0" borderId="88" xfId="13" applyFont="1" applyBorder="1" applyAlignment="1">
      <alignment horizontal="center" vertical="center"/>
    </xf>
    <xf numFmtId="0" fontId="75" fillId="0" borderId="88" xfId="320" applyFont="1" applyBorder="1" applyAlignment="1">
      <alignment vertical="top"/>
    </xf>
    <xf numFmtId="15" fontId="70" fillId="0" borderId="88" xfId="2" applyNumberFormat="1" applyFont="1" applyBorder="1" applyAlignment="1">
      <alignment vertical="center"/>
    </xf>
    <xf numFmtId="0" fontId="79" fillId="39" borderId="89" xfId="320" applyFont="1" applyFill="1" applyBorder="1" applyAlignment="1">
      <alignment horizontal="center" vertical="center" wrapText="1"/>
    </xf>
    <xf numFmtId="0" fontId="79" fillId="39" borderId="89" xfId="320" applyFont="1" applyFill="1" applyBorder="1" applyAlignment="1">
      <alignment horizontal="left" vertical="top" wrapText="1"/>
    </xf>
    <xf numFmtId="0" fontId="79" fillId="39" borderId="89" xfId="320" applyFont="1" applyFill="1" applyBorder="1" applyAlignment="1">
      <alignment horizontal="center" vertical="top" wrapText="1"/>
    </xf>
    <xf numFmtId="0" fontId="77" fillId="0" borderId="52" xfId="320" applyFont="1" applyBorder="1" applyAlignment="1">
      <alignment horizontal="left" wrapText="1"/>
    </xf>
    <xf numFmtId="175" fontId="77" fillId="0" borderId="52" xfId="320" applyNumberFormat="1" applyFont="1" applyBorder="1" applyAlignment="1">
      <alignment horizontal="center" vertical="center" shrinkToFit="1"/>
    </xf>
    <xf numFmtId="0" fontId="79" fillId="39" borderId="97" xfId="320" applyFont="1" applyFill="1" applyBorder="1" applyAlignment="1">
      <alignment horizontal="left" vertical="center" wrapText="1"/>
    </xf>
    <xf numFmtId="0" fontId="11" fillId="0" borderId="88" xfId="17" applyFont="1" applyBorder="1" applyAlignment="1">
      <alignment horizontal="justify" vertical="center" wrapText="1"/>
    </xf>
    <xf numFmtId="0" fontId="82" fillId="0" borderId="88" xfId="320" applyFont="1" applyBorder="1" applyAlignment="1">
      <alignment horizontal="left" vertical="top" wrapText="1"/>
    </xf>
    <xf numFmtId="0" fontId="82" fillId="0" borderId="88" xfId="320" applyFont="1" applyBorder="1" applyAlignment="1">
      <alignment horizontal="left" vertical="top"/>
    </xf>
    <xf numFmtId="0" fontId="83" fillId="0" borderId="88" xfId="320" applyFont="1" applyBorder="1" applyAlignment="1">
      <alignment horizontal="left" vertical="top" wrapText="1"/>
    </xf>
    <xf numFmtId="0" fontId="84" fillId="2" borderId="88" xfId="0" applyFont="1" applyFill="1" applyBorder="1" applyAlignment="1">
      <alignment horizontal="center" vertical="center"/>
    </xf>
    <xf numFmtId="44" fontId="75" fillId="0" borderId="0" xfId="1" applyFont="1" applyAlignment="1">
      <alignment horizontal="left" vertical="top"/>
    </xf>
    <xf numFmtId="2" fontId="77" fillId="0" borderId="52" xfId="320" applyNumberFormat="1" applyFont="1" applyBorder="1" applyAlignment="1">
      <alignment horizontal="center" vertical="center" shrinkToFit="1"/>
    </xf>
    <xf numFmtId="0" fontId="77" fillId="0" borderId="88" xfId="320" applyFont="1" applyBorder="1" applyAlignment="1">
      <alignment horizontal="center" vertical="center" wrapText="1"/>
    </xf>
    <xf numFmtId="225" fontId="77" fillId="0" borderId="32" xfId="320" applyNumberFormat="1" applyFont="1" applyBorder="1" applyAlignment="1">
      <alignment horizontal="center" vertical="center" shrinkToFit="1"/>
    </xf>
    <xf numFmtId="0" fontId="77" fillId="0" borderId="52" xfId="320" applyFont="1" applyBorder="1" applyAlignment="1">
      <alignment horizontal="center" vertical="center" wrapText="1"/>
    </xf>
    <xf numFmtId="0" fontId="77" fillId="0" borderId="32" xfId="320" applyFont="1" applyBorder="1" applyAlignment="1">
      <alignment horizontal="center" vertical="center" wrapText="1"/>
    </xf>
    <xf numFmtId="0" fontId="11" fillId="0" borderId="87" xfId="17" applyFont="1" applyBorder="1" applyAlignment="1">
      <alignment horizontal="justify" vertical="center" wrapText="1"/>
    </xf>
    <xf numFmtId="2" fontId="77" fillId="0" borderId="96" xfId="320" applyNumberFormat="1" applyFont="1" applyBorder="1" applyAlignment="1">
      <alignment horizontal="center" vertical="center" shrinkToFit="1"/>
    </xf>
    <xf numFmtId="2" fontId="77" fillId="0" borderId="71" xfId="320" applyNumberFormat="1" applyFont="1" applyBorder="1" applyAlignment="1">
      <alignment horizontal="center" vertical="center" shrinkToFit="1"/>
    </xf>
    <xf numFmtId="0" fontId="77" fillId="0" borderId="88" xfId="320" applyFont="1" applyBorder="1" applyAlignment="1">
      <alignment horizontal="left" wrapText="1"/>
    </xf>
    <xf numFmtId="0" fontId="78" fillId="3" borderId="88" xfId="320" applyFont="1" applyFill="1" applyBorder="1" applyAlignment="1">
      <alignment vertical="top" wrapText="1"/>
    </xf>
    <xf numFmtId="226" fontId="80" fillId="3" borderId="88" xfId="320" applyNumberFormat="1" applyFont="1" applyFill="1" applyBorder="1" applyAlignment="1">
      <alignment horizontal="right" vertical="top" shrinkToFit="1"/>
    </xf>
    <xf numFmtId="183" fontId="20" fillId="0" borderId="0" xfId="13" applyNumberFormat="1" applyFont="1" applyAlignment="1">
      <alignment vertical="center"/>
    </xf>
    <xf numFmtId="10" fontId="5" fillId="0" borderId="1" xfId="7" applyNumberFormat="1" applyFont="1" applyBorder="1" applyAlignment="1">
      <alignment vertical="center"/>
    </xf>
    <xf numFmtId="190" fontId="3" fillId="2" borderId="1" xfId="33" applyNumberFormat="1" applyFill="1" applyBorder="1" applyAlignment="1">
      <alignment horizontal="center" vertical="center"/>
    </xf>
    <xf numFmtId="1" fontId="85" fillId="3" borderId="98" xfId="0" applyNumberFormat="1" applyFont="1" applyFill="1" applyBorder="1" applyAlignment="1">
      <alignment horizontal="center" vertical="center" wrapText="1"/>
    </xf>
    <xf numFmtId="1" fontId="85" fillId="3" borderId="99" xfId="0" applyNumberFormat="1" applyFont="1" applyFill="1" applyBorder="1" applyAlignment="1">
      <alignment horizontal="center" vertical="center" wrapText="1"/>
    </xf>
    <xf numFmtId="1" fontId="86" fillId="3" borderId="99" xfId="0" applyNumberFormat="1" applyFont="1" applyFill="1" applyBorder="1" applyAlignment="1">
      <alignment horizontal="center" vertical="center" wrapText="1"/>
    </xf>
    <xf numFmtId="1" fontId="86" fillId="3" borderId="100" xfId="0" applyNumberFormat="1" applyFont="1" applyFill="1" applyBorder="1" applyAlignment="1">
      <alignment horizontal="center" vertical="center" wrapText="1"/>
    </xf>
    <xf numFmtId="0" fontId="0" fillId="0" borderId="0" xfId="0" applyAlignment="1">
      <alignment horizontal="center" vertical="center" wrapText="1"/>
    </xf>
    <xf numFmtId="0" fontId="72" fillId="0" borderId="85" xfId="322" applyFont="1" applyBorder="1" applyAlignment="1">
      <alignment horizontal="center" wrapText="1"/>
    </xf>
    <xf numFmtId="0" fontId="72" fillId="0" borderId="85" xfId="322" applyFont="1" applyBorder="1" applyAlignment="1">
      <alignment horizontal="left" wrapText="1"/>
    </xf>
    <xf numFmtId="0" fontId="73" fillId="0" borderId="85" xfId="322" applyFont="1" applyBorder="1" applyAlignment="1">
      <alignment horizontal="left" wrapText="1"/>
    </xf>
    <xf numFmtId="0" fontId="87" fillId="0" borderId="85" xfId="0" applyFont="1" applyBorder="1" applyAlignment="1">
      <alignment horizontal="center" wrapText="1"/>
    </xf>
    <xf numFmtId="0" fontId="72" fillId="0" borderId="85" xfId="2" applyFont="1" applyBorder="1" applyAlignment="1">
      <alignment horizontal="center" wrapText="1"/>
    </xf>
    <xf numFmtId="167" fontId="72" fillId="0" borderId="85" xfId="111" applyNumberFormat="1" applyFont="1" applyFill="1" applyBorder="1" applyAlignment="1">
      <alignment horizontal="left"/>
    </xf>
    <xf numFmtId="44" fontId="3" fillId="0" borderId="0" xfId="1" applyFont="1"/>
    <xf numFmtId="0" fontId="2" fillId="0" borderId="88" xfId="0" applyFont="1" applyBorder="1" applyAlignment="1">
      <alignment horizontal="center" vertical="center" wrapText="1"/>
    </xf>
    <xf numFmtId="0" fontId="88" fillId="0" borderId="88" xfId="0" applyFont="1" applyBorder="1" applyAlignment="1">
      <alignment horizontal="center" vertical="center" wrapText="1"/>
    </xf>
    <xf numFmtId="2" fontId="90" fillId="0" borderId="0" xfId="0" applyNumberFormat="1" applyFont="1"/>
    <xf numFmtId="0" fontId="0" fillId="0" borderId="88" xfId="0" applyBorder="1" applyAlignment="1">
      <alignment horizontal="center" vertical="center" wrapText="1"/>
    </xf>
    <xf numFmtId="0" fontId="90" fillId="0" borderId="88" xfId="0" applyFont="1" applyBorder="1" applyAlignment="1">
      <alignment horizontal="center" vertical="center" wrapText="1"/>
    </xf>
    <xf numFmtId="2" fontId="90" fillId="0" borderId="88" xfId="7" applyNumberFormat="1" applyFont="1" applyFill="1" applyBorder="1" applyAlignment="1">
      <alignment horizontal="center" vertical="center" wrapText="1"/>
    </xf>
    <xf numFmtId="0" fontId="0" fillId="0" borderId="88" xfId="0" applyBorder="1"/>
    <xf numFmtId="1" fontId="90" fillId="0" borderId="88" xfId="7" applyNumberFormat="1" applyFont="1" applyFill="1" applyBorder="1" applyAlignment="1">
      <alignment horizontal="center" vertical="center" wrapText="1"/>
    </xf>
    <xf numFmtId="0" fontId="88" fillId="0" borderId="88" xfId="0" applyFont="1" applyBorder="1" applyAlignment="1">
      <alignment horizontal="left" wrapText="1"/>
    </xf>
    <xf numFmtId="0" fontId="88" fillId="0" borderId="88" xfId="0" applyFont="1" applyBorder="1" applyAlignment="1">
      <alignment horizontal="left"/>
    </xf>
    <xf numFmtId="1" fontId="90" fillId="0" borderId="88" xfId="0" applyNumberFormat="1" applyFont="1" applyBorder="1" applyAlignment="1">
      <alignment horizontal="left"/>
    </xf>
    <xf numFmtId="175" fontId="90" fillId="0" borderId="88" xfId="0" applyNumberFormat="1" applyFont="1" applyBorder="1" applyAlignment="1">
      <alignment horizontal="left"/>
    </xf>
    <xf numFmtId="2" fontId="90" fillId="0" borderId="88" xfId="0" applyNumberFormat="1" applyFont="1" applyBorder="1" applyAlignment="1">
      <alignment horizontal="left"/>
    </xf>
    <xf numFmtId="14" fontId="88" fillId="0" borderId="88" xfId="0" applyNumberFormat="1" applyFont="1" applyBorder="1" applyAlignment="1">
      <alignment horizontal="center" vertical="center"/>
    </xf>
    <xf numFmtId="0" fontId="88" fillId="2" borderId="88" xfId="0" applyFont="1" applyFill="1" applyBorder="1" applyAlignment="1">
      <alignment horizontal="center" vertical="center" wrapText="1"/>
    </xf>
    <xf numFmtId="44" fontId="0" fillId="0" borderId="88" xfId="0" applyNumberFormat="1" applyBorder="1"/>
    <xf numFmtId="165" fontId="0" fillId="0" borderId="88" xfId="0" applyNumberFormat="1" applyBorder="1"/>
    <xf numFmtId="0" fontId="0" fillId="0" borderId="88" xfId="0" applyBorder="1" applyAlignment="1">
      <alignment horizontal="right"/>
    </xf>
    <xf numFmtId="227" fontId="80" fillId="3" borderId="88" xfId="320" applyNumberFormat="1" applyFont="1" applyFill="1" applyBorder="1" applyAlignment="1">
      <alignment horizontal="right" vertical="center" shrinkToFit="1"/>
    </xf>
    <xf numFmtId="227" fontId="80" fillId="3" borderId="88" xfId="320" applyNumberFormat="1" applyFont="1" applyFill="1" applyBorder="1" applyAlignment="1">
      <alignment horizontal="right" vertical="top" shrinkToFit="1"/>
    </xf>
    <xf numFmtId="190" fontId="3" fillId="2" borderId="1" xfId="33" applyNumberFormat="1" applyFill="1" applyBorder="1" applyAlignment="1">
      <alignment horizontal="right" vertical="center" wrapText="1"/>
    </xf>
    <xf numFmtId="0" fontId="3" fillId="0" borderId="37" xfId="44" applyBorder="1" applyAlignment="1">
      <alignment horizontal="center" vertical="center"/>
    </xf>
    <xf numFmtId="188" fontId="7" fillId="0" borderId="2" xfId="5" applyNumberFormat="1" applyFont="1" applyFill="1" applyBorder="1" applyAlignment="1">
      <alignment horizontal="center" vertical="center"/>
    </xf>
    <xf numFmtId="10" fontId="5" fillId="5" borderId="1" xfId="7" applyNumberFormat="1" applyFont="1" applyFill="1" applyBorder="1" applyAlignment="1">
      <alignment horizontal="center" vertical="center"/>
    </xf>
    <xf numFmtId="0" fontId="0" fillId="0" borderId="0" xfId="0" applyAlignment="1">
      <alignment horizontal="center" vertical="center"/>
    </xf>
    <xf numFmtId="0" fontId="0" fillId="0" borderId="8" xfId="0" applyBorder="1"/>
    <xf numFmtId="0" fontId="0" fillId="0" borderId="9" xfId="0" applyBorder="1"/>
    <xf numFmtId="0" fontId="0" fillId="0" borderId="9" xfId="0" applyBorder="1" applyAlignment="1">
      <alignment horizontal="center" vertical="center"/>
    </xf>
    <xf numFmtId="0" fontId="0" fillId="0" borderId="9" xfId="0" applyBorder="1" applyAlignment="1">
      <alignment wrapText="1"/>
    </xf>
    <xf numFmtId="0" fontId="0" fillId="0" borderId="3" xfId="0" applyBorder="1"/>
    <xf numFmtId="2" fontId="0" fillId="0" borderId="0" xfId="0" applyNumberFormat="1"/>
    <xf numFmtId="2" fontId="0" fillId="44" borderId="0" xfId="0" applyNumberFormat="1" applyFill="1"/>
    <xf numFmtId="0" fontId="42" fillId="43" borderId="8" xfId="0" applyFont="1" applyFill="1" applyBorder="1" applyAlignment="1">
      <alignment horizontal="center" vertical="center"/>
    </xf>
    <xf numFmtId="0" fontId="42" fillId="43" borderId="9" xfId="0" applyFont="1" applyFill="1" applyBorder="1" applyAlignment="1">
      <alignment wrapText="1"/>
    </xf>
    <xf numFmtId="0" fontId="42" fillId="43" borderId="9" xfId="0" applyFont="1" applyFill="1" applyBorder="1"/>
    <xf numFmtId="165" fontId="0" fillId="0" borderId="9" xfId="0" applyNumberFormat="1" applyBorder="1"/>
    <xf numFmtId="0" fontId="42" fillId="0" borderId="8" xfId="0" applyFont="1" applyBorder="1" applyAlignment="1">
      <alignment horizontal="center" vertical="center"/>
    </xf>
    <xf numFmtId="0" fontId="0" fillId="0" borderId="101" xfId="0" applyBorder="1"/>
    <xf numFmtId="0" fontId="0" fillId="0" borderId="102" xfId="0" applyBorder="1" applyAlignment="1">
      <alignment horizontal="center" vertical="center" wrapText="1"/>
    </xf>
    <xf numFmtId="0" fontId="0" fillId="0" borderId="102" xfId="0" applyBorder="1"/>
    <xf numFmtId="165" fontId="0" fillId="0" borderId="102" xfId="0" applyNumberFormat="1" applyBorder="1"/>
    <xf numFmtId="0" fontId="92" fillId="0" borderId="103" xfId="173" applyFont="1" applyBorder="1"/>
    <xf numFmtId="0" fontId="92" fillId="0" borderId="104" xfId="173" applyFont="1" applyBorder="1"/>
    <xf numFmtId="0" fontId="92" fillId="0" borderId="104" xfId="173" applyFont="1" applyBorder="1" applyAlignment="1">
      <alignment horizontal="center"/>
    </xf>
    <xf numFmtId="0" fontId="92" fillId="0" borderId="105" xfId="173" applyFont="1" applyBorder="1"/>
    <xf numFmtId="0" fontId="92" fillId="0" borderId="106" xfId="173" applyFont="1" applyBorder="1"/>
    <xf numFmtId="0" fontId="92" fillId="0" borderId="0" xfId="173" applyFont="1"/>
    <xf numFmtId="0" fontId="92" fillId="0" borderId="107" xfId="173" applyFont="1" applyBorder="1"/>
    <xf numFmtId="0" fontId="5" fillId="0" borderId="108" xfId="0" applyFont="1" applyBorder="1" applyAlignment="1">
      <alignment horizontal="left" vertical="center"/>
    </xf>
    <xf numFmtId="0" fontId="21" fillId="0" borderId="108" xfId="0" applyFont="1" applyBorder="1" applyAlignment="1">
      <alignment horizontal="left" vertical="center"/>
    </xf>
    <xf numFmtId="0" fontId="92" fillId="2" borderId="109" xfId="173" applyFont="1" applyFill="1" applyBorder="1"/>
    <xf numFmtId="0" fontId="92" fillId="2" borderId="107" xfId="173" applyFont="1" applyFill="1" applyBorder="1"/>
    <xf numFmtId="0" fontId="92" fillId="0" borderId="109" xfId="173" applyFont="1" applyBorder="1"/>
    <xf numFmtId="0" fontId="9" fillId="2" borderId="15" xfId="8" applyFont="1" applyFill="1" applyBorder="1" applyAlignment="1">
      <alignment vertical="center" wrapText="1"/>
    </xf>
    <xf numFmtId="0" fontId="9" fillId="2" borderId="12" xfId="8" applyFont="1" applyFill="1" applyBorder="1" applyAlignment="1">
      <alignment vertical="center" wrapText="1"/>
    </xf>
    <xf numFmtId="0" fontId="9" fillId="0" borderId="12" xfId="169" applyFont="1" applyBorder="1" applyAlignment="1">
      <alignment vertical="center" wrapText="1"/>
    </xf>
    <xf numFmtId="4" fontId="9" fillId="2" borderId="12" xfId="8" applyNumberFormat="1" applyFont="1" applyFill="1" applyBorder="1" applyAlignment="1">
      <alignment vertical="center" wrapText="1"/>
    </xf>
    <xf numFmtId="4" fontId="9" fillId="2" borderId="13" xfId="8" applyNumberFormat="1" applyFont="1" applyFill="1" applyBorder="1" applyAlignment="1">
      <alignment vertical="center" wrapText="1"/>
    </xf>
    <xf numFmtId="0" fontId="9" fillId="2" borderId="16" xfId="8" applyFont="1" applyFill="1" applyBorder="1" applyAlignment="1">
      <alignment horizontal="center" vertical="center" wrapText="1"/>
    </xf>
    <xf numFmtId="0" fontId="9" fillId="2" borderId="14" xfId="8" applyFont="1" applyFill="1" applyBorder="1" applyAlignment="1">
      <alignment horizontal="center" vertical="center" wrapText="1"/>
    </xf>
    <xf numFmtId="0" fontId="6" fillId="0" borderId="14" xfId="169" applyFont="1" applyBorder="1" applyAlignment="1">
      <alignment horizontal="center" vertical="center" wrapText="1"/>
    </xf>
    <xf numFmtId="4" fontId="9" fillId="2" borderId="14" xfId="8" applyNumberFormat="1" applyFont="1" applyFill="1" applyBorder="1" applyAlignment="1">
      <alignment horizontal="center" vertical="center" wrapText="1"/>
    </xf>
    <xf numFmtId="4" fontId="9" fillId="2" borderId="46" xfId="8" applyNumberFormat="1" applyFont="1" applyFill="1" applyBorder="1" applyAlignment="1">
      <alignment horizontal="center" vertical="center" wrapText="1"/>
    </xf>
    <xf numFmtId="0" fontId="30" fillId="0" borderId="1" xfId="8" applyFont="1" applyBorder="1" applyAlignment="1">
      <alignment horizontal="center" vertical="center"/>
    </xf>
    <xf numFmtId="0" fontId="3" fillId="0" borderId="1" xfId="8" applyBorder="1" applyAlignment="1">
      <alignment horizontal="center" vertical="center"/>
    </xf>
    <xf numFmtId="0" fontId="30" fillId="0" borderId="1" xfId="8" applyFont="1" applyBorder="1" applyAlignment="1">
      <alignment horizontal="left" vertical="center" wrapText="1"/>
    </xf>
    <xf numFmtId="4" fontId="30" fillId="0" borderId="1" xfId="89" applyNumberFormat="1" applyFont="1" applyFill="1" applyBorder="1" applyAlignment="1">
      <alignment vertical="center" wrapText="1"/>
    </xf>
    <xf numFmtId="228" fontId="30" fillId="0" borderId="1" xfId="116" applyNumberFormat="1" applyFont="1" applyFill="1" applyBorder="1" applyAlignment="1">
      <alignment horizontal="right" vertical="center" wrapText="1"/>
    </xf>
    <xf numFmtId="228" fontId="30" fillId="0" borderId="111" xfId="116" applyNumberFormat="1" applyFont="1" applyBorder="1" applyAlignment="1">
      <alignment horizontal="right" vertical="center" wrapText="1"/>
    </xf>
    <xf numFmtId="0" fontId="92" fillId="0" borderId="106" xfId="171" applyFont="1" applyBorder="1"/>
    <xf numFmtId="0" fontId="9" fillId="45" borderId="26" xfId="8" applyFont="1" applyFill="1" applyBorder="1" applyAlignment="1">
      <alignment vertical="center"/>
    </xf>
    <xf numFmtId="0" fontId="9" fillId="45" borderId="27" xfId="8" applyFont="1" applyFill="1" applyBorder="1" applyAlignment="1">
      <alignment vertical="center"/>
    </xf>
    <xf numFmtId="0" fontId="9" fillId="45" borderId="44" xfId="8" applyFont="1" applyFill="1" applyBorder="1" applyAlignment="1">
      <alignment vertical="center"/>
    </xf>
    <xf numFmtId="229" fontId="9" fillId="45" borderId="28" xfId="8" applyNumberFormat="1" applyFont="1" applyFill="1" applyBorder="1" applyAlignment="1">
      <alignment vertical="center"/>
    </xf>
    <xf numFmtId="0" fontId="92" fillId="0" borderId="107" xfId="171" applyFont="1" applyBorder="1"/>
    <xf numFmtId="49" fontId="9" fillId="0" borderId="0" xfId="324" applyNumberFormat="1" applyFont="1" applyAlignment="1">
      <alignment horizontal="right" vertical="center"/>
    </xf>
    <xf numFmtId="230" fontId="9" fillId="0" borderId="0" xfId="324" applyNumberFormat="1" applyFont="1" applyAlignment="1">
      <alignment vertical="center"/>
    </xf>
    <xf numFmtId="0" fontId="30" fillId="0" borderId="0" xfId="171" applyFont="1"/>
    <xf numFmtId="0" fontId="30" fillId="0" borderId="0" xfId="171" applyFont="1" applyAlignment="1">
      <alignment horizontal="center"/>
    </xf>
    <xf numFmtId="231" fontId="30" fillId="0" borderId="13" xfId="172" applyNumberFormat="1" applyFont="1" applyBorder="1" applyAlignment="1">
      <alignment vertical="center"/>
    </xf>
    <xf numFmtId="231" fontId="30" fillId="0" borderId="56" xfId="172" applyNumberFormat="1" applyFont="1" applyBorder="1" applyAlignment="1">
      <alignment vertical="center"/>
    </xf>
    <xf numFmtId="0" fontId="30" fillId="0" borderId="36" xfId="171" applyFont="1" applyBorder="1" applyAlignment="1">
      <alignment horizontal="center" vertical="center"/>
    </xf>
    <xf numFmtId="0" fontId="30" fillId="0" borderId="5" xfId="171" applyFont="1" applyBorder="1" applyAlignment="1">
      <alignment horizontal="center" vertical="center"/>
    </xf>
    <xf numFmtId="0" fontId="30" fillId="0" borderId="3" xfId="171" applyFont="1" applyBorder="1" applyAlignment="1">
      <alignment horizontal="center" vertical="center"/>
    </xf>
    <xf numFmtId="0" fontId="30" fillId="0" borderId="0" xfId="169" applyFont="1" applyAlignment="1">
      <alignment horizontal="center" vertical="center"/>
    </xf>
    <xf numFmtId="231" fontId="30" fillId="0" borderId="1" xfId="172" applyNumberFormat="1" applyFont="1" applyBorder="1" applyAlignment="1">
      <alignment horizontal="center" vertical="center"/>
    </xf>
    <xf numFmtId="0" fontId="30" fillId="0" borderId="1" xfId="171" applyFont="1" applyBorder="1" applyAlignment="1">
      <alignment horizontal="center" vertical="center"/>
    </xf>
    <xf numFmtId="0" fontId="30" fillId="0" borderId="0" xfId="171" applyFont="1" applyAlignment="1">
      <alignment horizontal="center" vertical="center" wrapText="1"/>
    </xf>
    <xf numFmtId="231" fontId="9" fillId="0" borderId="56" xfId="172" applyNumberFormat="1" applyFont="1" applyBorder="1" applyAlignment="1">
      <alignment vertical="center"/>
    </xf>
    <xf numFmtId="2" fontId="30" fillId="0" borderId="0" xfId="171" applyNumberFormat="1" applyFont="1"/>
    <xf numFmtId="231" fontId="30" fillId="0" borderId="0" xfId="172" applyNumberFormat="1" applyFont="1"/>
    <xf numFmtId="39" fontId="9" fillId="0" borderId="0" xfId="172" applyNumberFormat="1" applyFont="1" applyAlignment="1">
      <alignment vertical="center"/>
    </xf>
    <xf numFmtId="0" fontId="9" fillId="0" borderId="34" xfId="48" applyFont="1" applyBorder="1" applyAlignment="1">
      <alignment vertical="center"/>
    </xf>
    <xf numFmtId="232" fontId="92" fillId="0" borderId="107" xfId="171" applyNumberFormat="1" applyFont="1" applyBorder="1"/>
    <xf numFmtId="230" fontId="9" fillId="4" borderId="111" xfId="325" applyNumberFormat="1" applyFont="1" applyFill="1" applyBorder="1" applyAlignment="1">
      <alignment horizontal="center" vertical="center"/>
    </xf>
    <xf numFmtId="234" fontId="92" fillId="0" borderId="107" xfId="171" applyNumberFormat="1" applyFont="1" applyBorder="1"/>
    <xf numFmtId="230" fontId="9" fillId="4" borderId="1" xfId="325" applyNumberFormat="1" applyFont="1" applyFill="1" applyBorder="1" applyAlignment="1">
      <alignment horizontal="center" vertical="center"/>
    </xf>
    <xf numFmtId="0" fontId="30" fillId="0" borderId="41" xfId="126" applyFont="1" applyBorder="1" applyAlignment="1">
      <alignment vertical="center" wrapText="1"/>
    </xf>
    <xf numFmtId="0" fontId="30" fillId="0" borderId="42" xfId="126" applyFont="1" applyBorder="1" applyAlignment="1">
      <alignment vertical="center" wrapText="1"/>
    </xf>
    <xf numFmtId="0" fontId="30" fillId="0" borderId="63" xfId="126" applyFont="1" applyBorder="1" applyAlignment="1">
      <alignment vertical="center" wrapText="1"/>
    </xf>
    <xf numFmtId="0" fontId="30" fillId="2" borderId="20" xfId="173" applyFont="1" applyFill="1" applyBorder="1" applyAlignment="1">
      <alignment horizontal="center" vertical="center" wrapText="1"/>
    </xf>
    <xf numFmtId="0" fontId="30" fillId="2" borderId="0" xfId="173" applyFont="1" applyFill="1" applyAlignment="1">
      <alignment horizontal="center" vertical="center" wrapText="1"/>
    </xf>
    <xf numFmtId="0" fontId="94" fillId="0" borderId="0" xfId="173" applyFont="1"/>
    <xf numFmtId="0" fontId="9" fillId="2" borderId="23" xfId="173" applyFont="1" applyFill="1" applyBorder="1" applyAlignment="1">
      <alignment horizontal="center" vertical="center" wrapText="1"/>
    </xf>
    <xf numFmtId="0" fontId="92" fillId="0" borderId="113" xfId="171" applyFont="1" applyBorder="1"/>
    <xf numFmtId="0" fontId="92" fillId="0" borderId="114" xfId="173" applyFont="1" applyBorder="1"/>
    <xf numFmtId="0" fontId="92" fillId="0" borderId="114" xfId="173" applyFont="1" applyBorder="1" applyAlignment="1">
      <alignment horizontal="center"/>
    </xf>
    <xf numFmtId="181" fontId="92" fillId="0" borderId="114" xfId="327" applyNumberFormat="1" applyFont="1" applyBorder="1"/>
    <xf numFmtId="0" fontId="92" fillId="0" borderId="115" xfId="173" applyFont="1" applyBorder="1"/>
    <xf numFmtId="0" fontId="0" fillId="0" borderId="116" xfId="0" applyBorder="1"/>
    <xf numFmtId="0" fontId="0" fillId="0" borderId="117" xfId="0" applyBorder="1"/>
    <xf numFmtId="0" fontId="27" fillId="0" borderId="14" xfId="0" applyFont="1" applyBorder="1" applyAlignment="1">
      <alignment horizontal="center" vertical="center" wrapText="1"/>
    </xf>
    <xf numFmtId="0" fontId="0" fillId="0" borderId="12" xfId="0" applyBorder="1" applyAlignment="1">
      <alignment horizontal="center"/>
    </xf>
    <xf numFmtId="0" fontId="0" fillId="0" borderId="1" xfId="0" applyBorder="1" applyAlignment="1">
      <alignment horizontal="center" vertical="center"/>
    </xf>
    <xf numFmtId="0" fontId="91" fillId="0" borderId="1" xfId="0" applyFont="1" applyBorder="1" applyAlignment="1">
      <alignment horizontal="center" vertical="center" wrapText="1"/>
    </xf>
    <xf numFmtId="0" fontId="0" fillId="0" borderId="87" xfId="0" applyBorder="1" applyAlignment="1">
      <alignment horizontal="center" vertical="center" wrapText="1"/>
    </xf>
    <xf numFmtId="0" fontId="0" fillId="0" borderId="87" xfId="0" applyBorder="1"/>
    <xf numFmtId="165" fontId="0" fillId="0" borderId="87" xfId="0" applyNumberFormat="1" applyBorder="1"/>
    <xf numFmtId="0" fontId="0" fillId="0" borderId="88" xfId="0" applyBorder="1" applyAlignment="1">
      <alignment wrapText="1"/>
    </xf>
    <xf numFmtId="0" fontId="0" fillId="42" borderId="88" xfId="0" applyFill="1" applyBorder="1" applyAlignment="1">
      <alignment horizontal="center" vertical="center"/>
    </xf>
    <xf numFmtId="0" fontId="96" fillId="0" borderId="55" xfId="327" applyNumberFormat="1" applyFont="1" applyFill="1" applyBorder="1" applyAlignment="1" applyProtection="1">
      <alignment horizontal="center" vertical="center" wrapText="1"/>
    </xf>
    <xf numFmtId="0" fontId="0" fillId="0" borderId="88" xfId="0" applyBorder="1" applyAlignment="1">
      <alignment horizontal="center" vertical="center"/>
    </xf>
    <xf numFmtId="0" fontId="32" fillId="0" borderId="89" xfId="121" applyFont="1" applyBorder="1" applyAlignment="1">
      <alignment horizontal="center" vertical="center"/>
    </xf>
    <xf numFmtId="0" fontId="0" fillId="0" borderId="90" xfId="0" applyBorder="1"/>
    <xf numFmtId="165" fontId="0" fillId="0" borderId="30" xfId="0" applyNumberFormat="1" applyBorder="1"/>
    <xf numFmtId="165" fontId="0" fillId="0" borderId="1" xfId="0" applyNumberFormat="1" applyBorder="1" applyAlignment="1">
      <alignment horizontal="center"/>
    </xf>
    <xf numFmtId="0" fontId="42" fillId="0" borderId="0" xfId="0" applyFont="1" applyAlignment="1">
      <alignment horizontal="center" vertical="center" wrapText="1"/>
    </xf>
    <xf numFmtId="0" fontId="42" fillId="0" borderId="24" xfId="0" applyFont="1" applyBorder="1" applyAlignment="1">
      <alignment horizontal="center" vertical="center" wrapText="1"/>
    </xf>
    <xf numFmtId="0" fontId="91" fillId="46" borderId="0" xfId="0" applyFont="1" applyFill="1" applyAlignment="1">
      <alignment horizontal="center" vertical="center" wrapText="1"/>
    </xf>
    <xf numFmtId="0" fontId="91" fillId="0" borderId="0" xfId="0" applyFont="1" applyAlignment="1">
      <alignment horizontal="center" vertical="center" wrapText="1"/>
    </xf>
    <xf numFmtId="0" fontId="91" fillId="13" borderId="0" xfId="0" applyFont="1" applyFill="1" applyAlignment="1">
      <alignment horizontal="center" vertical="center" wrapText="1"/>
    </xf>
    <xf numFmtId="0" fontId="0" fillId="4" borderId="0" xfId="0" applyFill="1" applyAlignment="1">
      <alignment horizontal="center" vertical="center" wrapText="1"/>
    </xf>
    <xf numFmtId="0" fontId="0" fillId="0" borderId="110" xfId="0" applyBorder="1" applyAlignment="1">
      <alignment horizontal="center"/>
    </xf>
    <xf numFmtId="0" fontId="0" fillId="0" borderId="9" xfId="0" applyBorder="1" applyAlignment="1">
      <alignment horizontal="center"/>
    </xf>
    <xf numFmtId="0" fontId="0" fillId="0" borderId="111" xfId="0" applyBorder="1" applyAlignment="1">
      <alignment horizontal="center"/>
    </xf>
    <xf numFmtId="0" fontId="0" fillId="0" borderId="118" xfId="0" applyBorder="1" applyAlignment="1">
      <alignment wrapText="1"/>
    </xf>
    <xf numFmtId="8" fontId="0" fillId="0" borderId="0" xfId="0" applyNumberFormat="1"/>
    <xf numFmtId="10" fontId="30" fillId="0" borderId="1" xfId="7" applyNumberFormat="1" applyFont="1" applyBorder="1" applyAlignment="1">
      <alignment horizontal="center" vertical="center"/>
    </xf>
    <xf numFmtId="2" fontId="21" fillId="0" borderId="1" xfId="7" applyNumberFormat="1" applyFont="1" applyBorder="1" applyAlignment="1">
      <alignment horizontal="center" vertical="center"/>
    </xf>
    <xf numFmtId="0" fontId="96" fillId="0" borderId="86" xfId="327" applyNumberFormat="1" applyFont="1" applyFill="1" applyBorder="1" applyAlignment="1" applyProtection="1">
      <alignment horizontal="center" vertical="center" wrapText="1"/>
    </xf>
    <xf numFmtId="44" fontId="0" fillId="0" borderId="88" xfId="1" applyFont="1" applyBorder="1"/>
    <xf numFmtId="0" fontId="91" fillId="0" borderId="88" xfId="0" applyFont="1" applyBorder="1" applyAlignment="1">
      <alignment horizontal="center" vertical="center" wrapText="1"/>
    </xf>
    <xf numFmtId="44" fontId="0" fillId="0" borderId="88" xfId="1" applyFont="1" applyBorder="1" applyAlignment="1">
      <alignment horizontal="center" vertical="center"/>
    </xf>
    <xf numFmtId="165" fontId="0" fillId="0" borderId="88" xfId="0" applyNumberFormat="1" applyBorder="1" applyAlignment="1">
      <alignment horizontal="center"/>
    </xf>
    <xf numFmtId="165" fontId="0" fillId="0" borderId="55" xfId="0" applyNumberFormat="1" applyBorder="1" applyAlignment="1">
      <alignment horizontal="center"/>
    </xf>
    <xf numFmtId="0" fontId="0" fillId="0" borderId="11" xfId="0" applyBorder="1" applyAlignment="1">
      <alignment horizontal="center"/>
    </xf>
    <xf numFmtId="0" fontId="0" fillId="0" borderId="17" xfId="0" applyBorder="1" applyAlignment="1">
      <alignment horizontal="center"/>
    </xf>
    <xf numFmtId="0" fontId="0" fillId="0" borderId="119" xfId="0" applyBorder="1" applyAlignment="1">
      <alignment horizontal="center"/>
    </xf>
    <xf numFmtId="0" fontId="0" fillId="0" borderId="15" xfId="0" applyBorder="1"/>
    <xf numFmtId="0" fontId="0" fillId="0" borderId="13" xfId="0" applyBorder="1"/>
    <xf numFmtId="191" fontId="0" fillId="0" borderId="88" xfId="0" applyNumberFormat="1" applyBorder="1"/>
    <xf numFmtId="191" fontId="0" fillId="0" borderId="88" xfId="1" applyNumberFormat="1" applyFont="1" applyBorder="1"/>
    <xf numFmtId="191" fontId="0" fillId="44" borderId="1" xfId="0" applyNumberFormat="1" applyFill="1" applyBorder="1"/>
    <xf numFmtId="191" fontId="0" fillId="44" borderId="88" xfId="0" applyNumberFormat="1" applyFill="1" applyBorder="1"/>
    <xf numFmtId="191" fontId="0" fillId="0" borderId="1" xfId="0" applyNumberFormat="1" applyBorder="1"/>
    <xf numFmtId="191" fontId="0" fillId="0" borderId="8" xfId="0" applyNumberFormat="1" applyBorder="1"/>
    <xf numFmtId="8" fontId="0" fillId="0" borderId="0" xfId="1" applyNumberFormat="1" applyFont="1"/>
    <xf numFmtId="0" fontId="6" fillId="0" borderId="87" xfId="169" applyFont="1" applyBorder="1" applyAlignment="1">
      <alignment horizontal="center" vertical="center" wrapText="1"/>
    </xf>
    <xf numFmtId="10" fontId="30" fillId="10" borderId="56" xfId="283" applyNumberFormat="1" applyFont="1" applyFill="1" applyBorder="1" applyAlignment="1">
      <alignment horizontal="center" vertical="center"/>
    </xf>
    <xf numFmtId="0" fontId="0" fillId="0" borderId="91" xfId="0" applyBorder="1"/>
    <xf numFmtId="185" fontId="0" fillId="0" borderId="0" xfId="0" applyNumberFormat="1"/>
    <xf numFmtId="0" fontId="0" fillId="0" borderId="88" xfId="0" applyBorder="1" applyAlignment="1">
      <alignment horizontal="center"/>
    </xf>
    <xf numFmtId="0" fontId="27" fillId="0" borderId="88" xfId="0" applyFont="1" applyBorder="1" applyAlignment="1">
      <alignment horizontal="center" vertical="center" wrapText="1"/>
    </xf>
    <xf numFmtId="188" fontId="30" fillId="0" borderId="1" xfId="7" applyNumberFormat="1" applyFont="1" applyBorder="1" applyAlignment="1">
      <alignment horizontal="center" vertical="center"/>
    </xf>
    <xf numFmtId="0" fontId="0" fillId="0" borderId="55" xfId="0" applyBorder="1" applyAlignment="1">
      <alignment horizontal="center"/>
    </xf>
    <xf numFmtId="0" fontId="27" fillId="0" borderId="90" xfId="0" applyFont="1" applyBorder="1" applyAlignment="1">
      <alignment horizontal="center" vertical="center" wrapText="1"/>
    </xf>
    <xf numFmtId="0" fontId="0" fillId="0" borderId="24" xfId="0" applyBorder="1" applyAlignment="1">
      <alignment horizontal="center"/>
    </xf>
    <xf numFmtId="191" fontId="0" fillId="44" borderId="9" xfId="0" applyNumberFormat="1" applyFill="1" applyBorder="1"/>
    <xf numFmtId="0" fontId="0" fillId="0" borderId="90" xfId="0" applyBorder="1" applyAlignment="1">
      <alignment horizontal="center" vertical="center"/>
    </xf>
    <xf numFmtId="0" fontId="27" fillId="44" borderId="55" xfId="0" applyFont="1" applyFill="1" applyBorder="1" applyAlignment="1">
      <alignment horizontal="center" vertical="center" wrapText="1"/>
    </xf>
    <xf numFmtId="0" fontId="27" fillId="0" borderId="55" xfId="0" applyFont="1" applyBorder="1" applyAlignment="1">
      <alignment horizontal="center" vertical="center" wrapText="1"/>
    </xf>
    <xf numFmtId="0" fontId="27" fillId="0" borderId="16" xfId="0" applyFont="1" applyBorder="1" applyAlignment="1">
      <alignment horizontal="center" vertical="center" wrapText="1"/>
    </xf>
    <xf numFmtId="0" fontId="27" fillId="44" borderId="88" xfId="0" applyFont="1" applyFill="1" applyBorder="1" applyAlignment="1">
      <alignment horizontal="center" vertical="center" wrapText="1"/>
    </xf>
    <xf numFmtId="1" fontId="71" fillId="3" borderId="92" xfId="0" applyNumberFormat="1" applyFont="1" applyFill="1" applyBorder="1" applyAlignment="1">
      <alignment horizontal="left" vertical="center" wrapText="1"/>
    </xf>
    <xf numFmtId="1" fontId="71" fillId="3" borderId="93" xfId="0" applyNumberFormat="1" applyFont="1" applyFill="1" applyBorder="1" applyAlignment="1">
      <alignment horizontal="left" vertical="center" wrapText="1"/>
    </xf>
    <xf numFmtId="0" fontId="71" fillId="3" borderId="93" xfId="0" applyFont="1" applyFill="1" applyBorder="1" applyAlignment="1">
      <alignment horizontal="left" vertical="center" wrapText="1"/>
    </xf>
    <xf numFmtId="165" fontId="71" fillId="3" borderId="94" xfId="0" applyNumberFormat="1" applyFont="1" applyFill="1" applyBorder="1" applyAlignment="1">
      <alignment horizontal="left" vertical="center" wrapText="1"/>
    </xf>
    <xf numFmtId="0" fontId="91"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0" fontId="91" fillId="0" borderId="120" xfId="0" applyFont="1" applyBorder="1" applyAlignment="1">
      <alignment horizontal="center" vertical="center" wrapText="1"/>
    </xf>
    <xf numFmtId="0" fontId="0" fillId="0" borderId="121" xfId="0" applyBorder="1" applyAlignment="1">
      <alignment horizontal="center" vertical="center"/>
    </xf>
    <xf numFmtId="0" fontId="91" fillId="0" borderId="122" xfId="0" applyFont="1" applyBorder="1" applyAlignment="1">
      <alignment horizontal="center" vertical="center" wrapText="1"/>
    </xf>
    <xf numFmtId="0" fontId="0" fillId="0" borderId="123" xfId="0" applyBorder="1"/>
    <xf numFmtId="0" fontId="27" fillId="0" borderId="123" xfId="0" applyFont="1" applyBorder="1" applyAlignment="1">
      <alignment horizontal="center" vertical="center" wrapText="1"/>
    </xf>
    <xf numFmtId="0" fontId="0" fillId="0" borderId="124" xfId="0" applyBorder="1" applyAlignment="1">
      <alignment horizontal="center" vertical="center"/>
    </xf>
    <xf numFmtId="1" fontId="0" fillId="0" borderId="88" xfId="0" applyNumberFormat="1" applyBorder="1" applyAlignment="1">
      <alignment horizontal="center"/>
    </xf>
    <xf numFmtId="1" fontId="0" fillId="0" borderId="123" xfId="0" applyNumberFormat="1" applyBorder="1" applyAlignment="1">
      <alignment horizontal="center"/>
    </xf>
    <xf numFmtId="0" fontId="0" fillId="0" borderId="123" xfId="0" applyBorder="1" applyAlignment="1">
      <alignment horizontal="center"/>
    </xf>
    <xf numFmtId="0" fontId="0" fillId="0" borderId="120" xfId="0" applyBorder="1" applyAlignment="1">
      <alignment horizontal="center" wrapText="1"/>
    </xf>
    <xf numFmtId="0" fontId="27" fillId="0" borderId="88" xfId="0" applyFont="1" applyBorder="1" applyAlignment="1">
      <alignment horizontal="center" wrapText="1"/>
    </xf>
    <xf numFmtId="0" fontId="0" fillId="0" borderId="121" xfId="0" applyBorder="1" applyAlignment="1">
      <alignment horizontal="center" wrapText="1"/>
    </xf>
    <xf numFmtId="165" fontId="2" fillId="0" borderId="121" xfId="0" applyNumberFormat="1" applyFont="1" applyBorder="1" applyAlignment="1">
      <alignment horizontal="center" wrapText="1"/>
    </xf>
    <xf numFmtId="0" fontId="0" fillId="0" borderId="16" xfId="0" applyBorder="1" applyAlignment="1">
      <alignment horizontal="center" wrapText="1"/>
    </xf>
    <xf numFmtId="0" fontId="27" fillId="0" borderId="123" xfId="0" applyFont="1" applyBorder="1" applyAlignment="1">
      <alignment horizontal="center" wrapText="1"/>
    </xf>
    <xf numFmtId="0" fontId="0" fillId="0" borderId="42" xfId="0" applyBorder="1"/>
    <xf numFmtId="0" fontId="0" fillId="0" borderId="124" xfId="0" applyBorder="1" applyAlignment="1">
      <alignment horizontal="center" wrapText="1"/>
    </xf>
    <xf numFmtId="44" fontId="0" fillId="0" borderId="1" xfId="1" applyFont="1" applyFill="1" applyBorder="1"/>
    <xf numFmtId="0" fontId="0" fillId="0" borderId="125" xfId="0" applyBorder="1"/>
    <xf numFmtId="0" fontId="0" fillId="0" borderId="124" xfId="0" applyBorder="1"/>
    <xf numFmtId="0" fontId="0" fillId="0" borderId="126" xfId="0" applyBorder="1" applyAlignment="1">
      <alignment horizontal="center"/>
    </xf>
    <xf numFmtId="0" fontId="0" fillId="0" borderId="29" xfId="0" applyBorder="1"/>
    <xf numFmtId="165" fontId="0" fillId="0" borderId="86" xfId="0" applyNumberFormat="1" applyBorder="1" applyAlignment="1">
      <alignment horizontal="center"/>
    </xf>
    <xf numFmtId="188" fontId="7" fillId="0" borderId="2" xfId="2" applyNumberFormat="1" applyFont="1" applyBorder="1" applyAlignment="1">
      <alignment horizontal="center" vertical="center"/>
    </xf>
    <xf numFmtId="191" fontId="0" fillId="0" borderId="88" xfId="1" applyNumberFormat="1" applyFont="1" applyFill="1" applyBorder="1"/>
    <xf numFmtId="191" fontId="0" fillId="0" borderId="1" xfId="1" applyNumberFormat="1" applyFont="1" applyFill="1" applyBorder="1"/>
    <xf numFmtId="0" fontId="0" fillId="0" borderId="15" xfId="0" applyBorder="1" applyAlignment="1">
      <alignment horizontal="center"/>
    </xf>
    <xf numFmtId="0" fontId="0" fillId="0" borderId="29" xfId="0" applyBorder="1" applyAlignment="1">
      <alignment horizontal="center"/>
    </xf>
    <xf numFmtId="0" fontId="0" fillId="0" borderId="12" xfId="0" applyBorder="1" applyAlignment="1">
      <alignment horizontal="center" vertical="center" wrapText="1"/>
    </xf>
    <xf numFmtId="0" fontId="0" fillId="0" borderId="90" xfId="0" applyBorder="1" applyAlignment="1">
      <alignment horizontal="center"/>
    </xf>
    <xf numFmtId="0" fontId="0" fillId="0" borderId="110" xfId="0" applyBorder="1" applyAlignment="1">
      <alignment horizontal="center" wrapText="1"/>
    </xf>
    <xf numFmtId="0" fontId="27" fillId="0" borderId="9" xfId="0" applyFont="1" applyBorder="1" applyAlignment="1">
      <alignment horizontal="center" wrapText="1"/>
    </xf>
    <xf numFmtId="0" fontId="0" fillId="0" borderId="111" xfId="0" applyBorder="1" applyAlignment="1">
      <alignment horizontal="center" wrapText="1"/>
    </xf>
    <xf numFmtId="0" fontId="0" fillId="0" borderId="53" xfId="0" applyBorder="1" applyAlignment="1">
      <alignment horizontal="center"/>
    </xf>
    <xf numFmtId="0" fontId="0" fillId="0" borderId="91" xfId="0" applyBorder="1" applyAlignment="1">
      <alignment horizontal="center"/>
    </xf>
    <xf numFmtId="0" fontId="0" fillId="0" borderId="91" xfId="0" applyBorder="1" applyAlignment="1">
      <alignment horizontal="center" vertical="center"/>
    </xf>
    <xf numFmtId="0" fontId="0" fillId="0" borderId="127" xfId="0" applyBorder="1" applyAlignment="1">
      <alignment horizontal="center"/>
    </xf>
    <xf numFmtId="0" fontId="0" fillId="0" borderId="122" xfId="0" applyBorder="1"/>
    <xf numFmtId="196" fontId="0" fillId="0" borderId="0" xfId="0" applyNumberFormat="1"/>
    <xf numFmtId="165" fontId="0" fillId="0" borderId="120" xfId="0" applyNumberFormat="1" applyBorder="1" applyAlignment="1">
      <alignment horizontal="center"/>
    </xf>
    <xf numFmtId="0" fontId="3" fillId="0" borderId="88" xfId="8" applyBorder="1" applyAlignment="1">
      <alignment horizontal="center" vertical="center"/>
    </xf>
    <xf numFmtId="0" fontId="9" fillId="0" borderId="36" xfId="171" applyFont="1" applyBorder="1" applyAlignment="1">
      <alignment horizontal="left" vertical="center"/>
    </xf>
    <xf numFmtId="0" fontId="9" fillId="0" borderId="5" xfId="171" applyFont="1" applyBorder="1" applyAlignment="1">
      <alignment horizontal="left" vertical="center"/>
    </xf>
    <xf numFmtId="0" fontId="11" fillId="0" borderId="99" xfId="173" applyFont="1" applyBorder="1" applyAlignment="1">
      <alignment horizontal="center" wrapText="1"/>
    </xf>
    <xf numFmtId="0" fontId="9" fillId="0" borderId="0" xfId="173" applyFont="1" applyAlignment="1">
      <alignment horizontal="center" vertical="top"/>
    </xf>
    <xf numFmtId="0" fontId="9" fillId="0" borderId="42" xfId="173" applyFont="1" applyBorder="1" applyAlignment="1">
      <alignment horizontal="center"/>
    </xf>
    <xf numFmtId="0" fontId="30" fillId="10" borderId="110" xfId="173" applyFont="1" applyFill="1" applyBorder="1" applyAlignment="1">
      <alignment horizontal="left" vertical="center" wrapText="1"/>
    </xf>
    <xf numFmtId="0" fontId="30" fillId="10" borderId="9" xfId="173" applyFont="1" applyFill="1" applyBorder="1" applyAlignment="1">
      <alignment horizontal="left" vertical="center" wrapText="1"/>
    </xf>
    <xf numFmtId="0" fontId="30" fillId="10" borderId="111" xfId="173" applyFont="1" applyFill="1" applyBorder="1" applyAlignment="1">
      <alignment horizontal="left" vertical="center" wrapText="1"/>
    </xf>
    <xf numFmtId="0" fontId="30" fillId="10" borderId="55" xfId="173" applyFont="1" applyFill="1" applyBorder="1" applyAlignment="1">
      <alignment horizontal="left" vertical="center" wrapText="1"/>
    </xf>
    <xf numFmtId="0" fontId="30" fillId="10" borderId="1" xfId="173" applyFont="1" applyFill="1" applyBorder="1" applyAlignment="1">
      <alignment horizontal="left" vertical="center" wrapText="1"/>
    </xf>
    <xf numFmtId="0" fontId="30" fillId="10" borderId="56" xfId="173" applyFont="1" applyFill="1" applyBorder="1" applyAlignment="1">
      <alignment horizontal="left" vertical="center" wrapText="1"/>
    </xf>
    <xf numFmtId="0" fontId="30" fillId="4" borderId="36" xfId="173" applyFont="1" applyFill="1" applyBorder="1" applyAlignment="1">
      <alignment horizontal="center" vertical="center" wrapText="1"/>
    </xf>
    <xf numFmtId="0" fontId="30" fillId="4" borderId="5" xfId="173" applyFont="1" applyFill="1" applyBorder="1" applyAlignment="1">
      <alignment horizontal="center" vertical="center" wrapText="1"/>
    </xf>
    <xf numFmtId="0" fontId="30" fillId="4" borderId="64" xfId="173" applyFont="1" applyFill="1" applyBorder="1" applyAlignment="1">
      <alignment horizontal="center" vertical="center" wrapText="1"/>
    </xf>
    <xf numFmtId="0" fontId="9" fillId="45" borderId="41" xfId="8" applyFont="1" applyFill="1" applyBorder="1" applyAlignment="1">
      <alignment horizontal="left" vertical="center"/>
    </xf>
    <xf numFmtId="0" fontId="9" fillId="45" borderId="42" xfId="8" applyFont="1" applyFill="1" applyBorder="1" applyAlignment="1">
      <alignment horizontal="left" vertical="center"/>
    </xf>
    <xf numFmtId="0" fontId="9" fillId="45" borderId="43" xfId="8" applyFont="1" applyFill="1" applyBorder="1" applyAlignment="1">
      <alignment horizontal="left" vertical="center"/>
    </xf>
    <xf numFmtId="0" fontId="9" fillId="0" borderId="34" xfId="171" applyFont="1" applyBorder="1" applyAlignment="1">
      <alignment horizontal="left" vertical="center" wrapText="1"/>
    </xf>
    <xf numFmtId="0" fontId="9" fillId="0" borderId="53" xfId="171" applyFont="1" applyBorder="1" applyAlignment="1">
      <alignment horizontal="left" vertical="center" wrapText="1"/>
    </xf>
    <xf numFmtId="0" fontId="9" fillId="0" borderId="35" xfId="171" applyFont="1" applyBorder="1" applyAlignment="1">
      <alignment horizontal="left" vertical="center" wrapText="1"/>
    </xf>
    <xf numFmtId="0" fontId="30" fillId="0" borderId="36" xfId="171" applyFont="1" applyBorder="1" applyAlignment="1">
      <alignment horizontal="center" vertical="center"/>
    </xf>
    <xf numFmtId="0" fontId="30" fillId="0" borderId="5" xfId="171" applyFont="1" applyBorder="1" applyAlignment="1">
      <alignment horizontal="center" vertical="center"/>
    </xf>
    <xf numFmtId="0" fontId="30" fillId="0" borderId="3" xfId="171" applyFont="1" applyBorder="1" applyAlignment="1">
      <alignment horizontal="center" vertical="center"/>
    </xf>
    <xf numFmtId="0" fontId="9" fillId="0" borderId="36" xfId="171" applyFont="1" applyBorder="1" applyAlignment="1">
      <alignment horizontal="left" vertical="center" wrapText="1"/>
    </xf>
    <xf numFmtId="0" fontId="9" fillId="0" borderId="5" xfId="171" applyFont="1" applyBorder="1" applyAlignment="1">
      <alignment horizontal="left" vertical="center" wrapText="1"/>
    </xf>
    <xf numFmtId="0" fontId="9" fillId="0" borderId="3" xfId="171" applyFont="1" applyBorder="1" applyAlignment="1">
      <alignment horizontal="left" vertical="center" wrapText="1"/>
    </xf>
    <xf numFmtId="0" fontId="30" fillId="4" borderId="36" xfId="173" applyFont="1" applyFill="1" applyBorder="1" applyAlignment="1">
      <alignment vertical="center" wrapText="1"/>
    </xf>
    <xf numFmtId="0" fontId="30" fillId="4" borderId="5" xfId="173" applyFont="1" applyFill="1" applyBorder="1" applyAlignment="1">
      <alignment vertical="center" wrapText="1"/>
    </xf>
    <xf numFmtId="0" fontId="30" fillId="4" borderId="3" xfId="173" applyFont="1" applyFill="1" applyBorder="1" applyAlignment="1">
      <alignment vertical="center" wrapText="1"/>
    </xf>
    <xf numFmtId="0" fontId="9" fillId="4" borderId="2" xfId="173" applyFont="1" applyFill="1" applyBorder="1" applyAlignment="1">
      <alignment horizontal="center" vertical="center" wrapText="1"/>
    </xf>
    <xf numFmtId="0" fontId="9" fillId="4" borderId="3" xfId="173" applyFont="1" applyFill="1" applyBorder="1" applyAlignment="1">
      <alignment horizontal="center" vertical="center" wrapText="1"/>
    </xf>
    <xf numFmtId="0" fontId="30" fillId="0" borderId="36" xfId="171" applyFont="1" applyBorder="1" applyAlignment="1">
      <alignment horizontal="center" vertical="center" wrapText="1"/>
    </xf>
    <xf numFmtId="0" fontId="30" fillId="0" borderId="5" xfId="171" applyFont="1" applyBorder="1" applyAlignment="1">
      <alignment horizontal="center" vertical="center" wrapText="1"/>
    </xf>
    <xf numFmtId="0" fontId="30" fillId="0" borderId="3" xfId="171" applyFont="1" applyBorder="1" applyAlignment="1">
      <alignment horizontal="center" vertical="center" wrapText="1"/>
    </xf>
    <xf numFmtId="0" fontId="95" fillId="0" borderId="39" xfId="171" applyFont="1" applyBorder="1" applyAlignment="1">
      <alignment horizontal="right" vertical="center"/>
    </xf>
    <xf numFmtId="0" fontId="95" fillId="0" borderId="40" xfId="171" applyFont="1" applyBorder="1" applyAlignment="1">
      <alignment horizontal="right" vertical="center"/>
    </xf>
    <xf numFmtId="0" fontId="95" fillId="0" borderId="112" xfId="171" applyFont="1" applyBorder="1" applyAlignment="1">
      <alignment horizontal="right" vertical="center"/>
    </xf>
    <xf numFmtId="0" fontId="30" fillId="0" borderId="53" xfId="48" applyFont="1" applyBorder="1" applyAlignment="1">
      <alignment horizontal="center" vertical="center"/>
    </xf>
    <xf numFmtId="0" fontId="30" fillId="0" borderId="54" xfId="48" applyFont="1" applyBorder="1" applyAlignment="1">
      <alignment horizontal="center" vertical="center"/>
    </xf>
    <xf numFmtId="3" fontId="9" fillId="4" borderId="2" xfId="173" applyNumberFormat="1" applyFont="1" applyFill="1" applyBorder="1" applyAlignment="1">
      <alignment horizontal="center" vertical="center" wrapText="1"/>
    </xf>
    <xf numFmtId="3" fontId="9" fillId="4" borderId="5" xfId="173" applyNumberFormat="1" applyFont="1" applyFill="1" applyBorder="1" applyAlignment="1">
      <alignment horizontal="center" vertical="center" wrapText="1"/>
    </xf>
    <xf numFmtId="3" fontId="9" fillId="4" borderId="3" xfId="173" applyNumberFormat="1" applyFont="1" applyFill="1" applyBorder="1" applyAlignment="1">
      <alignment horizontal="center" vertical="center" wrapText="1"/>
    </xf>
    <xf numFmtId="3" fontId="9" fillId="4" borderId="2" xfId="173" applyNumberFormat="1" applyFont="1" applyFill="1" applyBorder="1" applyAlignment="1">
      <alignment horizontal="center" vertical="center"/>
    </xf>
    <xf numFmtId="3" fontId="9" fillId="4" borderId="3" xfId="173" applyNumberFormat="1" applyFont="1" applyFill="1" applyBorder="1" applyAlignment="1">
      <alignment horizontal="center" vertical="center"/>
    </xf>
    <xf numFmtId="0" fontId="30" fillId="4" borderId="55" xfId="326" applyFont="1" applyFill="1" applyBorder="1" applyAlignment="1">
      <alignment vertical="center" wrapText="1"/>
    </xf>
    <xf numFmtId="0" fontId="30" fillId="4" borderId="1" xfId="326" applyFont="1" applyFill="1" applyBorder="1" applyAlignment="1">
      <alignment vertical="center" wrapText="1"/>
    </xf>
    <xf numFmtId="0" fontId="9" fillId="4" borderId="55" xfId="326" applyFont="1" applyFill="1" applyBorder="1" applyAlignment="1">
      <alignment vertical="center" wrapText="1"/>
    </xf>
    <xf numFmtId="0" fontId="30" fillId="2" borderId="14" xfId="173" applyFont="1" applyFill="1" applyBorder="1" applyAlignment="1">
      <alignment horizontal="center" vertical="center" wrapText="1"/>
    </xf>
    <xf numFmtId="0" fontId="30" fillId="2" borderId="46" xfId="173" applyFont="1" applyFill="1" applyBorder="1" applyAlignment="1">
      <alignment horizontal="center" vertical="center" wrapText="1"/>
    </xf>
    <xf numFmtId="0" fontId="10" fillId="0" borderId="1" xfId="2" applyFont="1" applyBorder="1" applyAlignment="1">
      <alignment horizontal="left" vertical="top" wrapText="1"/>
    </xf>
    <xf numFmtId="0" fontId="4" fillId="0" borderId="1" xfId="2" applyFont="1" applyBorder="1" applyAlignment="1">
      <alignment horizontal="left" vertical="center" wrapText="1"/>
    </xf>
    <xf numFmtId="0" fontId="7" fillId="0" borderId="2" xfId="2" applyFont="1" applyBorder="1" applyAlignment="1">
      <alignment horizontal="center" vertical="center" wrapText="1"/>
    </xf>
    <xf numFmtId="0" fontId="7" fillId="0" borderId="3" xfId="2" applyFont="1" applyBorder="1" applyAlignment="1">
      <alignment horizontal="center" vertical="center" wrapText="1"/>
    </xf>
    <xf numFmtId="15" fontId="9" fillId="0" borderId="1" xfId="3" applyNumberFormat="1" applyFont="1" applyBorder="1" applyAlignment="1">
      <alignment horizontal="center" vertical="center" wrapText="1"/>
    </xf>
    <xf numFmtId="0" fontId="13" fillId="0" borderId="2"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 xfId="2" applyFont="1" applyBorder="1" applyAlignment="1">
      <alignment horizontal="left" vertical="center" wrapText="1"/>
    </xf>
    <xf numFmtId="0" fontId="13" fillId="0" borderId="5" xfId="2" applyFont="1" applyBorder="1" applyAlignment="1">
      <alignment horizontal="left" vertical="center" wrapText="1"/>
    </xf>
    <xf numFmtId="0" fontId="13" fillId="0" borderId="90" xfId="2" applyFont="1" applyBorder="1" applyAlignment="1">
      <alignment horizontal="center" vertical="center" wrapText="1"/>
    </xf>
    <xf numFmtId="0" fontId="13" fillId="0" borderId="91" xfId="2" applyFont="1" applyBorder="1" applyAlignment="1">
      <alignment horizontal="center" vertical="center" wrapText="1"/>
    </xf>
    <xf numFmtId="2" fontId="3" fillId="0" borderId="87" xfId="2" applyNumberFormat="1" applyBorder="1" applyAlignment="1">
      <alignment horizontal="center" vertical="center"/>
    </xf>
    <xf numFmtId="2" fontId="3" fillId="0" borderId="30" xfId="2" applyNumberFormat="1" applyBorder="1" applyAlignment="1">
      <alignment horizontal="center" vertical="center"/>
    </xf>
    <xf numFmtId="2" fontId="3" fillId="0" borderId="9" xfId="2" applyNumberFormat="1" applyBorder="1" applyAlignment="1">
      <alignment horizontal="center" vertical="center"/>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4" xfId="2" applyFont="1" applyBorder="1" applyAlignment="1">
      <alignment horizontal="center" vertical="center" wrapText="1"/>
    </xf>
    <xf numFmtId="0" fontId="6" fillId="0" borderId="8" xfId="2" applyFont="1" applyBorder="1" applyAlignment="1">
      <alignment horizontal="center" vertical="center" wrapText="1"/>
    </xf>
    <xf numFmtId="165" fontId="7" fillId="0" borderId="9" xfId="2" applyNumberFormat="1" applyFont="1" applyBorder="1" applyAlignment="1">
      <alignment horizontal="right" vertical="center" wrapText="1"/>
    </xf>
    <xf numFmtId="0" fontId="5" fillId="2" borderId="1" xfId="2" applyFont="1" applyFill="1" applyBorder="1" applyAlignment="1">
      <alignment horizontal="center" wrapText="1"/>
    </xf>
    <xf numFmtId="0" fontId="6" fillId="0" borderId="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 xfId="2" applyFont="1" applyBorder="1" applyAlignment="1">
      <alignment horizontal="center" vertical="center" wrapText="1"/>
    </xf>
    <xf numFmtId="0" fontId="7" fillId="0" borderId="1" xfId="2" applyFont="1" applyBorder="1" applyAlignment="1">
      <alignment horizontal="center" vertical="center"/>
    </xf>
    <xf numFmtId="0" fontId="7" fillId="13" borderId="1" xfId="2" applyFont="1" applyFill="1" applyBorder="1" applyAlignment="1">
      <alignment horizontal="center" vertical="center"/>
    </xf>
    <xf numFmtId="181" fontId="6" fillId="7" borderId="1" xfId="25" applyNumberFormat="1" applyFont="1" applyFill="1" applyBorder="1" applyAlignment="1">
      <alignment horizontal="center" vertical="center" wrapText="1"/>
    </xf>
    <xf numFmtId="0" fontId="15" fillId="0" borderId="0" xfId="24" applyFont="1" applyAlignment="1">
      <alignment horizontal="center" vertical="center" wrapText="1"/>
    </xf>
    <xf numFmtId="0" fontId="16" fillId="0" borderId="0" xfId="24" applyFont="1" applyAlignment="1">
      <alignment horizontal="center" vertical="center" wrapText="1"/>
    </xf>
    <xf numFmtId="0" fontId="15" fillId="0" borderId="0" xfId="24" applyFont="1" applyAlignment="1">
      <alignment horizontal="center" wrapText="1"/>
    </xf>
    <xf numFmtId="181" fontId="15" fillId="0" borderId="10" xfId="25" applyNumberFormat="1" applyFont="1" applyFill="1" applyBorder="1" applyAlignment="1">
      <alignment horizontal="center" vertical="top" wrapText="1"/>
    </xf>
    <xf numFmtId="0" fontId="0" fillId="0" borderId="15" xfId="0" applyBorder="1" applyAlignment="1">
      <alignment horizontal="center"/>
    </xf>
    <xf numFmtId="0" fontId="0" fillId="0" borderId="12" xfId="0"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55" xfId="0" applyBorder="1" applyAlignment="1">
      <alignment horizontal="center"/>
    </xf>
    <xf numFmtId="0" fontId="0" fillId="0" borderId="88" xfId="0" applyBorder="1" applyAlignment="1">
      <alignment horizontal="center"/>
    </xf>
    <xf numFmtId="0" fontId="77" fillId="0" borderId="88" xfId="320" applyFont="1" applyBorder="1" applyAlignment="1">
      <alignment horizontal="center" vertical="top"/>
    </xf>
    <xf numFmtId="0" fontId="75" fillId="0" borderId="88" xfId="320" applyFont="1" applyBorder="1" applyAlignment="1">
      <alignment horizontal="center" vertical="top" wrapText="1"/>
    </xf>
    <xf numFmtId="0" fontId="83" fillId="0" borderId="90" xfId="320" applyFont="1" applyBorder="1" applyAlignment="1">
      <alignment horizontal="center" vertical="top" wrapText="1"/>
    </xf>
    <xf numFmtId="0" fontId="83" fillId="0" borderId="86" xfId="320" applyFont="1" applyBorder="1" applyAlignment="1">
      <alignment horizontal="center" vertical="top" wrapText="1"/>
    </xf>
    <xf numFmtId="0" fontId="78" fillId="3" borderId="88" xfId="320" applyFont="1" applyFill="1" applyBorder="1" applyAlignment="1">
      <alignment horizontal="center" vertical="top" wrapText="1"/>
    </xf>
    <xf numFmtId="0" fontId="77" fillId="0" borderId="88" xfId="320" applyFont="1" applyBorder="1" applyAlignment="1">
      <alignment horizontal="left" wrapText="1"/>
    </xf>
    <xf numFmtId="0" fontId="77" fillId="3" borderId="88" xfId="320" applyFont="1" applyFill="1" applyBorder="1" applyAlignment="1">
      <alignment horizontal="left" wrapText="1"/>
    </xf>
    <xf numFmtId="0" fontId="77" fillId="3" borderId="88" xfId="320" applyFont="1" applyFill="1" applyBorder="1" applyAlignment="1">
      <alignment horizontal="left" vertical="center" wrapText="1"/>
    </xf>
    <xf numFmtId="9" fontId="79" fillId="3" borderId="88" xfId="321" applyFont="1" applyFill="1" applyBorder="1" applyAlignment="1">
      <alignment horizontal="center" vertical="center" wrapText="1"/>
    </xf>
    <xf numFmtId="0" fontId="70" fillId="0" borderId="88" xfId="2" applyFont="1" applyBorder="1" applyAlignment="1">
      <alignment horizontal="center" vertical="center" wrapText="1"/>
    </xf>
    <xf numFmtId="0" fontId="76" fillId="0" borderId="88" xfId="2" applyFont="1" applyBorder="1" applyAlignment="1">
      <alignment horizontal="center" vertical="center"/>
    </xf>
    <xf numFmtId="0" fontId="79" fillId="0" borderId="88" xfId="320" applyFont="1" applyBorder="1" applyAlignment="1">
      <alignment horizontal="center" vertical="top" wrapText="1"/>
    </xf>
    <xf numFmtId="0" fontId="75" fillId="0" borderId="88" xfId="320" applyFont="1" applyBorder="1" applyAlignment="1">
      <alignment horizontal="center" vertical="top"/>
    </xf>
    <xf numFmtId="173" fontId="76" fillId="0" borderId="88" xfId="14" applyNumberFormat="1" applyFont="1" applyBorder="1" applyAlignment="1">
      <alignment horizontal="center" vertical="center"/>
    </xf>
    <xf numFmtId="0" fontId="76" fillId="0" borderId="88" xfId="13" applyFont="1" applyBorder="1" applyAlignment="1">
      <alignment horizontal="center" vertical="center"/>
    </xf>
    <xf numFmtId="0" fontId="89" fillId="40" borderId="90" xfId="0" applyFont="1" applyFill="1" applyBorder="1" applyAlignment="1">
      <alignment horizontal="center"/>
    </xf>
    <xf numFmtId="0" fontId="89" fillId="40" borderId="91" xfId="0" applyFont="1" applyFill="1" applyBorder="1" applyAlignment="1">
      <alignment horizontal="center"/>
    </xf>
    <xf numFmtId="0" fontId="89" fillId="40" borderId="86" xfId="0" applyFont="1" applyFill="1" applyBorder="1" applyAlignment="1">
      <alignment horizontal="center"/>
    </xf>
    <xf numFmtId="0" fontId="88" fillId="41" borderId="90" xfId="0" applyFont="1" applyFill="1" applyBorder="1" applyAlignment="1">
      <alignment horizontal="center"/>
    </xf>
    <xf numFmtId="0" fontId="88" fillId="41" borderId="91" xfId="0" applyFont="1" applyFill="1" applyBorder="1" applyAlignment="1">
      <alignment horizontal="center"/>
    </xf>
    <xf numFmtId="0" fontId="88" fillId="41" borderId="86" xfId="0" applyFont="1" applyFill="1" applyBorder="1" applyAlignment="1">
      <alignment horizontal="center"/>
    </xf>
    <xf numFmtId="0" fontId="5" fillId="0" borderId="0" xfId="13" applyFont="1" applyAlignment="1">
      <alignment horizontal="left" vertical="center"/>
    </xf>
    <xf numFmtId="0" fontId="20" fillId="0" borderId="23" xfId="13" applyFont="1" applyBorder="1" applyAlignment="1">
      <alignment horizontal="justify" vertical="center" wrapText="1"/>
    </xf>
    <xf numFmtId="0" fontId="20" fillId="0" borderId="7" xfId="13" applyFont="1" applyBorder="1" applyAlignment="1">
      <alignment horizontal="justify" vertical="center" wrapText="1"/>
    </xf>
    <xf numFmtId="0" fontId="20" fillId="0" borderId="0" xfId="13" applyFont="1" applyAlignment="1">
      <alignment horizontal="justify" vertical="center" wrapText="1"/>
    </xf>
    <xf numFmtId="0" fontId="20" fillId="0" borderId="25" xfId="13" applyFont="1" applyBorder="1" applyAlignment="1">
      <alignment horizontal="justify" vertical="center" wrapText="1"/>
    </xf>
    <xf numFmtId="0" fontId="20" fillId="0" borderId="22" xfId="13" applyFont="1" applyBorder="1" applyAlignment="1">
      <alignment horizontal="justify" vertical="center" wrapText="1"/>
    </xf>
    <xf numFmtId="0" fontId="20" fillId="0" borderId="8" xfId="13" applyFont="1" applyBorder="1" applyAlignment="1">
      <alignment horizontal="justify" vertical="center" wrapText="1"/>
    </xf>
    <xf numFmtId="0" fontId="5" fillId="3" borderId="2" xfId="13" applyFont="1" applyFill="1" applyBorder="1" applyAlignment="1">
      <alignment horizontal="center" vertical="center" wrapText="1"/>
    </xf>
    <xf numFmtId="0" fontId="5" fillId="3" borderId="5" xfId="13" applyFont="1" applyFill="1" applyBorder="1" applyAlignment="1">
      <alignment horizontal="center" vertical="center" wrapText="1"/>
    </xf>
    <xf numFmtId="0" fontId="5" fillId="3" borderId="3" xfId="13" applyFont="1" applyFill="1" applyBorder="1" applyAlignment="1">
      <alignment horizontal="center" vertical="center" wrapText="1"/>
    </xf>
    <xf numFmtId="0" fontId="21" fillId="0" borderId="2" xfId="15" applyFont="1" applyBorder="1" applyAlignment="1">
      <alignment horizontal="left" vertical="center" wrapText="1"/>
    </xf>
    <xf numFmtId="0" fontId="21" fillId="0" borderId="31" xfId="15" applyFont="1" applyBorder="1" applyAlignment="1">
      <alignment horizontal="left" vertical="center" wrapText="1"/>
    </xf>
    <xf numFmtId="2" fontId="21" fillId="6" borderId="48" xfId="2" applyNumberFormat="1" applyFont="1" applyFill="1" applyBorder="1" applyAlignment="1">
      <alignment horizontal="center" vertical="center"/>
    </xf>
    <xf numFmtId="2" fontId="21" fillId="6" borderId="49" xfId="2" applyNumberFormat="1" applyFont="1" applyFill="1" applyBorder="1" applyAlignment="1">
      <alignment horizontal="center" vertical="center"/>
    </xf>
    <xf numFmtId="173" fontId="21" fillId="0" borderId="2" xfId="13" applyNumberFormat="1" applyFont="1" applyBorder="1" applyAlignment="1">
      <alignment horizontal="center" vertical="center" wrapText="1"/>
    </xf>
    <xf numFmtId="173" fontId="21" fillId="0" borderId="3" xfId="13" applyNumberFormat="1" applyFont="1" applyBorder="1" applyAlignment="1">
      <alignment horizontal="center" vertical="center" wrapText="1"/>
    </xf>
    <xf numFmtId="9" fontId="21" fillId="0" borderId="1" xfId="21" applyFont="1" applyFill="1" applyBorder="1" applyAlignment="1" applyProtection="1">
      <alignment horizontal="center" vertical="center" wrapText="1"/>
    </xf>
    <xf numFmtId="10" fontId="21" fillId="0" borderId="2" xfId="13" applyNumberFormat="1" applyFont="1" applyBorder="1" applyAlignment="1">
      <alignment horizontal="center" vertical="center" wrapText="1"/>
    </xf>
    <xf numFmtId="10" fontId="21" fillId="0" borderId="5" xfId="13" applyNumberFormat="1" applyFont="1" applyBorder="1" applyAlignment="1">
      <alignment horizontal="center" vertical="center" wrapText="1"/>
    </xf>
    <xf numFmtId="10" fontId="21" fillId="0" borderId="3" xfId="13" applyNumberFormat="1" applyFont="1" applyBorder="1" applyAlignment="1">
      <alignment horizontal="center" vertical="center" wrapText="1"/>
    </xf>
    <xf numFmtId="37" fontId="5" fillId="0" borderId="2" xfId="13" applyNumberFormat="1" applyFont="1" applyBorder="1" applyAlignment="1">
      <alignment horizontal="right" vertical="center"/>
    </xf>
    <xf numFmtId="37" fontId="5" fillId="0" borderId="5" xfId="13" applyNumberFormat="1" applyFont="1" applyBorder="1" applyAlignment="1">
      <alignment horizontal="right" vertical="center"/>
    </xf>
    <xf numFmtId="37" fontId="5" fillId="0" borderId="3" xfId="13" applyNumberFormat="1" applyFont="1" applyBorder="1" applyAlignment="1">
      <alignment horizontal="right" vertical="center"/>
    </xf>
    <xf numFmtId="0" fontId="5" fillId="0" borderId="22" xfId="13" applyFont="1" applyBorder="1" applyAlignment="1">
      <alignment horizontal="left" vertical="center"/>
    </xf>
    <xf numFmtId="0" fontId="22" fillId="0" borderId="1" xfId="13" applyFont="1" applyBorder="1" applyAlignment="1">
      <alignment horizontal="center" vertical="center" wrapText="1"/>
    </xf>
    <xf numFmtId="9" fontId="21" fillId="0" borderId="1" xfId="13" applyNumberFormat="1" applyFont="1" applyBorder="1" applyAlignment="1">
      <alignment horizontal="center" vertical="center" wrapText="1"/>
    </xf>
    <xf numFmtId="0" fontId="5" fillId="3" borderId="1" xfId="13" applyFont="1" applyFill="1" applyBorder="1" applyAlignment="1">
      <alignment vertical="center"/>
    </xf>
    <xf numFmtId="0" fontId="5" fillId="3" borderId="1" xfId="13" applyFont="1" applyFill="1" applyBorder="1" applyAlignment="1">
      <alignment horizontal="center" vertical="center"/>
    </xf>
    <xf numFmtId="0" fontId="5" fillId="3" borderId="2" xfId="13" applyFont="1" applyFill="1" applyBorder="1" applyAlignment="1">
      <alignment horizontal="center" vertical="center"/>
    </xf>
    <xf numFmtId="0" fontId="5" fillId="3" borderId="3" xfId="13" applyFont="1" applyFill="1" applyBorder="1" applyAlignment="1">
      <alignment horizontal="center" vertical="center"/>
    </xf>
    <xf numFmtId="188" fontId="21" fillId="0" borderId="2" xfId="7" applyNumberFormat="1" applyFont="1" applyBorder="1" applyAlignment="1">
      <alignment horizontal="center" vertical="center" wrapText="1"/>
    </xf>
    <xf numFmtId="188" fontId="21" fillId="0" borderId="5" xfId="7" applyNumberFormat="1" applyFont="1" applyBorder="1" applyAlignment="1">
      <alignment horizontal="center" vertical="center" wrapText="1"/>
    </xf>
    <xf numFmtId="188" fontId="21" fillId="0" borderId="3" xfId="7" applyNumberFormat="1" applyFont="1" applyBorder="1" applyAlignment="1">
      <alignment horizontal="center" vertical="center" wrapText="1"/>
    </xf>
    <xf numFmtId="0" fontId="21" fillId="0" borderId="0" xfId="13" applyFont="1" applyAlignment="1">
      <alignment horizontal="center" vertical="center"/>
    </xf>
    <xf numFmtId="0" fontId="5" fillId="3" borderId="1" xfId="13" applyFont="1" applyFill="1" applyBorder="1" applyAlignment="1">
      <alignment horizontal="left" vertical="center"/>
    </xf>
    <xf numFmtId="175" fontId="5" fillId="3" borderId="1" xfId="13" applyNumberFormat="1" applyFont="1" applyFill="1" applyBorder="1" applyAlignment="1">
      <alignment vertical="center"/>
    </xf>
    <xf numFmtId="0" fontId="21" fillId="3" borderId="5" xfId="13" applyFont="1" applyFill="1" applyBorder="1" applyAlignment="1">
      <alignment horizontal="center" vertical="center" wrapText="1"/>
    </xf>
    <xf numFmtId="0" fontId="21" fillId="0" borderId="1" xfId="13" applyFont="1" applyBorder="1" applyAlignment="1">
      <alignment horizontal="justify" vertical="center"/>
    </xf>
    <xf numFmtId="4" fontId="21" fillId="6" borderId="1" xfId="4" applyNumberFormat="1" applyFont="1" applyFill="1" applyBorder="1" applyAlignment="1" applyProtection="1">
      <alignment horizontal="center" vertical="center"/>
    </xf>
    <xf numFmtId="2" fontId="21" fillId="9" borderId="33" xfId="2" applyNumberFormat="1" applyFont="1" applyFill="1" applyBorder="1" applyAlignment="1">
      <alignment horizontal="center" vertical="center"/>
    </xf>
    <xf numFmtId="0" fontId="3" fillId="6" borderId="52" xfId="2" applyFill="1" applyBorder="1"/>
    <xf numFmtId="37" fontId="5" fillId="0" borderId="1" xfId="13" applyNumberFormat="1" applyFont="1" applyBorder="1" applyAlignment="1">
      <alignment horizontal="right" vertical="center"/>
    </xf>
    <xf numFmtId="0" fontId="5" fillId="0" borderId="5" xfId="13" applyFont="1" applyBorder="1" applyAlignment="1">
      <alignment horizontal="left" vertical="center"/>
    </xf>
    <xf numFmtId="2" fontId="21" fillId="6" borderId="50" xfId="2" applyNumberFormat="1" applyFont="1" applyFill="1" applyBorder="1" applyAlignment="1">
      <alignment horizontal="center" vertical="center"/>
    </xf>
    <xf numFmtId="2" fontId="21" fillId="6" borderId="51" xfId="2" applyNumberFormat="1" applyFont="1" applyFill="1" applyBorder="1" applyAlignment="1">
      <alignment horizontal="center" vertical="center"/>
    </xf>
    <xf numFmtId="2" fontId="21" fillId="9" borderId="48" xfId="2" applyNumberFormat="1" applyFont="1" applyFill="1" applyBorder="1" applyAlignment="1">
      <alignment horizontal="center" vertical="center"/>
    </xf>
    <xf numFmtId="2" fontId="21" fillId="9" borderId="49" xfId="2" applyNumberFormat="1" applyFont="1" applyFill="1" applyBorder="1" applyAlignment="1">
      <alignment horizontal="center" vertical="center"/>
    </xf>
    <xf numFmtId="0" fontId="5" fillId="3" borderId="1" xfId="13" applyFont="1" applyFill="1" applyBorder="1" applyAlignment="1">
      <alignment horizontal="center" vertical="center" wrapText="1"/>
    </xf>
    <xf numFmtId="0" fontId="5" fillId="3" borderId="2" xfId="13" applyFont="1" applyFill="1" applyBorder="1" applyAlignment="1">
      <alignment horizontal="left" vertical="center"/>
    </xf>
    <xf numFmtId="0" fontId="5" fillId="3" borderId="5" xfId="13" applyFont="1" applyFill="1" applyBorder="1" applyAlignment="1">
      <alignment horizontal="left" vertical="center"/>
    </xf>
    <xf numFmtId="0" fontId="5" fillId="3" borderId="3" xfId="13" applyFont="1" applyFill="1" applyBorder="1" applyAlignment="1">
      <alignment horizontal="left" vertical="center"/>
    </xf>
    <xf numFmtId="0" fontId="21" fillId="3" borderId="1" xfId="13" applyFont="1" applyFill="1" applyBorder="1" applyAlignment="1">
      <alignment horizontal="center" vertical="center" wrapText="1"/>
    </xf>
    <xf numFmtId="0" fontId="6" fillId="0" borderId="26" xfId="2" applyFont="1" applyBorder="1" applyAlignment="1">
      <alignment horizontal="center" vertical="center"/>
    </xf>
    <xf numFmtId="0" fontId="6" fillId="0" borderId="44" xfId="2" applyFont="1" applyBorder="1" applyAlignment="1">
      <alignment horizontal="center" vertical="center"/>
    </xf>
    <xf numFmtId="0" fontId="21" fillId="0" borderId="45" xfId="2" applyFont="1" applyBorder="1" applyAlignment="1">
      <alignment horizontal="center" vertical="center" wrapText="1"/>
    </xf>
    <xf numFmtId="0" fontId="21" fillId="0" borderId="27" xfId="2" applyFont="1" applyBorder="1" applyAlignment="1">
      <alignment horizontal="center" vertical="center" wrapText="1"/>
    </xf>
    <xf numFmtId="44" fontId="21" fillId="0" borderId="27" xfId="1" applyFont="1" applyBorder="1" applyAlignment="1">
      <alignment horizontal="center" vertical="center" wrapText="1"/>
    </xf>
    <xf numFmtId="0" fontId="21" fillId="0" borderId="28" xfId="2" applyFont="1" applyBorder="1" applyAlignment="1">
      <alignment horizontal="center" vertical="center" wrapText="1"/>
    </xf>
    <xf numFmtId="0" fontId="5" fillId="0" borderId="15" xfId="13" applyFont="1" applyBorder="1" applyAlignment="1">
      <alignment horizontal="center" vertical="center"/>
    </xf>
    <xf numFmtId="0" fontId="5" fillId="0" borderId="12" xfId="13" applyFont="1" applyBorder="1" applyAlignment="1">
      <alignment horizontal="center" vertical="center"/>
    </xf>
    <xf numFmtId="173" fontId="17" fillId="0" borderId="12" xfId="14" applyNumberFormat="1" applyFont="1" applyBorder="1" applyAlignment="1">
      <alignment horizontal="center" vertical="center"/>
    </xf>
    <xf numFmtId="173" fontId="17" fillId="0" borderId="13" xfId="14" applyNumberFormat="1" applyFont="1" applyBorder="1" applyAlignment="1">
      <alignment horizontal="center" vertical="center"/>
    </xf>
    <xf numFmtId="15" fontId="3" fillId="0" borderId="12" xfId="2" applyNumberFormat="1" applyBorder="1" applyAlignment="1">
      <alignment horizontal="center" vertical="center"/>
    </xf>
    <xf numFmtId="15" fontId="3" fillId="0" borderId="13" xfId="2" applyNumberFormat="1" applyBorder="1" applyAlignment="1">
      <alignment horizontal="center" vertical="center"/>
    </xf>
    <xf numFmtId="0" fontId="5" fillId="0" borderId="16" xfId="13" applyFont="1" applyBorder="1" applyAlignment="1">
      <alignment horizontal="center" vertical="center"/>
    </xf>
    <xf numFmtId="0" fontId="5" fillId="0" borderId="14" xfId="13" applyFont="1" applyBorder="1" applyAlignment="1">
      <alignment horizontal="center" vertical="center"/>
    </xf>
    <xf numFmtId="0" fontId="5" fillId="0" borderId="46" xfId="13" applyFont="1" applyBorder="1" applyAlignment="1">
      <alignment horizontal="center" vertical="center"/>
    </xf>
    <xf numFmtId="0" fontId="3" fillId="0" borderId="40" xfId="2" applyBorder="1" applyAlignment="1">
      <alignment horizontal="center" vertical="center"/>
    </xf>
    <xf numFmtId="0" fontId="3" fillId="0" borderId="47" xfId="2" applyBorder="1" applyAlignment="1">
      <alignment horizontal="center" vertical="center"/>
    </xf>
    <xf numFmtId="0" fontId="6" fillId="0" borderId="34" xfId="2" applyFont="1" applyBorder="1" applyAlignment="1">
      <alignment horizontal="center" vertical="center"/>
    </xf>
    <xf numFmtId="0" fontId="6" fillId="0" borderId="35" xfId="2" applyFont="1" applyBorder="1" applyAlignment="1">
      <alignment horizontal="center" vertical="center"/>
    </xf>
    <xf numFmtId="0" fontId="6" fillId="0" borderId="12" xfId="2" applyFont="1" applyBorder="1" applyAlignment="1">
      <alignment horizontal="center" vertical="center"/>
    </xf>
    <xf numFmtId="0" fontId="5" fillId="0" borderId="19" xfId="2" applyFont="1" applyBorder="1" applyAlignment="1">
      <alignment horizontal="center" vertical="center"/>
    </xf>
    <xf numFmtId="0" fontId="5" fillId="0" borderId="20" xfId="2" applyFont="1" applyBorder="1" applyAlignment="1">
      <alignment horizontal="center" vertical="center"/>
    </xf>
    <xf numFmtId="0" fontId="5" fillId="0" borderId="21" xfId="2" applyFont="1" applyBorder="1" applyAlignment="1">
      <alignment horizontal="center" vertical="center"/>
    </xf>
    <xf numFmtId="0" fontId="5" fillId="0" borderId="37" xfId="2" applyFont="1" applyBorder="1" applyAlignment="1">
      <alignment horizontal="center" vertical="center"/>
    </xf>
    <xf numFmtId="0" fontId="5" fillId="0" borderId="0" xfId="2" applyFont="1" applyAlignment="1">
      <alignment horizontal="center" vertical="center"/>
    </xf>
    <xf numFmtId="0" fontId="5" fillId="0" borderId="38" xfId="2" applyFont="1" applyBorder="1" applyAlignment="1">
      <alignment horizontal="center" vertical="center"/>
    </xf>
    <xf numFmtId="0" fontId="5" fillId="0" borderId="41" xfId="2" applyFont="1" applyBorder="1" applyAlignment="1">
      <alignment horizontal="center" vertical="center"/>
    </xf>
    <xf numFmtId="0" fontId="5" fillId="0" borderId="42" xfId="2" applyFont="1" applyBorder="1" applyAlignment="1">
      <alignment horizontal="center" vertical="center"/>
    </xf>
    <xf numFmtId="0" fontId="5" fillId="0" borderId="43" xfId="2" applyFont="1" applyBorder="1" applyAlignment="1">
      <alignment horizontal="center" vertical="center"/>
    </xf>
    <xf numFmtId="0" fontId="3" fillId="0" borderId="36" xfId="2" applyBorder="1" applyAlignment="1">
      <alignment horizontal="center" vertical="center"/>
    </xf>
    <xf numFmtId="0" fontId="3" fillId="0" borderId="3" xfId="2" applyBorder="1" applyAlignment="1">
      <alignment horizontal="center" vertical="center"/>
    </xf>
    <xf numFmtId="0" fontId="0" fillId="0" borderId="1" xfId="2" applyFont="1" applyBorder="1" applyAlignment="1">
      <alignment horizontal="center" vertical="center"/>
    </xf>
    <xf numFmtId="0" fontId="3" fillId="0" borderId="1" xfId="2" applyBorder="1" applyAlignment="1">
      <alignment horizontal="center" vertical="center"/>
    </xf>
    <xf numFmtId="0" fontId="6" fillId="0" borderId="36" xfId="2" applyFont="1" applyBorder="1" applyAlignment="1">
      <alignment horizontal="center" vertical="center"/>
    </xf>
    <xf numFmtId="0" fontId="6" fillId="0" borderId="5" xfId="2" applyFont="1" applyBorder="1" applyAlignment="1">
      <alignment horizontal="center" vertical="center"/>
    </xf>
    <xf numFmtId="0" fontId="6" fillId="0" borderId="39" xfId="2" applyFont="1" applyBorder="1" applyAlignment="1">
      <alignment horizontal="center" vertical="center"/>
    </xf>
    <xf numFmtId="0" fontId="6" fillId="0" borderId="40" xfId="2" applyFont="1" applyBorder="1" applyAlignment="1">
      <alignment horizontal="center" vertical="center"/>
    </xf>
    <xf numFmtId="0" fontId="6" fillId="0" borderId="26" xfId="17" applyFont="1" applyBorder="1" applyAlignment="1">
      <alignment horizontal="center" vertical="center" wrapText="1"/>
    </xf>
    <xf numFmtId="0" fontId="6" fillId="0" borderId="27" xfId="17" applyFont="1" applyBorder="1" applyAlignment="1">
      <alignment horizontal="center" vertical="center" wrapText="1"/>
    </xf>
    <xf numFmtId="0" fontId="6" fillId="0" borderId="28" xfId="17" applyFont="1" applyBorder="1" applyAlignment="1">
      <alignment horizontal="center" vertical="center" wrapText="1"/>
    </xf>
    <xf numFmtId="0" fontId="0" fillId="0" borderId="26" xfId="17" applyFont="1" applyBorder="1" applyAlignment="1">
      <alignment horizontal="center" vertical="center" wrapText="1"/>
    </xf>
    <xf numFmtId="0" fontId="3" fillId="0" borderId="27" xfId="17" applyBorder="1" applyAlignment="1">
      <alignment horizontal="center" vertical="center" wrapText="1"/>
    </xf>
    <xf numFmtId="0" fontId="3" fillId="0" borderId="44" xfId="17" applyBorder="1" applyAlignment="1">
      <alignment horizontal="center" vertical="center" wrapText="1"/>
    </xf>
    <xf numFmtId="0" fontId="6" fillId="0" borderId="4" xfId="17" applyFont="1" applyBorder="1" applyAlignment="1">
      <alignment vertical="center"/>
    </xf>
    <xf numFmtId="0" fontId="6" fillId="0" borderId="22" xfId="17" applyFont="1" applyBorder="1" applyAlignment="1">
      <alignment vertical="center"/>
    </xf>
    <xf numFmtId="0" fontId="6" fillId="0" borderId="8" xfId="17" applyFont="1" applyBorder="1" applyAlignment="1">
      <alignment vertical="center"/>
    </xf>
    <xf numFmtId="0" fontId="6" fillId="0" borderId="5" xfId="32" applyFont="1" applyBorder="1" applyAlignment="1">
      <alignment horizontal="center" vertical="center"/>
    </xf>
    <xf numFmtId="0" fontId="6" fillId="10" borderId="2" xfId="32" applyFont="1" applyFill="1" applyBorder="1" applyAlignment="1">
      <alignment horizontal="center" vertical="center"/>
    </xf>
    <xf numFmtId="0" fontId="6" fillId="10" borderId="5" xfId="32" applyFont="1" applyFill="1" applyBorder="1" applyAlignment="1">
      <alignment horizontal="center" vertical="center"/>
    </xf>
    <xf numFmtId="0" fontId="6" fillId="10" borderId="3" xfId="32" applyFont="1" applyFill="1" applyBorder="1" applyAlignment="1">
      <alignment horizontal="center" vertical="center"/>
    </xf>
    <xf numFmtId="0" fontId="6" fillId="10" borderId="2" xfId="33" applyFont="1" applyFill="1" applyBorder="1" applyAlignment="1">
      <alignment horizontal="center" vertical="center"/>
    </xf>
    <xf numFmtId="0" fontId="6" fillId="10" borderId="5" xfId="33" applyFont="1" applyFill="1" applyBorder="1" applyAlignment="1">
      <alignment horizontal="center" vertical="center"/>
    </xf>
    <xf numFmtId="0" fontId="6" fillId="10" borderId="3" xfId="33" applyFont="1" applyFill="1" applyBorder="1" applyAlignment="1">
      <alignment horizontal="center" vertical="center"/>
    </xf>
    <xf numFmtId="0" fontId="6" fillId="0" borderId="53" xfId="2" applyFont="1" applyBorder="1" applyAlignment="1">
      <alignment horizontal="center" vertical="center"/>
    </xf>
    <xf numFmtId="0" fontId="6" fillId="0" borderId="54" xfId="2" applyFont="1" applyBorder="1" applyAlignment="1">
      <alignment horizontal="center" vertical="center"/>
    </xf>
    <xf numFmtId="0" fontId="3" fillId="0" borderId="19" xfId="17" applyBorder="1" applyAlignment="1">
      <alignment horizontal="center" vertical="center"/>
    </xf>
    <xf numFmtId="0" fontId="3" fillId="0" borderId="20" xfId="17" applyBorder="1" applyAlignment="1">
      <alignment horizontal="center" vertical="center"/>
    </xf>
    <xf numFmtId="0" fontId="3" fillId="0" borderId="21" xfId="17" applyBorder="1" applyAlignment="1">
      <alignment horizontal="center" vertical="center"/>
    </xf>
    <xf numFmtId="0" fontId="3" fillId="0" borderId="37" xfId="17" applyBorder="1" applyAlignment="1">
      <alignment horizontal="center" vertical="center"/>
    </xf>
    <xf numFmtId="0" fontId="3" fillId="0" borderId="0" xfId="17" applyAlignment="1">
      <alignment horizontal="center" vertical="center"/>
    </xf>
    <xf numFmtId="0" fontId="3" fillId="0" borderId="38" xfId="17" applyBorder="1" applyAlignment="1">
      <alignment horizontal="center" vertical="center"/>
    </xf>
    <xf numFmtId="0" fontId="3" fillId="0" borderId="57" xfId="17" applyBorder="1" applyAlignment="1">
      <alignment horizontal="center" vertical="center"/>
    </xf>
    <xf numFmtId="0" fontId="3" fillId="0" borderId="22" xfId="17" applyBorder="1" applyAlignment="1">
      <alignment horizontal="center" vertical="center"/>
    </xf>
    <xf numFmtId="0" fontId="3" fillId="0" borderId="58" xfId="17" applyBorder="1" applyAlignment="1">
      <alignment horizontal="center" vertical="center"/>
    </xf>
    <xf numFmtId="0" fontId="6" fillId="0" borderId="55" xfId="17" applyFont="1" applyBorder="1" applyAlignment="1">
      <alignment horizontal="center" vertical="center"/>
    </xf>
    <xf numFmtId="0" fontId="6" fillId="0" borderId="1" xfId="17" applyFont="1" applyBorder="1" applyAlignment="1">
      <alignment horizontal="center" vertical="center"/>
    </xf>
    <xf numFmtId="0" fontId="6" fillId="0" borderId="56" xfId="17" applyFont="1" applyBorder="1" applyAlignment="1">
      <alignment horizontal="center" vertical="center"/>
    </xf>
    <xf numFmtId="0" fontId="6" fillId="0" borderId="16" xfId="17" applyFont="1" applyBorder="1" applyAlignment="1">
      <alignment horizontal="center" vertical="center"/>
    </xf>
    <xf numFmtId="0" fontId="6" fillId="0" borderId="14" xfId="17" applyFont="1" applyBorder="1" applyAlignment="1">
      <alignment horizontal="center" vertical="center"/>
    </xf>
    <xf numFmtId="0" fontId="6" fillId="0" borderId="46" xfId="17" applyFont="1" applyBorder="1" applyAlignment="1">
      <alignment horizontal="center" vertical="center"/>
    </xf>
    <xf numFmtId="0" fontId="5" fillId="0" borderId="39" xfId="17" applyFont="1" applyBorder="1" applyAlignment="1">
      <alignment horizontal="center" vertical="center"/>
    </xf>
    <xf numFmtId="0" fontId="5" fillId="0" borderId="40" xfId="17" applyFont="1" applyBorder="1" applyAlignment="1">
      <alignment horizontal="center" vertical="center"/>
    </xf>
    <xf numFmtId="0" fontId="5" fillId="0" borderId="47" xfId="17" applyFont="1" applyBorder="1" applyAlignment="1">
      <alignment horizontal="center" vertical="center"/>
    </xf>
    <xf numFmtId="0" fontId="6" fillId="10" borderId="9" xfId="17" applyFont="1" applyFill="1" applyBorder="1" applyAlignment="1">
      <alignment horizontal="center" vertical="center"/>
    </xf>
    <xf numFmtId="0" fontId="6" fillId="10" borderId="30" xfId="17" applyFont="1" applyFill="1" applyBorder="1" applyAlignment="1">
      <alignment horizontal="center" vertical="center"/>
    </xf>
    <xf numFmtId="0" fontId="6" fillId="10" borderId="30" xfId="17" applyFont="1" applyFill="1" applyBorder="1" applyAlignment="1">
      <alignment horizontal="center" vertical="center" wrapText="1"/>
    </xf>
    <xf numFmtId="194" fontId="6" fillId="10" borderId="30" xfId="35" applyNumberFormat="1" applyFont="1" applyFill="1" applyBorder="1" applyAlignment="1">
      <alignment horizontal="center" vertical="center" wrapText="1"/>
    </xf>
    <xf numFmtId="0" fontId="6" fillId="10" borderId="30" xfId="33" applyFont="1" applyFill="1" applyBorder="1" applyAlignment="1">
      <alignment horizontal="center" vertical="center"/>
    </xf>
    <xf numFmtId="0" fontId="3" fillId="0" borderId="9" xfId="33" applyBorder="1" applyAlignment="1">
      <alignment vertical="center" wrapText="1"/>
    </xf>
    <xf numFmtId="2" fontId="3" fillId="11" borderId="9" xfId="32" applyNumberFormat="1" applyFill="1" applyBorder="1" applyAlignment="1">
      <alignment horizontal="center" vertical="center" wrapText="1"/>
    </xf>
    <xf numFmtId="193" fontId="3" fillId="0" borderId="4" xfId="33" applyNumberFormat="1" applyBorder="1" applyAlignment="1">
      <alignment horizontal="right" vertical="center" wrapText="1"/>
    </xf>
    <xf numFmtId="193" fontId="3" fillId="0" borderId="22" xfId="33" applyNumberFormat="1" applyBorder="1" applyAlignment="1">
      <alignment horizontal="right" vertical="center" wrapText="1"/>
    </xf>
    <xf numFmtId="193" fontId="3" fillId="0" borderId="8" xfId="33" applyNumberFormat="1" applyBorder="1" applyAlignment="1">
      <alignment horizontal="right" vertical="center" wrapText="1"/>
    </xf>
    <xf numFmtId="165" fontId="3" fillId="0" borderId="9" xfId="35" applyNumberFormat="1" applyFont="1" applyFill="1" applyBorder="1" applyAlignment="1">
      <alignment horizontal="right" vertical="center" wrapText="1"/>
    </xf>
    <xf numFmtId="0" fontId="0" fillId="0" borderId="2" xfId="33" applyFont="1" applyBorder="1" applyAlignment="1">
      <alignment horizontal="left" vertical="center"/>
    </xf>
    <xf numFmtId="0" fontId="0" fillId="0" borderId="5" xfId="33" applyFont="1" applyBorder="1" applyAlignment="1">
      <alignment horizontal="left" vertical="center"/>
    </xf>
    <xf numFmtId="0" fontId="0" fillId="0" borderId="3" xfId="33" applyFont="1" applyBorder="1" applyAlignment="1">
      <alignment horizontal="left" vertical="center"/>
    </xf>
    <xf numFmtId="0" fontId="6" fillId="0" borderId="0" xfId="33" applyFont="1" applyAlignment="1">
      <alignment horizontal="left" vertical="center"/>
    </xf>
    <xf numFmtId="0" fontId="0" fillId="0" borderId="1" xfId="33" applyFont="1" applyBorder="1" applyAlignment="1">
      <alignment horizontal="left" vertical="center"/>
    </xf>
    <xf numFmtId="0" fontId="3" fillId="0" borderId="1" xfId="33" applyBorder="1" applyAlignment="1">
      <alignment horizontal="left" vertical="center"/>
    </xf>
    <xf numFmtId="0" fontId="30" fillId="0" borderId="23" xfId="17" applyFont="1" applyBorder="1" applyAlignment="1">
      <alignment horizontal="center" vertical="center"/>
    </xf>
    <xf numFmtId="0" fontId="30" fillId="0" borderId="7" xfId="17" applyFont="1" applyBorder="1" applyAlignment="1">
      <alignment horizontal="center" vertical="center"/>
    </xf>
    <xf numFmtId="196" fontId="6" fillId="0" borderId="2" xfId="34" applyNumberFormat="1" applyFont="1" applyFill="1" applyBorder="1" applyAlignment="1">
      <alignment horizontal="right" vertical="center"/>
    </xf>
    <xf numFmtId="196" fontId="6" fillId="0" borderId="3" xfId="34" applyNumberFormat="1" applyFont="1" applyFill="1" applyBorder="1" applyAlignment="1">
      <alignment horizontal="right" vertical="center"/>
    </xf>
    <xf numFmtId="0" fontId="3" fillId="0" borderId="1" xfId="33" applyBorder="1" applyAlignment="1">
      <alignment vertical="center" wrapText="1"/>
    </xf>
    <xf numFmtId="2" fontId="3" fillId="11" borderId="10" xfId="32" applyNumberFormat="1" applyFill="1" applyBorder="1" applyAlignment="1">
      <alignment horizontal="center" vertical="center" wrapText="1"/>
    </xf>
    <xf numFmtId="165" fontId="3" fillId="0" borderId="1" xfId="35" applyNumberFormat="1" applyFont="1" applyFill="1" applyBorder="1" applyAlignment="1">
      <alignment horizontal="right" vertical="center" wrapText="1"/>
    </xf>
    <xf numFmtId="165" fontId="6" fillId="0" borderId="3" xfId="34" applyNumberFormat="1" applyFont="1" applyFill="1" applyBorder="1" applyAlignment="1">
      <alignment horizontal="right" vertical="center"/>
    </xf>
    <xf numFmtId="165" fontId="6" fillId="0" borderId="1" xfId="34" applyNumberFormat="1" applyFont="1" applyFill="1" applyBorder="1" applyAlignment="1">
      <alignment horizontal="right" vertical="center"/>
    </xf>
    <xf numFmtId="0" fontId="6" fillId="0" borderId="1" xfId="33" applyFont="1" applyBorder="1" applyAlignment="1">
      <alignment horizontal="center" vertical="center" wrapText="1"/>
    </xf>
    <xf numFmtId="2" fontId="3" fillId="11" borderId="2" xfId="32" applyNumberFormat="1" applyFill="1" applyBorder="1" applyAlignment="1">
      <alignment horizontal="center" vertical="center" wrapText="1"/>
    </xf>
    <xf numFmtId="2" fontId="3" fillId="11" borderId="3" xfId="32" applyNumberFormat="1" applyFill="1" applyBorder="1" applyAlignment="1">
      <alignment horizontal="center" vertical="center" wrapText="1"/>
    </xf>
    <xf numFmtId="196" fontId="6" fillId="0" borderId="1" xfId="34" applyNumberFormat="1" applyFont="1" applyFill="1" applyBorder="1" applyAlignment="1">
      <alignment horizontal="right" vertical="center"/>
    </xf>
    <xf numFmtId="0" fontId="0" fillId="0" borderId="9" xfId="33" applyFont="1" applyBorder="1" applyAlignment="1">
      <alignment horizontal="left" vertical="center" wrapText="1"/>
    </xf>
    <xf numFmtId="0" fontId="3" fillId="0" borderId="9" xfId="33" applyBorder="1" applyAlignment="1">
      <alignment horizontal="left" vertical="center" wrapText="1"/>
    </xf>
    <xf numFmtId="0" fontId="6" fillId="0" borderId="10" xfId="33" applyFont="1" applyBorder="1" applyAlignment="1">
      <alignment horizontal="center" vertical="center" wrapText="1"/>
    </xf>
    <xf numFmtId="0" fontId="6" fillId="0" borderId="30" xfId="33" applyFont="1" applyBorder="1" applyAlignment="1">
      <alignment horizontal="center" vertical="center" wrapText="1"/>
    </xf>
    <xf numFmtId="0" fontId="6" fillId="0" borderId="9" xfId="33" applyFont="1" applyBorder="1" applyAlignment="1">
      <alignment horizontal="center" vertical="center" wrapText="1"/>
    </xf>
    <xf numFmtId="0" fontId="3" fillId="0" borderId="6" xfId="33" applyBorder="1" applyAlignment="1">
      <alignment horizontal="left" vertical="center" wrapText="1"/>
    </xf>
    <xf numFmtId="0" fontId="3" fillId="0" borderId="23" xfId="33" applyBorder="1" applyAlignment="1">
      <alignment horizontal="left" vertical="center" wrapText="1"/>
    </xf>
    <xf numFmtId="0" fontId="3" fillId="0" borderId="7" xfId="33" applyBorder="1" applyAlignment="1">
      <alignment horizontal="left" vertical="center" wrapText="1"/>
    </xf>
    <xf numFmtId="0" fontId="3" fillId="0" borderId="24" xfId="33" applyBorder="1" applyAlignment="1">
      <alignment horizontal="left" vertical="center" wrapText="1"/>
    </xf>
    <xf numFmtId="0" fontId="3" fillId="0" borderId="0" xfId="33" applyAlignment="1">
      <alignment horizontal="left" vertical="center" wrapText="1"/>
    </xf>
    <xf numFmtId="0" fontId="3" fillId="0" borderId="25" xfId="33" applyBorder="1" applyAlignment="1">
      <alignment horizontal="left" vertical="center" wrapText="1"/>
    </xf>
    <xf numFmtId="0" fontId="3" fillId="0" borderId="4" xfId="33" applyBorder="1" applyAlignment="1">
      <alignment horizontal="left" vertical="center" wrapText="1"/>
    </xf>
    <xf numFmtId="0" fontId="3" fillId="0" borderId="22" xfId="33" applyBorder="1" applyAlignment="1">
      <alignment horizontal="left" vertical="center" wrapText="1"/>
    </xf>
    <xf numFmtId="0" fontId="3" fillId="0" borderId="8" xfId="33" applyBorder="1" applyAlignment="1">
      <alignment horizontal="left" vertical="center" wrapText="1"/>
    </xf>
    <xf numFmtId="2" fontId="3" fillId="11" borderId="1" xfId="32" applyNumberFormat="1" applyFill="1" applyBorder="1" applyAlignment="1">
      <alignment horizontal="center" vertical="center" wrapText="1"/>
    </xf>
    <xf numFmtId="196" fontId="6" fillId="0" borderId="8" xfId="34" applyNumberFormat="1" applyFont="1" applyFill="1" applyBorder="1" applyAlignment="1">
      <alignment horizontal="right" vertical="center"/>
    </xf>
    <xf numFmtId="196" fontId="6" fillId="0" borderId="9" xfId="34" applyNumberFormat="1" applyFont="1" applyFill="1" applyBorder="1" applyAlignment="1">
      <alignment horizontal="right" vertical="center"/>
    </xf>
    <xf numFmtId="0" fontId="3" fillId="0" borderId="1" xfId="33" applyBorder="1" applyAlignment="1">
      <alignment horizontal="center" vertical="center"/>
    </xf>
    <xf numFmtId="192" fontId="6" fillId="0" borderId="8" xfId="34" applyNumberFormat="1" applyFont="1" applyFill="1" applyBorder="1" applyAlignment="1">
      <alignment horizontal="right" vertical="center"/>
    </xf>
    <xf numFmtId="192" fontId="6" fillId="0" borderId="9" xfId="34" applyNumberFormat="1" applyFont="1" applyFill="1" applyBorder="1" applyAlignment="1">
      <alignment horizontal="right" vertical="center"/>
    </xf>
    <xf numFmtId="192" fontId="6" fillId="0" borderId="3" xfId="34" applyNumberFormat="1" applyFont="1" applyFill="1" applyBorder="1" applyAlignment="1">
      <alignment horizontal="right" vertical="center"/>
    </xf>
    <xf numFmtId="192" fontId="6" fillId="0" borderId="1" xfId="34" applyNumberFormat="1" applyFont="1" applyFill="1" applyBorder="1" applyAlignment="1">
      <alignment horizontal="right" vertical="center"/>
    </xf>
    <xf numFmtId="192" fontId="6" fillId="0" borderId="0" xfId="34" applyNumberFormat="1" applyFont="1" applyFill="1" applyBorder="1" applyAlignment="1">
      <alignment horizontal="right" vertical="center"/>
    </xf>
    <xf numFmtId="0" fontId="6" fillId="10" borderId="1" xfId="33" applyFont="1" applyFill="1" applyBorder="1" applyAlignment="1">
      <alignment horizontal="center" vertical="center"/>
    </xf>
    <xf numFmtId="0" fontId="6" fillId="10" borderId="10" xfId="33" applyFont="1" applyFill="1" applyBorder="1" applyAlignment="1">
      <alignment horizontal="center" vertical="center"/>
    </xf>
    <xf numFmtId="192" fontId="6" fillId="10" borderId="30" xfId="33" applyNumberFormat="1" applyFont="1" applyFill="1" applyBorder="1" applyAlignment="1">
      <alignment horizontal="center" vertical="center" wrapText="1"/>
    </xf>
    <xf numFmtId="190" fontId="6" fillId="10" borderId="30" xfId="33" applyNumberFormat="1" applyFont="1" applyFill="1" applyBorder="1" applyAlignment="1">
      <alignment horizontal="center" vertical="center" wrapText="1"/>
    </xf>
    <xf numFmtId="0" fontId="3" fillId="0" borderId="0" xfId="33" applyAlignment="1">
      <alignment horizontal="center" vertical="center" wrapText="1"/>
    </xf>
    <xf numFmtId="0" fontId="3" fillId="0" borderId="22" xfId="33" applyBorder="1" applyAlignment="1">
      <alignment horizontal="center" vertical="center" wrapText="1"/>
    </xf>
    <xf numFmtId="0" fontId="3" fillId="0" borderId="4" xfId="33" applyBorder="1" applyAlignment="1">
      <alignment vertical="center" wrapText="1"/>
    </xf>
    <xf numFmtId="0" fontId="3" fillId="0" borderId="22" xfId="33" applyBorder="1" applyAlignment="1">
      <alignment vertical="center" wrapText="1"/>
    </xf>
    <xf numFmtId="0" fontId="3" fillId="0" borderId="8" xfId="33" applyBorder="1" applyAlignment="1">
      <alignment vertical="center" wrapText="1"/>
    </xf>
    <xf numFmtId="192" fontId="3" fillId="3" borderId="2" xfId="33" applyNumberFormat="1" applyFill="1" applyBorder="1" applyAlignment="1">
      <alignment horizontal="right" vertical="center" wrapText="1"/>
    </xf>
    <xf numFmtId="192" fontId="3" fillId="3" borderId="5" xfId="33" applyNumberFormat="1" applyFill="1" applyBorder="1" applyAlignment="1">
      <alignment horizontal="right" vertical="center" wrapText="1"/>
    </xf>
    <xf numFmtId="192" fontId="3" fillId="3" borderId="3" xfId="33" applyNumberFormat="1" applyFill="1" applyBorder="1" applyAlignment="1">
      <alignment horizontal="right" vertical="center" wrapText="1"/>
    </xf>
    <xf numFmtId="196" fontId="3" fillId="3" borderId="2" xfId="35" applyNumberFormat="1" applyFont="1" applyFill="1" applyBorder="1" applyAlignment="1">
      <alignment horizontal="right" vertical="center" wrapText="1"/>
    </xf>
    <xf numFmtId="196" fontId="3" fillId="3" borderId="3" xfId="35" applyNumberFormat="1" applyFont="1" applyFill="1" applyBorder="1" applyAlignment="1">
      <alignment horizontal="right" vertical="center" wrapText="1"/>
    </xf>
    <xf numFmtId="0" fontId="3" fillId="0" borderId="24" xfId="33" applyBorder="1" applyAlignment="1">
      <alignment vertical="center" wrapText="1"/>
    </xf>
    <xf numFmtId="0" fontId="3" fillId="0" borderId="0" xfId="33" applyAlignment="1">
      <alignment vertical="center" wrapText="1"/>
    </xf>
    <xf numFmtId="0" fontId="3" fillId="0" borderId="25" xfId="33" applyBorder="1" applyAlignment="1">
      <alignment vertical="center" wrapText="1"/>
    </xf>
    <xf numFmtId="2" fontId="3" fillId="11" borderId="90" xfId="32" applyNumberFormat="1" applyFill="1" applyBorder="1" applyAlignment="1">
      <alignment horizontal="center" vertical="center" wrapText="1"/>
    </xf>
    <xf numFmtId="2" fontId="3" fillId="11" borderId="86" xfId="32" applyNumberFormat="1" applyFill="1" applyBorder="1" applyAlignment="1">
      <alignment horizontal="center" vertical="center" wrapText="1"/>
    </xf>
    <xf numFmtId="0" fontId="6" fillId="10" borderId="9" xfId="33" applyFont="1" applyFill="1" applyBorder="1" applyAlignment="1">
      <alignment horizontal="center" vertical="center"/>
    </xf>
    <xf numFmtId="188" fontId="6" fillId="0" borderId="5" xfId="7" applyNumberFormat="1" applyFont="1" applyFill="1" applyBorder="1" applyAlignment="1">
      <alignment horizontal="center" vertical="center" wrapText="1"/>
    </xf>
    <xf numFmtId="188" fontId="6" fillId="0" borderId="3" xfId="7" applyNumberFormat="1" applyFont="1" applyFill="1" applyBorder="1" applyAlignment="1">
      <alignment horizontal="center" vertical="center" wrapText="1"/>
    </xf>
    <xf numFmtId="165" fontId="6" fillId="12" borderId="3" xfId="35" applyNumberFormat="1" applyFont="1" applyFill="1" applyBorder="1" applyAlignment="1">
      <alignment horizontal="right" vertical="center" wrapText="1"/>
    </xf>
    <xf numFmtId="165" fontId="6" fillId="12" borderId="1" xfId="35" applyNumberFormat="1" applyFont="1" applyFill="1" applyBorder="1" applyAlignment="1">
      <alignment horizontal="right" vertical="center" wrapText="1"/>
    </xf>
    <xf numFmtId="165" fontId="6" fillId="4" borderId="1" xfId="35" applyNumberFormat="1" applyFont="1" applyFill="1" applyBorder="1" applyAlignment="1">
      <alignment horizontal="right" vertical="center" wrapText="1"/>
    </xf>
    <xf numFmtId="0" fontId="3" fillId="0" borderId="6" xfId="33" applyBorder="1" applyAlignment="1">
      <alignment horizontal="justify" vertical="center" wrapText="1"/>
    </xf>
    <xf numFmtId="0" fontId="3" fillId="0" borderId="23" xfId="33" applyBorder="1" applyAlignment="1">
      <alignment horizontal="justify" vertical="center" wrapText="1"/>
    </xf>
    <xf numFmtId="0" fontId="3" fillId="0" borderId="7" xfId="33" applyBorder="1" applyAlignment="1">
      <alignment horizontal="justify" vertical="center" wrapText="1"/>
    </xf>
    <xf numFmtId="0" fontId="3" fillId="0" borderId="4" xfId="33" applyBorder="1" applyAlignment="1">
      <alignment horizontal="justify" vertical="center" wrapText="1"/>
    </xf>
    <xf numFmtId="0" fontId="3" fillId="0" borderId="22" xfId="33" applyBorder="1" applyAlignment="1">
      <alignment horizontal="justify" vertical="center" wrapText="1"/>
    </xf>
    <xf numFmtId="0" fontId="3" fillId="0" borderId="8" xfId="33" applyBorder="1" applyAlignment="1">
      <alignment horizontal="justify" vertical="center" wrapText="1"/>
    </xf>
    <xf numFmtId="0" fontId="6" fillId="0" borderId="26" xfId="28" applyFont="1" applyBorder="1" applyAlignment="1">
      <alignment horizontal="center" vertical="center"/>
    </xf>
    <xf numFmtId="0" fontId="6" fillId="0" borderId="44" xfId="28" applyFont="1" applyBorder="1" applyAlignment="1">
      <alignment horizontal="center" vertical="center"/>
    </xf>
    <xf numFmtId="0" fontId="21" fillId="0" borderId="59" xfId="28" applyFont="1" applyBorder="1" applyAlignment="1">
      <alignment horizontal="center" vertical="center" wrapText="1"/>
    </xf>
    <xf numFmtId="0" fontId="21" fillId="0" borderId="42" xfId="28" applyFont="1" applyBorder="1" applyAlignment="1">
      <alignment horizontal="center" vertical="center" wrapText="1"/>
    </xf>
    <xf numFmtId="0" fontId="21" fillId="0" borderId="27" xfId="28" applyFont="1" applyBorder="1" applyAlignment="1">
      <alignment horizontal="center" vertical="center" wrapText="1"/>
    </xf>
    <xf numFmtId="0" fontId="21" fillId="0" borderId="28" xfId="28" applyFont="1" applyBorder="1" applyAlignment="1">
      <alignment horizontal="center" vertical="center" wrapText="1"/>
    </xf>
    <xf numFmtId="0" fontId="6" fillId="0" borderId="15" xfId="28" applyFont="1" applyBorder="1" applyAlignment="1">
      <alignment horizontal="center" vertical="center"/>
    </xf>
    <xf numFmtId="0" fontId="6" fillId="0" borderId="12" xfId="28" applyFont="1" applyBorder="1" applyAlignment="1">
      <alignment horizontal="center" vertical="center"/>
    </xf>
    <xf numFmtId="0" fontId="6" fillId="0" borderId="13" xfId="28" applyFont="1" applyBorder="1" applyAlignment="1">
      <alignment horizontal="center" vertical="center"/>
    </xf>
    <xf numFmtId="0" fontId="6" fillId="0" borderId="55" xfId="28" applyFont="1" applyBorder="1" applyAlignment="1">
      <alignment horizontal="center" vertical="center"/>
    </xf>
    <xf numFmtId="0" fontId="6" fillId="0" borderId="1" xfId="28" applyFont="1" applyBorder="1" applyAlignment="1">
      <alignment horizontal="center" vertical="center"/>
    </xf>
    <xf numFmtId="0" fontId="6" fillId="0" borderId="56" xfId="28" applyFont="1" applyBorder="1" applyAlignment="1">
      <alignment horizontal="center" vertical="center"/>
    </xf>
    <xf numFmtId="0" fontId="6" fillId="0" borderId="16" xfId="28" applyFont="1" applyBorder="1" applyAlignment="1">
      <alignment horizontal="center" vertical="center"/>
    </xf>
    <xf numFmtId="0" fontId="6" fillId="0" borderId="14" xfId="28" applyFont="1" applyBorder="1" applyAlignment="1">
      <alignment horizontal="center" vertical="center"/>
    </xf>
    <xf numFmtId="0" fontId="6" fillId="0" borderId="46" xfId="28" applyFont="1" applyBorder="1" applyAlignment="1">
      <alignment horizontal="center" vertical="center"/>
    </xf>
    <xf numFmtId="0" fontId="5" fillId="0" borderId="41" xfId="28" applyFont="1" applyBorder="1" applyAlignment="1">
      <alignment horizontal="center" vertical="center"/>
    </xf>
    <xf numFmtId="0" fontId="5" fillId="0" borderId="42" xfId="28" applyFont="1" applyBorder="1" applyAlignment="1">
      <alignment horizontal="center" vertical="center"/>
    </xf>
    <xf numFmtId="0" fontId="5" fillId="0" borderId="43" xfId="28" applyFont="1" applyBorder="1" applyAlignment="1">
      <alignment horizontal="center" vertical="center"/>
    </xf>
    <xf numFmtId="0" fontId="6" fillId="0" borderId="60" xfId="28" applyFont="1" applyBorder="1" applyAlignment="1">
      <alignment horizontal="center" vertical="top" wrapText="1"/>
    </xf>
    <xf numFmtId="0" fontId="6" fillId="0" borderId="61" xfId="28" applyFont="1" applyBorder="1" applyAlignment="1">
      <alignment horizontal="center" vertical="top" wrapText="1"/>
    </xf>
    <xf numFmtId="0" fontId="6" fillId="0" borderId="62" xfId="28" applyFont="1" applyBorder="1" applyAlignment="1">
      <alignment horizontal="center" vertical="top" wrapText="1"/>
    </xf>
    <xf numFmtId="173" fontId="17" fillId="0" borderId="29" xfId="14" applyNumberFormat="1" applyFont="1" applyBorder="1" applyAlignment="1">
      <alignment horizontal="center" vertical="center"/>
    </xf>
    <xf numFmtId="173" fontId="17" fillId="0" borderId="53" xfId="14" applyNumberFormat="1" applyFont="1" applyBorder="1" applyAlignment="1">
      <alignment horizontal="center" vertical="center"/>
    </xf>
    <xf numFmtId="173" fontId="17" fillId="0" borderId="54" xfId="14" applyNumberFormat="1" applyFont="1" applyBorder="1" applyAlignment="1">
      <alignment horizontal="center" vertical="center"/>
    </xf>
    <xf numFmtId="15" fontId="3" fillId="0" borderId="12" xfId="28" applyNumberFormat="1" applyBorder="1" applyAlignment="1">
      <alignment horizontal="center" vertical="center"/>
    </xf>
    <xf numFmtId="15" fontId="3" fillId="0" borderId="13" xfId="28" applyNumberFormat="1" applyBorder="1" applyAlignment="1">
      <alignment horizontal="center" vertical="center"/>
    </xf>
    <xf numFmtId="0" fontId="3" fillId="0" borderId="14" xfId="28" applyBorder="1" applyAlignment="1">
      <alignment horizontal="center" vertical="center"/>
    </xf>
    <xf numFmtId="0" fontId="3" fillId="0" borderId="46" xfId="28" applyBorder="1" applyAlignment="1">
      <alignment horizontal="center" vertical="center"/>
    </xf>
    <xf numFmtId="0" fontId="31" fillId="0" borderId="10" xfId="13" applyFont="1" applyBorder="1" applyAlignment="1">
      <alignment horizontal="center" vertical="center" wrapText="1"/>
    </xf>
    <xf numFmtId="0" fontId="31" fillId="0" borderId="30" xfId="13" applyFont="1" applyBorder="1" applyAlignment="1">
      <alignment horizontal="center" vertical="center" wrapText="1"/>
    </xf>
    <xf numFmtId="199" fontId="36" fillId="0" borderId="1" xfId="28" applyNumberFormat="1" applyFont="1" applyBorder="1" applyAlignment="1">
      <alignment horizontal="center" vertical="center" wrapText="1"/>
    </xf>
    <xf numFmtId="0" fontId="3" fillId="0" borderId="0" xfId="28" applyAlignment="1">
      <alignment horizontal="center" vertical="center"/>
    </xf>
    <xf numFmtId="0" fontId="6" fillId="0" borderId="9" xfId="28" applyFont="1" applyBorder="1" applyAlignment="1">
      <alignment horizontal="center" vertical="center" wrapText="1"/>
    </xf>
    <xf numFmtId="0" fontId="6" fillId="0" borderId="39" xfId="28" applyFont="1" applyBorder="1" applyAlignment="1">
      <alignment horizontal="center" vertical="center"/>
    </xf>
    <xf numFmtId="0" fontId="6" fillId="0" borderId="40" xfId="28" applyFont="1" applyBorder="1" applyAlignment="1">
      <alignment horizontal="center" vertical="center"/>
    </xf>
    <xf numFmtId="0" fontId="33" fillId="0" borderId="39" xfId="28" applyFont="1" applyBorder="1" applyAlignment="1">
      <alignment horizontal="center" vertical="center"/>
    </xf>
    <xf numFmtId="0" fontId="33" fillId="0" borderId="47" xfId="28" applyFont="1" applyBorder="1" applyAlignment="1">
      <alignment horizontal="center" vertical="center"/>
    </xf>
    <xf numFmtId="0" fontId="6" fillId="0" borderId="28" xfId="28" applyFont="1" applyBorder="1" applyAlignment="1">
      <alignment horizontal="center" vertical="center"/>
    </xf>
    <xf numFmtId="0" fontId="0" fillId="0" borderId="26" xfId="28" applyFont="1" applyBorder="1" applyAlignment="1">
      <alignment horizontal="center" vertical="center" wrapText="1"/>
    </xf>
    <xf numFmtId="0" fontId="3" fillId="0" borderId="27" xfId="28" applyBorder="1" applyAlignment="1">
      <alignment horizontal="center" vertical="center" wrapText="1"/>
    </xf>
    <xf numFmtId="0" fontId="3" fillId="0" borderId="28" xfId="28" applyBorder="1" applyAlignment="1">
      <alignment horizontal="center" vertical="center" wrapText="1"/>
    </xf>
    <xf numFmtId="0" fontId="34" fillId="0" borderId="2" xfId="28" applyFont="1" applyBorder="1" applyAlignment="1">
      <alignment horizontal="center" vertical="center" wrapText="1"/>
    </xf>
    <xf numFmtId="0" fontId="34" fillId="0" borderId="5" xfId="28" applyFont="1" applyBorder="1" applyAlignment="1">
      <alignment horizontal="center" vertical="center" wrapText="1"/>
    </xf>
    <xf numFmtId="0" fontId="34" fillId="3" borderId="10" xfId="28" applyFont="1" applyFill="1" applyBorder="1" applyAlignment="1">
      <alignment horizontal="center" vertical="center" wrapText="1"/>
    </xf>
    <xf numFmtId="0" fontId="34" fillId="0" borderId="2" xfId="28" applyFont="1" applyBorder="1" applyAlignment="1">
      <alignment vertical="center" wrapText="1"/>
    </xf>
    <xf numFmtId="0" fontId="34" fillId="0" borderId="5" xfId="28" applyFont="1" applyBorder="1" applyAlignment="1">
      <alignment vertical="center" wrapText="1"/>
    </xf>
    <xf numFmtId="0" fontId="34" fillId="0" borderId="23" xfId="28" applyFont="1" applyBorder="1" applyAlignment="1">
      <alignment vertical="center" wrapText="1"/>
    </xf>
    <xf numFmtId="0" fontId="34" fillId="3" borderId="1" xfId="28" applyFont="1" applyFill="1" applyBorder="1" applyAlignment="1">
      <alignment horizontal="center" vertical="center" wrapText="1"/>
    </xf>
    <xf numFmtId="0" fontId="34" fillId="3" borderId="2" xfId="28" applyFont="1" applyFill="1" applyBorder="1" applyAlignment="1">
      <alignment horizontal="center" vertical="center" wrapText="1"/>
    </xf>
    <xf numFmtId="0" fontId="34" fillId="3" borderId="3" xfId="28" applyFont="1" applyFill="1" applyBorder="1" applyAlignment="1">
      <alignment horizontal="center" vertical="center" wrapText="1"/>
    </xf>
    <xf numFmtId="0" fontId="6" fillId="0" borderId="29" xfId="28" applyFont="1" applyBorder="1" applyAlignment="1">
      <alignment horizontal="center" vertical="center"/>
    </xf>
    <xf numFmtId="0" fontId="6" fillId="0" borderId="19" xfId="28" applyFont="1" applyBorder="1" applyAlignment="1">
      <alignment horizontal="center" vertical="center"/>
    </xf>
    <xf numFmtId="0" fontId="6" fillId="0" borderId="21" xfId="28" applyFont="1" applyBorder="1" applyAlignment="1">
      <alignment horizontal="center" vertical="center"/>
    </xf>
    <xf numFmtId="0" fontId="6" fillId="0" borderId="37" xfId="28" applyFont="1" applyBorder="1" applyAlignment="1">
      <alignment horizontal="center" vertical="center"/>
    </xf>
    <xf numFmtId="0" fontId="6" fillId="0" borderId="38" xfId="28" applyFont="1" applyBorder="1" applyAlignment="1">
      <alignment horizontal="center" vertical="center"/>
    </xf>
    <xf numFmtId="0" fontId="6" fillId="0" borderId="57" xfId="28" applyFont="1" applyBorder="1" applyAlignment="1">
      <alignment horizontal="center" vertical="center"/>
    </xf>
    <xf numFmtId="0" fontId="6" fillId="0" borderId="58" xfId="28" applyFont="1" applyBorder="1" applyAlignment="1">
      <alignment horizontal="center" vertical="center"/>
    </xf>
    <xf numFmtId="0" fontId="6" fillId="0" borderId="2" xfId="28" applyFont="1" applyBorder="1" applyAlignment="1">
      <alignment horizontal="center" vertical="center"/>
    </xf>
    <xf numFmtId="0" fontId="3" fillId="0" borderId="55" xfId="28" applyBorder="1" applyAlignment="1">
      <alignment horizontal="center" vertical="center"/>
    </xf>
    <xf numFmtId="0" fontId="3" fillId="0" borderId="1" xfId="28" applyBorder="1" applyAlignment="1">
      <alignment horizontal="center" vertical="center"/>
    </xf>
    <xf numFmtId="0" fontId="3" fillId="0" borderId="2" xfId="28" applyBorder="1" applyAlignment="1">
      <alignment horizontal="center" vertical="center"/>
    </xf>
    <xf numFmtId="0" fontId="34" fillId="0" borderId="2" xfId="28" applyFont="1" applyBorder="1" applyAlignment="1">
      <alignment horizontal="left" vertical="center" wrapText="1"/>
    </xf>
    <xf numFmtId="0" fontId="34" fillId="0" borderId="5" xfId="28" applyFont="1" applyBorder="1" applyAlignment="1">
      <alignment horizontal="left" vertical="center" wrapText="1"/>
    </xf>
    <xf numFmtId="0" fontId="34" fillId="0" borderId="0" xfId="28" applyFont="1" applyAlignment="1">
      <alignment horizontal="left" vertical="center" wrapText="1"/>
    </xf>
    <xf numFmtId="0" fontId="32" fillId="0" borderId="0" xfId="28" applyFont="1" applyAlignment="1">
      <alignment horizontal="left" vertical="center" wrapText="1"/>
    </xf>
    <xf numFmtId="9" fontId="21" fillId="0" borderId="1" xfId="21" applyFont="1" applyBorder="1" applyAlignment="1">
      <alignment horizontal="center" vertical="center" wrapText="1"/>
    </xf>
    <xf numFmtId="0" fontId="7" fillId="0" borderId="15" xfId="28" applyFont="1" applyBorder="1" applyAlignment="1">
      <alignment horizontal="center"/>
    </xf>
    <xf numFmtId="0" fontId="7" fillId="0" borderId="12" xfId="28" applyFont="1" applyBorder="1" applyAlignment="1">
      <alignment horizontal="center"/>
    </xf>
    <xf numFmtId="0" fontId="32" fillId="0" borderId="19" xfId="28" applyFont="1" applyBorder="1" applyAlignment="1">
      <alignment horizontal="center"/>
    </xf>
    <xf numFmtId="0" fontId="32" fillId="0" borderId="21" xfId="28" applyFont="1" applyBorder="1" applyAlignment="1">
      <alignment horizontal="center"/>
    </xf>
    <xf numFmtId="0" fontId="32" fillId="0" borderId="37" xfId="28" applyFont="1" applyBorder="1" applyAlignment="1">
      <alignment horizontal="center"/>
    </xf>
    <xf numFmtId="0" fontId="32" fillId="0" borderId="38" xfId="28" applyFont="1" applyBorder="1" applyAlignment="1">
      <alignment horizontal="center"/>
    </xf>
    <xf numFmtId="0" fontId="7" fillId="0" borderId="55" xfId="28" applyFont="1" applyBorder="1" applyAlignment="1">
      <alignment horizontal="center"/>
    </xf>
    <xf numFmtId="0" fontId="7" fillId="0" borderId="1" xfId="28" applyFont="1" applyBorder="1" applyAlignment="1">
      <alignment horizontal="center"/>
    </xf>
    <xf numFmtId="0" fontId="8" fillId="0" borderId="41" xfId="28" applyFont="1" applyBorder="1" applyAlignment="1">
      <alignment horizontal="center" vertical="center"/>
    </xf>
    <xf numFmtId="0" fontId="8" fillId="0" borderId="43" xfId="28" applyFont="1" applyBorder="1" applyAlignment="1">
      <alignment horizontal="center" vertical="center"/>
    </xf>
    <xf numFmtId="0" fontId="37" fillId="0" borderId="41" xfId="28" applyFont="1" applyBorder="1" applyAlignment="1">
      <alignment horizontal="center" vertical="center"/>
    </xf>
    <xf numFmtId="0" fontId="37" fillId="0" borderId="63" xfId="28" applyFont="1" applyBorder="1" applyAlignment="1">
      <alignment horizontal="center" vertical="center"/>
    </xf>
    <xf numFmtId="0" fontId="0" fillId="0" borderId="59" xfId="44" applyFont="1" applyBorder="1" applyAlignment="1">
      <alignment horizontal="center" vertical="center" wrapText="1"/>
    </xf>
    <xf numFmtId="0" fontId="3" fillId="0" borderId="42" xfId="44" applyBorder="1" applyAlignment="1">
      <alignment horizontal="center" vertical="center" wrapText="1"/>
    </xf>
    <xf numFmtId="0" fontId="3" fillId="0" borderId="43" xfId="44" applyBorder="1" applyAlignment="1">
      <alignment horizontal="center" vertical="center" wrapText="1"/>
    </xf>
    <xf numFmtId="0" fontId="34" fillId="0" borderId="3" xfId="28" applyFont="1" applyBorder="1" applyAlignment="1">
      <alignment horizontal="center" vertical="center" wrapText="1"/>
    </xf>
    <xf numFmtId="0" fontId="6" fillId="0" borderId="1" xfId="44" applyFont="1" applyBorder="1" applyAlignment="1">
      <alignment horizontal="center" vertical="center"/>
    </xf>
    <xf numFmtId="0" fontId="7" fillId="0" borderId="2" xfId="28" applyFont="1" applyBorder="1" applyAlignment="1">
      <alignment horizontal="center" vertical="center"/>
    </xf>
    <xf numFmtId="0" fontId="7" fillId="0" borderId="5" xfId="28" applyFont="1" applyBorder="1" applyAlignment="1">
      <alignment horizontal="center" vertical="center"/>
    </xf>
    <xf numFmtId="0" fontId="6" fillId="0" borderId="0" xfId="44" applyFont="1" applyBorder="1" applyAlignment="1">
      <alignment horizontal="center" vertical="center"/>
    </xf>
    <xf numFmtId="0" fontId="6" fillId="3" borderId="15" xfId="44" applyFont="1" applyFill="1" applyBorder="1" applyAlignment="1">
      <alignment horizontal="center" vertical="center"/>
    </xf>
    <xf numFmtId="0" fontId="6" fillId="3" borderId="16" xfId="44" applyFont="1" applyFill="1" applyBorder="1" applyAlignment="1">
      <alignment horizontal="center" vertical="center"/>
    </xf>
    <xf numFmtId="0" fontId="6" fillId="3" borderId="12" xfId="44" applyFont="1" applyFill="1" applyBorder="1" applyAlignment="1">
      <alignment horizontal="center" vertical="center"/>
    </xf>
    <xf numFmtId="0" fontId="6" fillId="3" borderId="14" xfId="44" applyFont="1" applyFill="1" applyBorder="1" applyAlignment="1">
      <alignment horizontal="center" vertical="center"/>
    </xf>
    <xf numFmtId="0" fontId="6" fillId="3" borderId="12" xfId="44" applyFont="1" applyFill="1" applyBorder="1" applyAlignment="1">
      <alignment horizontal="center" vertical="center" wrapText="1"/>
    </xf>
    <xf numFmtId="0" fontId="6" fillId="0" borderId="2" xfId="44" applyFont="1" applyBorder="1" applyAlignment="1">
      <alignment horizontal="center" vertical="center"/>
    </xf>
    <xf numFmtId="0" fontId="6" fillId="0" borderId="5" xfId="44" applyFont="1" applyBorder="1" applyAlignment="1">
      <alignment horizontal="center" vertical="center"/>
    </xf>
    <xf numFmtId="0" fontId="6" fillId="3" borderId="35" xfId="44" applyFont="1" applyFill="1" applyBorder="1" applyAlignment="1">
      <alignment horizontal="center" vertical="center" wrapText="1"/>
    </xf>
    <xf numFmtId="0" fontId="6" fillId="3" borderId="14" xfId="44" applyFont="1" applyFill="1" applyBorder="1" applyAlignment="1">
      <alignment horizontal="center" vertical="center" wrapText="1"/>
    </xf>
    <xf numFmtId="0" fontId="6" fillId="3" borderId="13" xfId="44" applyFont="1" applyFill="1" applyBorder="1" applyAlignment="1">
      <alignment horizontal="center" vertical="center"/>
    </xf>
    <xf numFmtId="0" fontId="6" fillId="3" borderId="46" xfId="44" applyFont="1" applyFill="1" applyBorder="1" applyAlignment="1">
      <alignment horizontal="center" vertical="center"/>
    </xf>
    <xf numFmtId="4" fontId="6" fillId="0" borderId="2" xfId="44" applyNumberFormat="1" applyFont="1" applyBorder="1" applyAlignment="1">
      <alignment horizontal="center" vertical="center"/>
    </xf>
    <xf numFmtId="4" fontId="6" fillId="0" borderId="5" xfId="44" applyNumberFormat="1" applyFont="1" applyBorder="1" applyAlignment="1">
      <alignment horizontal="center" vertical="center"/>
    </xf>
    <xf numFmtId="0" fontId="6" fillId="3" borderId="29" xfId="44" applyFont="1" applyFill="1" applyBorder="1" applyAlignment="1">
      <alignment horizontal="center" vertical="center" wrapText="1"/>
    </xf>
    <xf numFmtId="0" fontId="40" fillId="3" borderId="26" xfId="44" applyFont="1" applyFill="1" applyBorder="1" applyAlignment="1">
      <alignment horizontal="center" vertical="center" wrapText="1"/>
    </xf>
    <xf numFmtId="0" fontId="40" fillId="3" borderId="27" xfId="44" applyFont="1" applyFill="1" applyBorder="1" applyAlignment="1">
      <alignment horizontal="center" vertical="center" wrapText="1"/>
    </xf>
    <xf numFmtId="0" fontId="40" fillId="3" borderId="28" xfId="44" applyFont="1" applyFill="1" applyBorder="1" applyAlignment="1">
      <alignment horizontal="center" vertical="center" wrapText="1"/>
    </xf>
  </cellXfs>
  <cellStyles count="329">
    <cellStyle name="20% - Énfasis1 2" xfId="50" xr:uid="{47786960-A681-4FD2-9C4C-B7FE456E15C4}"/>
    <cellStyle name="20% - Énfasis1 3" xfId="178" xr:uid="{D64BE669-4927-42B8-8B25-C5D85202774B}"/>
    <cellStyle name="20% - Énfasis2 2" xfId="51" xr:uid="{BF4BA67C-CED1-4B6D-9462-604A31FED8AE}"/>
    <cellStyle name="20% - Énfasis2 3" xfId="179" xr:uid="{435A2D83-ACBB-46F6-9E8D-288242D914A7}"/>
    <cellStyle name="20% - Énfasis3 2" xfId="52" xr:uid="{CABEE349-1514-4774-BF86-B77E8A0BF229}"/>
    <cellStyle name="20% - Énfasis3 3" xfId="180" xr:uid="{7476617C-422B-4D71-A654-F6FE616D0D37}"/>
    <cellStyle name="20% - Énfasis4 2" xfId="53" xr:uid="{BCE30237-4A49-4B3C-B22A-AE572FF9CA17}"/>
    <cellStyle name="20% - Énfasis4 3" xfId="181" xr:uid="{31EFB716-4770-4061-9C62-D23CC7A63FB8}"/>
    <cellStyle name="20% - Énfasis5 2" xfId="54" xr:uid="{2673C429-4E3D-4C6F-B810-80851BBED7BA}"/>
    <cellStyle name="20% - Énfasis5 3" xfId="182" xr:uid="{3C5B3DBA-FF4D-4E10-8204-E937091BD778}"/>
    <cellStyle name="20% - Énfasis6 2" xfId="55" xr:uid="{BC6089B4-CA97-4770-8319-0A45A459A974}"/>
    <cellStyle name="20% - Énfasis6 3" xfId="183" xr:uid="{6BB2F2BA-2643-4F4D-BC08-4A2F5B51D850}"/>
    <cellStyle name="40% - Énfasis1 2" xfId="56" xr:uid="{F7CE0CED-BD96-4831-9078-26130F1A4900}"/>
    <cellStyle name="40% - Énfasis1 3" xfId="184" xr:uid="{30B0F3E7-C604-434C-980C-4E4978CF89F6}"/>
    <cellStyle name="40% - Énfasis2 2" xfId="57" xr:uid="{2EC5BF22-26A0-46E4-BABA-A56573BDC24E}"/>
    <cellStyle name="40% - Énfasis2 3" xfId="185" xr:uid="{F6509710-89A0-4B5F-9729-3A38EEE6FA63}"/>
    <cellStyle name="40% - Énfasis3 2" xfId="58" xr:uid="{70429A80-1CBD-4094-9644-5A924DF78058}"/>
    <cellStyle name="40% - Énfasis3 3" xfId="186" xr:uid="{3B13BDBE-3695-4205-9943-2951696F46B0}"/>
    <cellStyle name="40% - Énfasis4 2" xfId="59" xr:uid="{F6282267-7315-4019-8102-09045767A056}"/>
    <cellStyle name="40% - Énfasis4 3" xfId="187" xr:uid="{D752BA58-6264-448A-9DCA-600F46B0136D}"/>
    <cellStyle name="40% - Énfasis5 2" xfId="60" xr:uid="{E2777375-30FA-46F8-9CE4-EB1F35FEF43B}"/>
    <cellStyle name="40% - Énfasis5 3" xfId="188" xr:uid="{C29BB0FB-1D61-498F-BB9B-34F357C44559}"/>
    <cellStyle name="40% - Énfasis6 2" xfId="61" xr:uid="{281DC2AE-1859-4A8D-A90D-D3A8ADA32C39}"/>
    <cellStyle name="40% - Énfasis6 3" xfId="189" xr:uid="{4224CCA7-A656-4D23-857E-E2462F8F6451}"/>
    <cellStyle name="60% - Énfasis1 2" xfId="62" xr:uid="{AE9569FD-5CFB-4344-B2A2-6023C8B252A9}"/>
    <cellStyle name="60% - Énfasis1 3" xfId="190" xr:uid="{99D292F1-3986-44E6-81A9-D082A70BA6B7}"/>
    <cellStyle name="60% - Énfasis2 2" xfId="63" xr:uid="{1631C54E-08A7-4179-A687-36A906CDF975}"/>
    <cellStyle name="60% - Énfasis2 3" xfId="191" xr:uid="{F67A4502-2D08-4E58-B4DC-068E004B6673}"/>
    <cellStyle name="60% - Énfasis3 2" xfId="64" xr:uid="{42EE24FC-FD83-48D5-AE50-3E06C8F51184}"/>
    <cellStyle name="60% - Énfasis3 3" xfId="192" xr:uid="{E637804F-74CC-4D4B-8BCE-8AE31542F660}"/>
    <cellStyle name="60% - Énfasis4 2" xfId="65" xr:uid="{6A4DD785-808D-43B8-90CE-F0A4F4D11B39}"/>
    <cellStyle name="60% - Énfasis4 3" xfId="193" xr:uid="{0F9371BB-6BE1-4339-831C-D69DEC235A4A}"/>
    <cellStyle name="60% - Énfasis5 2" xfId="66" xr:uid="{8FD915D0-CEB5-4106-B5BB-7748BE8ADBD2}"/>
    <cellStyle name="60% - Énfasis5 3" xfId="194" xr:uid="{C0EAFB71-5FFC-49D4-B436-C8F967EDB9D7}"/>
    <cellStyle name="60% - Énfasis6 2" xfId="67" xr:uid="{2E707C1A-0DE9-40B1-8FA4-FA7261423F44}"/>
    <cellStyle name="60% - Énfasis6 3" xfId="195" xr:uid="{924071B2-4165-4FA6-865E-7C09409999CD}"/>
    <cellStyle name="Buena 2" xfId="68" xr:uid="{8CDA5365-FD8A-4734-8ACA-64C19A418DD4}"/>
    <cellStyle name="Buena 3" xfId="196" xr:uid="{F63DC222-E93F-4D44-B3DF-D3F05BF893A0}"/>
    <cellStyle name="Cálculo 2" xfId="69" xr:uid="{E52E6583-D954-40A1-99C1-210A777CBEA2}"/>
    <cellStyle name="Cálculo 3" xfId="197" xr:uid="{A2DAF8E9-194B-495D-B369-F3A3AF539CAC}"/>
    <cellStyle name="Cancel" xfId="198" xr:uid="{E7A52969-4E94-4AE9-A10F-5A2BA611D777}"/>
    <cellStyle name="Celda de comprobación 2" xfId="70" xr:uid="{DEBB22E0-C066-4890-9B54-746350CC7ED5}"/>
    <cellStyle name="Celda de comprobación 3" xfId="199" xr:uid="{A071C56F-DFB0-4605-A32C-F5F8C9A98C55}"/>
    <cellStyle name="Celda vinculada 2" xfId="71" xr:uid="{C095C510-04D6-40BB-9245-43A500F6D223}"/>
    <cellStyle name="Celda vinculada 3" xfId="200" xr:uid="{8B3F8EAC-728A-41EF-8949-5EE3D4F22EC2}"/>
    <cellStyle name="CIENTOS" xfId="201" xr:uid="{52D188A7-0C0B-42C5-8334-D61873364BD9}"/>
    <cellStyle name="CIENTOS 2" xfId="202" xr:uid="{F5004CAD-05F5-4217-95D6-E3F4C69369DF}"/>
    <cellStyle name="CIENTOS 2D" xfId="203" xr:uid="{C61C42C2-58E8-4E85-8F8A-A6542FE8464B}"/>
    <cellStyle name="CIENTOS 2D 2" xfId="204" xr:uid="{7B8AB13C-CC6D-4A92-869B-E3ABA16D4018}"/>
    <cellStyle name="CIENTOS 2D_PRESUPUESTO FASE III ABR-2015 Rev3" xfId="205" xr:uid="{ADD0A571-35AB-41F3-AB68-587BEE5E80C4}"/>
    <cellStyle name="CIENTOS 3D" xfId="206" xr:uid="{C03D1766-7872-4ADD-BA56-AB37F131299B}"/>
    <cellStyle name="CIENTOS 3D 2" xfId="207" xr:uid="{8418D5DF-7CAA-4E6C-8866-F7557E03EA1C}"/>
    <cellStyle name="CIENTOS 3D_PRESUPUESTO FASE III ABR-2015 Rev3" xfId="208" xr:uid="{C73227BC-D0AA-4458-98E0-FB373A9E5B3E}"/>
    <cellStyle name="CIENTOS 4D" xfId="209" xr:uid="{830AB07C-A13B-4240-9E21-41DB5E6CB9FA}"/>
    <cellStyle name="CIENTOS 4D 2" xfId="210" xr:uid="{FFB65507-8246-4BC1-B93E-A6D6E3DE3705}"/>
    <cellStyle name="CIENTOS 4D_PRESUPUESTO FASE III ABR-2015 Rev3" xfId="211" xr:uid="{A2553114-6C96-4F06-AC0F-6C48AFC2E8FF}"/>
    <cellStyle name="CIENTOS_CantidadesGirardota" xfId="212" xr:uid="{493ADF4B-6987-4F90-B29D-143D1F054604}"/>
    <cellStyle name="Comma" xfId="213" xr:uid="{CAF80A3E-0933-4450-ADD0-5CABE162E983}"/>
    <cellStyle name="Comma0" xfId="214" xr:uid="{838FE413-315F-4C8E-BF1A-A783DCED179A}"/>
    <cellStyle name="Currency" xfId="215" xr:uid="{C16604DE-40DA-43DF-9D8E-5E6469977579}"/>
    <cellStyle name="Currency0" xfId="216" xr:uid="{A034F2CE-FB9F-4097-95AC-2568A9C4775A}"/>
    <cellStyle name="Date" xfId="217" xr:uid="{ED98E678-458B-437C-BDF3-7336111746C0}"/>
    <cellStyle name="Encabezado 4 2" xfId="72" xr:uid="{687C0776-6142-440A-938B-038A360D9515}"/>
    <cellStyle name="Encabezado 4 3" xfId="218" xr:uid="{010C301B-AAA1-40B9-9664-93C54B76C4AA}"/>
    <cellStyle name="Énfasis1 2" xfId="73" xr:uid="{DB829A04-5CD4-4FFE-AA9A-873EA603411E}"/>
    <cellStyle name="Énfasis1 3" xfId="219" xr:uid="{D282FBBC-1C52-4770-A8D3-986B9ECFEB60}"/>
    <cellStyle name="Énfasis2 2" xfId="74" xr:uid="{CC6086CA-91D7-44F9-915C-5A19812CE4BC}"/>
    <cellStyle name="Énfasis2 3" xfId="220" xr:uid="{D25BA82F-1751-4D9D-8F22-088B204C8F3B}"/>
    <cellStyle name="Énfasis3 2" xfId="75" xr:uid="{25A9C241-2A29-4C86-9B4E-38A6F0D5ECA3}"/>
    <cellStyle name="Énfasis3 3" xfId="221" xr:uid="{47775707-141E-4A75-A722-DF80522D9A13}"/>
    <cellStyle name="Énfasis4 2" xfId="76" xr:uid="{6285695C-E1A1-4AAC-9C9E-8354BD8AFC42}"/>
    <cellStyle name="Énfasis4 3" xfId="222" xr:uid="{4B9ECC75-3732-40D9-8E8A-7DD33C4747E2}"/>
    <cellStyle name="Énfasis5 2" xfId="77" xr:uid="{4A87018E-527D-472B-AF6D-0DA6D06F828E}"/>
    <cellStyle name="Énfasis5 3" xfId="223" xr:uid="{8E02C686-1486-4472-AE66-96E8B93F3BA6}"/>
    <cellStyle name="Énfasis6 2" xfId="78" xr:uid="{63484250-A897-423C-8927-20AAB3B108C6}"/>
    <cellStyle name="Énfasis6 3" xfId="224" xr:uid="{A80ED1DA-7949-4906-BEB8-EC2197FF44C9}"/>
    <cellStyle name="Entrada 2" xfId="79" xr:uid="{A2590254-CEB5-4310-9492-E530BD1C218A}"/>
    <cellStyle name="Entrada 3" xfId="225" xr:uid="{B1DB5B67-E79B-4AD4-8F4C-FA4E62B82234}"/>
    <cellStyle name="Estilo 1" xfId="80" xr:uid="{C2D4EF9F-9DE5-49EB-8BEA-7760C7AA89B9}"/>
    <cellStyle name="Euro" xfId="81" xr:uid="{8D1C3ED1-E4A2-48B8-BE2B-4AD3E04B390D}"/>
    <cellStyle name="F2" xfId="226" xr:uid="{A2AEDD5D-69B1-41CB-BDAA-C4DD16CD0603}"/>
    <cellStyle name="F3" xfId="227" xr:uid="{756F4D0F-3C0E-4D77-BE1B-D3962B356E26}"/>
    <cellStyle name="F4" xfId="228" xr:uid="{C3950C2A-20FF-4705-9523-E24E1B8E2147}"/>
    <cellStyle name="F5" xfId="229" xr:uid="{26BC746E-B643-4A9D-8C55-57FDBF6DEB34}"/>
    <cellStyle name="F6" xfId="230" xr:uid="{1A79D29C-D40E-4A16-ABE8-F4DCFCFFF0C8}"/>
    <cellStyle name="F7" xfId="231" xr:uid="{74A49BEF-A257-4725-92E2-5FAFBB35B78C}"/>
    <cellStyle name="F8" xfId="232" xr:uid="{92BA52F1-084D-4092-BA85-071AD96D78B1}"/>
    <cellStyle name="Fixed" xfId="233" xr:uid="{393B0EE0-5FDE-49D9-8E9B-037C49004117}"/>
    <cellStyle name="Heading 1" xfId="234" xr:uid="{C6EFF776-CA70-4431-BE45-90512BE47982}"/>
    <cellStyle name="Heading 2" xfId="235" xr:uid="{6F61AADC-8B8A-442A-BBFD-C80FE96D1AEB}"/>
    <cellStyle name="Heading1" xfId="236" xr:uid="{6E11E6F4-D061-4352-BC24-AC843AF37D54}"/>
    <cellStyle name="Heading2" xfId="237" xr:uid="{78A0838C-EC4D-452A-8B34-44880082B9FF}"/>
    <cellStyle name="Incorrecto 2" xfId="82" xr:uid="{AD5D3C4D-B1D0-44BF-AF98-F8DD373F50A4}"/>
    <cellStyle name="Incorrecto 3" xfId="238" xr:uid="{33CA85DE-D6E8-49DB-A7D8-D6EF09A7D95D}"/>
    <cellStyle name="MILE DE MILLONES" xfId="239" xr:uid="{5A49CE6E-9528-4B6A-9772-14D950CC6F2D}"/>
    <cellStyle name="MILE DE MILLONES 2" xfId="240" xr:uid="{7538D357-38B9-4C1A-9A14-82D64778CCB6}"/>
    <cellStyle name="MILE DE MILLONES_PRESUPUESTO FASE III ABR-2015 Rev3" xfId="241" xr:uid="{4ED847F7-29AC-4BBA-B239-1DF3D0A9FF76}"/>
    <cellStyle name="MILES" xfId="242" xr:uid="{F408CDA1-F4CC-4E19-8901-BE74CAE33DDA}"/>
    <cellStyle name="MILES 2" xfId="243" xr:uid="{FEC130E1-E10C-4651-B6F3-158CEA66299A}"/>
    <cellStyle name="Millares [0] 2" xfId="328" xr:uid="{F111966C-D164-4C2B-8C9B-40605C1B899F}"/>
    <cellStyle name="Millares [2]" xfId="84" xr:uid="{2AA4ABE4-3936-459E-BAF3-FBF8DF1FB2AD}"/>
    <cellStyle name="Millares [2] 2" xfId="244" xr:uid="{7E9DAF0E-5448-40CA-969A-F7268604FA56}"/>
    <cellStyle name="Millares 10" xfId="85" xr:uid="{C1451274-B619-4839-A48B-6D6E7A134D9C}"/>
    <cellStyle name="Millares 10 2" xfId="86" xr:uid="{D8E3E306-9776-43F9-BC87-F063DEA4E912}"/>
    <cellStyle name="Millares 11" xfId="87" xr:uid="{C3059C34-5440-4DB6-8C34-8C390C7BE5F2}"/>
    <cellStyle name="Millares 11 2" xfId="245" xr:uid="{EDC9D508-FE13-45A0-807D-7CF8CCC94CD7}"/>
    <cellStyle name="Millares 11 2 2" xfId="316" xr:uid="{D961E83D-13E8-4DC9-AB4A-238C6A210D46}"/>
    <cellStyle name="Millares 12" xfId="168" xr:uid="{D792C8CE-EF30-4327-9E8C-041825CB187E}"/>
    <cellStyle name="Millares 13" xfId="176" xr:uid="{59B744F7-738C-4440-B3C0-E0F395A3A212}"/>
    <cellStyle name="Millares 13 2" xfId="26" xr:uid="{79899DB4-4D60-4DB2-9CD4-A7F699B50041}"/>
    <cellStyle name="Millares 13 2 2" xfId="307" xr:uid="{3369CEDB-7E2C-476D-A3AA-4111FFE53483}"/>
    <cellStyle name="Millares 13 2 5 2" xfId="35" xr:uid="{F1EC50C8-F68D-4430-9AEE-AFACC151D02C}"/>
    <cellStyle name="Millares 13 2 5 2 2" xfId="308" xr:uid="{BE741E69-1BE5-4193-99CF-138AED4CFF60}"/>
    <cellStyle name="Millares 13 3" xfId="315" xr:uid="{F2AFBBD5-0206-4419-8DC1-1A4E32755787}"/>
    <cellStyle name="Millares 14" xfId="83" xr:uid="{F1081D62-FE47-4389-9AB5-154BE3D090EF}"/>
    <cellStyle name="Millares 2" xfId="10" xr:uid="{9D6845DD-307D-4D43-A05A-6676F3EEC982}"/>
    <cellStyle name="Millares 2 2" xfId="89" xr:uid="{9FD3E899-156E-468A-83B9-F80DF8CBB805}"/>
    <cellStyle name="Millares 2 3" xfId="90" xr:uid="{B1806087-7BBB-4D04-B4FF-41D5F086C3A9}"/>
    <cellStyle name="Millares 2 4" xfId="246" xr:uid="{5BF073A1-3F30-48E2-AEDD-2F9203EF3246}"/>
    <cellStyle name="Millares 2 5" xfId="91" xr:uid="{6ADAA799-D98F-476F-9468-8D483D029C8B}"/>
    <cellStyle name="Millares 2 5 2" xfId="311" xr:uid="{2201659E-C023-4152-8FE4-7D2F21FFD322}"/>
    <cellStyle name="Millares 2 6" xfId="88" xr:uid="{0FF46F27-2960-4969-A153-FD5B21EABD39}"/>
    <cellStyle name="Millares 2 7" xfId="304" xr:uid="{76451ED5-A4F9-4E5A-9E2C-923258074C56}"/>
    <cellStyle name="Millares 2_APU´S_NO_PREVISTOS (1)" xfId="247" xr:uid="{DB37054C-D02D-4367-ACC2-98BA462C96A6}"/>
    <cellStyle name="Millares 28" xfId="39" xr:uid="{402976FB-E605-46FC-81BD-7D79891DB325}"/>
    <cellStyle name="Millares 28 2" xfId="310" xr:uid="{4BE3F129-45E7-44BE-8F0E-38629CFC48F4}"/>
    <cellStyle name="Millares 3" xfId="92" xr:uid="{A938B84C-677E-4F34-81F0-A26C0CFE8FD4}"/>
    <cellStyle name="Millares 3 2" xfId="93" xr:uid="{33343248-88BD-4041-8F53-0273A468191E}"/>
    <cellStyle name="Millares 3 3" xfId="94" xr:uid="{FF0C2473-405C-4C61-83C1-E5F69517DEAD}"/>
    <cellStyle name="Millares 3 4" xfId="95" xr:uid="{E26AE749-EF56-48A7-9711-01F8380894AF}"/>
    <cellStyle name="Millares 3 5" xfId="96" xr:uid="{8263D765-AE32-4ED1-8A77-032397879A5F}"/>
    <cellStyle name="Millares 3 6" xfId="327" xr:uid="{6E25F5B6-C4AF-4892-AC27-866B353BFFC3}"/>
    <cellStyle name="Millares 4" xfId="97" xr:uid="{94A73B5D-4FC4-4874-B4B0-96792D8A78CA}"/>
    <cellStyle name="Millares 4 2" xfId="98" xr:uid="{C09700FA-BAD5-4CDB-8EB5-B30CC34E8555}"/>
    <cellStyle name="Millares 4 2 2" xfId="312" xr:uid="{84F65D3E-BC42-4E64-B8B1-1A0686543AD1}"/>
    <cellStyle name="Millares 4 3" xfId="248" xr:uid="{A2B3459F-DD7A-48AD-95F2-ED04DDC5CA15}"/>
    <cellStyle name="Millares 4 3 2" xfId="317" xr:uid="{5920A20A-0C2B-4420-8A24-93AF133246B9}"/>
    <cellStyle name="Millares 4_APU´S_NO_PREVISTOS (1)" xfId="249" xr:uid="{A9A794E9-2DD6-41A1-A665-15B6D75AD000}"/>
    <cellStyle name="Millares 5" xfId="99" xr:uid="{C643A38D-0868-457B-ADB5-37E523832BE7}"/>
    <cellStyle name="Millares 5 2" xfId="250" xr:uid="{74C55D75-578F-44BF-8E1C-38203DB28A3B}"/>
    <cellStyle name="Millares 5 2 2" xfId="318" xr:uid="{04598FCD-DC02-450B-A9A6-D5AB64C5DE61}"/>
    <cellStyle name="Millares 5 3" xfId="20" xr:uid="{037302E1-FA30-486D-BC67-AB1744AD213A}"/>
    <cellStyle name="Millares 5 3 2" xfId="306" xr:uid="{C678A220-3472-4EE8-8853-32EB0058C541}"/>
    <cellStyle name="Millares 6" xfId="100" xr:uid="{2542A060-99BB-444F-9A49-05D49A2DC0CB}"/>
    <cellStyle name="Millares 6 2" xfId="101" xr:uid="{B76424EF-23DD-4816-8F45-3E4D126E3519}"/>
    <cellStyle name="Millares 6 2 2" xfId="314" xr:uid="{4BF28D1D-E8E8-4A72-9935-1D4E5DCCBF26}"/>
    <cellStyle name="Millares 6 3" xfId="313" xr:uid="{E1D0BFC4-A1B8-4BE3-AF80-DEDD4C8CC9E2}"/>
    <cellStyle name="Millares 7" xfId="102" xr:uid="{CA7E1874-5ED3-4860-BAD8-821B58881999}"/>
    <cellStyle name="Millares 7 2" xfId="103" xr:uid="{9DF64D60-D78C-4CE2-B150-A6178F27B5D0}"/>
    <cellStyle name="Millares 7 2 2" xfId="104" xr:uid="{D4FE2D94-3453-4110-9E55-9E39E1E83D69}"/>
    <cellStyle name="Millares 8" xfId="4" xr:uid="{A26B32AC-6436-4678-A610-67FDE6F4B488}"/>
    <cellStyle name="Millares 8 2" xfId="106" xr:uid="{994993A6-0AD3-4F75-9B2B-424272D0B999}"/>
    <cellStyle name="Millares 8 3" xfId="105" xr:uid="{F1F0AAD7-67AF-4517-AA3E-69D73AFCE635}"/>
    <cellStyle name="Millares 8 4" xfId="302" xr:uid="{A97A29C2-5B0E-44EA-A0A5-7821F035ACAA}"/>
    <cellStyle name="Millares 9" xfId="107" xr:uid="{8641C69C-EE6C-4743-A6CF-3180DD9D842A}"/>
    <cellStyle name="Millares 9 2" xfId="108" xr:uid="{A421BF3F-42FE-4F27-BD47-E8E016DAA17A}"/>
    <cellStyle name="Millares_FORMULARIO 4 - M-OFERENTE PPTA ECONOMICA" xfId="325" xr:uid="{F75045EB-DEF3-4811-B010-9D69B0DF02BE}"/>
    <cellStyle name="Millares_PRESUPUESTO  AMBIENTAL Y SOCIAL anexo 8A 2" xfId="36" xr:uid="{879DFC59-032F-4CD2-B943-1EA22893E1C8}"/>
    <cellStyle name="Millares_PRESUPUESTOS Preliminares 2" xfId="34" xr:uid="{55367348-36A0-47E6-85C9-D3C2ECF159E3}"/>
    <cellStyle name="Millares_TARIFAS 747 - HISTORICO DESDE 1998" xfId="25" xr:uid="{2A3D5206-0F9B-42E1-BD2A-695EB1AF9A5E}"/>
    <cellStyle name="MILLONES" xfId="251" xr:uid="{C058AB1B-8D88-4656-B840-D2597B4DD101}"/>
    <cellStyle name="MILLONES 2" xfId="252" xr:uid="{8867DA02-265D-4240-9C62-26D8159276DD}"/>
    <cellStyle name="MILLONES_PRESUPUESTO FASE III ABR-2015 Rev3" xfId="253" xr:uid="{248A152C-9EB8-4A87-BE80-24BDC2F5A66C}"/>
    <cellStyle name="Moneda" xfId="1" builtinId="4"/>
    <cellStyle name="Moneda [0] 2" xfId="38" xr:uid="{F5257171-4585-4B94-A8A8-138021F6B7AE}"/>
    <cellStyle name="Moneda [0] 2 2" xfId="47" xr:uid="{F916D0EF-0FF7-4C22-917C-1E45583BC02B}"/>
    <cellStyle name="Moneda [0] 2 3" xfId="309" xr:uid="{C77D0055-6FB1-440D-B40E-963C4ED7BC55}"/>
    <cellStyle name="Moneda [0] 3" xfId="43" xr:uid="{F00F3FC0-E63E-4ED2-951E-B7A720718A30}"/>
    <cellStyle name="Moneda 10 2" xfId="109" xr:uid="{9ECE20F9-0DCF-43CD-A9B2-9A31B769D8C5}"/>
    <cellStyle name="Moneda 14" xfId="18" xr:uid="{D3E4A97D-D6F7-4186-829A-A9BFA273DE34}"/>
    <cellStyle name="Moneda 15" xfId="40" xr:uid="{11D218C7-01A5-4F9D-98DA-B488AD5AB3D6}"/>
    <cellStyle name="Moneda 2" xfId="9" xr:uid="{C778F561-3A24-4D42-A508-B21466706FDB}"/>
    <cellStyle name="Moneda 2 10" xfId="254" xr:uid="{36EA51FA-6CBA-4BE7-9924-A45D549C6129}"/>
    <cellStyle name="Moneda 2 11" xfId="255" xr:uid="{70DC107A-128A-454E-AB66-9D9367CB5CCA}"/>
    <cellStyle name="Moneda 2 12" xfId="256" xr:uid="{67FB3744-ACB9-4509-8422-4DE3D71C3EA1}"/>
    <cellStyle name="Moneda 2 13" xfId="110" xr:uid="{49B2C29C-4696-4E1F-AA81-2910AA36CC48}"/>
    <cellStyle name="Moneda 2 2" xfId="111" xr:uid="{54E91107-29C4-4ECE-AF4C-7CDF79E9A013}"/>
    <cellStyle name="Moneda 2 2 2" xfId="112" xr:uid="{0740F5CF-E12D-41E6-AE76-9E1ACB054B98}"/>
    <cellStyle name="Moneda 2 2 2 2" xfId="27" xr:uid="{EC0B71A7-60AA-4DB9-981F-5B6FC61F9D7D}"/>
    <cellStyle name="Moneda 2 2 2 2 2" xfId="172" xr:uid="{F1158042-17A9-4CF9-9B3A-CFDCB809A00A}"/>
    <cellStyle name="Moneda 2 2 2 2 3" xfId="113" xr:uid="{65EBF044-FE26-4110-9459-94D10DCF1358}"/>
    <cellStyle name="Moneda 2 2 3" xfId="114" xr:uid="{907F9593-92CC-46BF-814B-DFD02E9154FC}"/>
    <cellStyle name="Moneda 2 2 4" xfId="115" xr:uid="{46007ABD-B05C-4104-A0D9-A0A0B3819BEA}"/>
    <cellStyle name="Moneda 2 2 5" xfId="116" xr:uid="{AF1CCAE9-53FD-4C63-B26E-7F07E7309397}"/>
    <cellStyle name="Moneda 2 2_APU´S_NO_PREVISTOS (1)" xfId="257" xr:uid="{FA413536-24BE-48E2-8F4B-BAE8BD5CD155}"/>
    <cellStyle name="Moneda 2 3" xfId="117" xr:uid="{AF1BC2AF-1CAC-410E-B17A-628EE8FF76D1}"/>
    <cellStyle name="Moneda 2 4" xfId="258" xr:uid="{263B158C-5CA0-456E-A853-8539964C1143}"/>
    <cellStyle name="Moneda 2 5" xfId="259" xr:uid="{6AC8D323-AE2E-42EB-98C0-A4B3CBF1C4DF}"/>
    <cellStyle name="Moneda 2 6" xfId="260" xr:uid="{EACF26FE-BF6C-441D-B92C-3C18EA43F659}"/>
    <cellStyle name="Moneda 2 7" xfId="261" xr:uid="{614C7B87-ACBD-41E1-8F83-00203A1281FE}"/>
    <cellStyle name="Moneda 2 8" xfId="262" xr:uid="{EAE35E86-AFBD-4775-9AC6-2FEBD28658DA}"/>
    <cellStyle name="Moneda 2 9" xfId="263" xr:uid="{92DC2AAE-93C4-4050-B5AB-EC1D40252635}"/>
    <cellStyle name="Moneda 2_APU´S_NO_PREVISTOS (1)" xfId="264" xr:uid="{A346E4EC-65B1-4B6B-8D32-7A7170311FDC}"/>
    <cellStyle name="Moneda 3" xfId="12" xr:uid="{EB8B95AC-DE0E-4F59-8DBE-E7DCC43D2F4C}"/>
    <cellStyle name="Moneda 3 2" xfId="19" xr:uid="{F7D7250E-9254-4A51-94B8-84552D9147C8}"/>
    <cellStyle name="Moneda 3 3" xfId="118" xr:uid="{DC31F467-B1DA-4A17-87D9-BA25878CEA00}"/>
    <cellStyle name="Moneda 3 4" xfId="305" xr:uid="{A868D119-55B6-49A6-BBC8-5A70449DCF12}"/>
    <cellStyle name="Moneda 3 7" xfId="23" xr:uid="{94C55AAB-DFDE-4D22-86F4-88F24A240501}"/>
    <cellStyle name="Moneda 4" xfId="29" xr:uid="{3DEB66DF-261F-45A5-BC24-07AE12BD4F6E}"/>
    <cellStyle name="Moneda 4 2" xfId="6" xr:uid="{80DF4232-B9E5-431D-A510-0155AC58BB0D}"/>
    <cellStyle name="Moneda 4 2 2" xfId="303" xr:uid="{95090A29-88D1-4F93-9F60-E8B7FB5C8FD6}"/>
    <cellStyle name="Moneda 4 3" xfId="265" xr:uid="{4DEBD34E-C9A7-44E2-99F6-033999DCF1B4}"/>
    <cellStyle name="Moneda 5" xfId="296" xr:uid="{D6680CBE-1849-47D0-8EBD-F17CC1746D6A}"/>
    <cellStyle name="Moneda 5 2" xfId="319" xr:uid="{3371147B-3B67-48C0-97D0-C0689798B063}"/>
    <cellStyle name="Moneda 6" xfId="301" xr:uid="{97E534C1-DCA9-475B-9F7C-DA83E0D3D15B}"/>
    <cellStyle name="Moneda_PPTO TOTAL-VERSION-15-OCT-2009" xfId="45" xr:uid="{8CC30C16-CB91-4348-88A0-F406C5F18ADC}"/>
    <cellStyle name="Monetario0" xfId="266" xr:uid="{FED047EF-ADD6-4C72-9431-FDACD464B5D4}"/>
    <cellStyle name="Neutral 2" xfId="120" xr:uid="{4930E4B1-4E3D-4266-A0F4-A0D3E579750E}"/>
    <cellStyle name="Neutral 3" xfId="267" xr:uid="{8D24CB77-059D-466B-A299-ECDBD845B404}"/>
    <cellStyle name="Neutral 4" xfId="119" xr:uid="{99C14300-2211-4D43-875A-EA07716BC005}"/>
    <cellStyle name="No. punto" xfId="268" xr:uid="{A55E540A-E8A1-4A70-9B6A-EABA5DCB01AE}"/>
    <cellStyle name="No. punto 2" xfId="269" xr:uid="{E30D2487-8B2A-4743-BB70-E83E5C98381B}"/>
    <cellStyle name="Normal" xfId="0" builtinId="0"/>
    <cellStyle name="Normal 10" xfId="49" xr:uid="{9A14324C-616F-4575-B272-811F8DF43960}"/>
    <cellStyle name="Normal 10 2 2" xfId="28" xr:uid="{96F41291-D6E7-4A2A-B775-3A064FD43F36}"/>
    <cellStyle name="Normal 11" xfId="2" xr:uid="{CFC9EDCE-465A-4333-B3B8-665194B4AC6D}"/>
    <cellStyle name="Normal 12 2" xfId="17" xr:uid="{3FE46C11-55EF-406E-B166-DF012C970129}"/>
    <cellStyle name="Normal 13" xfId="320" xr:uid="{A5E62ED2-CBB1-4D6B-885D-75FD1FC9C516}"/>
    <cellStyle name="Normal 16" xfId="299" xr:uid="{0CEF5555-A30F-4F6E-9ED2-8D80394AD236}"/>
    <cellStyle name="Normal 17" xfId="322" xr:uid="{64E28625-F1F3-416A-B929-C75F194FCC26}"/>
    <cellStyle name="Normal 2" xfId="121" xr:uid="{941A9F52-5A67-4C6A-B21B-377FC3A0B128}"/>
    <cellStyle name="Normal 2 10" xfId="8" xr:uid="{08AEF8C2-BDBC-42FB-8651-4E5589ED45ED}"/>
    <cellStyle name="Normal 2 10 2" xfId="122" xr:uid="{5DAAC6AE-0A6C-40BE-BC99-ECE37011F4C3}"/>
    <cellStyle name="Normal 2 10 2 2" xfId="177" xr:uid="{8AAED5F5-B1AD-4E7F-B746-9C663ECE60F3}"/>
    <cellStyle name="Normal 2 10 3" xfId="169" xr:uid="{6F77A0ED-F6C7-4EE7-B704-FA40A9060022}"/>
    <cellStyle name="Normal 2 11" xfId="123" xr:uid="{FD7231BE-1B32-45C7-9D86-FA513F638BB6}"/>
    <cellStyle name="Normal 2 12" xfId="124" xr:uid="{66BAA326-EF06-4857-87EC-69E20154352A}"/>
    <cellStyle name="Normal 2 13" xfId="125" xr:uid="{A0C07833-993F-4924-84DC-0C5D8717BDD6}"/>
    <cellStyle name="Normal 2 2" xfId="48" xr:uid="{E1BBC6A0-3D7B-4FCA-AB7C-A58FA9B244F2}"/>
    <cellStyle name="Normal 2 2 2" xfId="270" xr:uid="{95834345-A712-454E-8BF8-E7DD690D8096}"/>
    <cellStyle name="Normal 2 2 3" xfId="271" xr:uid="{616C1D17-BAE6-4F2F-B5AA-1CE57540D05C}"/>
    <cellStyle name="Normal 2 3" xfId="126" xr:uid="{81D5BE8A-175A-4C34-8105-741D97026792}"/>
    <cellStyle name="Normal 2 3 2" xfId="272" xr:uid="{FE30E2EE-8998-4A39-92E6-146E2FDF678B}"/>
    <cellStyle name="Normal 2 4" xfId="127" xr:uid="{31D21A1B-D3F8-4956-99BA-7B0E3E4401D5}"/>
    <cellStyle name="Normal 2 5" xfId="128" xr:uid="{5A35A0FE-45F1-413E-A6D9-C004E3E157AE}"/>
    <cellStyle name="Normal 2 5 2" xfId="323" xr:uid="{8C698B92-4744-41DD-909C-9D2E495A32AA}"/>
    <cellStyle name="Normal 2 6" xfId="129" xr:uid="{D962E75B-880E-4B3B-B381-FFACA22ACC6F}"/>
    <cellStyle name="Normal 2 7" xfId="130" xr:uid="{15500299-3506-4DD5-BDBE-E00FCF6F5586}"/>
    <cellStyle name="Normal 2 8" xfId="131" xr:uid="{D1B36991-7B69-4154-BD80-4AC65C4982D9}"/>
    <cellStyle name="Normal 2 9" xfId="132" xr:uid="{1F9F27F4-5432-4842-93C9-1517B64401C0}"/>
    <cellStyle name="Normal 2_APU NO PREVISTOS MTTO" xfId="133" xr:uid="{15D213A0-2B01-466E-B7ED-572F54CD2249}"/>
    <cellStyle name="Normal 21" xfId="298" xr:uid="{8BE41E78-1A4C-4FB8-B0BD-21F37D95E09C}"/>
    <cellStyle name="Normal 24 2 2" xfId="300" xr:uid="{D3AB45C6-0AE4-4F66-B10B-992BF72C004A}"/>
    <cellStyle name="Normal 29" xfId="134" xr:uid="{0A63094B-0A42-4340-8F98-01AAACFC4242}"/>
    <cellStyle name="Normal 3" xfId="135" xr:uid="{79F1620A-70C4-40A2-AB83-7EEC0DCC789D}"/>
    <cellStyle name="Normal 3 11" xfId="173" xr:uid="{5853385C-D508-4483-8643-4D0FB6461D80}"/>
    <cellStyle name="Normal 3 11 2" xfId="297" xr:uid="{5B7F320B-E0F5-4B8E-91DE-604D312C19E2}"/>
    <cellStyle name="Normal 3 11 3 2" xfId="326" xr:uid="{52B4EED1-C73C-44B4-B1DF-19C0367C1AD7}"/>
    <cellStyle name="Normal 3 2" xfId="16" xr:uid="{0015C0FD-AFD3-4769-A4F9-ECF99A7840E9}"/>
    <cellStyle name="Normal 3 2 2" xfId="171" xr:uid="{68DE442A-6A03-44ED-9B35-1449A90C1F39}"/>
    <cellStyle name="Normal 3 3" xfId="273" xr:uid="{75611F49-CB44-45EF-9010-1A91C90892F3}"/>
    <cellStyle name="Normal 3 6 2" xfId="22" xr:uid="{E9A5C3B2-DCC2-4190-998F-6113076F6AB5}"/>
    <cellStyle name="Normal 3_APU´S_NO_PREVISTOS (1)" xfId="274" xr:uid="{F89BE8D9-3FEF-48BC-A858-3C70925FD28E}"/>
    <cellStyle name="Normal 4" xfId="136" xr:uid="{D32D2C86-7815-43B0-8ABE-120BDA12C371}"/>
    <cellStyle name="Normal 4 2" xfId="11" xr:uid="{88FC3A79-F6FA-49AF-AEAB-6E9248AB6506}"/>
    <cellStyle name="Normal 4 2 2" xfId="275" xr:uid="{7E3F2857-4245-482E-A6DF-47F6D8A2E732}"/>
    <cellStyle name="Normal 5" xfId="175" xr:uid="{7DA118F3-DE45-43DB-AD55-89586BFA1B89}"/>
    <cellStyle name="Normal 6" xfId="276" xr:uid="{FB26E9E1-C929-4720-97AA-4CED13796D8A}"/>
    <cellStyle name="Normal 6 2" xfId="277" xr:uid="{7E6A91DB-A2F2-4474-9E13-B06F05C37F78}"/>
    <cellStyle name="Normal 7" xfId="278" xr:uid="{21D52DFE-CF32-4C53-A5BF-AE897A933340}"/>
    <cellStyle name="Normal 8" xfId="279" xr:uid="{39202519-C0A6-4FD4-8B98-630EEE4AC09C}"/>
    <cellStyle name="Normal 9" xfId="280" xr:uid="{462C9724-9E4C-4A20-8077-D05CC8C9CD89}"/>
    <cellStyle name="Normal 9 2" xfId="174" xr:uid="{1B4D203D-C9E3-4EC7-98DC-328E3ED80EA2}"/>
    <cellStyle name="Normal_AIU AMBIENTAL Y SISO AV 19 NUEVO v01" xfId="31" xr:uid="{69EB7400-9590-493A-A971-524B709C68E4}"/>
    <cellStyle name="Normal_BASE DE DATOS PRESUPUESTOS REV.3 DICIEMBRE 2006 2" xfId="3" xr:uid="{69E509B4-DF0F-4DF0-AE9F-22F0828150DA}"/>
    <cellStyle name="Normal_CALCULO DEL AIU 2011" xfId="15" xr:uid="{B62EC407-F7CB-4B5D-98C7-22A0662441F2}"/>
    <cellStyle name="Normal_CALCULO DEL AIU 2011_revisar" xfId="14" xr:uid="{8AAB89B0-225B-4A37-B97C-EFE1E7258588}"/>
    <cellStyle name="Normal_PPTO-ETAPA- I-07-SEPTIEMBRE-12" xfId="13" xr:uid="{7D1EB0D8-4714-4D4D-8353-F10083272CF3}"/>
    <cellStyle name="Normal_Presup AIU FdC PMT Amb Obra Redes" xfId="44" xr:uid="{FB9855B2-CE15-459C-B67F-8CDDE3C0A5C3}"/>
    <cellStyle name="Normal_PRESUPUESTO Ambiental_PPTO-CANTON NORTE KR 11 100-106 + ALAMEDA-16-OCTUBRE-2012" xfId="32" xr:uid="{40CC12DA-8AC8-45F4-95E8-9C4C89401E6D}"/>
    <cellStyle name="Normal_Presupuesto STED3" xfId="41" xr:uid="{C458CFD1-6021-4C7D-9F80-51D6E6925D8A}"/>
    <cellStyle name="Normal_PRESUPUESTOS Preliminares_PPTO-ETAPA- I-16-MAYO-12-PREPLIEGO" xfId="33" xr:uid="{3D24FEE3-02A9-45BC-9428-574FC50B6C0E}"/>
    <cellStyle name="Normal_PTO OFICIAL PREPLIEGO (CORREGIDO) 2" xfId="324" xr:uid="{AA3E7987-3472-4782-A601-541F05547709}"/>
    <cellStyle name="Normal_Tarifas Consultoria Res.747-98 Mintransporte (historico)_ 2011" xfId="24" xr:uid="{A5827BBD-3947-498A-A64E-C2A60AA1C47E}"/>
    <cellStyle name="Notas 2" xfId="137" xr:uid="{88D843CA-9604-4602-A1BC-67E9DCA3BD67}"/>
    <cellStyle name="Notas 3" xfId="281" xr:uid="{43ECCDDE-E9C9-405A-9D18-B4B5F5D36FA5}"/>
    <cellStyle name="Percent" xfId="282" xr:uid="{7057C5E7-FD31-4873-8B4C-0C5FB52ECCC4}"/>
    <cellStyle name="Porcentaje" xfId="7" builtinId="5"/>
    <cellStyle name="Porcentaje 2" xfId="283" xr:uid="{F826DC7C-4801-49B8-96B2-8C82E68041AE}"/>
    <cellStyle name="Porcentaje 2 2" xfId="21" xr:uid="{80F5CD73-DF99-4AC7-A1AC-6F7D7020B33D}"/>
    <cellStyle name="Porcentaje 2 4 2" xfId="37" xr:uid="{1DDCE8CC-7F1F-4380-B7D3-28DE961E6609}"/>
    <cellStyle name="Porcentaje 2 4 2 2" xfId="46" xr:uid="{6E2DB1E5-650B-4B0F-A458-B2DFF7D46E32}"/>
    <cellStyle name="Porcentaje 3" xfId="138" xr:uid="{4DD61E4D-5E92-43C3-9A4D-8CA3E160F76C}"/>
    <cellStyle name="Porcentaje 4" xfId="284" xr:uid="{82E04AFF-6EAA-4B1E-9B3D-319975F71A52}"/>
    <cellStyle name="Porcentaje 5" xfId="5" xr:uid="{A7E80188-C439-4E58-B5C9-4E54F0020275}"/>
    <cellStyle name="Porcentaje 5 2" xfId="285" xr:uid="{68EC855D-03C9-44EA-BFD2-9A14926A9138}"/>
    <cellStyle name="Porcentaje 6" xfId="321" xr:uid="{A9F83803-8B2F-4984-8645-08A148E48BF7}"/>
    <cellStyle name="Porcentaje 7" xfId="42" xr:uid="{3A651203-C349-4459-B178-2C1FAFD267B3}"/>
    <cellStyle name="Porcentual 2" xfId="139" xr:uid="{AC17906F-D48F-435F-BDC4-C372CAECBC0F}"/>
    <cellStyle name="Porcentual 2 10" xfId="140" xr:uid="{FC91301F-6BF1-47E1-9972-A727BEF98BCA}"/>
    <cellStyle name="Porcentual 2 10 2" xfId="141" xr:uid="{4D3981FA-EF1C-4AA7-A23B-596884CF8099}"/>
    <cellStyle name="Porcentual 2 11" xfId="142" xr:uid="{B37B9C58-ACD5-4D35-A598-21465EA743B9}"/>
    <cellStyle name="Porcentual 2 12" xfId="143" xr:uid="{C5004694-BC15-4D22-9BC3-1E4B323B7FC5}"/>
    <cellStyle name="Porcentual 2 2" xfId="144" xr:uid="{58B2C790-3B6C-4CAC-B6B9-A48EF8FF61E3}"/>
    <cellStyle name="Porcentual 2 3" xfId="145" xr:uid="{AA823F77-C33C-4E08-BA8D-E63ADBA569CD}"/>
    <cellStyle name="Porcentual 2 4" xfId="146" xr:uid="{D451D29C-2635-4E44-9B8F-F54FE359A994}"/>
    <cellStyle name="Porcentual 2 5" xfId="147" xr:uid="{ED835873-E72F-4E6F-932A-FEAA97D7910C}"/>
    <cellStyle name="Porcentual 2 6" xfId="148" xr:uid="{27289ADD-137F-46CE-AE1A-A0D119543765}"/>
    <cellStyle name="Porcentual 2 7" xfId="149" xr:uid="{2DD96ED3-6E8E-4416-A0EB-1065B0384504}"/>
    <cellStyle name="Porcentual 2 8" xfId="150" xr:uid="{543E65A8-5062-4AFA-8EE5-2B07326686D9}"/>
    <cellStyle name="Porcentual 2 9" xfId="151" xr:uid="{B16B5A5F-532F-4DD4-BDB2-538770260DB2}"/>
    <cellStyle name="Porcentual 3" xfId="152" xr:uid="{866EEC78-9816-423C-8215-79ED4187E934}"/>
    <cellStyle name="Porcentual 4" xfId="153" xr:uid="{EF2EA266-5CB3-4F69-A246-C9EB2A03087C}"/>
    <cellStyle name="Porcentual 4 2" xfId="154" xr:uid="{535BA0FB-223E-45BC-B193-0F666E37AD6E}"/>
    <cellStyle name="Porcentual 5" xfId="155" xr:uid="{D6B0FC0D-F453-49C0-81F5-5B488FF5CC17}"/>
    <cellStyle name="Porcentual 5 2" xfId="286" xr:uid="{736E19C4-3B58-4975-907E-AA299F4A5E3C}"/>
    <cellStyle name="Porcentual 6" xfId="156" xr:uid="{381ECC2B-8CB9-47FB-A414-DE391C8187B3}"/>
    <cellStyle name="Porcentual 6 2" xfId="157" xr:uid="{BA6E6F9F-E4D8-4F63-9C87-549E2DA38B13}"/>
    <cellStyle name="Porcentual 7" xfId="158" xr:uid="{6D1F7ED8-9A5C-4693-B257-6511CE5B5404}"/>
    <cellStyle name="Porcentual 8" xfId="170" xr:uid="{B80F875B-9ED3-4875-A338-5A5E6C27FF6B}"/>
    <cellStyle name="Porcentual_CALCULO DEL AIU-2012" xfId="30" xr:uid="{634DE5BD-B67C-476C-8784-59AD991C7F40}"/>
    <cellStyle name="resaltado" xfId="287" xr:uid="{BAF8E981-1E91-4AE5-BE87-A2ACA5BD1052}"/>
    <cellStyle name="Salida 2" xfId="159" xr:uid="{AB55E2F9-3185-4A6A-95A7-F0860BEC6A7D}"/>
    <cellStyle name="Salida 3" xfId="288" xr:uid="{840DBEE2-21E3-4127-93C2-25487CE22156}"/>
    <cellStyle name="Texto de advertencia 2" xfId="160" xr:uid="{9601EC39-165A-4119-B682-ED5EE2E0BC51}"/>
    <cellStyle name="Texto de advertencia 3" xfId="289" xr:uid="{2F3B898C-9272-4739-AE1B-144507FD64F2}"/>
    <cellStyle name="Texto explicativo 2" xfId="161" xr:uid="{E2D97186-A570-4069-95EF-5AEF53103663}"/>
    <cellStyle name="Texto explicativo 3" xfId="290" xr:uid="{7FB6F17D-C709-44AA-95EB-CC3AD6D0C6ED}"/>
    <cellStyle name="Título 1 2" xfId="162" xr:uid="{828AB3D7-8A0E-4567-B81E-73EFD1AC3BB7}"/>
    <cellStyle name="Título 1 3" xfId="291" xr:uid="{47928D3B-1C4A-4E74-B2E7-50BF12CFF3B1}"/>
    <cellStyle name="Título 2 2" xfId="163" xr:uid="{D28FF607-1F90-4FB3-BC10-FC2F2FF69D41}"/>
    <cellStyle name="Título 2 3" xfId="292" xr:uid="{36D4B8C4-FB03-4D80-B819-AD1517A3B746}"/>
    <cellStyle name="Título 3 2" xfId="164" xr:uid="{364DB204-D562-4D8F-9494-DC9C83CF7643}"/>
    <cellStyle name="Título 3 3" xfId="293" xr:uid="{D9F9454B-5852-4B5E-A317-8F9ED51BE1CD}"/>
    <cellStyle name="Título 4" xfId="165" xr:uid="{108938AB-BAA7-4C54-93AD-630D48ED8ACE}"/>
    <cellStyle name="Título 5" xfId="294" xr:uid="{3D235D44-6788-48B6-B75E-745DFDA0FD59}"/>
    <cellStyle name="Total 2" xfId="167" xr:uid="{75D32AD1-4DF3-437C-A62F-D57C11B71BE5}"/>
    <cellStyle name="Total 3" xfId="295" xr:uid="{85FAA685-1599-46AB-BBDC-9618CB3C2B1F}"/>
    <cellStyle name="Total 4" xfId="166" xr:uid="{52272615-F060-4BCF-8862-E5B5A24F67C4}"/>
  </cellStyles>
  <dxfs count="367">
    <dxf>
      <font>
        <color theme="4"/>
      </font>
    </dxf>
    <dxf>
      <font>
        <color theme="4"/>
      </font>
    </dxf>
    <dxf>
      <font>
        <color theme="4"/>
      </font>
    </dxf>
    <dxf>
      <font>
        <color theme="4"/>
      </font>
    </dxf>
    <dxf>
      <font>
        <color theme="4"/>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medium">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rgb="FF000000"/>
        </top>
        <bottom/>
      </border>
    </dxf>
    <dxf>
      <numFmt numFmtId="34" formatCode="_-&quot;$&quot;\ * #,##0.00_-;\-&quot;$&quot;\ * #,##0.00_-;_-&quot;$&quot;\ * &quot;-&quot;??_-;_-@_-"/>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rgb="FF000000"/>
        </top>
        <bottom/>
      </border>
    </dxf>
    <dxf>
      <numFmt numFmtId="0" formatCode="General"/>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diagonalUp="0" diagonalDown="0" outline="0">
        <left/>
        <right style="thin">
          <color indexed="64"/>
        </right>
        <top style="thin">
          <color rgb="FF000000"/>
        </top>
        <bottom/>
      </border>
    </dxf>
    <dxf>
      <fill>
        <patternFill patternType="none">
          <fgColor indexed="64"/>
          <bgColor auto="1"/>
        </patternFill>
      </fill>
      <border diagonalUp="0" diagonalDown="0">
        <left/>
        <right style="thin">
          <color auto="1"/>
        </right>
        <top style="thin">
          <color auto="1"/>
        </top>
        <bottom style="thin">
          <color auto="1"/>
        </bottom>
        <vertical/>
        <horizontal/>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border diagonalUp="0" diagonalDown="0" outline="0">
        <left style="thin">
          <color indexed="64"/>
        </left>
        <right style="thin">
          <color indexed="64"/>
        </right>
        <top/>
        <bottom/>
      </border>
    </dxf>
    <dxf>
      <numFmt numFmtId="165" formatCode="&quot;$&quot;\ #,##0.00"/>
      <border diagonalUp="0" diagonalDown="0" outline="0">
        <left style="thin">
          <color auto="1"/>
        </left>
        <right style="thin">
          <color auto="1"/>
        </right>
        <top style="thin">
          <color auto="1"/>
        </top>
        <bottom/>
      </border>
    </dxf>
    <dxf>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style="thin">
          <color indexed="64"/>
        </top>
        <bottom/>
      </border>
    </dxf>
    <dxf>
      <numFmt numFmtId="191" formatCode="0.0000"/>
      <border diagonalUp="0" diagonalDown="0" outline="0">
        <left style="thin">
          <color indexed="64"/>
        </left>
        <right style="thin">
          <color indexed="64"/>
        </right>
        <top style="thin">
          <color indexed="64"/>
        </top>
        <bottom style="thin">
          <color indexed="64"/>
        </bottom>
      </border>
    </dxf>
    <dxf>
      <border diagonalUp="0" diagonalDown="0" outline="0">
        <left style="thin">
          <color auto="1"/>
        </left>
        <right style="medium">
          <color indexed="64"/>
        </right>
        <top style="thin">
          <color auto="1"/>
        </top>
        <bottom style="medium">
          <color indexed="64"/>
        </bottom>
      </border>
    </dxf>
    <dxf>
      <numFmt numFmtId="0" formatCode="General"/>
      <border diagonalUp="0" diagonalDown="0">
        <left style="thin">
          <color indexed="64"/>
        </left>
        <right/>
        <top style="thin">
          <color indexed="64"/>
        </top>
        <bottom style="thin">
          <color indexed="64"/>
        </bottom>
      </border>
    </dxf>
    <dxf>
      <border diagonalUp="0" diagonalDown="0" outline="0">
        <left style="thin">
          <color indexed="64"/>
        </left>
        <right/>
        <top style="thin">
          <color indexed="64"/>
        </top>
        <bottom style="medium">
          <color indexed="64"/>
        </bottom>
      </border>
    </dxf>
    <dxf>
      <numFmt numFmtId="0" formatCode="General"/>
      <border diagonalUp="0" diagonalDown="0">
        <left style="thin">
          <color indexed="64"/>
        </left>
        <right/>
        <top style="thin">
          <color indexed="64"/>
        </top>
        <bottom style="thin">
          <color indexed="64"/>
        </bottom>
        <vertical/>
        <horizontal/>
      </border>
    </dxf>
    <dxf>
      <border diagonalUp="0" diagonalDown="0" outline="0">
        <left style="thin">
          <color indexed="64"/>
        </left>
        <right/>
        <top style="thin">
          <color indexed="64"/>
        </top>
        <bottom style="medium">
          <color indexed="64"/>
        </bottom>
      </border>
    </dxf>
    <dxf>
      <numFmt numFmtId="0" formatCode="General"/>
      <border diagonalUp="0" diagonalDown="0">
        <left style="thin">
          <color indexed="64"/>
        </left>
        <right/>
        <top style="thin">
          <color indexed="64"/>
        </top>
        <bottom style="thin">
          <color indexed="64"/>
        </bottom>
        <vertical/>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auto="1"/>
        </left>
        <right style="thin">
          <color auto="1"/>
        </right>
        <top style="thin">
          <color auto="1"/>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auto="1"/>
        </left>
        <right style="thin">
          <color auto="1"/>
        </right>
        <top style="thin">
          <color auto="1"/>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auto="1"/>
        </left>
        <right style="thin">
          <color auto="1"/>
        </right>
        <top style="thin">
          <color auto="1"/>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auto="1"/>
        </left>
        <right style="thin">
          <color auto="1"/>
        </right>
        <top style="thin">
          <color auto="1"/>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medium">
          <color indexed="64"/>
        </left>
        <right style="thin">
          <color auto="1"/>
        </right>
        <top style="thin">
          <color auto="1"/>
        </top>
        <bottom style="medium">
          <color indexed="64"/>
        </bottom>
      </border>
    </dxf>
    <dxf>
      <border diagonalUp="0" diagonalDown="0">
        <left style="medium">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border>
    </dxf>
    <dxf>
      <numFmt numFmtId="0" formatCode="General"/>
      <border diagonalUp="0" diagonalDown="0">
        <left/>
        <right style="thin">
          <color auto="1"/>
        </right>
        <top style="thin">
          <color auto="1"/>
        </top>
        <bottom style="thin">
          <color auto="1"/>
        </bottom>
        <vertical/>
        <horizontal/>
      </border>
    </dxf>
    <dxf>
      <border diagonalUp="0" diagonalDown="0" outline="0">
        <left style="thin">
          <color indexed="64"/>
        </left>
        <right/>
        <top style="thin">
          <color indexed="64"/>
        </top>
        <bottom/>
      </border>
    </dxf>
    <dxf>
      <numFmt numFmtId="0" formatCode="General"/>
      <border diagonalUp="0" diagonalDown="0">
        <left/>
        <right/>
        <top style="thin">
          <color indexed="64"/>
        </top>
        <bottom style="thin">
          <color indexed="64"/>
        </bottom>
        <vertical/>
        <horizontal/>
      </border>
    </dxf>
    <dxf>
      <border diagonalUp="0" diagonalDown="0" outline="0">
        <left style="thin">
          <color indexed="64"/>
        </left>
        <right/>
        <top style="thin">
          <color indexed="64"/>
        </top>
        <bottom/>
      </border>
    </dxf>
    <dxf>
      <numFmt numFmtId="0" formatCode="General"/>
      <border diagonalUp="0" diagonalDown="0">
        <left/>
        <right/>
        <top style="thin">
          <color indexed="64"/>
        </top>
        <bottom style="thin">
          <color indexed="64"/>
        </bottom>
        <vertical/>
        <horizontal/>
      </border>
    </dxf>
    <dxf>
      <border diagonalUp="0" diagonalDown="0" outline="0">
        <left style="thin">
          <color indexed="64"/>
        </left>
        <right/>
        <top style="thin">
          <color indexed="64"/>
        </top>
        <bottom/>
      </border>
    </dxf>
    <dxf>
      <numFmt numFmtId="0" formatCode="General"/>
      <border diagonalUp="0" diagonalDown="0">
        <left/>
        <right/>
        <top style="thin">
          <color indexed="64"/>
        </top>
        <bottom style="thin">
          <color indexed="64"/>
        </bottom>
        <vertical/>
        <horizontal/>
      </border>
    </dxf>
    <dxf>
      <border diagonalUp="0" diagonalDown="0" outline="0">
        <left style="thin">
          <color indexed="64"/>
        </left>
        <right/>
        <top style="thin">
          <color indexed="64"/>
        </top>
        <bottom/>
      </border>
    </dxf>
    <dxf>
      <numFmt numFmtId="0" formatCode="General"/>
      <border diagonalUp="0" diagonalDown="0">
        <left/>
        <right/>
        <top style="thin">
          <color indexed="64"/>
        </top>
        <bottom style="thin">
          <color indexed="64"/>
        </bottom>
        <vertical/>
        <horizontal/>
      </border>
    </dxf>
    <dxf>
      <border diagonalUp="0" diagonalDown="0" outline="0">
        <left style="thin">
          <color indexed="64"/>
        </left>
        <right/>
        <top style="thin">
          <color indexed="64"/>
        </top>
        <bottom/>
      </border>
    </dxf>
    <dxf>
      <numFmt numFmtId="0" formatCode="General"/>
      <border diagonalUp="0" diagonalDown="0">
        <left/>
        <right/>
        <top style="thin">
          <color indexed="64"/>
        </top>
        <bottom style="thin">
          <color indexed="64"/>
        </bottom>
        <vertical/>
        <horizontal/>
      </border>
    </dxf>
    <dxf>
      <border diagonalUp="0" diagonalDown="0" outline="0">
        <left style="thin">
          <color indexed="64"/>
        </left>
        <right/>
        <top style="thin">
          <color indexed="64"/>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numFmt numFmtId="34" formatCode="_-&quot;$&quot;\ * #,##0.00_-;\-&quot;$&quot;\ * #,##0.00_-;_-&quot;$&quot;\ * &quot;-&quot;??_-;_-@_-"/>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numFmt numFmtId="0" formatCode="General"/>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numFmt numFmtId="0" formatCode="Genera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style="thin">
          <color indexed="64"/>
        </right>
        <top style="thin">
          <color indexed="64"/>
        </top>
        <bottom/>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border diagonalUp="0" diagonalDown="0" outline="0">
        <left style="thin">
          <color indexed="64"/>
        </left>
        <right style="thin">
          <color indexed="64"/>
        </right>
        <top/>
        <bottom/>
      </border>
    </dxf>
    <dxf>
      <numFmt numFmtId="191" formatCode="0.0000"/>
      <border diagonalUp="0" diagonalDown="0">
        <left style="thin">
          <color indexed="64"/>
        </left>
        <right style="thin">
          <color indexed="64"/>
        </right>
        <top style="thin">
          <color indexed="64"/>
        </top>
        <bottom style="thin">
          <color indexed="64"/>
        </bottom>
        <vertical/>
        <horizontal/>
      </border>
    </dxf>
    <dxf>
      <numFmt numFmtId="191" formatCode="0.0000"/>
      <border diagonalUp="0" diagonalDown="0">
        <left style="thin">
          <color auto="1"/>
        </left>
        <right style="thin">
          <color auto="1"/>
        </right>
        <top style="thin">
          <color auto="1"/>
        </top>
        <bottom style="thin">
          <color indexed="64"/>
        </bottom>
        <vertical/>
        <horizontal/>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fill>
        <patternFill patternType="solid">
          <bgColor theme="6" tint="0.79998168889431442"/>
        </patternFill>
      </fill>
      <border diagonalUp="0" diagonalDown="0" outline="0">
        <left style="thin">
          <color auto="1"/>
        </left>
        <right style="thin">
          <color auto="1"/>
        </right>
        <top style="thin">
          <color indexed="64"/>
        </top>
        <bottom style="thin">
          <color indexed="64"/>
        </bottom>
      </border>
    </dxf>
    <dxf>
      <numFmt numFmtId="191" formatCode="0.0000"/>
      <border diagonalUp="0" diagonalDown="0">
        <left style="thin">
          <color auto="1"/>
        </left>
        <right style="thin">
          <color auto="1"/>
        </right>
        <top style="thin">
          <color auto="1"/>
        </top>
        <bottom style="thin">
          <color indexed="64"/>
        </bottom>
        <vertical/>
        <horizontal/>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left style="thin">
          <color auto="1"/>
        </left>
        <right style="thin">
          <color auto="1"/>
        </right>
        <top style="thin">
          <color auto="1"/>
        </top>
        <bottom style="thin">
          <color indexed="64"/>
        </bottom>
        <vertical/>
        <horizontal/>
      </border>
    </dxf>
    <dxf>
      <numFmt numFmtId="191" formatCode="0.0000"/>
      <border diagonalUp="0" diagonalDown="0">
        <left style="thin">
          <color auto="1"/>
        </left>
        <right style="thin">
          <color auto="1"/>
        </right>
        <top style="thin">
          <color auto="1"/>
        </top>
        <bottom style="thin">
          <color indexed="64"/>
        </bottom>
        <vertical/>
        <horizontal/>
      </border>
    </dxf>
    <dxf>
      <numFmt numFmtId="191" formatCode="0.0000"/>
      <border diagonalUp="0" diagonalDown="0">
        <left style="thin">
          <color auto="1"/>
        </left>
        <right style="thin">
          <color auto="1"/>
        </right>
        <top style="thin">
          <color auto="1"/>
        </top>
        <bottom style="thin">
          <color indexed="64"/>
        </bottom>
        <vertical/>
        <horizontal/>
      </border>
    </dxf>
    <dxf>
      <numFmt numFmtId="191" formatCode="0.0000"/>
      <border diagonalUp="0" diagonalDown="0">
        <left style="thin">
          <color auto="1"/>
        </left>
        <right style="thin">
          <color auto="1"/>
        </right>
        <top style="thin">
          <color auto="1"/>
        </top>
        <bottom style="thin">
          <color indexed="64"/>
        </bottom>
        <vertical/>
        <horizontal/>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indexed="64"/>
        </left>
        <right style="thin">
          <color auto="1"/>
        </right>
        <top style="thin">
          <color indexed="64"/>
        </top>
        <bottom style="thin">
          <color indexed="64"/>
        </bottom>
      </border>
    </dxf>
    <dxf>
      <border diagonalUp="0" diagonalDown="0" outline="0">
        <left style="thin">
          <color indexed="64"/>
        </left>
        <right style="thin">
          <color auto="1"/>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ont>
        <sz val="9"/>
      </font>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dxf>
    <dxf>
      <numFmt numFmtId="1"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auto="1"/>
        <name val="Segoe UI"/>
        <family val="2"/>
        <scheme val="none"/>
      </font>
      <numFmt numFmtId="167" formatCode="_-&quot;$&quot;\ * #,##0_-;\-&quot;$&quot;\ * #,##0_-;_-&quot;$&quot;\ * &quot;-&quot;??_-;_-@_-"/>
      <fill>
        <patternFill patternType="none">
          <fgColor indexed="64"/>
          <bgColor indexed="65"/>
        </patternFill>
      </fill>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sz val="10"/>
        <color rgb="FF000000"/>
        <name val="Segoe UI"/>
        <family val="2"/>
        <scheme val="none"/>
      </font>
      <alignment horizontal="center"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sz val="10"/>
        <color rgb="FF000000"/>
        <name val="Segoe UI"/>
        <family val="2"/>
        <scheme val="none"/>
      </font>
      <alignment horizontal="left"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sz val="10"/>
        <name val="Segoe UI"/>
        <family val="2"/>
        <scheme val="none"/>
      </font>
      <alignment horizontal="left"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sz val="10"/>
        <color rgb="FF000000"/>
        <name val="Segoe UI"/>
        <family val="2"/>
        <scheme val="none"/>
      </font>
      <alignment horizontal="center"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border outline="0">
        <left style="hair">
          <color auto="1"/>
        </left>
      </border>
    </dxf>
    <dxf>
      <numFmt numFmtId="1" formatCode="0"/>
      <alignment horizontal="center" vertical="center" textRotation="0" wrapText="1" indent="0"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numFmt numFmtId="168" formatCode="_(&quot;$&quot;\ * #,##0_);_(&quot;$&quot;\ * \(#,##0\);_(&quot;$&quot;\ * &quot;-&quot;??_);_(@_)"/>
      <fill>
        <patternFill patternType="solid">
          <fgColor indexed="64"/>
          <bgColor theme="0"/>
        </patternFill>
      </fill>
      <alignment horizontal="righ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border outline="0">
        <top style="thin">
          <color theme="0" tint="-0.24994659260841701"/>
        </top>
        <bottom style="thin">
          <color theme="0" tint="-0.249977111117893"/>
        </bottom>
      </border>
    </dxf>
    <dxf>
      <font>
        <b val="0"/>
        <i val="0"/>
        <strike val="0"/>
        <condense val="0"/>
        <extend val="0"/>
        <outline val="0"/>
        <shadow val="0"/>
        <u val="none"/>
        <vertAlign val="baseline"/>
        <sz val="10"/>
        <color auto="1"/>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Segoe UI"/>
        <family val="2"/>
        <scheme val="none"/>
      </font>
      <numFmt numFmtId="167" formatCode="_-&quot;$&quot;\ * #,##0_-;\-&quot;$&quot;\ * #,##0_-;_-&quot;$&quot;\ * &quot;-&quot;??_-;_-@_-"/>
      <fill>
        <patternFill patternType="none">
          <fgColor indexed="64"/>
          <bgColor indexed="65"/>
        </patternFill>
      </fill>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center"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center"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border outline="0">
        <top style="thin">
          <color theme="0" tint="-0.24994659260841701"/>
        </top>
        <bottom style="thin">
          <color theme="0" tint="-0.249977111117893"/>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owerPivotData" Target="model/item.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onnections" Target="connections.xml"/><Relationship Id="rId27"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1"/>
            <c:dispEq val="1"/>
            <c:trendlineLbl>
              <c:layout>
                <c:manualLayout>
                  <c:x val="-5.871813977217042E-2"/>
                  <c:y val="0.1744657925282177"/>
                </c:manualLayout>
              </c:layout>
              <c:numFmt formatCode="#,##0.000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trendlineLbl>
          </c:trendline>
          <c:trendline>
            <c:spPr>
              <a:ln w="19050" cap="rnd">
                <a:solidFill>
                  <a:schemeClr val="accent1"/>
                </a:solidFill>
                <a:prstDash val="sysDot"/>
              </a:ln>
              <a:effectLst/>
            </c:spPr>
            <c:trendlineType val="poly"/>
            <c:order val="6"/>
            <c:dispRSqr val="1"/>
            <c:dispEq val="1"/>
            <c:trendlineLbl>
              <c:layout>
                <c:manualLayout>
                  <c:x val="6.0092738407699041E-2"/>
                  <c:y val="0.4023611111111111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trendlineLbl>
          </c:trendline>
          <c:xVal>
            <c:numRef>
              <c:f>AjusteCambioVigencia!$A$2:$A$67</c:f>
              <c:numCache>
                <c:formatCode>General</c:formatCode>
                <c:ptCount val="6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numCache>
            </c:numRef>
          </c:xVal>
          <c:yVal>
            <c:numRef>
              <c:f>AjusteCambioVigencia!$E$2:$E$67</c:f>
              <c:numCache>
                <c:formatCode>General</c:formatCode>
                <c:ptCount val="66"/>
                <c:pt idx="0">
                  <c:v>100.887</c:v>
                </c:pt>
                <c:pt idx="1">
                  <c:v>101.25</c:v>
                </c:pt>
                <c:pt idx="2">
                  <c:v>101.88200000000001</c:v>
                </c:pt>
                <c:pt idx="3">
                  <c:v>102.289</c:v>
                </c:pt>
                <c:pt idx="4">
                  <c:v>102.699</c:v>
                </c:pt>
                <c:pt idx="5">
                  <c:v>103.14</c:v>
                </c:pt>
                <c:pt idx="6">
                  <c:v>104.218</c:v>
                </c:pt>
                <c:pt idx="7">
                  <c:v>104.363</c:v>
                </c:pt>
                <c:pt idx="8">
                  <c:v>104.34699999999999</c:v>
                </c:pt>
                <c:pt idx="9">
                  <c:v>104.392</c:v>
                </c:pt>
                <c:pt idx="10">
                  <c:v>104.61799999999999</c:v>
                </c:pt>
                <c:pt idx="11">
                  <c:v>105.005</c:v>
                </c:pt>
                <c:pt idx="12">
                  <c:v>106.881</c:v>
                </c:pt>
                <c:pt idx="13">
                  <c:v>108.504</c:v>
                </c:pt>
                <c:pt idx="14">
                  <c:v>109.422</c:v>
                </c:pt>
                <c:pt idx="15">
                  <c:v>110.747</c:v>
                </c:pt>
                <c:pt idx="16">
                  <c:v>111.461</c:v>
                </c:pt>
                <c:pt idx="17">
                  <c:v>111.55800000000001</c:v>
                </c:pt>
                <c:pt idx="18">
                  <c:v>112.959</c:v>
                </c:pt>
                <c:pt idx="19">
                  <c:v>113.01</c:v>
                </c:pt>
                <c:pt idx="20">
                  <c:v>113.248</c:v>
                </c:pt>
                <c:pt idx="21">
                  <c:v>114.574</c:v>
                </c:pt>
                <c:pt idx="22">
                  <c:v>114.943</c:v>
                </c:pt>
                <c:pt idx="23">
                  <c:v>114.735</c:v>
                </c:pt>
                <c:pt idx="24">
                  <c:v>120.76</c:v>
                </c:pt>
                <c:pt idx="25">
                  <c:v>123.88</c:v>
                </c:pt>
                <c:pt idx="26">
                  <c:v>124.76</c:v>
                </c:pt>
                <c:pt idx="27">
                  <c:v>125.44</c:v>
                </c:pt>
                <c:pt idx="28">
                  <c:v>125.82</c:v>
                </c:pt>
                <c:pt idx="29">
                  <c:v>125.98</c:v>
                </c:pt>
                <c:pt idx="30">
                  <c:v>126.45</c:v>
                </c:pt>
                <c:pt idx="31">
                  <c:v>126.44</c:v>
                </c:pt>
                <c:pt idx="32">
                  <c:v>126.68</c:v>
                </c:pt>
                <c:pt idx="33">
                  <c:v>126.57</c:v>
                </c:pt>
                <c:pt idx="34">
                  <c:v>126.95</c:v>
                </c:pt>
                <c:pt idx="35">
                  <c:v>127</c:v>
                </c:pt>
                <c:pt idx="36">
                  <c:v>129.97999999999999</c:v>
                </c:pt>
                <c:pt idx="37">
                  <c:v>131.72999999999999</c:v>
                </c:pt>
                <c:pt idx="38">
                  <c:v>131.58000000000001</c:v>
                </c:pt>
                <c:pt idx="39">
                  <c:v>132.07</c:v>
                </c:pt>
                <c:pt idx="40">
                  <c:v>132.62</c:v>
                </c:pt>
                <c:pt idx="41">
                  <c:v>132.13999999999999</c:v>
                </c:pt>
                <c:pt idx="42">
                  <c:v>131.74</c:v>
                </c:pt>
                <c:pt idx="43">
                  <c:v>131.85</c:v>
                </c:pt>
                <c:pt idx="44">
                  <c:v>131.84</c:v>
                </c:pt>
                <c:pt idx="45">
                  <c:v>131.91999999999999</c:v>
                </c:pt>
                <c:pt idx="46">
                  <c:v>131.99</c:v>
                </c:pt>
                <c:pt idx="47">
                  <c:v>131.86000000000001</c:v>
                </c:pt>
                <c:pt idx="48">
                  <c:v>134.62</c:v>
                </c:pt>
                <c:pt idx="49">
                  <c:v>136.36000000000001</c:v>
                </c:pt>
                <c:pt idx="50">
                  <c:v>137.29</c:v>
                </c:pt>
                <c:pt idx="51">
                  <c:v>137.61000000000001</c:v>
                </c:pt>
                <c:pt idx="52">
                  <c:v>137.16</c:v>
                </c:pt>
                <c:pt idx="53">
                  <c:v>137.44999999999999</c:v>
                </c:pt>
                <c:pt idx="54">
                  <c:v>138.37</c:v>
                </c:pt>
                <c:pt idx="55">
                  <c:v>138.62</c:v>
                </c:pt>
                <c:pt idx="56">
                  <c:v>138.54</c:v>
                </c:pt>
                <c:pt idx="57">
                  <c:v>138.24</c:v>
                </c:pt>
                <c:pt idx="58">
                  <c:v>138.55000000000001</c:v>
                </c:pt>
                <c:pt idx="59">
                  <c:v>138.66999999999999</c:v>
                </c:pt>
                <c:pt idx="60">
                  <c:v>141.74</c:v>
                </c:pt>
                <c:pt idx="61">
                  <c:v>143.47999999999999</c:v>
                </c:pt>
                <c:pt idx="62">
                  <c:v>144.76</c:v>
                </c:pt>
                <c:pt idx="63">
                  <c:v>145.35</c:v>
                </c:pt>
                <c:pt idx="64">
                  <c:v>145.46</c:v>
                </c:pt>
                <c:pt idx="65">
                  <c:v>146.19999999999999</c:v>
                </c:pt>
              </c:numCache>
            </c:numRef>
          </c:yVal>
          <c:smooth val="0"/>
          <c:extLst>
            <c:ext xmlns:c16="http://schemas.microsoft.com/office/drawing/2014/chart" uri="{C3380CC4-5D6E-409C-BE32-E72D297353CC}">
              <c16:uniqueId val="{00000002-177B-4986-BC18-5369526D236A}"/>
            </c:ext>
          </c:extLst>
        </c:ser>
        <c:dLbls>
          <c:showLegendKey val="0"/>
          <c:showVal val="0"/>
          <c:showCatName val="0"/>
          <c:showSerName val="0"/>
          <c:showPercent val="0"/>
          <c:showBubbleSize val="0"/>
        </c:dLbls>
        <c:axId val="1483277727"/>
        <c:axId val="1483297695"/>
      </c:scatterChart>
      <c:valAx>
        <c:axId val="148327772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83297695"/>
        <c:crosses val="autoZero"/>
        <c:crossBetween val="midCat"/>
      </c:valAx>
      <c:valAx>
        <c:axId val="14832976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8327772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885825</xdr:colOff>
      <xdr:row>1</xdr:row>
      <xdr:rowOff>19050</xdr:rowOff>
    </xdr:from>
    <xdr:to>
      <xdr:col>0</xdr:col>
      <xdr:colOff>1638300</xdr:colOff>
      <xdr:row>3</xdr:row>
      <xdr:rowOff>19050</xdr:rowOff>
    </xdr:to>
    <xdr:pic>
      <xdr:nvPicPr>
        <xdr:cNvPr id="2" name="Imagen 1">
          <a:extLst>
            <a:ext uri="{FF2B5EF4-FFF2-40B4-BE49-F238E27FC236}">
              <a16:creationId xmlns:a16="http://schemas.microsoft.com/office/drawing/2014/main" id="{1D21325C-9EFF-44C4-9236-F0C2148B780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885825" y="262890"/>
          <a:ext cx="752475" cy="85344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675861</xdr:colOff>
      <xdr:row>3</xdr:row>
      <xdr:rowOff>52876</xdr:rowOff>
    </xdr:from>
    <xdr:to>
      <xdr:col>6</xdr:col>
      <xdr:colOff>377687</xdr:colOff>
      <xdr:row>5</xdr:row>
      <xdr:rowOff>243840</xdr:rowOff>
    </xdr:to>
    <xdr:pic>
      <xdr:nvPicPr>
        <xdr:cNvPr id="3" name="Imagen 2">
          <a:extLst>
            <a:ext uri="{FF2B5EF4-FFF2-40B4-BE49-F238E27FC236}">
              <a16:creationId xmlns:a16="http://schemas.microsoft.com/office/drawing/2014/main" id="{66D89787-1B3B-4127-B305-D606A1AA933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6195391" y="934146"/>
          <a:ext cx="510209" cy="72105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486894</xdr:colOff>
      <xdr:row>6</xdr:row>
      <xdr:rowOff>7620</xdr:rowOff>
    </xdr:from>
    <xdr:to>
      <xdr:col>9</xdr:col>
      <xdr:colOff>640246</xdr:colOff>
      <xdr:row>25</xdr:row>
      <xdr:rowOff>33131</xdr:rowOff>
    </xdr:to>
    <xdr:graphicFrame macro="">
      <xdr:nvGraphicFramePr>
        <xdr:cNvPr id="2" name="Gráfico 1">
          <a:extLst>
            <a:ext uri="{FF2B5EF4-FFF2-40B4-BE49-F238E27FC236}">
              <a16:creationId xmlns:a16="http://schemas.microsoft.com/office/drawing/2014/main" id="{7F89D0AD-90AE-4FCB-9579-B078885F3F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259556</xdr:colOff>
      <xdr:row>29</xdr:row>
      <xdr:rowOff>35720</xdr:rowOff>
    </xdr:from>
    <xdr:to>
      <xdr:col>10</xdr:col>
      <xdr:colOff>2416968</xdr:colOff>
      <xdr:row>41</xdr:row>
      <xdr:rowOff>157628</xdr:rowOff>
    </xdr:to>
    <xdr:pic>
      <xdr:nvPicPr>
        <xdr:cNvPr id="3" name="Imagen 2">
          <a:extLst>
            <a:ext uri="{FF2B5EF4-FFF2-40B4-BE49-F238E27FC236}">
              <a16:creationId xmlns:a16="http://schemas.microsoft.com/office/drawing/2014/main" id="{36DF6C8A-F1AF-4B9E-8AF2-1DF9E616A9B9}"/>
            </a:ext>
          </a:extLst>
        </xdr:cNvPr>
        <xdr:cNvPicPr>
          <a:picLocks noChangeAspect="1"/>
        </xdr:cNvPicPr>
      </xdr:nvPicPr>
      <xdr:blipFill>
        <a:blip xmlns:r="http://schemas.openxmlformats.org/officeDocument/2006/relationships" r:embed="rId2"/>
        <a:stretch>
          <a:fillRect/>
        </a:stretch>
      </xdr:blipFill>
      <xdr:spPr>
        <a:xfrm>
          <a:off x="11026616" y="5491640"/>
          <a:ext cx="4877752" cy="23164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22</xdr:col>
      <xdr:colOff>328332</xdr:colOff>
      <xdr:row>1</xdr:row>
      <xdr:rowOff>146186</xdr:rowOff>
    </xdr:from>
    <xdr:to>
      <xdr:col>23</xdr:col>
      <xdr:colOff>883559</xdr:colOff>
      <xdr:row>6</xdr:row>
      <xdr:rowOff>53902</xdr:rowOff>
    </xdr:to>
    <xdr:pic>
      <xdr:nvPicPr>
        <xdr:cNvPr id="2" name="Imagen 1">
          <a:extLst>
            <a:ext uri="{FF2B5EF4-FFF2-40B4-BE49-F238E27FC236}">
              <a16:creationId xmlns:a16="http://schemas.microsoft.com/office/drawing/2014/main" id="{C80E4EB3-3A14-4B13-90CD-34961DBDADD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4501532" y="237626"/>
          <a:ext cx="1614407" cy="745916"/>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219075</xdr:colOff>
      <xdr:row>1</xdr:row>
      <xdr:rowOff>47626</xdr:rowOff>
    </xdr:from>
    <xdr:to>
      <xdr:col>14</xdr:col>
      <xdr:colOff>190500</xdr:colOff>
      <xdr:row>3</xdr:row>
      <xdr:rowOff>138858</xdr:rowOff>
    </xdr:to>
    <xdr:pic>
      <xdr:nvPicPr>
        <xdr:cNvPr id="2" name="Imagen 1">
          <a:extLst>
            <a:ext uri="{FF2B5EF4-FFF2-40B4-BE49-F238E27FC236}">
              <a16:creationId xmlns:a16="http://schemas.microsoft.com/office/drawing/2014/main" id="{A9FAFC1E-F986-4498-BE5C-984CADAA8A6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1572875" y="230506"/>
          <a:ext cx="581025" cy="441752"/>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D969E0C8-24CC-4086-BB89-4E140E3081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901446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11</xdr:col>
      <xdr:colOff>30221</xdr:colOff>
      <xdr:row>2</xdr:row>
      <xdr:rowOff>57700</xdr:rowOff>
    </xdr:from>
    <xdr:to>
      <xdr:col>11</xdr:col>
      <xdr:colOff>1008259</xdr:colOff>
      <xdr:row>6</xdr:row>
      <xdr:rowOff>131885</xdr:rowOff>
    </xdr:to>
    <xdr:pic>
      <xdr:nvPicPr>
        <xdr:cNvPr id="2" name="Imagen 1">
          <a:extLst>
            <a:ext uri="{FF2B5EF4-FFF2-40B4-BE49-F238E27FC236}">
              <a16:creationId xmlns:a16="http://schemas.microsoft.com/office/drawing/2014/main" id="{35FA651B-138D-4156-AE75-4DCE647D79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0119101" y="415840"/>
          <a:ext cx="978038" cy="77522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A87EDECB-FF83-46C1-9F89-2D542D76D7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901446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21</xdr:col>
      <xdr:colOff>228599</xdr:colOff>
      <xdr:row>1</xdr:row>
      <xdr:rowOff>47625</xdr:rowOff>
    </xdr:from>
    <xdr:to>
      <xdr:col>21</xdr:col>
      <xdr:colOff>854614</xdr:colOff>
      <xdr:row>4</xdr:row>
      <xdr:rowOff>9525</xdr:rowOff>
    </xdr:to>
    <xdr:pic>
      <xdr:nvPicPr>
        <xdr:cNvPr id="2" name="Imagen 1">
          <a:extLst>
            <a:ext uri="{FF2B5EF4-FFF2-40B4-BE49-F238E27FC236}">
              <a16:creationId xmlns:a16="http://schemas.microsoft.com/office/drawing/2014/main" id="{E2085726-7D1D-477B-9B78-915CCC0077F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6703039" y="139065"/>
          <a:ext cx="626015" cy="48768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4FB3D933-A535-446C-8BBD-E991227AA6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95350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60A2468-9D30-4455-B360-09E4D1BEDD5A}" name="APU_IDU" displayName="APU_IDU" ref="B2:I3173" totalsRowShown="0" tableBorderDxfId="366">
  <autoFilter ref="B2:I3173" xr:uid="{A60A2468-9D30-4455-B360-09E4D1BEDD5A}"/>
  <tableColumns count="8">
    <tableColumn id="1" xr3:uid="{B785B7A7-D5F4-48A7-BCFA-7564B54D3471}" name="Origen" dataDxfId="365" dataCellStyle="Normal 11"/>
    <tableColumn id="2" xr3:uid="{BA4891C1-DDA4-4D22-9753-8163DBB4B78C}" name="Capítulo" dataDxfId="364" dataCellStyle="Normal 11"/>
    <tableColumn id="3" xr3:uid="{C579E7BD-131E-4794-823E-42EC6B322519}" name="Subcapítulo" dataDxfId="363" dataCellStyle="Normal 11"/>
    <tableColumn id="4" xr3:uid="{C5D8AB5A-54BC-47A0-AE3B-B6F70C034E42}" name="Código" dataDxfId="362" dataCellStyle="Normal 11"/>
    <tableColumn id="5" xr3:uid="{818E4699-58E0-4C32-ABB6-C8C57A6BED5F}" name="Nombre" dataDxfId="361" dataCellStyle="Normal 11"/>
    <tableColumn id="6" xr3:uid="{9545C63A-7563-4090-8EF9-E75BCE26448F}" name="UM" dataDxfId="360" dataCellStyle="Normal 11"/>
    <tableColumn id="7" xr3:uid="{873813A0-270D-4F93-92C8-F0C702497C16}" name="Valor" dataDxfId="359" dataCellStyle="Moneda 4 2"/>
    <tableColumn id="8" xr3:uid="{5ADEBE7B-2B89-4342-9422-8964A755484F}" name="Fecha de actualización" dataDxfId="358" dataCellStyle="Normal 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2FAEE12-E726-46FB-B907-5A87635C64A0}" name="INSUMO_IDU" displayName="INSUMO_IDU" ref="B86:H2814" totalsRowShown="0" tableBorderDxfId="357">
  <autoFilter ref="B86:H2814" xr:uid="{22FAEE12-E726-46FB-B907-5A87635C64A0}"/>
  <tableColumns count="7">
    <tableColumn id="1" xr3:uid="{6DC04ADF-8086-4DD9-AFA3-A79EC858A25B}" name="Origen" dataDxfId="356"/>
    <tableColumn id="2" xr3:uid="{097933DD-EA75-4FC3-A13D-9E25FA01C1B2}" name="Grupo de base de datos" dataDxfId="355"/>
    <tableColumn id="3" xr3:uid="{210BAFB3-096D-4253-946A-F05CB677D8CE}" name="Código" dataDxfId="354"/>
    <tableColumn id="4" xr3:uid="{661E7C44-C2A1-44FC-9ACC-18CFAE7EE8D2}" name="Nombre" dataDxfId="353"/>
    <tableColumn id="5" xr3:uid="{6A91161A-95CF-41DF-83F4-CA1A8879A228}" name="UM" dataDxfId="352"/>
    <tableColumn id="6" xr3:uid="{D563C511-9253-4216-A4CC-45851E0D5B5A}" name="Precio" dataDxfId="351" dataCellStyle="Moneda"/>
    <tableColumn id="7" xr3:uid="{C1EF9098-52AF-4CA6-B0E4-477EA4EA9FE4}" name="Fecha de Actualización " dataDxfId="3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B23776-379D-47D3-A7E9-D360C7E22763}" name="FiltroConservacion" displayName="FiltroConservacion" ref="A1:X143" totalsRowShown="0" headerRowDxfId="349" dataDxfId="348" tableBorderDxfId="347">
  <autoFilter ref="A1:X143" xr:uid="{8EBF6B54-7590-442F-957E-C8C12444C9F1}"/>
  <tableColumns count="24">
    <tableColumn id="1" xr3:uid="{AC0EF94E-1521-4433-88BF-552CD2C600AF}" name="Código" dataDxfId="346" dataCellStyle="Normal 11"/>
    <tableColumn id="2" xr3:uid="{FB2B41A8-FEE9-4C62-AEB9-2CC4690B50F5}" name="Subcapítulo" dataDxfId="345"/>
    <tableColumn id="3" xr3:uid="{A29A6CA9-03F9-4CDC-92B3-B0FDF9A5FC51}" name="Nombre" dataDxfId="344" dataCellStyle="Normal 11"/>
    <tableColumn id="4" xr3:uid="{DBBEC2F7-8342-42CB-B637-552892E35E07}" name="UM" dataDxfId="343" dataCellStyle="Normal 11"/>
    <tableColumn id="5" xr3:uid="{4B6B57BD-C1A2-4E28-BCA3-C47525A428AB}" name="Valor" dataDxfId="342" dataCellStyle="Moneda 4 2"/>
    <tableColumn id="6" xr3:uid="{DB197815-CBFC-4048-8F63-27AA9D9AD063}" name="Malla vial" dataDxfId="341"/>
    <tableColumn id="7" xr3:uid="{2A73EA08-052E-4170-8D47-AB222EB6DC6C}" name="EspacioPublico" dataDxfId="340"/>
    <tableColumn id="8" xr3:uid="{4F8503DA-CFF4-442C-A81B-DC5464CBDCCF}" name="Cicloruta" dataDxfId="339"/>
    <tableColumn id="9" xr3:uid="{21709131-22EC-4E71-A413-2E88282DD2CF}" name="Local" dataDxfId="338"/>
    <tableColumn id="10" xr3:uid="{5DCC6A01-AE5E-40A9-BE4E-FE893E346782}" name="Intermedia" dataDxfId="337"/>
    <tableColumn id="11" xr3:uid="{F7A94E6A-640A-4E55-AB0E-4E313BE6F163}" name="Arterial" dataDxfId="336"/>
    <tableColumn id="16" xr3:uid="{2D5E36FA-BB90-45B7-94E0-4EF5376DCB80}" name="Rigido" dataDxfId="335"/>
    <tableColumn id="17" xr3:uid="{C69D7C01-5C1E-4E84-8BAD-BE89A1A45A7B}" name="Flexibe" dataDxfId="334"/>
    <tableColumn id="19" xr3:uid="{D75578DA-68E6-41C4-BADA-8B1B9BA3FD6C}" name="Adoquin concreto" dataDxfId="333"/>
    <tableColumn id="18" xr3:uid="{1FD789A3-070E-492F-BCE0-A075B4BBFFB4}" name="Adoquin Arcilla" dataDxfId="332"/>
    <tableColumn id="12" xr3:uid="{22F0A980-A871-4E4B-89EB-25F838FF5B76}" name="Mantenimiento Periodico" dataDxfId="331"/>
    <tableColumn id="13" xr3:uid="{51FAEFF3-9168-4F60-BFF2-167F898D67C1}" name="Mantenimiento Rutinario" dataDxfId="330"/>
    <tableColumn id="14" xr3:uid="{35E5C748-B3E4-45F8-A46F-5126B511EC04}" name="Rehabilitación" dataDxfId="329"/>
    <tableColumn id="15" xr3:uid="{47EC2D3C-8D39-4A7D-87AF-AEA336712F8A}" name="Reconstrucción" dataDxfId="328"/>
    <tableColumn id="20" xr3:uid="{297B446F-0E8A-43BC-816B-CB8D99E6310D}" name="TipoEstructura" dataDxfId="327"/>
    <tableColumn id="21" xr3:uid="{8638D4DA-F446-4D5C-9D73-3B1CEA85A086}" name="Superficie" dataDxfId="326"/>
    <tableColumn id="24" xr3:uid="{D7EBB81C-76E8-4A0C-89AA-27546319E730}" name="TipoMalla" dataDxfId="325"/>
    <tableColumn id="22" xr3:uid="{F9A8A093-0791-4623-BF21-13F671A9829F}" name="TipoIntervencion" dataDxfId="324"/>
    <tableColumn id="25" xr3:uid="{3F2A13FC-F726-4EAC-9D5B-1758F0003F0B}" name="Codigo unico" dataDxfId="323"/>
  </tableColumns>
  <tableStyleInfo name="TableStyleMedium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FBBCE1D-E670-4924-B6D2-FCB7D05188CF}" name="PresupuestoOficial" displayName="PresupuestoOficial" ref="A4:K52" totalsRowShown="0" headerRowDxfId="322" dataDxfId="321" tableBorderDxfId="320">
  <autoFilter ref="A4:K52" xr:uid="{76B498C1-6DC5-4614-9806-37F8CF83ADEC}"/>
  <tableColumns count="11">
    <tableColumn id="1" xr3:uid="{31C9D104-E009-4EC9-876D-847CD6435277}" name="No." dataDxfId="319" totalsRowDxfId="318"/>
    <tableColumn id="13" xr3:uid="{B1ABBB56-1ABC-439D-858C-95E007D0D1C0}" name="PK-ID" dataDxfId="317" totalsRowDxfId="316"/>
    <tableColumn id="2" xr3:uid="{FC9DB908-C3F6-4010-89FC-E20DAC3E0EB8}" name="CIV" dataDxfId="315" totalsRowDxfId="314"/>
    <tableColumn id="14" xr3:uid="{048DB283-993C-408B-BC36-97BA97BDA088}" name="Tipo" dataDxfId="313" totalsRowDxfId="312"/>
    <tableColumn id="3" xr3:uid="{3460195F-211F-47BA-81BF-7C3655828A75}" name="TRAMO" dataDxfId="311" totalsRowDxfId="310"/>
    <tableColumn id="4" xr3:uid="{84347456-48EE-498F-9971-2151AC1D4D71}" name="DESDE" dataDxfId="309" totalsRowDxfId="308"/>
    <tableColumn id="5" xr3:uid="{E92E12B6-7FD4-47B7-99A4-F59E937C1D54}" name="HASTA" dataDxfId="307" totalsRowDxfId="306"/>
    <tableColumn id="19" xr3:uid="{56B9C59C-BEB0-4F84-B787-38F871FD0E2B}" name="Ancho (m)" dataDxfId="305" totalsRowDxfId="304"/>
    <tableColumn id="18" xr3:uid="{3949409A-FEB1-4150-B837-31AC744C2A17}" name="Largo (m)" dataDxfId="303" totalsRowDxfId="302"/>
    <tableColumn id="6" xr3:uid="{1C5C0E82-E1ED-4933-94DC-2244715EFEB5}" name="Área (m²)" dataDxfId="301" totalsRowDxfId="300"/>
    <tableColumn id="7" xr3:uid="{57D7CCC4-574E-48E6-8093-DED77D8344C7}" name="km-carril" dataDxfId="299" totalsRowDxfId="29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2978E98-05E5-4545-8591-810E4ADED621}" name="Cantidades" displayName="Cantidades" ref="B15:BB139" totalsRowShown="0" headerRowDxfId="297" tableBorderDxfId="296">
  <autoFilter ref="B15:BB139" xr:uid="{F98DA14A-C84D-44AB-B03D-27D86BAE1496}">
    <filterColumn colId="0">
      <filters>
        <filter val="RECONSTRUCCION - REHABILITACION VIA PAVIMENTO FLEXIBLE"/>
      </filters>
    </filterColumn>
  </autoFilter>
  <tableColumns count="53">
    <tableColumn id="1" xr3:uid="{2EC66576-7D6B-462F-9DCE-4DF488820DFC}" name="intervención" dataDxfId="295"/>
    <tableColumn id="3" xr3:uid="{A197A0B2-A0C7-4B30-AF7E-18D65780FB58}" name="cod Idu" dataDxfId="294"/>
    <tableColumn id="4" xr3:uid="{65B762BC-2DE6-4405-A4DD-85FFE1AE88D5}" name="Descripcion" dataDxfId="293">
      <calculatedColumnFormula>+_xlfn.XLOOKUP(Cantidades[[#This Row],[cod Idu]],APU_IDU[Código],APU_IDU[Nombre],"",0)</calculatedColumnFormula>
    </tableColumn>
    <tableColumn id="5" xr3:uid="{D24A86B0-76B0-4CC9-82AB-60EB6CE8BC5D}" name="UM" dataDxfId="292">
      <calculatedColumnFormula>+_xlfn.XLOOKUP(Cantidades[[#This Row],[cod Idu]],APU_IDU[Código],APU_IDU[UM],"",0)</calculatedColumnFormula>
    </tableColumn>
    <tableColumn id="6" xr3:uid="{8DA4AFC8-DFE5-4C0E-961C-A7C480D56216}" name="VU" dataDxfId="291" dataCellStyle="Moneda">
      <calculatedColumnFormula>+_xlfn.XLOOKUP(Cantidades[[#This Row],[cod Idu]],APU_IDU[Código],APU_IDU[Valor],"",0)</calculatedColumnFormula>
    </tableColumn>
    <tableColumn id="7" xr3:uid="{702666B4-7D2B-443F-8D7F-4E8B4D542078}" name="91013913" dataDxfId="290"/>
    <tableColumn id="40" xr3:uid="{8A4DF9AC-6B53-441B-B0AC-E79DDA088A2B}" name="472330" dataDxfId="289"/>
    <tableColumn id="8" xr3:uid="{32187604-690B-4A67-BFE1-12C8D035BE1A}" name="167810" dataDxfId="288"/>
    <tableColumn id="9" xr3:uid="{503A1E59-C721-4730-95E6-0A00C812B3EF}" name="166646" dataDxfId="287"/>
    <tableColumn id="10" xr3:uid="{5AF0B63E-A0F6-40A4-A538-B62C7B98CCB5}" name="167491" dataDxfId="286"/>
    <tableColumn id="41" xr3:uid="{ADC8A382-C4E4-42C0-B5D0-3927DE4E948D}" name="167266" dataDxfId="285"/>
    <tableColumn id="42" xr3:uid="{B3836C8D-50A5-403B-9935-03616B4DD470}" name="170896" dataDxfId="284"/>
    <tableColumn id="43" xr3:uid="{A98A909B-84A0-4B9D-B9FD-4B0CF7EEF7AF}" name="170897" dataDxfId="283"/>
    <tableColumn id="11" xr3:uid="{A46BC627-E9E8-4C3E-A15E-F81C817786BC}" name="170898" dataDxfId="282"/>
    <tableColumn id="12" xr3:uid="{EBD3995D-2864-4BEB-8EC4-D849F54A62B5}" name="91064150" dataDxfId="281"/>
    <tableColumn id="13" xr3:uid="{95156036-9D02-485D-A3DB-DE5033419E77}" name="168919" dataDxfId="280"/>
    <tableColumn id="15" xr3:uid="{2CE91A2D-7D25-4585-9A1A-1BD88A832C4E}" name="168426" dataDxfId="279"/>
    <tableColumn id="16" xr3:uid="{FBE16381-FDB6-457B-BC0E-798097FF91D1}" name="91020796" dataDxfId="278"/>
    <tableColumn id="17" xr3:uid="{FD5B1EF6-0734-4423-AABE-02CCDA915ABF}" name="176184" dataDxfId="277"/>
    <tableColumn id="18" xr3:uid="{DCCC3A23-28DD-40BE-9C2D-E9A724434599}" name="167636" dataDxfId="276"/>
    <tableColumn id="21" xr3:uid="{5641EE83-7AA5-4CA4-B56A-777B9A24937F}" name="176730" dataDxfId="275"/>
    <tableColumn id="22" xr3:uid="{693182AE-54E3-4BC1-90A6-020BFE5D59E3}" name="173038" dataDxfId="274"/>
    <tableColumn id="23" xr3:uid="{C9B2C9F5-40E6-4726-A6E0-C8668646A05B}" name="170222" dataDxfId="273"/>
    <tableColumn id="24" xr3:uid="{A7832D9D-D42D-4A79-888D-247E218A8432}" name="170229" dataDxfId="272"/>
    <tableColumn id="25" xr3:uid="{304ED703-3B30-490A-BB8E-184882F559F2}" name="170227" dataDxfId="271"/>
    <tableColumn id="26" xr3:uid="{512859FB-53B7-4939-9907-B1B615189E49}" name="170226" dataDxfId="270"/>
    <tableColumn id="27" xr3:uid="{9E05EA24-449E-46B4-A3FE-7B6392DD0DFB}" name="171567" dataDxfId="269"/>
    <tableColumn id="28" xr3:uid="{150ED683-C2ED-4F5E-B305-B0CFE82BFF52}" name="166632" dataDxfId="268"/>
    <tableColumn id="29" xr3:uid="{A8840171-5B98-4223-88DA-454AAE2C984D}" name="170228" dataDxfId="267"/>
    <tableColumn id="30" xr3:uid="{A02050CE-081C-490B-998F-A4212F3CB3A9}" name="172926" dataDxfId="266"/>
    <tableColumn id="31" xr3:uid="{B8777BED-7CF2-478C-90DE-CF00BB080CCB}" name="171152" dataDxfId="265"/>
    <tableColumn id="32" xr3:uid="{B611F7FE-98ED-471C-9C2B-EBE5BD010153}" name="173058" dataDxfId="264"/>
    <tableColumn id="37" xr3:uid="{2701692C-30C1-4711-AD55-78531A8C8355}" name="174478" dataDxfId="263"/>
    <tableColumn id="35" xr3:uid="{EBE83158-DC07-429D-B595-CE2D213EBA01}" name="91010089" dataDxfId="262"/>
    <tableColumn id="34" xr3:uid="{21393725-6BDB-49C3-8E3A-79FF483C0032}" name="176122" dataDxfId="261"/>
    <tableColumn id="19" xr3:uid="{7A306738-B94F-4EA2-B2B1-8F43E59B4E5E}" name="168536" dataDxfId="260"/>
    <tableColumn id="2" xr3:uid="{B2D08C6A-749F-4A95-A92B-6EDF2A3B3A79}" name="166934" dataDxfId="259"/>
    <tableColumn id="14" xr3:uid="{44D68D23-2E07-412D-8E90-6675B1AC119E}" name="174353" dataDxfId="258"/>
    <tableColumn id="33" xr3:uid="{E7F0B58E-5D3A-411E-84DC-AA59E9F345A5}" name="52531" dataDxfId="257"/>
    <tableColumn id="50" xr3:uid="{F70FFE58-CFAE-4743-9B09-1C812A049798}" name="52456" dataDxfId="256"/>
    <tableColumn id="49" xr3:uid="{87AD41A2-8871-4B72-BA2A-E14179F691C9}" name="92058103" dataDxfId="255"/>
    <tableColumn id="48" xr3:uid="{DD768A93-30B1-46D1-AB8A-096C40BE53AB}" name="20011114" dataDxfId="254"/>
    <tableColumn id="47" xr3:uid="{E8CEB60B-64D5-4FA0-A608-5F13FF04102C}" name="20013540" dataDxfId="253"/>
    <tableColumn id="45" xr3:uid="{ECCDB652-A8BE-4F05-B28D-4E20B77C8369}" name="55337" dataDxfId="252"/>
    <tableColumn id="44" xr3:uid="{894C99F7-62E1-4067-A1BE-96C564E59BB3}" name="92087422" dataDxfId="251"/>
    <tableColumn id="102" xr3:uid="{52B2733E-A557-474C-B625-90FE7D99B9EB}" name="55259" dataDxfId="250"/>
    <tableColumn id="101" xr3:uid="{1E6FE56F-571B-454F-89C7-56129F4AF22E}" name="466904" dataDxfId="249"/>
    <tableColumn id="100" xr3:uid="{371A453D-CCE6-4155-A297-0E222BF6E8E0}" name="48591" dataDxfId="248"/>
    <tableColumn id="20" xr3:uid="{4EB39D0F-8BA1-48F2-8F97-697E800F3F8A}" name="48590" dataDxfId="247"/>
    <tableColumn id="105" xr3:uid="{8A3E4E05-70F5-46B3-ADF6-103C2FF9A168}" name="48561" dataDxfId="246"/>
    <tableColumn id="104" xr3:uid="{7221E3A2-D8DE-42ED-9732-A946298A133C}" name="48560" dataDxfId="245"/>
    <tableColumn id="38" xr3:uid="{F2F58AB8-3FB9-4EC7-A7AE-D8A65CFA554A}" name="48657" dataDxfId="244"/>
    <tableColumn id="36" xr3:uid="{C0537B36-CD60-4F40-B106-2CFD7F3222D9}" name="48655" dataDxfId="24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C86031F-B05F-4EF3-A28F-AEC4AE213FB9}" name="CantidadesConsolidadas" displayName="CantidadesConsolidadas" ref="A1:BB115" totalsRowCount="1" headerRowDxfId="242" headerRowBorderDxfId="241" tableBorderDxfId="240" totalsRowBorderDxfId="239">
  <autoFilter ref="A1:BB114" xr:uid="{B9B7A20F-290F-447C-867B-348E23AD0A76}"/>
  <tableColumns count="54">
    <tableColumn id="1" xr3:uid="{7D682E5B-E1B3-4407-BF26-37E8F01CB7FD}" name="cod Idu" totalsRowLabel="Total" dataDxfId="238" totalsRowDxfId="237"/>
    <tableColumn id="2" xr3:uid="{C2389098-A0DB-41D7-A1BB-9AC794389CA7}" name="Descripcion" dataDxfId="236" totalsRowDxfId="235">
      <calculatedColumnFormula>+_xlfn.XLOOKUP(CantidadesConsolidadas[[#This Row],[cod Idu]],APU_IDU[Código],APU_IDU[Nombre],"",0)</calculatedColumnFormula>
    </tableColumn>
    <tableColumn id="3" xr3:uid="{E5DFC132-1FBA-475A-B64F-55360769FB4B}" name="UM" dataDxfId="234" totalsRowDxfId="233">
      <calculatedColumnFormula>+_xlfn.XLOOKUP(CantidadesConsolidadas[[#This Row],[cod Idu]],APU_IDU[Código],APU_IDU[UM],"",0)</calculatedColumnFormula>
    </tableColumn>
    <tableColumn id="4" xr3:uid="{CCD7A8B5-85CA-4283-9952-C874C5A4B39D}" name="VU" dataDxfId="232" totalsRowDxfId="231" dataCellStyle="Moneda">
      <calculatedColumnFormula>+_xlfn.XLOOKUP(CantidadesConsolidadas[[#This Row],[cod Idu]],APU_IDU[Código],APU_IDU[Valor],"",0)</calculatedColumnFormula>
    </tableColumn>
    <tableColumn id="5" xr3:uid="{7C6A78F8-BBA8-4DAE-8F6D-BE0A85252965}" name="91013913" dataDxfId="230" totalsRowDxfId="229">
      <calculatedColumnFormula>ROUND(SUMIFS(Cantidades[91013913],Cantidades[cod Idu],'CantidadesConsolidadas'!$A2),2)</calculatedColumnFormula>
    </tableColumn>
    <tableColumn id="17" xr3:uid="{DC579E00-A06E-4106-95AC-9A1B5218A56E}" name="472330" dataDxfId="228" totalsRowDxfId="227">
      <calculatedColumnFormula>ROUND(SUMIFS(Cantidades[472330],Cantidades[cod Idu],'CantidadesConsolidadas'!$A2),2)</calculatedColumnFormula>
    </tableColumn>
    <tableColumn id="18" xr3:uid="{84C8F179-30F7-4A9F-AF45-66FCE74B7585}" name="167810" dataDxfId="226" totalsRowDxfId="225">
      <calculatedColumnFormula>ROUND(SUMIFS(Cantidades[167810],Cantidades[cod Idu],'CantidadesConsolidadas'!$A2),2)</calculatedColumnFormula>
    </tableColumn>
    <tableColumn id="39" xr3:uid="{58FC75C7-B7D2-4477-9A60-632085E7D619}" name="166646" dataDxfId="224" totalsRowDxfId="223">
      <calculatedColumnFormula>ROUND(SUMIFS(Cantidades[166646],Cantidades[cod Idu],'CantidadesConsolidadas'!$A2),2)</calculatedColumnFormula>
    </tableColumn>
    <tableColumn id="12" xr3:uid="{40C818BC-336B-4AA5-A722-A3B82CF8C6AE}" name="167491" dataDxfId="222" totalsRowDxfId="221">
      <calculatedColumnFormula>ROUND(SUMIFS(Cantidades[167491],Cantidades[cod Idu],'CantidadesConsolidadas'!$A2),2)</calculatedColumnFormula>
    </tableColumn>
    <tableColumn id="6" xr3:uid="{73836524-A91E-41FA-AE62-33B25DCEA526}" name="167266" dataDxfId="220" totalsRowDxfId="219">
      <calculatedColumnFormula>ROUND(SUMIFS(Cantidades[167266],Cantidades[cod Idu],'CantidadesConsolidadas'!$A2),2)</calculatedColumnFormula>
    </tableColumn>
    <tableColumn id="7" xr3:uid="{4577B5BB-0E69-4516-9950-D441B7F4F7A2}" name="170896" dataDxfId="218" totalsRowDxfId="217">
      <calculatedColumnFormula>ROUND(SUMIFS(Cantidades[170896],Cantidades[cod Idu],'CantidadesConsolidadas'!$A2),2)</calculatedColumnFormula>
    </tableColumn>
    <tableColumn id="8" xr3:uid="{4E6D4DA9-DABA-4695-BAEA-BFC615175136}" name="170897" dataDxfId="216" totalsRowDxfId="215">
      <calculatedColumnFormula>ROUND(SUMIFS(Cantidades[170897],Cantidades[cod Idu],'CantidadesConsolidadas'!$A2),2)</calculatedColumnFormula>
    </tableColumn>
    <tableColumn id="9" xr3:uid="{9BC1F3F4-8BF6-4FA5-B3B2-5FF7534971D3}" name="170898" dataDxfId="214" totalsRowDxfId="213">
      <calculatedColumnFormula>ROUND(SUMIFS(Cantidades[170898],Cantidades[cod Idu],'CantidadesConsolidadas'!$A2),2)</calculatedColumnFormula>
    </tableColumn>
    <tableColumn id="10" xr3:uid="{FB99E7E4-F706-4806-8362-482492532FFA}" name="91064150" dataDxfId="212" totalsRowDxfId="211">
      <calculatedColumnFormula>ROUND(SUMIFS(Cantidades[91064150],Cantidades[cod Idu],'CantidadesConsolidadas'!$A2),2)</calculatedColumnFormula>
    </tableColumn>
    <tableColumn id="11" xr3:uid="{774D4AF5-4B6E-40B3-BB19-C6FB61C0859F}" name="168919" dataDxfId="210" totalsRowDxfId="209">
      <calculatedColumnFormula>ROUND(SUMIFS(Cantidades[168919],Cantidades[cod Idu],'CantidadesConsolidadas'!$A2),2)</calculatedColumnFormula>
    </tableColumn>
    <tableColumn id="13" xr3:uid="{A13D7DAB-FF1A-49A4-9784-485D9D167A45}" name="168426" dataDxfId="208" totalsRowDxfId="207">
      <calculatedColumnFormula>ROUND(SUMIFS(Cantidades[168426],Cantidades[cod Idu],'CantidadesConsolidadas'!$A2),2)</calculatedColumnFormula>
    </tableColumn>
    <tableColumn id="14" xr3:uid="{19D74500-5F82-4784-8CA3-F6C91D3214BF}" name="91020796" dataDxfId="206" totalsRowDxfId="205">
      <calculatedColumnFormula>ROUND(SUMIFS(Cantidades[91020796],Cantidades[cod Idu],'CantidadesConsolidadas'!$A2),2)</calculatedColumnFormula>
    </tableColumn>
    <tableColumn id="15" xr3:uid="{1A1EA9AB-70C4-45B6-ABA2-2CD578815777}" name="176184" dataDxfId="204" totalsRowDxfId="203">
      <calculatedColumnFormula>ROUND(SUMIFS(Cantidades[176184],Cantidades[cod Idu],'CantidadesConsolidadas'!$A2),2)</calculatedColumnFormula>
    </tableColumn>
    <tableColumn id="16" xr3:uid="{95864C81-2699-4DC5-8D34-E66DB8310E74}" name="167636" dataDxfId="202" totalsRowDxfId="201">
      <calculatedColumnFormula>ROUND(SUMIFS(Cantidades[167636],Cantidades[cod Idu],'CantidadesConsolidadas'!$A2),2)</calculatedColumnFormula>
    </tableColumn>
    <tableColumn id="19" xr3:uid="{3E74AB04-B070-44B7-A8AC-C695AAE02A3B}" name="176730" dataDxfId="200" totalsRowDxfId="199">
      <calculatedColumnFormula>ROUND(SUMIFS(Cantidades[176730],Cantidades[cod Idu],'CantidadesConsolidadas'!$A2),2)</calculatedColumnFormula>
    </tableColumn>
    <tableColumn id="20" xr3:uid="{86A335D1-06D3-4571-BC90-66F9BFD63634}" name="173038" dataDxfId="198" totalsRowDxfId="197">
      <calculatedColumnFormula>ROUND(SUMIFS(Cantidades[173038],Cantidades[cod Idu],'CantidadesConsolidadas'!$A2),2)</calculatedColumnFormula>
    </tableColumn>
    <tableColumn id="21" xr3:uid="{981654B8-345F-41BE-A9C7-F931A9907D8D}" name="170222" dataDxfId="196" totalsRowDxfId="195">
      <calculatedColumnFormula>ROUND(SUMIFS(Cantidades[170222],Cantidades[cod Idu],'CantidadesConsolidadas'!$A2),2)</calculatedColumnFormula>
    </tableColumn>
    <tableColumn id="22" xr3:uid="{150F301B-B365-45C0-B805-AF57509DE453}" name="170229" dataDxfId="194" totalsRowDxfId="193">
      <calculatedColumnFormula>ROUND(SUMIFS(Cantidades[170229],Cantidades[cod Idu],'CantidadesConsolidadas'!$A2),2)</calculatedColumnFormula>
    </tableColumn>
    <tableColumn id="23" xr3:uid="{7BC4FC70-29C1-4835-A91B-518D2C31BCEA}" name="170227" dataDxfId="192" totalsRowDxfId="191">
      <calculatedColumnFormula>ROUND(SUMIFS(Cantidades[170227],Cantidades[cod Idu],'CantidadesConsolidadas'!$A2),2)</calculatedColumnFormula>
    </tableColumn>
    <tableColumn id="24" xr3:uid="{8221796C-4760-4A07-82C9-042A6C2F1581}" name="170226" dataDxfId="190" totalsRowDxfId="189">
      <calculatedColumnFormula>ROUND(SUMIFS(Cantidades[170226],Cantidades[cod Idu],'CantidadesConsolidadas'!$A2),2)</calculatedColumnFormula>
    </tableColumn>
    <tableColumn id="25" xr3:uid="{2E985B75-4CC4-4AB9-880A-1FD7CF4F8DE9}" name="171567" dataDxfId="188" totalsRowDxfId="187">
      <calculatedColumnFormula>ROUND(SUMIFS(Cantidades[171567],Cantidades[cod Idu],'CantidadesConsolidadas'!$A2),2)</calculatedColumnFormula>
    </tableColumn>
    <tableColumn id="26" xr3:uid="{1A3D2A90-BF7A-4FC1-96E3-FB00992D556C}" name="166632" dataDxfId="186" totalsRowDxfId="185">
      <calculatedColumnFormula>ROUND(SUMIFS(Cantidades[166632],Cantidades[cod Idu],'CantidadesConsolidadas'!$A2),2)</calculatedColumnFormula>
    </tableColumn>
    <tableColumn id="27" xr3:uid="{3889A636-F608-4991-8EBD-7ABDE2B3384D}" name="170228" dataDxfId="184" totalsRowDxfId="183">
      <calculatedColumnFormula>ROUND(SUMIFS(Cantidades[170228],Cantidades[cod Idu],'CantidadesConsolidadas'!$A2),2)</calculatedColumnFormula>
    </tableColumn>
    <tableColumn id="28" xr3:uid="{633537EC-D089-4C37-960E-D08F704FF062}" name="172926" dataDxfId="182" totalsRowDxfId="181">
      <calculatedColumnFormula>ROUND(SUMIFS(Cantidades[172926],Cantidades[cod Idu],'CantidadesConsolidadas'!$A2),2)</calculatedColumnFormula>
    </tableColumn>
    <tableColumn id="29" xr3:uid="{C5F40AAD-926C-4F63-95B6-1D08C97F8E7F}" name="171152" dataDxfId="180" totalsRowDxfId="179">
      <calculatedColumnFormula>ROUND(SUMIFS(Cantidades[171152],Cantidades[cod Idu],'CantidadesConsolidadas'!$A2),2)</calculatedColumnFormula>
    </tableColumn>
    <tableColumn id="30" xr3:uid="{F4566214-FFB6-4717-A5A8-12FAE2FB7451}" name="173058" dataDxfId="178" totalsRowDxfId="177">
      <calculatedColumnFormula>ROUND(SUMIFS(Cantidades[173058],Cantidades[cod Idu],'CantidadesConsolidadas'!$A2),2)</calculatedColumnFormula>
    </tableColumn>
    <tableColumn id="51" xr3:uid="{0292922C-0367-4317-9B11-EB4566D37F7A}" name="174478" dataDxfId="176" totalsRowDxfId="175">
      <calculatedColumnFormula>ROUND(SUMIFS(Cantidades[174478],Cantidades[cod Idu],'CantidadesConsolidadas'!$A2),2)</calculatedColumnFormula>
    </tableColumn>
    <tableColumn id="50" xr3:uid="{E5B91343-E3C0-47B1-A017-DF3EB0A4F8AF}" name="91010089" dataDxfId="174" totalsRowDxfId="173">
      <calculatedColumnFormula>ROUND(SUMIFS(Cantidades[91010089],Cantidades[cod Idu],'CantidadesConsolidadas'!$A2),2)</calculatedColumnFormula>
    </tableColumn>
    <tableColumn id="49" xr3:uid="{CB65061A-F788-49D3-B722-786AEBA8892C}" name="176122" dataDxfId="172" totalsRowDxfId="171">
      <calculatedColumnFormula>ROUND(SUMIFS(Cantidades[176122],Cantidades[cod Idu],'CantidadesConsolidadas'!$A2),2)</calculatedColumnFormula>
    </tableColumn>
    <tableColumn id="36" xr3:uid="{952502E1-4056-4112-905F-BF6866029CCE}" name="168536" dataDxfId="170" totalsRowDxfId="169">
      <calculatedColumnFormula>ROUND(SUMIFS(Cantidades[168536],Cantidades[cod Idu],'CantidadesConsolidadas'!$A2),2)</calculatedColumnFormula>
    </tableColumn>
    <tableColumn id="40" xr3:uid="{DA73322D-6235-43B9-966D-8A9208B39D3C}" name="166934" dataDxfId="168" totalsRowDxfId="167">
      <calculatedColumnFormula>ROUND(SUMIFS(Cantidades[166934],Cantidades[cod Idu],'CantidadesConsolidadas'!$A2),2)</calculatedColumnFormula>
    </tableColumn>
    <tableColumn id="54" xr3:uid="{05E7FE8E-894F-4FFA-AECF-BA52CF838E5A}" name="174353" dataDxfId="166" totalsRowDxfId="165">
      <calculatedColumnFormula>ROUND(SUMIFS(Cantidades[174353],Cantidades[cod Idu],'CantidadesConsolidadas'!$A2),2)</calculatedColumnFormula>
    </tableColumn>
    <tableColumn id="31" xr3:uid="{A349FA88-D2D6-452A-8862-1C891740E740}" name="52531" dataDxfId="164" totalsRowDxfId="163">
      <calculatedColumnFormula>ROUND(SUMIFS(Cantidades[52531],Cantidades[cod Idu],'CantidadesConsolidadas'!$A2),2)</calculatedColumnFormula>
    </tableColumn>
    <tableColumn id="32" xr3:uid="{7B9BDD22-655A-4D8C-A966-CD99829384F2}" name="52456" dataDxfId="162" totalsRowDxfId="161">
      <calculatedColumnFormula>ROUND(SUMIFS(Cantidades[52456],Cantidades[cod Idu],'CantidadesConsolidadas'!$A2),2)</calculatedColumnFormula>
    </tableColumn>
    <tableColumn id="33" xr3:uid="{57ADCC4A-E3DC-458F-BF4C-EC6CC725A0C6}" name="92058103" dataDxfId="160" totalsRowDxfId="159">
      <calculatedColumnFormula>ROUND(SUMIFS(Cantidades[92058103],Cantidades[cod Idu],'CantidadesConsolidadas'!$A2),2)</calculatedColumnFormula>
    </tableColumn>
    <tableColumn id="34" xr3:uid="{8D9EAC01-C2F2-4946-A614-A987BA65E9BF}" name="20011114" dataDxfId="158" totalsRowDxfId="157">
      <calculatedColumnFormula>ROUND(SUMIFS(Cantidades[20011114],Cantidades[cod Idu],'CantidadesConsolidadas'!$A2),2)</calculatedColumnFormula>
    </tableColumn>
    <tableColumn id="35" xr3:uid="{B5B4ADA1-6BC4-494C-85C9-55A7ACB773BF}" name="20013540" dataDxfId="156" totalsRowDxfId="155">
      <calculatedColumnFormula>ROUND(SUMIFS(Cantidades[20013540],Cantidades[cod Idu],'CantidadesConsolidadas'!$A2),2)</calculatedColumnFormula>
    </tableColumn>
    <tableColumn id="48" xr3:uid="{05888AB8-4740-4330-86FA-FA2177A7142F}" name="55337" dataDxfId="154" totalsRowDxfId="153">
      <calculatedColumnFormula>ROUND(SUMIFS(Cantidades[55337],Cantidades[cod Idu],'CantidadesConsolidadas'!$A2),2)</calculatedColumnFormula>
    </tableColumn>
    <tableColumn id="47" xr3:uid="{87D3A9CC-D055-4C82-853F-9F0FA89099EC}" name="92087422" dataDxfId="152" totalsRowDxfId="151">
      <calculatedColumnFormula>ROUND(SUMIFS(Cantidades[92087422],Cantidades[cod Idu],'CantidadesConsolidadas'!$A2),2)</calculatedColumnFormula>
    </tableColumn>
    <tableColumn id="46" xr3:uid="{7D34BC88-191E-44BC-A072-0752380FE9B2}" name="55259" dataDxfId="150" totalsRowDxfId="149">
      <calculatedColumnFormula>ROUND(SUMIFS(Cantidades[55259],Cantidades[cod Idu],'CantidadesConsolidadas'!$A2),2)</calculatedColumnFormula>
    </tableColumn>
    <tableColumn id="45" xr3:uid="{D1E1827B-FE5B-4F57-A00C-2E13F41D7B73}" name="466904" dataDxfId="148" totalsRowDxfId="147">
      <calculatedColumnFormula>ROUND(SUMIFS(Cantidades[466904],Cantidades[cod Idu],'CantidadesConsolidadas'!$A2),2)</calculatedColumnFormula>
    </tableColumn>
    <tableColumn id="44" xr3:uid="{34589ABC-4623-40EE-B57C-63223115E67F}" name="48591" dataDxfId="146" totalsRowDxfId="145">
      <calculatedColumnFormula>ROUND(SUMIFS(Cantidades[48591],Cantidades[cod Idu],'CantidadesConsolidadas'!$A2),2)</calculatedColumnFormula>
    </tableColumn>
    <tableColumn id="43" xr3:uid="{7E29DAD9-5DDD-4EF1-944F-679A05EAD258}" name="48590" dataDxfId="144" totalsRowDxfId="143">
      <calculatedColumnFormula>ROUND(SUMIFS(Cantidades[48590],Cantidades[cod Idu],'CantidadesConsolidadas'!$A2),2)</calculatedColumnFormula>
    </tableColumn>
    <tableColumn id="42" xr3:uid="{6DD673DE-978C-43FB-8FC9-F65BEFAE3D2A}" name="48561" dataDxfId="142" totalsRowDxfId="141">
      <calculatedColumnFormula>ROUND(SUMIFS(Cantidades[48561],Cantidades[cod Idu],'CantidadesConsolidadas'!$A2),2)</calculatedColumnFormula>
    </tableColumn>
    <tableColumn id="53" xr3:uid="{0F521A75-26D7-46C5-BB04-36F28EF17346}" name="48560" dataDxfId="140" totalsRowDxfId="139">
      <calculatedColumnFormula>ROUND(SUMIFS(Cantidades[48560],Cantidades[cod Idu],'CantidadesConsolidadas'!$A2),2)</calculatedColumnFormula>
    </tableColumn>
    <tableColumn id="52" xr3:uid="{15CBF50E-817E-4DE9-9346-7D1505025775}" name="48657" dataDxfId="138" totalsRowDxfId="137">
      <calculatedColumnFormula>ROUND(SUMIFS(Cantidades[48657],Cantidades[cod Idu],'CantidadesConsolidadas'!$A2),2)</calculatedColumnFormula>
    </tableColumn>
    <tableColumn id="41" xr3:uid="{A751F184-810A-4AA6-934A-D99666B60C10}" name="48655" dataDxfId="136" totalsRowDxfId="135">
      <calculatedColumnFormula>ROUND(SUMIFS(Cantidades[48655],Cantidades[cod Idu],'CantidadesConsolidadas'!$A2),2)</calculatedColumnFormula>
    </tableColumn>
    <tableColumn id="37" xr3:uid="{823B9C40-1DE2-4481-ADAA-87FB36606701}" name="Total" dataDxfId="134" totalsRowDxfId="133">
      <calculatedColumnFormula>SUBTOTAL(9,CantidadesConsolidadas[[#This Row],[91013913]:[48655]])</calculatedColumnFormula>
    </tableColumn>
    <tableColumn id="38" xr3:uid="{F7121BFE-755F-44AF-A567-CA9BB3364F3D}" name="Valor total" totalsRowFunction="sum" dataDxfId="132" totalsRowDxfId="131">
      <calculatedColumnFormula>ROUND(CantidadesConsolidadas[[#This Row],[Total]]*CantidadesConsolidadas[[#This Row],[VU]],0)</calculatedColumnFormula>
    </tableColumn>
  </tableColumns>
  <tableStyleInfo name="TableStyleMedium2" showFirstColumn="0"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14079A7D-B56F-4C44-9321-4FBA65DED28B}" name="CostoDirecto" displayName="CostoDirecto" ref="A1:BB115" totalsRowCount="1" headerRowDxfId="130" headerRowBorderDxfId="129" tableBorderDxfId="128" totalsRowBorderDxfId="127">
  <autoFilter ref="A1:BB114" xr:uid="{B9B7A20F-290F-447C-867B-348E23AD0A76}"/>
  <tableColumns count="54">
    <tableColumn id="1" xr3:uid="{AB31AF1A-42EA-4CF2-AD48-30AD134F2464}" name="cod Idu" totalsRowLabel="Total" dataDxfId="126" totalsRowDxfId="125"/>
    <tableColumn id="2" xr3:uid="{F02FAC20-4FF5-4E73-B7D5-C970076ADCCA}" name="Descripcion" dataDxfId="124" totalsRowDxfId="123">
      <calculatedColumnFormula>+_xlfn.XLOOKUP(CostoDirecto[[#This Row],[cod Idu]],APU_IDU[Código],APU_IDU[Nombre],"",0)</calculatedColumnFormula>
    </tableColumn>
    <tableColumn id="3" xr3:uid="{F3DBC60E-0A90-457D-B994-057F32A171F2}" name="UM" dataDxfId="122" totalsRowDxfId="121">
      <calculatedColumnFormula>+_xlfn.XLOOKUP(CostoDirecto[[#This Row],[cod Idu]],APU_IDU[Código],APU_IDU[UM],"",0)</calculatedColumnFormula>
    </tableColumn>
    <tableColumn id="4" xr3:uid="{8A2B5708-369F-439C-AB96-97909D5D2D24}" name="VU" dataDxfId="120" totalsRowDxfId="119" dataCellStyle="Moneda">
      <calculatedColumnFormula>+_xlfn.XLOOKUP(CostoDirecto[[#This Row],[cod Idu]],APU_IDU[Código],APU_IDU[Valor],"",0)</calculatedColumnFormula>
    </tableColumn>
    <tableColumn id="5" xr3:uid="{803B5C04-FDDC-417A-A379-D8664F725E77}" name="91013913" totalsRowFunction="sum" dataDxfId="118" totalsRowDxfId="117">
      <calculatedColumnFormula>ROUND(CantidadesConsolidadas[[#This Row],[91013913]]*$D2,0)</calculatedColumnFormula>
    </tableColumn>
    <tableColumn id="12" xr3:uid="{62E18E45-7DEE-4B3B-B311-8AF9AA7B0F7A}" name="472330" totalsRowFunction="sum" dataDxfId="116" totalsRowDxfId="115">
      <calculatedColumnFormula>ROUND(CantidadesConsolidadas[[#This Row],[472330]]*$D2,0)</calculatedColumnFormula>
    </tableColumn>
    <tableColumn id="17" xr3:uid="{4C1FCBCC-DE20-4891-AAA1-9CFE9C7F6D91}" name="167810" totalsRowFunction="sum" dataDxfId="114" totalsRowDxfId="113">
      <calculatedColumnFormula>ROUND(CantidadesConsolidadas[[#This Row],[167810]]*$D2,0)</calculatedColumnFormula>
    </tableColumn>
    <tableColumn id="18" xr3:uid="{D5FCEEF1-3214-4270-BC23-904E07C554A1}" name="166646" totalsRowFunction="sum" dataDxfId="112" totalsRowDxfId="111">
      <calculatedColumnFormula>ROUND(CantidadesConsolidadas[[#This Row],[166646]]*$D2,0)</calculatedColumnFormula>
    </tableColumn>
    <tableColumn id="42" xr3:uid="{E314057D-113A-4620-8466-1DDAA8C329CA}" name="167491" totalsRowFunction="sum" dataDxfId="110" totalsRowDxfId="109">
      <calculatedColumnFormula>ROUND(CantidadesConsolidadas[[#This Row],[167491]]*$D2,0)</calculatedColumnFormula>
    </tableColumn>
    <tableColumn id="6" xr3:uid="{921C004B-B51A-44B5-9FC4-8C7BFDB95A0B}" name="167266" totalsRowFunction="sum" dataDxfId="108" totalsRowDxfId="107">
      <calculatedColumnFormula>ROUND(CantidadesConsolidadas[[#This Row],[167266]]*$D2,0)</calculatedColumnFormula>
    </tableColumn>
    <tableColumn id="7" xr3:uid="{84572080-1BF7-4A09-8470-80EA8A992DF3}" name="170896" totalsRowFunction="sum" dataDxfId="106" totalsRowDxfId="105">
      <calculatedColumnFormula>ROUND(CantidadesConsolidadas[[#This Row],[170896]]*$D2,0)</calculatedColumnFormula>
    </tableColumn>
    <tableColumn id="8" xr3:uid="{4AA5ABD3-36CE-43A2-BA64-866020F067F8}" name="170897" totalsRowFunction="sum" dataDxfId="104" totalsRowDxfId="103">
      <calculatedColumnFormula>ROUND(CantidadesConsolidadas[[#This Row],[170897]]*$D2,0)</calculatedColumnFormula>
    </tableColumn>
    <tableColumn id="9" xr3:uid="{C71014BB-BD3C-4147-BE12-EADDA2C17C4F}" name="170898" totalsRowFunction="sum" dataDxfId="102" totalsRowDxfId="101">
      <calculatedColumnFormula>ROUND(CantidadesConsolidadas[[#This Row],[170898]]*$D2,0)</calculatedColumnFormula>
    </tableColumn>
    <tableColumn id="10" xr3:uid="{BCCA8019-E413-4BFC-A2E0-DB290F40BFFC}" name="91064150" totalsRowFunction="sum" dataDxfId="100" totalsRowDxfId="99">
      <calculatedColumnFormula>ROUND(CantidadesConsolidadas[[#This Row],[91064150]]*$D2,0)</calculatedColumnFormula>
    </tableColumn>
    <tableColumn id="11" xr3:uid="{FAD0E3AC-C852-4869-95D0-F50C8F8DAB9D}" name="168919" totalsRowFunction="sum" dataDxfId="98" totalsRowDxfId="97">
      <calculatedColumnFormula>ROUND(CantidadesConsolidadas[[#This Row],[168919]]*$D2,0)</calculatedColumnFormula>
    </tableColumn>
    <tableColumn id="13" xr3:uid="{9D1C291A-4C31-466F-A625-E01F339BD7AB}" name="168426" totalsRowFunction="sum" dataDxfId="96" totalsRowDxfId="95">
      <calculatedColumnFormula>ROUND(CantidadesConsolidadas[[#This Row],[168426]]*$D2,0)</calculatedColumnFormula>
    </tableColumn>
    <tableColumn id="14" xr3:uid="{3C6C517A-DD6E-4DBC-8DE2-0DD54B8667E1}" name="91020796" totalsRowFunction="sum" dataDxfId="94" totalsRowDxfId="93">
      <calculatedColumnFormula>ROUND(CantidadesConsolidadas[[#This Row],[91020796]]*$D2,0)</calculatedColumnFormula>
    </tableColumn>
    <tableColumn id="15" xr3:uid="{BA74EBDB-00F8-4952-8BDC-8DB546EE714C}" name="176184" totalsRowFunction="sum" dataDxfId="92" totalsRowDxfId="91">
      <calculatedColumnFormula>ROUND(CantidadesConsolidadas[[#This Row],[176184]]*$D2,0)</calculatedColumnFormula>
    </tableColumn>
    <tableColumn id="16" xr3:uid="{ACB4C164-0C41-406C-81B5-865E60882D12}" name="167636" totalsRowFunction="sum" dataDxfId="90" totalsRowDxfId="89">
      <calculatedColumnFormula>ROUND(CantidadesConsolidadas[[#This Row],[167636]]*$D2,0)</calculatedColumnFormula>
    </tableColumn>
    <tableColumn id="19" xr3:uid="{BB212A5C-07E0-4A9A-B983-1A5049866DC0}" name="176730" totalsRowFunction="sum" dataDxfId="88" totalsRowDxfId="87">
      <calculatedColumnFormula>ROUND(CantidadesConsolidadas[[#This Row],[176730]]*$D2,0)</calculatedColumnFormula>
    </tableColumn>
    <tableColumn id="20" xr3:uid="{EECA3C38-8141-425A-A04F-D82C035FD933}" name="173038" totalsRowFunction="sum" dataDxfId="86" totalsRowDxfId="85">
      <calculatedColumnFormula>ROUND(CantidadesConsolidadas[[#This Row],[173038]]*$D2,0)</calculatedColumnFormula>
    </tableColumn>
    <tableColumn id="21" xr3:uid="{2EE20564-2CB1-40B3-BD2C-102C03C0835C}" name="170222" totalsRowFunction="sum" dataDxfId="84" totalsRowDxfId="83">
      <calculatedColumnFormula>ROUND(CantidadesConsolidadas[[#This Row],[170222]]*$D2,0)</calculatedColumnFormula>
    </tableColumn>
    <tableColumn id="22" xr3:uid="{9C12A5A5-608A-44B2-ACA1-B68D3E548210}" name="170229" totalsRowFunction="sum" dataDxfId="82" totalsRowDxfId="81">
      <calculatedColumnFormula>ROUND(CantidadesConsolidadas[[#This Row],[170229]]*$D2,0)</calculatedColumnFormula>
    </tableColumn>
    <tableColumn id="23" xr3:uid="{1D87EA50-45EF-4225-AB04-D149113F0603}" name="170227" totalsRowFunction="sum" dataDxfId="80" totalsRowDxfId="79">
      <calculatedColumnFormula>ROUND(CantidadesConsolidadas[[#This Row],[170227]]*$D2,0)</calculatedColumnFormula>
    </tableColumn>
    <tableColumn id="24" xr3:uid="{A3C6BA21-5D46-435C-8CAF-1D836D8736DD}" name="170226" totalsRowFunction="sum" dataDxfId="78" totalsRowDxfId="77">
      <calculatedColumnFormula>ROUND(CantidadesConsolidadas[[#This Row],[170226]]*$D2,0)</calculatedColumnFormula>
    </tableColumn>
    <tableColumn id="25" xr3:uid="{190C86D4-C6C5-4127-8716-73C0EF50F5D0}" name="171567" totalsRowFunction="sum" dataDxfId="76" totalsRowDxfId="75">
      <calculatedColumnFormula>ROUND(CantidadesConsolidadas[[#This Row],[171567]]*$D2,0)</calculatedColumnFormula>
    </tableColumn>
    <tableColumn id="26" xr3:uid="{94D09F43-939F-4EAB-A501-C23E68D1A7EC}" name="166632" totalsRowFunction="sum" dataDxfId="74" totalsRowDxfId="73">
      <calculatedColumnFormula>ROUND(CantidadesConsolidadas[[#This Row],[166632]]*$D2,0)</calculatedColumnFormula>
    </tableColumn>
    <tableColumn id="27" xr3:uid="{85EBB810-02BE-47B0-951A-6041546A2DA3}" name="170228" totalsRowFunction="sum" dataDxfId="72" totalsRowDxfId="71">
      <calculatedColumnFormula>ROUND(CantidadesConsolidadas[[#This Row],[170228]]*$D2,0)</calculatedColumnFormula>
    </tableColumn>
    <tableColumn id="28" xr3:uid="{B9E3F115-1C50-4FAC-804D-69D4CE61B110}" name="172926" totalsRowFunction="sum" dataDxfId="70" totalsRowDxfId="69">
      <calculatedColumnFormula>ROUND(CantidadesConsolidadas[[#This Row],[172926]]*$D2,0)</calculatedColumnFormula>
    </tableColumn>
    <tableColumn id="29" xr3:uid="{85FE4CF0-1AB8-446A-821C-90915864B611}" name="171152" totalsRowFunction="sum" dataDxfId="68" totalsRowDxfId="67">
      <calculatedColumnFormula>ROUND(CantidadesConsolidadas[[#This Row],[171152]]*$D2,0)</calculatedColumnFormula>
    </tableColumn>
    <tableColumn id="30" xr3:uid="{878DF136-0A21-4165-BF12-1779F3123D94}" name="173058" totalsRowFunction="sum" dataDxfId="66" totalsRowDxfId="65">
      <calculatedColumnFormula>ROUND(CantidadesConsolidadas[[#This Row],[173058]]*$D2,0)</calculatedColumnFormula>
    </tableColumn>
    <tableColumn id="41" xr3:uid="{2864D614-3561-451A-AE0E-B2D63B869C02}" name="174478" totalsRowFunction="sum" dataDxfId="64" totalsRowDxfId="63">
      <calculatedColumnFormula>ROUND(CantidadesConsolidadas[[#This Row],[174478]]*$D2,0)</calculatedColumnFormula>
    </tableColumn>
    <tableColumn id="40" xr3:uid="{35B72928-B805-4A97-B275-D2E30F403A3F}" name="91010089" totalsRowFunction="sum" dataDxfId="62" totalsRowDxfId="61">
      <calculatedColumnFormula>ROUND(CantidadesConsolidadas[[#This Row],[91010089]]*$D2,0)</calculatedColumnFormula>
    </tableColumn>
    <tableColumn id="39" xr3:uid="{D12E7EE6-EB1A-45EE-AF42-B7761949503C}" name="176122" totalsRowFunction="sum" dataDxfId="60" totalsRowDxfId="59">
      <calculatedColumnFormula>ROUND(CantidadesConsolidadas[[#This Row],[176122]]*$D2,0)</calculatedColumnFormula>
    </tableColumn>
    <tableColumn id="38" xr3:uid="{85D3AA27-41C8-42CB-BAAD-97A98AF9C871}" name="168536" totalsRowFunction="sum" dataDxfId="58" totalsRowDxfId="57">
      <calculatedColumnFormula>ROUND(CantidadesConsolidadas[[#This Row],[168536]]*$D2,0)</calculatedColumnFormula>
    </tableColumn>
    <tableColumn id="36" xr3:uid="{E2456A07-B150-46A4-86A3-C7469A00B85F}" name="166934" totalsRowFunction="sum" dataDxfId="56" totalsRowDxfId="55">
      <calculatedColumnFormula>ROUND(CantidadesConsolidadas[[#This Row],[166934]]*$D2,0)</calculatedColumnFormula>
    </tableColumn>
    <tableColumn id="46" xr3:uid="{EDDDBF9B-47D5-4A8E-BD84-4987F02EE4AA}" name="174353" totalsRowFunction="sum" dataDxfId="54" totalsRowDxfId="53">
      <calculatedColumnFormula>ROUND(CantidadesConsolidadas[[#This Row],[174353]]*$D2,0)</calculatedColumnFormula>
    </tableColumn>
    <tableColumn id="31" xr3:uid="{FCCF9CB5-1FA0-42EF-B736-DE26CDC46E96}" name="52531" totalsRowFunction="sum" dataDxfId="52" totalsRowDxfId="51">
      <calculatedColumnFormula>ROUND(CantidadesConsolidadas[[#This Row],[52531]]*$D2,0)</calculatedColumnFormula>
    </tableColumn>
    <tableColumn id="32" xr3:uid="{B7775250-C1E8-4AA3-9D2D-35D3F792C885}" name="52456" totalsRowFunction="sum" dataDxfId="50" totalsRowDxfId="49">
      <calculatedColumnFormula>ROUND(CantidadesConsolidadas[[#This Row],[52456]]*$D2,0)</calculatedColumnFormula>
    </tableColumn>
    <tableColumn id="33" xr3:uid="{6FC8E247-43BE-4874-A4DE-073C8B533641}" name="92058103" totalsRowFunction="sum" dataDxfId="48" totalsRowDxfId="47">
      <calculatedColumnFormula>ROUND(CantidadesConsolidadas[[#This Row],[92058103]]*$D2,0)</calculatedColumnFormula>
    </tableColumn>
    <tableColumn id="34" xr3:uid="{404F74A4-5805-467F-9179-E122D5D52D12}" name="20011114" totalsRowFunction="sum" dataDxfId="46" totalsRowDxfId="45">
      <calculatedColumnFormula>ROUND(CantidadesConsolidadas[[#This Row],[20011114]]*$D2,0)</calculatedColumnFormula>
    </tableColumn>
    <tableColumn id="35" xr3:uid="{16A253AE-4F51-4685-9459-98B24399A3E0}" name="20013540" totalsRowFunction="sum" dataDxfId="44" totalsRowDxfId="43">
      <calculatedColumnFormula>ROUND(CantidadesConsolidadas[[#This Row],[20013540]]*$D2,0)</calculatedColumnFormula>
    </tableColumn>
    <tableColumn id="57" xr3:uid="{C4977AC9-50B4-4AD5-8406-229D586ADCAC}" name="55337" totalsRowFunction="sum" dataDxfId="42" totalsRowDxfId="41">
      <calculatedColumnFormula>ROUND(CantidadesConsolidadas[[#This Row],[55337]]*$D2,0)</calculatedColumnFormula>
    </tableColumn>
    <tableColumn id="56" xr3:uid="{05746944-B031-4EE0-8722-84260A83AD80}" name="92087422" totalsRowFunction="sum" dataDxfId="40" totalsRowDxfId="39">
      <calculatedColumnFormula>ROUND(CantidadesConsolidadas[[#This Row],[92087422]]*$D2,0)</calculatedColumnFormula>
    </tableColumn>
    <tableColumn id="55" xr3:uid="{6B228D5F-D960-4906-AD75-5A968FE5ED7A}" name="55259" totalsRowFunction="sum" dataDxfId="38" totalsRowDxfId="37">
      <calculatedColumnFormula>ROUND(CantidadesConsolidadas[[#This Row],[55259]]*$D2,0)</calculatedColumnFormula>
    </tableColumn>
    <tableColumn id="54" xr3:uid="{22E99FC7-C940-436F-9A3E-F560CD362F3B}" name="466904" totalsRowFunction="sum" dataDxfId="36" totalsRowDxfId="35">
      <calculatedColumnFormula>ROUND(CantidadesConsolidadas[[#This Row],[466904]]*$D2,0)</calculatedColumnFormula>
    </tableColumn>
    <tableColumn id="53" xr3:uid="{6E136D4A-ACA4-425C-949D-CB8ED8B86041}" name="48591" totalsRowFunction="sum" dataDxfId="34" totalsRowDxfId="33">
      <calculatedColumnFormula>ROUND(CantidadesConsolidadas[[#This Row],[48591]]*$D2,0)</calculatedColumnFormula>
    </tableColumn>
    <tableColumn id="52" xr3:uid="{15491EF5-43F0-4FD2-AB5D-DE7A9C2FFB8F}" name="48590" totalsRowFunction="sum" dataDxfId="32" totalsRowDxfId="31">
      <calculatedColumnFormula>ROUND(CantidadesConsolidadas[[#This Row],[48590]]*$D2,0)</calculatedColumnFormula>
    </tableColumn>
    <tableColumn id="45" xr3:uid="{39653C78-CA35-44FB-8DE7-DB9F263FD22F}" name="48561" totalsRowFunction="sum" dataDxfId="30" totalsRowDxfId="29">
      <calculatedColumnFormula>ROUND(CantidadesConsolidadas[[#This Row],[48561]]*$D2,0)</calculatedColumnFormula>
    </tableColumn>
    <tableColumn id="44" xr3:uid="{7D89B57E-0E91-4C13-B078-00E80E4A5466}" name="48560" totalsRowFunction="sum" dataDxfId="28" totalsRowDxfId="27">
      <calculatedColumnFormula>ROUND(CantidadesConsolidadas[[#This Row],[48560]]*$D2,0)</calculatedColumnFormula>
    </tableColumn>
    <tableColumn id="51" xr3:uid="{9FF3C549-90A1-4E79-A7E1-208EF31BE78B}" name="48657" totalsRowFunction="sum" dataDxfId="26" totalsRowDxfId="25">
      <calculatedColumnFormula>ROUND(CantidadesConsolidadas[[#This Row],[48657]]*$D2,0)</calculatedColumnFormula>
    </tableColumn>
    <tableColumn id="50" xr3:uid="{3F785852-1399-4C36-AD18-D3CFF6F08E6E}" name="48655" totalsRowFunction="sum" dataDxfId="24" totalsRowDxfId="23">
      <calculatedColumnFormula>ROUND(CantidadesConsolidadas[[#This Row],[48655]]*$D2,0)</calculatedColumnFormula>
    </tableColumn>
    <tableColumn id="43" xr3:uid="{BE56B126-2C17-4E85-89E2-E989A0C7CE13}" name="COSTO DIRECTO MALLA VIAL " totalsRowFunction="custom" dataDxfId="22" totalsRowDxfId="21">
      <calculatedColumnFormula>SUBTOTAL(9,CostoDirecto[[#This Row],[91013913]:[174353]])</calculatedColumnFormula>
      <totalsRowFormula>+SUM(CostoDirecto[[COSTO DIRECTO MALLA VIAL ]])</totalsRowFormula>
    </tableColumn>
    <tableColumn id="37" xr3:uid="{5EE407F1-C94E-403F-BBF7-139CDE45F66E}" name="COSTO DIRECTO ESPACIO PUBLICO" totalsRowFunction="custom" dataDxfId="20" totalsRowDxfId="19">
      <calculatedColumnFormula>SUBTOTAL(9,CostoDirecto[[#This Row],[52531]:[48655]])</calculatedColumnFormula>
      <totalsRowFormula>+SUM(CostoDirecto[COSTO DIRECTO ESPACIO PUBLICO])</totalsRow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966C8-70A2-4D69-B55E-A3ABA0D3C1B6}">
  <sheetPr>
    <tabColor rgb="FF92D050"/>
  </sheetPr>
  <dimension ref="A1:E30"/>
  <sheetViews>
    <sheetView view="pageBreakPreview" topLeftCell="A10" zoomScale="91" zoomScaleNormal="100" zoomScaleSheetLayoutView="85" workbookViewId="0">
      <selection activeCell="C26" sqref="C26"/>
    </sheetView>
  </sheetViews>
  <sheetFormatPr baseColWidth="10" defaultColWidth="10.88671875" defaultRowHeight="14.4" x14ac:dyDescent="0.3"/>
  <cols>
    <col min="1" max="1" width="41.5546875" customWidth="1"/>
    <col min="2" max="2" width="25.6640625" customWidth="1"/>
    <col min="3" max="3" width="29.109375" customWidth="1"/>
    <col min="4" max="4" width="24.21875" customWidth="1"/>
    <col min="5" max="5" width="21.21875" bestFit="1" customWidth="1"/>
  </cols>
  <sheetData>
    <row r="1" spans="1:3" ht="19.5" customHeight="1" x14ac:dyDescent="0.3">
      <c r="A1" s="1"/>
      <c r="B1" s="2"/>
      <c r="C1" s="1"/>
    </row>
    <row r="2" spans="1:3" ht="36.75" customHeight="1" x14ac:dyDescent="0.3">
      <c r="A2" s="894" t="s">
        <v>12</v>
      </c>
      <c r="B2" s="895" t="s">
        <v>12</v>
      </c>
      <c r="C2" s="895"/>
    </row>
    <row r="3" spans="1:3" ht="30.75" customHeight="1" x14ac:dyDescent="0.3">
      <c r="A3" s="894"/>
      <c r="B3" s="889" t="s">
        <v>13</v>
      </c>
      <c r="C3" s="890"/>
    </row>
    <row r="4" spans="1:3" ht="14.4" customHeight="1" x14ac:dyDescent="0.3">
      <c r="A4" s="894"/>
      <c r="B4" s="891"/>
      <c r="C4" s="892"/>
    </row>
    <row r="5" spans="1:3" x14ac:dyDescent="0.3">
      <c r="A5" s="3"/>
      <c r="B5" s="4"/>
      <c r="C5" s="5"/>
    </row>
    <row r="6" spans="1:3" ht="77.25" customHeight="1" x14ac:dyDescent="0.3">
      <c r="A6" s="9" t="s">
        <v>0</v>
      </c>
      <c r="B6" s="896" t="s">
        <v>6423</v>
      </c>
      <c r="C6" s="897"/>
    </row>
    <row r="7" spans="1:3" x14ac:dyDescent="0.3">
      <c r="A7" s="1"/>
      <c r="B7" s="2"/>
      <c r="C7" s="1"/>
    </row>
    <row r="8" spans="1:3" x14ac:dyDescent="0.3">
      <c r="A8" s="9" t="s">
        <v>14</v>
      </c>
      <c r="B8" s="898" t="s">
        <v>1</v>
      </c>
      <c r="C8" s="899"/>
    </row>
    <row r="9" spans="1:3" x14ac:dyDescent="0.3">
      <c r="A9" s="9" t="s">
        <v>2</v>
      </c>
      <c r="B9" s="876" t="s">
        <v>3</v>
      </c>
      <c r="C9" s="877"/>
    </row>
    <row r="10" spans="1:3" x14ac:dyDescent="0.3">
      <c r="A10" s="10"/>
      <c r="B10" s="878"/>
      <c r="C10" s="878"/>
    </row>
    <row r="11" spans="1:3" x14ac:dyDescent="0.3">
      <c r="A11" s="1"/>
      <c r="B11" s="2"/>
      <c r="C11" s="1"/>
    </row>
    <row r="12" spans="1:3" x14ac:dyDescent="0.3">
      <c r="A12" s="9" t="s">
        <v>4</v>
      </c>
      <c r="B12" s="10" t="s">
        <v>5</v>
      </c>
      <c r="C12" s="9" t="s">
        <v>6</v>
      </c>
    </row>
    <row r="13" spans="1:3" ht="22.8" x14ac:dyDescent="0.3">
      <c r="A13" s="11" t="s">
        <v>6733</v>
      </c>
      <c r="B13" s="886">
        <v>11</v>
      </c>
      <c r="C13" s="543">
        <f>+CostoDirecto[[#Totals],[COSTO DIRECTO MALLA VIAL ]]</f>
        <v>7940847786</v>
      </c>
    </row>
    <row r="14" spans="1:3" ht="22.8" x14ac:dyDescent="0.3">
      <c r="A14" s="11" t="s">
        <v>6734</v>
      </c>
      <c r="B14" s="887"/>
      <c r="C14" s="543">
        <f>+CostoDirecto[[#Totals],[COSTO DIRECTO ESPACIO PUBLICO]]</f>
        <v>934648359</v>
      </c>
    </row>
    <row r="15" spans="1:3" ht="17.25" customHeight="1" x14ac:dyDescent="0.3">
      <c r="A15" s="11" t="s">
        <v>6911</v>
      </c>
      <c r="B15" s="888"/>
      <c r="C15" s="543">
        <v>541122418.9999994</v>
      </c>
    </row>
    <row r="16" spans="1:3" ht="17.25" customHeight="1" x14ac:dyDescent="0.3">
      <c r="A16" s="12" t="s">
        <v>5122</v>
      </c>
      <c r="B16" s="481">
        <f>SUM(B13:B13)</f>
        <v>11</v>
      </c>
      <c r="C16" s="13">
        <f>SUM(C13:C15)</f>
        <v>9416618564</v>
      </c>
    </row>
    <row r="17" spans="1:5" ht="17.25" customHeight="1" x14ac:dyDescent="0.3">
      <c r="A17" s="14"/>
      <c r="B17" s="15"/>
      <c r="C17" s="7"/>
    </row>
    <row r="18" spans="1:5" ht="17.25" customHeight="1" x14ac:dyDescent="0.3">
      <c r="A18" s="16" t="s">
        <v>7</v>
      </c>
      <c r="B18" s="807">
        <f>+'AIU OBRA '!X75</f>
        <v>0.27140000000000003</v>
      </c>
      <c r="C18" s="6">
        <f>ROUND($C$16*B18,)</f>
        <v>2555670278</v>
      </c>
      <c r="D18" s="17"/>
    </row>
    <row r="19" spans="1:5" ht="17.25" customHeight="1" x14ac:dyDescent="0.3">
      <c r="A19" s="16" t="s">
        <v>8</v>
      </c>
      <c r="B19" s="625">
        <f>+C19/C16</f>
        <v>2.0993439593673658E-2</v>
      </c>
      <c r="C19" s="6">
        <f>+PMT!V36</f>
        <v>197687213</v>
      </c>
      <c r="D19" s="17"/>
    </row>
    <row r="20" spans="1:5" ht="17.25" customHeight="1" x14ac:dyDescent="0.3">
      <c r="A20" s="16" t="s">
        <v>9</v>
      </c>
      <c r="B20" s="625">
        <f>+C20/C16</f>
        <v>3.5146147287441511E-2</v>
      </c>
      <c r="C20" s="6">
        <f>+PGS!L54</f>
        <v>330957863</v>
      </c>
      <c r="D20" s="17"/>
    </row>
    <row r="21" spans="1:5" ht="17.25" customHeight="1" x14ac:dyDescent="0.3">
      <c r="A21" s="16" t="s">
        <v>10</v>
      </c>
      <c r="B21" s="625">
        <f>+C21/C16</f>
        <v>3.8082569933433695E-2</v>
      </c>
      <c r="C21" s="6">
        <f>+'PGA Y SST'!N105</f>
        <v>358609035</v>
      </c>
      <c r="D21" s="17"/>
    </row>
    <row r="22" spans="1:5" ht="17.25" customHeight="1" x14ac:dyDescent="0.3">
      <c r="A22" s="540"/>
      <c r="B22" s="541"/>
    </row>
    <row r="23" spans="1:5" ht="24" customHeight="1" x14ac:dyDescent="0.3">
      <c r="A23" s="884" t="s">
        <v>6215</v>
      </c>
      <c r="B23" s="885"/>
      <c r="C23" s="542">
        <f>+EYD!H35</f>
        <v>375198364</v>
      </c>
    </row>
    <row r="24" spans="1:5" ht="24" customHeight="1" x14ac:dyDescent="0.3">
      <c r="A24" s="884" t="s">
        <v>6732</v>
      </c>
      <c r="B24" s="885"/>
      <c r="C24" s="542">
        <f>+AjusteCambioVigencia!I30</f>
        <v>165258683</v>
      </c>
    </row>
    <row r="25" spans="1:5" ht="17.25" customHeight="1" x14ac:dyDescent="0.3">
      <c r="A25" s="879"/>
      <c r="B25" s="880"/>
      <c r="C25" s="881"/>
    </row>
    <row r="26" spans="1:5" ht="17.25" customHeight="1" x14ac:dyDescent="0.3">
      <c r="A26" s="882" t="s">
        <v>11</v>
      </c>
      <c r="B26" s="883"/>
      <c r="C26" s="531">
        <f>SUM(C16,C18,C19,C20,C21,C23,C24)</f>
        <v>13400000000</v>
      </c>
      <c r="E26" s="822"/>
    </row>
    <row r="27" spans="1:5" ht="38.4" customHeight="1" x14ac:dyDescent="0.3">
      <c r="A27" s="893"/>
      <c r="B27" s="893"/>
      <c r="C27" s="893"/>
    </row>
    <row r="28" spans="1:5" ht="24.6" customHeight="1" x14ac:dyDescent="0.3">
      <c r="A28" s="874"/>
      <c r="B28" s="874"/>
      <c r="C28" s="874"/>
    </row>
    <row r="29" spans="1:5" ht="34.799999999999997" customHeight="1" x14ac:dyDescent="0.3">
      <c r="A29" s="875"/>
      <c r="B29" s="875"/>
      <c r="C29" s="875"/>
    </row>
    <row r="30" spans="1:5" x14ac:dyDescent="0.3">
      <c r="B30" s="524"/>
      <c r="C30" s="17"/>
    </row>
  </sheetData>
  <mergeCells count="15">
    <mergeCell ref="B3:C4"/>
    <mergeCell ref="A27:C27"/>
    <mergeCell ref="A2:A4"/>
    <mergeCell ref="B2:C2"/>
    <mergeCell ref="B6:C6"/>
    <mergeCell ref="B8:C8"/>
    <mergeCell ref="A28:C28"/>
    <mergeCell ref="A29:C29"/>
    <mergeCell ref="B9:C9"/>
    <mergeCell ref="B10:C10"/>
    <mergeCell ref="A25:C25"/>
    <mergeCell ref="A26:B26"/>
    <mergeCell ref="A23:B23"/>
    <mergeCell ref="A24:B24"/>
    <mergeCell ref="B13:B15"/>
  </mergeCells>
  <pageMargins left="0.7" right="0.7" top="0.75" bottom="0.75" header="0.3" footer="0.3"/>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8BEB5-BAE1-42CC-BE7C-73E586F73AE5}">
  <sheetPr codeName="Hoja13">
    <tabColor rgb="FFFFFF00"/>
    <pageSetUpPr fitToPage="1"/>
  </sheetPr>
  <dimension ref="A1:N152"/>
  <sheetViews>
    <sheetView tabSelected="1" view="pageBreakPreview" topLeftCell="A76" zoomScale="76" zoomScaleNormal="100" zoomScaleSheetLayoutView="85" workbookViewId="0">
      <selection activeCell="G149" sqref="G149"/>
    </sheetView>
  </sheetViews>
  <sheetFormatPr baseColWidth="10" defaultColWidth="11.44140625" defaultRowHeight="14.4" x14ac:dyDescent="0.3"/>
  <cols>
    <col min="2" max="2" width="2.44140625" customWidth="1"/>
    <col min="4" max="4" width="14.33203125" customWidth="1"/>
    <col min="5" max="5" width="12.33203125" customWidth="1"/>
    <col min="6" max="6" width="15.6640625" customWidth="1"/>
    <col min="7" max="7" width="93" customWidth="1"/>
    <col min="9" max="9" width="15" customWidth="1"/>
    <col min="10" max="10" width="17.44140625" customWidth="1"/>
    <col min="11" max="11" width="22" bestFit="1" customWidth="1"/>
    <col min="12" max="12" width="2.44140625" customWidth="1"/>
    <col min="13" max="13" width="19.44140625" bestFit="1" customWidth="1"/>
    <col min="14" max="14" width="19.6640625" bestFit="1" customWidth="1"/>
  </cols>
  <sheetData>
    <row r="1" spans="2:12" ht="16.2" thickTop="1" x14ac:dyDescent="0.3">
      <c r="B1" s="644"/>
      <c r="C1" s="645"/>
      <c r="D1" s="645"/>
      <c r="E1" s="646"/>
      <c r="F1" s="645"/>
      <c r="G1" s="645"/>
      <c r="H1" s="645"/>
      <c r="I1" s="645"/>
      <c r="J1" s="645"/>
      <c r="K1" s="645"/>
      <c r="L1" s="647"/>
    </row>
    <row r="2" spans="2:12" ht="15.6" x14ac:dyDescent="0.3">
      <c r="B2" s="648"/>
      <c r="C2" s="827" t="s">
        <v>6771</v>
      </c>
      <c r="D2" s="827"/>
      <c r="E2" s="827"/>
      <c r="F2" s="827"/>
      <c r="G2" s="649"/>
      <c r="H2" s="649"/>
      <c r="I2" s="649"/>
      <c r="J2" s="649"/>
      <c r="K2" s="649"/>
      <c r="L2" s="650"/>
    </row>
    <row r="3" spans="2:12" ht="15.6" x14ac:dyDescent="0.3">
      <c r="B3" s="648"/>
      <c r="C3" s="651" t="s">
        <v>15</v>
      </c>
      <c r="D3" s="652" t="s">
        <v>6772</v>
      </c>
      <c r="E3" s="651" t="s">
        <v>6773</v>
      </c>
      <c r="F3" s="652">
        <v>4</v>
      </c>
      <c r="G3" s="649"/>
      <c r="H3" s="649"/>
      <c r="I3" s="649"/>
      <c r="J3" s="649"/>
      <c r="K3" s="649"/>
      <c r="L3" s="650"/>
    </row>
    <row r="4" spans="2:12" ht="15.6" x14ac:dyDescent="0.3">
      <c r="B4" s="648"/>
      <c r="C4" s="828" t="s">
        <v>6774</v>
      </c>
      <c r="D4" s="828"/>
      <c r="E4" s="828"/>
      <c r="F4" s="828"/>
      <c r="G4" s="828"/>
      <c r="H4" s="828"/>
      <c r="I4" s="828"/>
      <c r="J4" s="828"/>
      <c r="K4" s="828"/>
      <c r="L4" s="650"/>
    </row>
    <row r="5" spans="2:12" ht="16.2" thickBot="1" x14ac:dyDescent="0.35">
      <c r="B5" s="648"/>
      <c r="C5" s="829" t="s">
        <v>6775</v>
      </c>
      <c r="D5" s="829"/>
      <c r="E5" s="829"/>
      <c r="F5" s="829"/>
      <c r="G5" s="829"/>
      <c r="H5" s="829"/>
      <c r="I5" s="829"/>
      <c r="J5" s="829"/>
      <c r="K5" s="829"/>
      <c r="L5" s="650"/>
    </row>
    <row r="6" spans="2:12" ht="15.6" x14ac:dyDescent="0.3">
      <c r="B6" s="653"/>
      <c r="C6" s="830" t="s">
        <v>6776</v>
      </c>
      <c r="D6" s="831"/>
      <c r="E6" s="831"/>
      <c r="F6" s="831"/>
      <c r="G6" s="831"/>
      <c r="H6" s="831"/>
      <c r="I6" s="831"/>
      <c r="J6" s="831"/>
      <c r="K6" s="832"/>
      <c r="L6" s="654"/>
    </row>
    <row r="7" spans="2:12" ht="15.6" x14ac:dyDescent="0.3">
      <c r="B7" s="655"/>
      <c r="C7" s="833"/>
      <c r="D7" s="834"/>
      <c r="E7" s="834"/>
      <c r="F7" s="834"/>
      <c r="G7" s="834"/>
      <c r="H7" s="834"/>
      <c r="I7" s="834"/>
      <c r="J7" s="834"/>
      <c r="K7" s="835"/>
      <c r="L7" s="650"/>
    </row>
    <row r="8" spans="2:12" ht="26.4" customHeight="1" x14ac:dyDescent="0.3">
      <c r="B8" s="655"/>
      <c r="C8" s="836" t="s">
        <v>6777</v>
      </c>
      <c r="D8" s="837"/>
      <c r="E8" s="837"/>
      <c r="F8" s="837"/>
      <c r="G8" s="837"/>
      <c r="H8" s="837"/>
      <c r="I8" s="837"/>
      <c r="J8" s="837"/>
      <c r="K8" s="838"/>
      <c r="L8" s="650"/>
    </row>
    <row r="9" spans="2:12" ht="16.2" thickBot="1" x14ac:dyDescent="0.35">
      <c r="B9" s="648"/>
      <c r="C9" s="839"/>
      <c r="D9" s="840"/>
      <c r="E9" s="840"/>
      <c r="F9" s="840"/>
      <c r="G9" s="840"/>
      <c r="H9" s="840"/>
      <c r="I9" s="840"/>
      <c r="J9" s="840"/>
      <c r="K9" s="841"/>
      <c r="L9" s="650"/>
    </row>
    <row r="10" spans="2:12" ht="27.6" x14ac:dyDescent="0.3">
      <c r="B10" s="648"/>
      <c r="C10" s="656" t="s">
        <v>6742</v>
      </c>
      <c r="D10" s="657" t="s">
        <v>6778</v>
      </c>
      <c r="E10" s="658" t="s">
        <v>6779</v>
      </c>
      <c r="F10" s="658"/>
      <c r="G10" s="656" t="s">
        <v>5165</v>
      </c>
      <c r="H10" s="657" t="s">
        <v>6743</v>
      </c>
      <c r="I10" s="657" t="s">
        <v>5250</v>
      </c>
      <c r="J10" s="659" t="s">
        <v>5294</v>
      </c>
      <c r="K10" s="660" t="s">
        <v>6780</v>
      </c>
      <c r="L10" s="650"/>
    </row>
    <row r="11" spans="2:12" ht="16.2" thickBot="1" x14ac:dyDescent="0.35">
      <c r="B11" s="648"/>
      <c r="C11" s="661"/>
      <c r="D11" s="662"/>
      <c r="E11" s="663" t="s">
        <v>6781</v>
      </c>
      <c r="F11" s="663" t="s">
        <v>6782</v>
      </c>
      <c r="G11" s="661"/>
      <c r="H11" s="662"/>
      <c r="I11" s="662"/>
      <c r="J11" s="664"/>
      <c r="K11" s="665"/>
      <c r="L11" s="650"/>
    </row>
    <row r="12" spans="2:12" ht="15.6" x14ac:dyDescent="0.3">
      <c r="B12" s="648"/>
      <c r="C12" s="667">
        <v>1</v>
      </c>
      <c r="D12" s="667">
        <v>3007</v>
      </c>
      <c r="E12" s="667" t="s">
        <v>6783</v>
      </c>
      <c r="F12" s="760"/>
      <c r="G12" s="668" t="str">
        <f>+_xlfn.XLOOKUP(D12,APU_IDU[Código],APU_IDU[Nombre],"",0)</f>
        <v>REPLANTEO GENERAL</v>
      </c>
      <c r="H12" s="666" t="str">
        <f>+_xlfn.XLOOKUP(D12,APU_IDU[Código],APU_IDU[UM],"",0)</f>
        <v>M2</v>
      </c>
      <c r="I12" s="669">
        <f>ROUND(+VLOOKUP(D12,CantidadesConsolidadas[[#Headers],[#Data]],53,FALSE),2)</f>
        <v>14702.38</v>
      </c>
      <c r="J12" s="670">
        <f>ROUND(_xlfn.XLOOKUP(D12,APU_IDU[Código],APU_IDU[Valor],"",0)*(1+$K$146),0)</f>
        <v>1374</v>
      </c>
      <c r="K12" s="671">
        <f>ROUND(I12*J12,0)</f>
        <v>20201070</v>
      </c>
      <c r="L12" s="650"/>
    </row>
    <row r="13" spans="2:12" ht="27.6" x14ac:dyDescent="0.3">
      <c r="B13" s="648"/>
      <c r="C13" s="667">
        <v>2</v>
      </c>
      <c r="D13" s="667">
        <v>5360</v>
      </c>
      <c r="E13" s="667" t="s">
        <v>6783</v>
      </c>
      <c r="F13" s="760"/>
      <c r="G13" s="668" t="str">
        <f>+_xlfn.XLOOKUP(D13,APU_IDU[Código],APU_IDU[Nombre],"",0)</f>
        <v>ACOPIO Y TRASIEGO MECANICO DE MATERIAL DE FRESADO EN EL SITIO DE ALMACENAMIENTO TRANSITORIO.</v>
      </c>
      <c r="H13" s="666" t="str">
        <f>+_xlfn.XLOOKUP(D13,APU_IDU[Código],APU_IDU[UM],"",0)</f>
        <v>HR</v>
      </c>
      <c r="I13" s="669">
        <f>ROUND(+VLOOKUP(D13,CantidadesConsolidadas[[#Headers],[#Data]],53,FALSE),2)</f>
        <v>49</v>
      </c>
      <c r="J13" s="670">
        <f>ROUND(_xlfn.XLOOKUP(D13,APU_IDU[Código],APU_IDU[Valor],"",0)*(1+$K$146),0)</f>
        <v>232397</v>
      </c>
      <c r="K13" s="671">
        <f t="shared" ref="K13:K76" si="0">ROUND(I13*J13,0)</f>
        <v>11387453</v>
      </c>
      <c r="L13" s="650"/>
    </row>
    <row r="14" spans="2:12" ht="27.6" x14ac:dyDescent="0.3">
      <c r="B14" s="648"/>
      <c r="C14" s="667">
        <v>3</v>
      </c>
      <c r="D14" s="667">
        <v>3010</v>
      </c>
      <c r="E14" s="667" t="s">
        <v>6783</v>
      </c>
      <c r="F14" s="760"/>
      <c r="G14" s="668" t="str">
        <f>+_xlfn.XLOOKUP(D14,APU_IDU[Código],APU_IDU[Nombre],"",0)</f>
        <v>DEMOLICION PAVIMENTO ASFALTICO (INCLUYE CARGUE). NO INCLUYE TRANSPORTE Y DISPOSICIÓN FINAL DE SOBRANTES.</v>
      </c>
      <c r="H14" s="666" t="str">
        <f>+_xlfn.XLOOKUP(D14,APU_IDU[Código],APU_IDU[UM],"",0)</f>
        <v>M3</v>
      </c>
      <c r="I14" s="669">
        <f>ROUND(+VLOOKUP(D14,CantidadesConsolidadas[[#Headers],[#Data]],53,FALSE),2)</f>
        <v>2126.83</v>
      </c>
      <c r="J14" s="670">
        <f>ROUND(_xlfn.XLOOKUP(D14,APU_IDU[Código],APU_IDU[Valor],"",0)*(1+$K$146),0)</f>
        <v>55376</v>
      </c>
      <c r="K14" s="671">
        <f t="shared" si="0"/>
        <v>117775338</v>
      </c>
      <c r="L14" s="650"/>
    </row>
    <row r="15" spans="2:12" ht="15.6" x14ac:dyDescent="0.3">
      <c r="B15" s="648"/>
      <c r="C15" s="667">
        <v>4</v>
      </c>
      <c r="D15" s="667">
        <v>3710</v>
      </c>
      <c r="E15" s="667" t="s">
        <v>6783</v>
      </c>
      <c r="F15" s="760"/>
      <c r="G15" s="668" t="str">
        <f>+_xlfn.XLOOKUP(D15,APU_IDU[Código],APU_IDU[Nombre],"",0)</f>
        <v>EXCAVACIÓN MECÁNICA EN MATERIAL COMÚN (INCLUYE CARGUE)</v>
      </c>
      <c r="H15" s="666" t="str">
        <f>+_xlfn.XLOOKUP(D15,APU_IDU[Código],APU_IDU[UM],"",0)</f>
        <v>M3</v>
      </c>
      <c r="I15" s="669">
        <f>ROUND(+VLOOKUP(D15,CantidadesConsolidadas[[#Headers],[#Data]],53,FALSE),2)</f>
        <v>9954.6</v>
      </c>
      <c r="J15" s="670">
        <f>ROUND(_xlfn.XLOOKUP(D15,APU_IDU[Código],APU_IDU[Valor],"",0)*(1+$K$146),0)</f>
        <v>7626</v>
      </c>
      <c r="K15" s="671">
        <f t="shared" si="0"/>
        <v>75913780</v>
      </c>
      <c r="L15" s="650"/>
    </row>
    <row r="16" spans="2:12" ht="41.4" x14ac:dyDescent="0.3">
      <c r="B16" s="648"/>
      <c r="C16" s="667">
        <v>5</v>
      </c>
      <c r="D16" s="667">
        <v>3017</v>
      </c>
      <c r="E16" s="667" t="s">
        <v>6783</v>
      </c>
      <c r="F16" s="760"/>
      <c r="G16" s="668" t="str">
        <f>+_xlfn.XLOOKUP(D16,APU_IDU[Código],APU_IDU[Nombre],"",0)</f>
        <v>TRANSPORTE Y DISPOSICIÓN FINAL DE ESCOMBROS EN SITIO AUTORIZADO (DISTANCIA DE TRANSPORTE 21 KM). A DISTANCIA MAYOR DEL ACARREO LIBRE (90 M) EN SITIO AUTORIZADO POR LA ENTIDAD AMBIENTAL COMPETENTE.</v>
      </c>
      <c r="H16" s="666" t="str">
        <f>+_xlfn.XLOOKUP(D16,APU_IDU[Código],APU_IDU[UM],"",0)</f>
        <v>M3</v>
      </c>
      <c r="I16" s="669">
        <f>ROUND(+VLOOKUP(D16,CantidadesConsolidadas[[#Headers],[#Data]],53,FALSE),2)</f>
        <v>23284.41</v>
      </c>
      <c r="J16" s="670">
        <f>ROUND(_xlfn.XLOOKUP(D16,APU_IDU[Código],APU_IDU[Valor],"",0)*(1+$K$146),0)</f>
        <v>58146</v>
      </c>
      <c r="K16" s="671">
        <f t="shared" si="0"/>
        <v>1353895304</v>
      </c>
      <c r="L16" s="650"/>
    </row>
    <row r="17" spans="2:12" ht="27.6" x14ac:dyDescent="0.3">
      <c r="B17" s="648"/>
      <c r="C17" s="667">
        <v>6</v>
      </c>
      <c r="D17" s="667">
        <v>4015</v>
      </c>
      <c r="E17" s="667" t="s">
        <v>6783</v>
      </c>
      <c r="F17" s="760"/>
      <c r="G17" s="668" t="str">
        <f>+_xlfn.XLOOKUP(D17,APU_IDU[Código],APU_IDU[Nombre],"",0)</f>
        <v>GEOTEXTIL NO TEJIDO CON RESISTENCIA A LA TENSION GRAB: ENTRE 850 N Y 980 N. PARA SEPARACION SUBRASANTE/CAPAS GRANULARES. (INCLUYE SUMINISTRO E INSTALACION).</v>
      </c>
      <c r="H17" s="666" t="str">
        <f>+_xlfn.XLOOKUP(D17,APU_IDU[Código],APU_IDU[UM],"",0)</f>
        <v>M2</v>
      </c>
      <c r="I17" s="669">
        <f>ROUND(+VLOOKUP(D17,CantidadesConsolidadas[[#Headers],[#Data]],53,FALSE),2)</f>
        <v>14702.38</v>
      </c>
      <c r="J17" s="670">
        <f>ROUND(_xlfn.XLOOKUP(D17,APU_IDU[Código],APU_IDU[Valor],"",0)*(1+$K$146),0)</f>
        <v>29144</v>
      </c>
      <c r="K17" s="671">
        <f t="shared" si="0"/>
        <v>428486163</v>
      </c>
      <c r="L17" s="650"/>
    </row>
    <row r="18" spans="2:12" ht="27.6" x14ac:dyDescent="0.3">
      <c r="B18" s="648"/>
      <c r="C18" s="667">
        <v>7</v>
      </c>
      <c r="D18" s="667">
        <v>6053</v>
      </c>
      <c r="E18" s="667" t="s">
        <v>6783</v>
      </c>
      <c r="F18" s="760"/>
      <c r="G18" s="668" t="str">
        <f>+_xlfn.XLOOKUP(D18,APU_IDU[Código],APU_IDU[Nombre],"",0)</f>
        <v>CAPA DE SUELO DE SUBRASANTE ESTABILIZADA CON CAL HIDRATADA TIPO N, IN SITU AL 4%. (SUMINISTRO, EXTENDIDO, NIVELACION, HUMEDECIMIENTO Y COMPACTACION).</v>
      </c>
      <c r="H18" s="666" t="str">
        <f>+_xlfn.XLOOKUP(D18,APU_IDU[Código],APU_IDU[UM],"",0)</f>
        <v>M3</v>
      </c>
      <c r="I18" s="669">
        <f>ROUND(+VLOOKUP(D18,CantidadesConsolidadas[[#Headers],[#Data]],53,FALSE),2)</f>
        <v>1261.21</v>
      </c>
      <c r="J18" s="670">
        <f>ROUND(_xlfn.XLOOKUP(D18,APU_IDU[Código],APU_IDU[Valor],"",0)*(1+$K$146),0)</f>
        <v>163389</v>
      </c>
      <c r="K18" s="671">
        <f t="shared" si="0"/>
        <v>206067841</v>
      </c>
      <c r="L18" s="650"/>
    </row>
    <row r="19" spans="2:12" ht="41.4" x14ac:dyDescent="0.3">
      <c r="B19" s="648"/>
      <c r="C19" s="667">
        <v>8</v>
      </c>
      <c r="D19" s="667">
        <v>6016</v>
      </c>
      <c r="E19" s="667" t="s">
        <v>6783</v>
      </c>
      <c r="F19" s="760"/>
      <c r="G19" s="668" t="str">
        <f>+_xlfn.XLOOKUP(D19,APU_IDU[Código],APU_IDU[Nombre],"",0)</f>
        <v>ESTABILIZACIÓN DE SUBRASANTE CON RAJÓN, INCLUYE EQUIPO DE COMPACTACIÓN (SUMINISTRO, EXTENDIDO, NIVELACIÓN Y COMPACTACIÓN CON EQUIPO MECÁNICO. NO INCLUYE MATERIAL DE SELLO)</v>
      </c>
      <c r="H19" s="666" t="str">
        <f>+_xlfn.XLOOKUP(D19,APU_IDU[Código],APU_IDU[UM],"",0)</f>
        <v>M3</v>
      </c>
      <c r="I19" s="669">
        <f>ROUND(+VLOOKUP(D19,CantidadesConsolidadas[[#Headers],[#Data]],53,FALSE),2)</f>
        <v>477.77</v>
      </c>
      <c r="J19" s="670">
        <f>ROUND(_xlfn.XLOOKUP(D19,APU_IDU[Código],APU_IDU[Valor],"",0)*(1+$K$146),0)</f>
        <v>189136</v>
      </c>
      <c r="K19" s="671">
        <f t="shared" si="0"/>
        <v>90363507</v>
      </c>
      <c r="L19" s="650"/>
    </row>
    <row r="20" spans="2:12" ht="27.6" x14ac:dyDescent="0.3">
      <c r="B20" s="648"/>
      <c r="C20" s="667">
        <v>9</v>
      </c>
      <c r="D20" s="667">
        <v>4142</v>
      </c>
      <c r="E20" s="667" t="s">
        <v>6783</v>
      </c>
      <c r="F20" s="760"/>
      <c r="G20" s="668" t="str">
        <f>+_xlfn.XLOOKUP(D20,APU_IDU[Código],APU_IDU[Nombre],"",0)</f>
        <v>SUBBASE GRANULAR SBG-A (SUMINISTRO, EXTENDIDO, NIVELACIÓN, HUMEDECIMIENTO Y COMPACTACIÓN CON VIBROCOMPACTADOR)</v>
      </c>
      <c r="H20" s="666" t="str">
        <f>+_xlfn.XLOOKUP(D20,APU_IDU[Código],APU_IDU[UM],"",0)</f>
        <v>M3</v>
      </c>
      <c r="I20" s="669">
        <f>ROUND(+VLOOKUP(D20,CantidadesConsolidadas[[#Headers],[#Data]],53,FALSE),2)</f>
        <v>37.75</v>
      </c>
      <c r="J20" s="670">
        <f>ROUND(_xlfn.XLOOKUP(D20,APU_IDU[Código],APU_IDU[Valor],"",0)*(1+$K$146),0)</f>
        <v>282247</v>
      </c>
      <c r="K20" s="671">
        <f t="shared" si="0"/>
        <v>10654824</v>
      </c>
      <c r="L20" s="650"/>
    </row>
    <row r="21" spans="2:12" ht="27.6" x14ac:dyDescent="0.3">
      <c r="B21" s="648"/>
      <c r="C21" s="667">
        <v>10</v>
      </c>
      <c r="D21" s="667">
        <v>8617</v>
      </c>
      <c r="E21" s="667" t="s">
        <v>6783</v>
      </c>
      <c r="F21" s="760"/>
      <c r="G21" s="668" t="str">
        <f>+_xlfn.XLOOKUP(D21,APU_IDU[Código],APU_IDU[Nombre],"",0)</f>
        <v>AGREGADOS RECICLADOS PARA SUBBASE GRANULAR (AR_SBG50) (Suministro, Extendido, Nivelación, Humedecimiento y Compactación con vibrocompactador)</v>
      </c>
      <c r="H21" s="666" t="str">
        <f>+_xlfn.XLOOKUP(D21,APU_IDU[Código],APU_IDU[UM],"",0)</f>
        <v>M3</v>
      </c>
      <c r="I21" s="669">
        <f>ROUND(+VLOOKUP(D21,CantidadesConsolidadas[[#Headers],[#Data]],53,FALSE),2)</f>
        <v>142.44</v>
      </c>
      <c r="J21" s="670">
        <f>ROUND(_xlfn.XLOOKUP(D21,APU_IDU[Código],APU_IDU[Valor],"",0)*(1+$K$146),0)</f>
        <v>260332</v>
      </c>
      <c r="K21" s="671">
        <f t="shared" si="0"/>
        <v>37081690</v>
      </c>
      <c r="L21" s="650"/>
    </row>
    <row r="22" spans="2:12" ht="41.4" x14ac:dyDescent="0.3">
      <c r="B22" s="648"/>
      <c r="C22" s="667">
        <v>11</v>
      </c>
      <c r="D22" s="667">
        <v>4140</v>
      </c>
      <c r="E22" s="667" t="s">
        <v>6783</v>
      </c>
      <c r="F22" s="760"/>
      <c r="G22" s="668" t="str">
        <f>+_xlfn.XLOOKUP(D22,APU_IDU[Código],APU_IDU[Nombre],"",0)</f>
        <v>BASE GRANULAR BG-A.  (SUMINISTRO, EXTENDIDO, NIVELACIÓN Y HUMEDECIMIENTO MECÁNICO,  COMPACTACIÓN MECÁNICA CON VIBROCOMPACTADOR TÁNDEM PEQUEÑO, INCLUYE OPERARIO  Y COMBUSTIBLE).</v>
      </c>
      <c r="H22" s="666" t="str">
        <f>+_xlfn.XLOOKUP(D22,APU_IDU[Código],APU_IDU[UM],"",0)</f>
        <v>M3</v>
      </c>
      <c r="I22" s="669">
        <f>ROUND(+VLOOKUP(D22,CantidadesConsolidadas[[#Headers],[#Data]],53,FALSE),2)</f>
        <v>45.75</v>
      </c>
      <c r="J22" s="670">
        <f>ROUND(_xlfn.XLOOKUP(D22,APU_IDU[Código],APU_IDU[Valor],"",0)*(1+$K$146),0)</f>
        <v>333994</v>
      </c>
      <c r="K22" s="671">
        <f t="shared" si="0"/>
        <v>15280226</v>
      </c>
      <c r="L22" s="650"/>
    </row>
    <row r="23" spans="2:12" ht="27.6" x14ac:dyDescent="0.3">
      <c r="B23" s="648"/>
      <c r="C23" s="667">
        <v>12</v>
      </c>
      <c r="D23" s="667">
        <v>4160</v>
      </c>
      <c r="E23" s="667" t="s">
        <v>6783</v>
      </c>
      <c r="F23" s="760"/>
      <c r="G23" s="668" t="str">
        <f>+_xlfn.XLOOKUP(D23,APU_IDU[Código],APU_IDU[Nombre],"",0)</f>
        <v>SUBBASE GRANULAR CLASE B (SBG_B) (SUMINISTRO, EXTENDIDO, NIVELACIÓN, HUMEDECIMIENTO Y COMPACTACIÓN CON VIBROCOMPACTADOR)</v>
      </c>
      <c r="H23" s="666" t="str">
        <f>+_xlfn.XLOOKUP(D23,APU_IDU[Código],APU_IDU[UM],"",0)</f>
        <v>M3</v>
      </c>
      <c r="I23" s="669">
        <f>ROUND(+VLOOKUP(D23,CantidadesConsolidadas[[#Headers],[#Data]],53,FALSE),2)</f>
        <v>2512.37</v>
      </c>
      <c r="J23" s="670">
        <f>ROUND(_xlfn.XLOOKUP(D23,APU_IDU[Código],APU_IDU[Valor],"",0)*(1+$K$146),0)</f>
        <v>261680</v>
      </c>
      <c r="K23" s="671">
        <f t="shared" si="0"/>
        <v>657436982</v>
      </c>
      <c r="L23" s="650"/>
    </row>
    <row r="24" spans="2:12" ht="41.4" x14ac:dyDescent="0.3">
      <c r="B24" s="648"/>
      <c r="C24" s="667">
        <v>13</v>
      </c>
      <c r="D24" s="667">
        <v>4747</v>
      </c>
      <c r="E24" s="667" t="s">
        <v>6783</v>
      </c>
      <c r="F24" s="760"/>
      <c r="G24" s="668" t="str">
        <f>+_xlfn.XLOOKUP(D24,APU_IDU[Código],APU_IDU[Nombre],"",0)</f>
        <v>SUBBASE GRANULAR CLASE B (SBG_B) CON RECICLADO DE CONCRETO (SUMINISTRO, EXTENDIDO, NIVELACIÓN, HUMEDECIMIENTO Y COMPACTACIÓN CON VIBROCOMPACTADOR)</v>
      </c>
      <c r="H24" s="666" t="str">
        <f>+_xlfn.XLOOKUP(D24,APU_IDU[Código],APU_IDU[UM],"",0)</f>
        <v>M3</v>
      </c>
      <c r="I24" s="669">
        <f>ROUND(+VLOOKUP(D24,CantidadesConsolidadas[[#Headers],[#Data]],53,FALSE),2)</f>
        <v>1561.12</v>
      </c>
      <c r="J24" s="670">
        <f>ROUND(_xlfn.XLOOKUP(D24,APU_IDU[Código],APU_IDU[Valor],"",0)*(1+$K$146),0)</f>
        <v>212551</v>
      </c>
      <c r="K24" s="671">
        <f t="shared" si="0"/>
        <v>331817617</v>
      </c>
      <c r="L24" s="650"/>
    </row>
    <row r="25" spans="2:12" ht="27.6" x14ac:dyDescent="0.3">
      <c r="B25" s="648"/>
      <c r="C25" s="667">
        <v>14</v>
      </c>
      <c r="D25" s="667">
        <v>4157</v>
      </c>
      <c r="E25" s="667" t="s">
        <v>6783</v>
      </c>
      <c r="F25" s="760"/>
      <c r="G25" s="668" t="str">
        <f>+_xlfn.XLOOKUP(D25,APU_IDU[Código],APU_IDU[Nombre],"",0)</f>
        <v>BASE GRANULAR CLASE B (BG_B) (SUMINISTRO, EXTENDIDO, NIVELACIÓN, HUMEDECIMIENTO Y COMPACTACIÓN CON VIBROCOMPACTADOR)</v>
      </c>
      <c r="H25" s="666" t="str">
        <f>+_xlfn.XLOOKUP(D25,APU_IDU[Código],APU_IDU[UM],"",0)</f>
        <v>M3</v>
      </c>
      <c r="I25" s="669">
        <f>ROUND(+VLOOKUP(D25,CantidadesConsolidadas[[#Headers],[#Data]],53,FALSE),2)</f>
        <v>1456.26</v>
      </c>
      <c r="J25" s="670">
        <f>ROUND(_xlfn.XLOOKUP(D25,APU_IDU[Código],APU_IDU[Valor],"",0)*(1+$K$146),0)</f>
        <v>297083</v>
      </c>
      <c r="K25" s="671">
        <f t="shared" si="0"/>
        <v>432630090</v>
      </c>
      <c r="L25" s="650"/>
    </row>
    <row r="26" spans="2:12" ht="41.4" x14ac:dyDescent="0.3">
      <c r="B26" s="648"/>
      <c r="C26" s="667">
        <v>15</v>
      </c>
      <c r="D26" s="667">
        <v>4743</v>
      </c>
      <c r="E26" s="667" t="s">
        <v>6783</v>
      </c>
      <c r="F26" s="760"/>
      <c r="G26" s="668" t="str">
        <f>+_xlfn.XLOOKUP(D26,APU_IDU[Código],APU_IDU[Nombre],"",0)</f>
        <v>BASE GRANULAR CLASE B (BG_B) CON RECICLADO DE CONCRETO (SUMINISTRO, EXTENDIDO, NIVELACIÓN, HUMEDECIMIENTO Y COMPACTACIÓN CON VIBROCOMPACTADOR)</v>
      </c>
      <c r="H26" s="666" t="str">
        <f>+_xlfn.XLOOKUP(D26,APU_IDU[Código],APU_IDU[UM],"",0)</f>
        <v>M3</v>
      </c>
      <c r="I26" s="669">
        <f>ROUND(+VLOOKUP(D26,CantidadesConsolidadas[[#Headers],[#Data]],53,FALSE),2)</f>
        <v>1317.09</v>
      </c>
      <c r="J26" s="670">
        <f>ROUND(_xlfn.XLOOKUP(D26,APU_IDU[Código],APU_IDU[Valor],"",0)*(1+$K$146),0)</f>
        <v>228692</v>
      </c>
      <c r="K26" s="671">
        <f t="shared" si="0"/>
        <v>301207946</v>
      </c>
      <c r="L26" s="650"/>
    </row>
    <row r="27" spans="2:12" ht="27.6" x14ac:dyDescent="0.3">
      <c r="B27" s="648"/>
      <c r="C27" s="667">
        <v>16</v>
      </c>
      <c r="D27" s="667">
        <v>3012</v>
      </c>
      <c r="E27" s="667" t="s">
        <v>6783</v>
      </c>
      <c r="F27" s="760"/>
      <c r="G27" s="668" t="str">
        <f>+_xlfn.XLOOKUP(D27,APU_IDU[Código],APU_IDU[Nombre],"",0)</f>
        <v>DEMOLICIÓN PISOS DE CONCRETO (ESPESOR VARIABLE HASTA 0.10 M. INCLUYE CARGUE). NO INCLUYE TRANSPORTE Y DISPOSICIÓN FINAL DE SOBRANTES.</v>
      </c>
      <c r="H27" s="666" t="str">
        <f>+_xlfn.XLOOKUP(D27,APU_IDU[Código],APU_IDU[UM],"",0)</f>
        <v>M2</v>
      </c>
      <c r="I27" s="669">
        <f>ROUND(+VLOOKUP(D27,CantidadesConsolidadas[[#Headers],[#Data]],53,FALSE),2)</f>
        <v>3101.33</v>
      </c>
      <c r="J27" s="670">
        <f>ROUND(_xlfn.XLOOKUP(D27,APU_IDU[Código],APU_IDU[Valor],"",0)*(1+$K$146),0)</f>
        <v>12184</v>
      </c>
      <c r="K27" s="671">
        <f t="shared" si="0"/>
        <v>37786605</v>
      </c>
      <c r="L27" s="650"/>
    </row>
    <row r="28" spans="2:12" ht="27.6" x14ac:dyDescent="0.3">
      <c r="B28" s="648"/>
      <c r="C28" s="667">
        <v>17</v>
      </c>
      <c r="D28" s="667">
        <v>3864</v>
      </c>
      <c r="E28" s="667" t="s">
        <v>6783</v>
      </c>
      <c r="F28" s="760"/>
      <c r="G28" s="668" t="str">
        <f>+_xlfn.XLOOKUP(D28,APU_IDU[Código],APU_IDU[Nombre],"",0)</f>
        <v>IMPRIMACION CON EMULSION ASFALTICA CRL-0 (SUMINISTRO, BARRIDO SUPERFICIE Y RIEGO MECANICO)</v>
      </c>
      <c r="H28" s="666" t="str">
        <f>+_xlfn.XLOOKUP(D28,APU_IDU[Código],APU_IDU[UM],"",0)</f>
        <v>M2</v>
      </c>
      <c r="I28" s="669">
        <f>ROUND(+VLOOKUP(D28,CantidadesConsolidadas[[#Headers],[#Data]],53,FALSE),2)</f>
        <v>12613.92</v>
      </c>
      <c r="J28" s="670">
        <f>ROUND(_xlfn.XLOOKUP(D28,APU_IDU[Código],APU_IDU[Valor],"",0)*(1+$K$146),0)</f>
        <v>4302</v>
      </c>
      <c r="K28" s="671">
        <f t="shared" si="0"/>
        <v>54265084</v>
      </c>
      <c r="L28" s="650"/>
    </row>
    <row r="29" spans="2:12" ht="27.6" x14ac:dyDescent="0.3">
      <c r="B29" s="648"/>
      <c r="C29" s="667">
        <v>18</v>
      </c>
      <c r="D29" s="667">
        <v>4857</v>
      </c>
      <c r="E29" s="667" t="s">
        <v>6783</v>
      </c>
      <c r="F29" s="760"/>
      <c r="G29" s="668" t="str">
        <f>+_xlfn.XLOOKUP(D29,APU_IDU[Código],APU_IDU[Nombre],"",0)</f>
        <v>IMPRIMACIÓN CON EMULSIÓN ASFÁLTICA CRL-1 (INCLUYE SUMINISTRO, BARRIDO DE SUPERFICIE Y RIEGO MECANICO).</v>
      </c>
      <c r="H29" s="666" t="str">
        <f>+_xlfn.XLOOKUP(D29,APU_IDU[Código],APU_IDU[UM],"",0)</f>
        <v>M2</v>
      </c>
      <c r="I29" s="669">
        <f>ROUND(+VLOOKUP(D29,CantidadesConsolidadas[[#Headers],[#Data]],53,FALSE),2)</f>
        <v>1565</v>
      </c>
      <c r="J29" s="670">
        <f>ROUND(_xlfn.XLOOKUP(D29,APU_IDU[Código],APU_IDU[Valor],"",0)*(1+$K$146),0)</f>
        <v>4731</v>
      </c>
      <c r="K29" s="671">
        <f t="shared" si="0"/>
        <v>7404015</v>
      </c>
      <c r="L29" s="650"/>
    </row>
    <row r="30" spans="2:12" ht="27.6" x14ac:dyDescent="0.3">
      <c r="B30" s="648"/>
      <c r="C30" s="667">
        <v>19</v>
      </c>
      <c r="D30" s="667">
        <v>3867</v>
      </c>
      <c r="E30" s="667" t="s">
        <v>6783</v>
      </c>
      <c r="F30" s="760"/>
      <c r="G30" s="668" t="str">
        <f>+_xlfn.XLOOKUP(D30,APU_IDU[Código],APU_IDU[Nombre],"",0)</f>
        <v>RIEGO DE LIGA CON EMULSION ASFALTICA CRR-2 (SUMINISTRO, BARRIDO SUPERFICIE Y RIEGO MECANICO)</v>
      </c>
      <c r="H30" s="666" t="str">
        <f>+_xlfn.XLOOKUP(D30,APU_IDU[Código],APU_IDU[UM],"",0)</f>
        <v>M2</v>
      </c>
      <c r="I30" s="669">
        <f>ROUND(+VLOOKUP(D30,CantidadesConsolidadas[[#Headers],[#Data]],53,FALSE),2)</f>
        <v>12689.84</v>
      </c>
      <c r="J30" s="670">
        <f>ROUND(_xlfn.XLOOKUP(D30,APU_IDU[Código],APU_IDU[Valor],"",0)*(1+$K$146),0)</f>
        <v>5231</v>
      </c>
      <c r="K30" s="671">
        <f t="shared" si="0"/>
        <v>66380553</v>
      </c>
      <c r="L30" s="650"/>
    </row>
    <row r="31" spans="2:12" ht="41.4" x14ac:dyDescent="0.3">
      <c r="B31" s="648"/>
      <c r="C31" s="667">
        <v>20</v>
      </c>
      <c r="D31" s="667">
        <v>8613</v>
      </c>
      <c r="E31" s="667" t="s">
        <v>6783</v>
      </c>
      <c r="F31" s="760"/>
      <c r="G31" s="668" t="str">
        <f>+_xlfn.XLOOKUP(D31,APU_IDU[Código],APU_IDU[Nombre],"",0)</f>
        <v>MEZCLA ASFÁLTICA EN CALIENTE DENSA MD19 CON CEMENTO ASFÁLTICO CA 14. (SUMINISTRO, EXTENDIDO, NIVELACIÓN MANUAL Y COMPACTACIÓN MECÁNICA CON VIBROCOMPACTADOR TÁNDEM PEQUEÑO, INCLUYE OPERARIO Y COMBUSTIBLE).</v>
      </c>
      <c r="H31" s="666" t="str">
        <f>+_xlfn.XLOOKUP(D31,APU_IDU[Código],APU_IDU[UM],"",0)</f>
        <v>M3</v>
      </c>
      <c r="I31" s="669">
        <f>ROUND(+VLOOKUP(D31,CantidadesConsolidadas[[#Headers],[#Data]],53,FALSE),2)</f>
        <v>889.78</v>
      </c>
      <c r="J31" s="670">
        <f>ROUND(_xlfn.XLOOKUP(D31,APU_IDU[Código],APU_IDU[Valor],"",0)*(1+$K$146),0)</f>
        <v>1872449</v>
      </c>
      <c r="K31" s="671">
        <f t="shared" si="0"/>
        <v>1666067671</v>
      </c>
      <c r="L31" s="650"/>
    </row>
    <row r="32" spans="2:12" ht="55.2" x14ac:dyDescent="0.3">
      <c r="B32" s="648"/>
      <c r="C32" s="667">
        <v>21</v>
      </c>
      <c r="D32" s="667">
        <v>4200</v>
      </c>
      <c r="E32" s="667" t="s">
        <v>6783</v>
      </c>
      <c r="F32" s="760"/>
      <c r="G32" s="668" t="str">
        <f>+_xlfn.XLOOKUP(D32,APU_IDU[Código],APU_IDU[Nombre],"",0)</f>
        <v>MEZCLA ASFÁLTICA EN CALIENTE TIPO DENSO MD20 ASFALTO 60-70 (INCLUYE SUMINISTRO, EXTENDIDO, NIVELACIÓN, COMPACTACIÓN  MECANICA CON VIBROCOMPACTADOR Y COMPACTADOR DE LLANTAS, FACTOR DE COMPACTACION Y TRANSPORTE DE MATERIAL A 21 KMS)</v>
      </c>
      <c r="H32" s="666" t="str">
        <f>+_xlfn.XLOOKUP(D32,APU_IDU[Código],APU_IDU[UM],"",0)</f>
        <v>M3</v>
      </c>
      <c r="I32" s="669">
        <f>ROUND(+VLOOKUP(D32,CantidadesConsolidadas[[#Headers],[#Data]],53,FALSE),2)</f>
        <v>882.68</v>
      </c>
      <c r="J32" s="670">
        <f>ROUND(_xlfn.XLOOKUP(D32,APU_IDU[Código],APU_IDU[Valor],"",0)*(1+$K$146),0)</f>
        <v>1511847</v>
      </c>
      <c r="K32" s="671">
        <f t="shared" si="0"/>
        <v>1334477110</v>
      </c>
      <c r="L32" s="650"/>
    </row>
    <row r="33" spans="2:12" ht="27.6" x14ac:dyDescent="0.3">
      <c r="B33" s="648"/>
      <c r="C33" s="667">
        <v>22</v>
      </c>
      <c r="D33" s="667">
        <v>4712</v>
      </c>
      <c r="E33" s="667" t="s">
        <v>6783</v>
      </c>
      <c r="F33" s="760"/>
      <c r="G33" s="668" t="str">
        <f>+_xlfn.XLOOKUP(D33,APU_IDU[Código],APU_IDU[Nombre],"",0)</f>
        <v>MEZCLA ASFALTICA CON ASFALTO CAUCHO (SUMINISTRO, EXTENDIDO, NIVELACIÓN Y COMPACTACIÓN MECANICA)</v>
      </c>
      <c r="H33" s="666" t="str">
        <f>+_xlfn.XLOOKUP(D33,APU_IDU[Código],APU_IDU[UM],"",0)</f>
        <v>M3</v>
      </c>
      <c r="I33" s="669">
        <f>ROUND(+VLOOKUP(D33,CantidadesConsolidadas[[#Headers],[#Data]],53,FALSE),2)</f>
        <v>354.37</v>
      </c>
      <c r="J33" s="670">
        <f>ROUND(_xlfn.XLOOKUP(D33,APU_IDU[Código],APU_IDU[Valor],"",0)*(1+$K$146),0)</f>
        <v>2108829</v>
      </c>
      <c r="K33" s="671">
        <f t="shared" si="0"/>
        <v>747305733</v>
      </c>
      <c r="L33" s="650"/>
    </row>
    <row r="34" spans="2:12" ht="15.6" x14ac:dyDescent="0.3">
      <c r="B34" s="648"/>
      <c r="C34" s="667">
        <v>23</v>
      </c>
      <c r="D34" s="667">
        <v>4598</v>
      </c>
      <c r="E34" s="667" t="s">
        <v>6783</v>
      </c>
      <c r="F34" s="760"/>
      <c r="G34" s="668" t="str">
        <f>+_xlfn.XLOOKUP(D34,APU_IDU[Código],APU_IDU[Nombre],"",0)</f>
        <v>SELLO DE GRIETAS</v>
      </c>
      <c r="H34" s="666" t="str">
        <f>+_xlfn.XLOOKUP(D34,APU_IDU[Código],APU_IDU[UM],"",0)</f>
        <v>ML</v>
      </c>
      <c r="I34" s="669">
        <f>ROUND(+VLOOKUP(D34,CantidadesConsolidadas[[#Headers],[#Data]],53,FALSE),2)</f>
        <v>8</v>
      </c>
      <c r="J34" s="670">
        <f>ROUND(_xlfn.XLOOKUP(D34,APU_IDU[Código],APU_IDU[Valor],"",0)*(1+$K$146),0)</f>
        <v>15506</v>
      </c>
      <c r="K34" s="671">
        <f t="shared" si="0"/>
        <v>124048</v>
      </c>
      <c r="L34" s="650"/>
    </row>
    <row r="35" spans="2:12" ht="41.4" x14ac:dyDescent="0.3">
      <c r="B35" s="648"/>
      <c r="C35" s="667">
        <v>24</v>
      </c>
      <c r="D35" s="667">
        <v>5843</v>
      </c>
      <c r="E35" s="667" t="s">
        <v>6783</v>
      </c>
      <c r="F35" s="760"/>
      <c r="G35" s="668" t="str">
        <f>+_xlfn.XLOOKUP(D35,APU_IDU[Código],APU_IDU[Nombre],"",0)</f>
        <v>GEOMALLA BIAXIAL PARA EL CONTROL DEL REFLEJO DE AGRIETAMIENTO EN CAPAS DE CONCRETO ASFALTICO, CON MODULO DE TENSION CICLICA MINIMO DE 2340 KN/M. (INCLUYE SUMINISTRO E INSTALACION).</v>
      </c>
      <c r="H35" s="666" t="str">
        <f>+_xlfn.XLOOKUP(D35,APU_IDU[Código],APU_IDU[UM],"",0)</f>
        <v>M2</v>
      </c>
      <c r="I35" s="669">
        <f>ROUND(+VLOOKUP(D35,CantidadesConsolidadas[[#Headers],[#Data]],53,FALSE),2)</f>
        <v>14178.92</v>
      </c>
      <c r="J35" s="670">
        <f>ROUND(_xlfn.XLOOKUP(D35,APU_IDU[Código],APU_IDU[Valor],"",0)*(1+$K$146),0)</f>
        <v>43148</v>
      </c>
      <c r="K35" s="671">
        <f t="shared" si="0"/>
        <v>611792040</v>
      </c>
      <c r="L35" s="650"/>
    </row>
    <row r="36" spans="2:12" ht="41.4" x14ac:dyDescent="0.3">
      <c r="B36" s="648"/>
      <c r="C36" s="667">
        <v>25</v>
      </c>
      <c r="D36" s="667">
        <v>4246</v>
      </c>
      <c r="E36" s="667" t="s">
        <v>6783</v>
      </c>
      <c r="F36" s="760"/>
      <c r="G36" s="668" t="str">
        <f>+_xlfn.XLOOKUP(D36,APU_IDU[Código],APU_IDU[Nombre],"",0)</f>
        <v>FLECHA DIRECCIONAL "DE FRENTE" (E=2.3MM,TERMOPLÁSTICA. INC. SUMINISTRO Y APLICACIÓN CON EQUIPO. INC MICROESFERAS). MARCA VIAL PARA VELOCIDADES MENORES O IGUALES A 60 KM/H AREA DE LA MARCA: 1.20 M2.</v>
      </c>
      <c r="H36" s="666" t="str">
        <f>+_xlfn.XLOOKUP(D36,APU_IDU[Código],APU_IDU[UM],"",0)</f>
        <v>UN</v>
      </c>
      <c r="I36" s="669">
        <f>ROUND(+VLOOKUP(D36,CantidadesConsolidadas[[#Headers],[#Data]],53,FALSE),2)</f>
        <v>62</v>
      </c>
      <c r="J36" s="670">
        <f>ROUND(_xlfn.XLOOKUP(D36,APU_IDU[Código],APU_IDU[Valor],"",0)*(1+$K$146),0)</f>
        <v>262169</v>
      </c>
      <c r="K36" s="671">
        <f t="shared" si="0"/>
        <v>16254478</v>
      </c>
      <c r="L36" s="650"/>
    </row>
    <row r="37" spans="2:12" ht="27.6" x14ac:dyDescent="0.3">
      <c r="B37" s="648"/>
      <c r="C37" s="667">
        <v>26</v>
      </c>
      <c r="D37" s="667">
        <v>4248</v>
      </c>
      <c r="E37" s="667" t="s">
        <v>6783</v>
      </c>
      <c r="F37" s="760"/>
      <c r="G37" s="668" t="str">
        <f>+_xlfn.XLOOKUP(D37,APU_IDU[Código],APU_IDU[Nombre],"",0)</f>
        <v>DEMARCACION PASO PEATONAL-CEBRA (E=2.3MM,TERMOPLÁSTICA. INC. SUMINISTRO Y APLICACIÓN CON EQUIPO. INC MICROESFERAS)</v>
      </c>
      <c r="H37" s="666" t="str">
        <f>+_xlfn.XLOOKUP(D37,APU_IDU[Código],APU_IDU[UM],"",0)</f>
        <v>M2</v>
      </c>
      <c r="I37" s="669">
        <f>ROUND(+VLOOKUP(D37,CantidadesConsolidadas[[#Headers],[#Data]],53,FALSE),2)</f>
        <v>135.25</v>
      </c>
      <c r="J37" s="670">
        <f>ROUND(_xlfn.XLOOKUP(D37,APU_IDU[Código],APU_IDU[Valor],"",0)*(1+$K$146),0)</f>
        <v>218474</v>
      </c>
      <c r="K37" s="671">
        <f t="shared" si="0"/>
        <v>29548609</v>
      </c>
      <c r="L37" s="650"/>
    </row>
    <row r="38" spans="2:12" ht="27.6" x14ac:dyDescent="0.3">
      <c r="B38" s="648"/>
      <c r="C38" s="667">
        <v>27</v>
      </c>
      <c r="D38" s="667">
        <v>4242</v>
      </c>
      <c r="E38" s="667" t="s">
        <v>6783</v>
      </c>
      <c r="F38" s="760"/>
      <c r="G38" s="668" t="str">
        <f>+_xlfn.XLOOKUP(D38,APU_IDU[Código],APU_IDU[Nombre],"",0)</f>
        <v>DEMARCACION LINEA CONTINUA A=0.15M (E=2.3MM,TERMOPLÁSTICA. INC. SUMINISTRO Y APLICACIÓN CON EQUIPO. INCL. MICROESFERAS)</v>
      </c>
      <c r="H38" s="666" t="str">
        <f>+_xlfn.XLOOKUP(D38,APU_IDU[Código],APU_IDU[UM],"",0)</f>
        <v>ML</v>
      </c>
      <c r="I38" s="669">
        <f>ROUND(+VLOOKUP(D38,CantidadesConsolidadas[[#Headers],[#Data]],53,FALSE),2)</f>
        <v>4596.22</v>
      </c>
      <c r="J38" s="670">
        <f>ROUND(_xlfn.XLOOKUP(D38,APU_IDU[Código],APU_IDU[Valor],"",0)*(1+$K$146),0)</f>
        <v>32772</v>
      </c>
      <c r="K38" s="671">
        <f t="shared" si="0"/>
        <v>150627322</v>
      </c>
      <c r="L38" s="650"/>
    </row>
    <row r="39" spans="2:12" ht="15.6" x14ac:dyDescent="0.3">
      <c r="B39" s="648"/>
      <c r="C39" s="667">
        <v>28</v>
      </c>
      <c r="D39" s="667">
        <v>3723</v>
      </c>
      <c r="E39" s="667" t="s">
        <v>6783</v>
      </c>
      <c r="F39" s="760"/>
      <c r="G39" s="668" t="str">
        <f>+_xlfn.XLOOKUP(D39,APU_IDU[Código],APU_IDU[Nombre],"",0)</f>
        <v>LIMPIEZA DE POZOS (INCLUYE CARGUE, RETIRO Y DISPOSICIÓN FINAL DE SOBRANTES)</v>
      </c>
      <c r="H39" s="666" t="str">
        <f>+_xlfn.XLOOKUP(D39,APU_IDU[Código],APU_IDU[UM],"",0)</f>
        <v>UN</v>
      </c>
      <c r="I39" s="669">
        <f>ROUND(+VLOOKUP(D39,CantidadesConsolidadas[[#Headers],[#Data]],53,FALSE),2)</f>
        <v>55</v>
      </c>
      <c r="J39" s="670">
        <f>ROUND(_xlfn.XLOOKUP(D39,APU_IDU[Código],APU_IDU[Valor],"",0)*(1+$K$146),0)</f>
        <v>154152</v>
      </c>
      <c r="K39" s="671">
        <f t="shared" si="0"/>
        <v>8478360</v>
      </c>
      <c r="L39" s="650"/>
    </row>
    <row r="40" spans="2:12" ht="27.6" x14ac:dyDescent="0.3">
      <c r="B40" s="648"/>
      <c r="C40" s="667">
        <v>29</v>
      </c>
      <c r="D40" s="667">
        <v>3724</v>
      </c>
      <c r="E40" s="667" t="s">
        <v>6783</v>
      </c>
      <c r="F40" s="760"/>
      <c r="G40" s="668" t="str">
        <f>+_xlfn.XLOOKUP(D40,APU_IDU[Código],APU_IDU[Nombre],"",0)</f>
        <v>LIMPIEZA DE SUMIDEROS (INCLUYE CARGUE, RETIRO Y DISPOSICIÓN FINAL DE SOBRANTES)</v>
      </c>
      <c r="H40" s="666" t="str">
        <f>+_xlfn.XLOOKUP(D40,APU_IDU[Código],APU_IDU[UM],"",0)</f>
        <v>UN</v>
      </c>
      <c r="I40" s="669">
        <f>ROUND(+VLOOKUP(D40,CantidadesConsolidadas[[#Headers],[#Data]],53,FALSE),2)</f>
        <v>73</v>
      </c>
      <c r="J40" s="670">
        <f>ROUND(_xlfn.XLOOKUP(D40,APU_IDU[Código],APU_IDU[Valor],"",0)*(1+$K$146),0)</f>
        <v>154152</v>
      </c>
      <c r="K40" s="671">
        <f t="shared" si="0"/>
        <v>11253096</v>
      </c>
      <c r="L40" s="650"/>
    </row>
    <row r="41" spans="2:12" ht="41.4" x14ac:dyDescent="0.3">
      <c r="B41" s="648"/>
      <c r="C41" s="667">
        <v>30</v>
      </c>
      <c r="D41" s="667">
        <v>3811</v>
      </c>
      <c r="E41" s="667" t="s">
        <v>6783</v>
      </c>
      <c r="F41" s="760"/>
      <c r="G41" s="668" t="str">
        <f>+_xlfn.XLOOKUP(D41,APU_IDU[Código],APU_IDU[Nombre],"",0)</f>
        <v>CORTE DE PAVIMENTO - INCLUYE EQUIPO: CORTADORA DE CONCRETO INCLUYE OPERARIO Y COMBUSTIBLE. INCLUYE DISCO DIAMANTADO ASFALTO-CONCRETO 350 MM, AGUA Y MANO DE OBRA</v>
      </c>
      <c r="H41" s="666" t="str">
        <f>+_xlfn.XLOOKUP(D41,APU_IDU[Código],APU_IDU[UM],"",0)</f>
        <v>ML</v>
      </c>
      <c r="I41" s="669">
        <f>ROUND(+VLOOKUP(D41,CantidadesConsolidadas[[#Headers],[#Data]],53,FALSE),2)</f>
        <v>104.76</v>
      </c>
      <c r="J41" s="670">
        <f>ROUND(_xlfn.XLOOKUP(D41,APU_IDU[Código],APU_IDU[Valor],"",0)*(1+$K$146),0)</f>
        <v>4013</v>
      </c>
      <c r="K41" s="671">
        <f t="shared" si="0"/>
        <v>420402</v>
      </c>
      <c r="L41" s="650"/>
    </row>
    <row r="42" spans="2:12" ht="27.6" x14ac:dyDescent="0.3">
      <c r="B42" s="648"/>
      <c r="C42" s="667">
        <v>31</v>
      </c>
      <c r="D42" s="667">
        <v>3486</v>
      </c>
      <c r="E42" s="667" t="s">
        <v>6783</v>
      </c>
      <c r="F42" s="760"/>
      <c r="G42" s="668" t="str">
        <f>+_xlfn.XLOOKUP(D42,APU_IDU[Código],APU_IDU[Nombre],"",0)</f>
        <v>DEMOLICIÓN CONCRETO ESTRUCTURAL (INCLUYE CARGUE MANUAL). NO INCLUYE TRANSPORTE Y DISPOSICIÓN FINAL DE SOBRANTES.</v>
      </c>
      <c r="H42" s="666" t="str">
        <f>+_xlfn.XLOOKUP(D42,APU_IDU[Código],APU_IDU[UM],"",0)</f>
        <v>M3</v>
      </c>
      <c r="I42" s="669">
        <f>ROUND(+VLOOKUP(D42,CantidadesConsolidadas[[#Headers],[#Data]],53,FALSE),2)</f>
        <v>104.69</v>
      </c>
      <c r="J42" s="670">
        <f>ROUND(_xlfn.XLOOKUP(D42,APU_IDU[Código],APU_IDU[Valor],"",0)*(1+$K$146),0)</f>
        <v>251290</v>
      </c>
      <c r="K42" s="671">
        <f t="shared" si="0"/>
        <v>26307550</v>
      </c>
      <c r="L42" s="650"/>
    </row>
    <row r="43" spans="2:12" ht="27.6" x14ac:dyDescent="0.3">
      <c r="B43" s="648"/>
      <c r="C43" s="667">
        <v>32</v>
      </c>
      <c r="D43" s="667">
        <v>4161</v>
      </c>
      <c r="E43" s="667" t="s">
        <v>6783</v>
      </c>
      <c r="F43" s="760"/>
      <c r="G43" s="668" t="str">
        <f>+_xlfn.XLOOKUP(D43,APU_IDU[Código],APU_IDU[Nombre],"",0)</f>
        <v>SUBBASE GRANULAR CLASE A (SBG_A) (SUMINISTRO, EXTENDIDO, NIVELACIÓN, HUMEDECIMIENTO Y COMPACTACIÓN CON VIBROCOMPACTADOR)</v>
      </c>
      <c r="H43" s="666" t="str">
        <f>+_xlfn.XLOOKUP(D43,APU_IDU[Código],APU_IDU[UM],"",0)</f>
        <v>M3</v>
      </c>
      <c r="I43" s="669">
        <f>ROUND(+VLOOKUP(D43,CantidadesConsolidadas[[#Headers],[#Data]],53,FALSE),2)</f>
        <v>523.76</v>
      </c>
      <c r="J43" s="670">
        <f>ROUND(_xlfn.XLOOKUP(D43,APU_IDU[Código],APU_IDU[Valor],"",0)*(1+$K$146),0)</f>
        <v>265613</v>
      </c>
      <c r="K43" s="671">
        <f t="shared" si="0"/>
        <v>139117465</v>
      </c>
      <c r="L43" s="650"/>
    </row>
    <row r="44" spans="2:12" ht="27.6" x14ac:dyDescent="0.3">
      <c r="B44" s="648"/>
      <c r="C44" s="667">
        <v>33</v>
      </c>
      <c r="D44" s="667">
        <v>4158</v>
      </c>
      <c r="E44" s="667" t="s">
        <v>6783</v>
      </c>
      <c r="F44" s="760"/>
      <c r="G44" s="668" t="str">
        <f>+_xlfn.XLOOKUP(D44,APU_IDU[Código],APU_IDU[Nombre],"",0)</f>
        <v>BASE GRANULAR CLASE A (BG_A) (SUMINISTRO, EXTENDIDO, NIVELACIÓN, HUMEDECIMIENTO Y COMPACTACIÓN CON VIBROCOMPACTADOR)</v>
      </c>
      <c r="H44" s="666" t="str">
        <f>+_xlfn.XLOOKUP(D44,APU_IDU[Código],APU_IDU[UM],"",0)</f>
        <v>M3</v>
      </c>
      <c r="I44" s="669">
        <f>ROUND(+VLOOKUP(D44,CantidadesConsolidadas[[#Headers],[#Data]],53,FALSE),2)</f>
        <v>523.71</v>
      </c>
      <c r="J44" s="670">
        <f>ROUND(_xlfn.XLOOKUP(D44,APU_IDU[Código],APU_IDU[Valor],"",0)*(1+$K$146),0)</f>
        <v>310851</v>
      </c>
      <c r="K44" s="671">
        <f t="shared" si="0"/>
        <v>162795777</v>
      </c>
      <c r="L44" s="650"/>
    </row>
    <row r="45" spans="2:12" ht="27.6" x14ac:dyDescent="0.3">
      <c r="B45" s="648"/>
      <c r="C45" s="667">
        <v>34</v>
      </c>
      <c r="D45" s="667">
        <v>4667</v>
      </c>
      <c r="E45" s="667" t="s">
        <v>6783</v>
      </c>
      <c r="F45" s="760"/>
      <c r="G45" s="668" t="str">
        <f>+_xlfn.XLOOKUP(D45,APU_IDU[Código],APU_IDU[Nombre],"",0)</f>
        <v>CONSTRUCCIÓN DE PAVIMENTO RÍGIDO: LOSAS EN CONCRETO HIDRÁULICO MR45 E=0.20M (NO INCLUYE SARDINEL)</v>
      </c>
      <c r="H45" s="666" t="str">
        <f>+_xlfn.XLOOKUP(D45,APU_IDU[Código],APU_IDU[UM],"",0)</f>
        <v>M2</v>
      </c>
      <c r="I45" s="669">
        <f>ROUND(+VLOOKUP(D45,CantidadesConsolidadas[[#Headers],[#Data]],53,FALSE),2)</f>
        <v>523.46</v>
      </c>
      <c r="J45" s="670">
        <f>ROUND(_xlfn.XLOOKUP(D45,APU_IDU[Código],APU_IDU[Valor],"",0)*(1+$K$146),0)</f>
        <v>552178</v>
      </c>
      <c r="K45" s="671">
        <f t="shared" si="0"/>
        <v>289043096</v>
      </c>
      <c r="L45" s="650"/>
    </row>
    <row r="46" spans="2:12" ht="69" x14ac:dyDescent="0.3">
      <c r="B46" s="648"/>
      <c r="C46" s="667">
        <v>35</v>
      </c>
      <c r="D46" s="667">
        <v>3708</v>
      </c>
      <c r="E46" s="667" t="s">
        <v>6783</v>
      </c>
      <c r="F46" s="760"/>
      <c r="G46" s="668" t="str">
        <f>+_xlfn.XLOOKUP(D46,APU_IDU[Código],APU_IDU[Nombre],"",0)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H46" s="666" t="str">
        <f>+_xlfn.XLOOKUP(D46,APU_IDU[Código],APU_IDU[UM],"",0)</f>
        <v>KG</v>
      </c>
      <c r="I46" s="669">
        <f>ROUND(+VLOOKUP(D46,CantidadesConsolidadas[[#Headers],[#Data]],53,FALSE),2)</f>
        <v>2093.84</v>
      </c>
      <c r="J46" s="670">
        <f>ROUND(_xlfn.XLOOKUP(D46,APU_IDU[Código],APU_IDU[Valor],"",0)*(1+$K$146),0)</f>
        <v>7366</v>
      </c>
      <c r="K46" s="671">
        <f t="shared" si="0"/>
        <v>15423225</v>
      </c>
      <c r="L46" s="650"/>
    </row>
    <row r="47" spans="2:12" ht="15.6" x14ac:dyDescent="0.3">
      <c r="B47" s="648"/>
      <c r="C47" s="667">
        <v>36</v>
      </c>
      <c r="D47" s="667">
        <v>5404</v>
      </c>
      <c r="E47" s="667" t="s">
        <v>6783</v>
      </c>
      <c r="F47" s="760"/>
      <c r="G47" s="668" t="str">
        <f>+_xlfn.XLOOKUP(D47,APU_IDU[Código],APU_IDU[Nombre],"",0)</f>
        <v>CANASTILLA PASAJUNTAS (INCLUYE SUMINISTRO Y FIJACIÓN)</v>
      </c>
      <c r="H47" s="666" t="str">
        <f>+_xlfn.XLOOKUP(D47,APU_IDU[Código],APU_IDU[UM],"",0)</f>
        <v>KG</v>
      </c>
      <c r="I47" s="669">
        <f>ROUND(+VLOOKUP(D47,CantidadesConsolidadas[[#Headers],[#Data]],53,FALSE),2)</f>
        <v>30</v>
      </c>
      <c r="J47" s="670">
        <f>ROUND(_xlfn.XLOOKUP(D47,APU_IDU[Código],APU_IDU[Valor],"",0)*(1+$K$146),0)</f>
        <v>13612</v>
      </c>
      <c r="K47" s="671">
        <f t="shared" si="0"/>
        <v>408360</v>
      </c>
      <c r="L47" s="650"/>
    </row>
    <row r="48" spans="2:12" ht="27.6" x14ac:dyDescent="0.3">
      <c r="B48" s="648"/>
      <c r="C48" s="667">
        <v>37</v>
      </c>
      <c r="D48" s="667">
        <v>7714</v>
      </c>
      <c r="E48" s="667" t="s">
        <v>6783</v>
      </c>
      <c r="F48" s="760"/>
      <c r="G48" s="668" t="str">
        <f>+_xlfn.XLOOKUP(D48,APU_IDU[Código],APU_IDU[Nombre],"",0)</f>
        <v>(DOVELAS) ACERO LISO PARA TRANSFERENCIA DE LOSAS D= 1" (NO INCLUYE CANASTILLA). SUMINISTRO E INSTALACIÓN.</v>
      </c>
      <c r="H48" s="666" t="str">
        <f>+_xlfn.XLOOKUP(D48,APU_IDU[Código],APU_IDU[UM],"",0)</f>
        <v>KG</v>
      </c>
      <c r="I48" s="669">
        <f>ROUND(+VLOOKUP(D48,CantidadesConsolidadas[[#Headers],[#Data]],53,FALSE),2)</f>
        <v>70</v>
      </c>
      <c r="J48" s="670">
        <f>ROUND(_xlfn.XLOOKUP(D48,APU_IDU[Código],APU_IDU[Valor],"",0)*(1+$K$146),0)</f>
        <v>10261</v>
      </c>
      <c r="K48" s="671">
        <f t="shared" si="0"/>
        <v>718270</v>
      </c>
      <c r="L48" s="650"/>
    </row>
    <row r="49" spans="2:12" ht="15.6" x14ac:dyDescent="0.3">
      <c r="B49" s="648"/>
      <c r="C49" s="667">
        <v>38</v>
      </c>
      <c r="D49" s="667">
        <v>3806</v>
      </c>
      <c r="E49" s="667" t="s">
        <v>6783</v>
      </c>
      <c r="F49" s="760"/>
      <c r="G49" s="668" t="str">
        <f>+_xlfn.XLOOKUP(D49,APU_IDU[Código],APU_IDU[Nombre],"",0)</f>
        <v>CURADO DE LOSAS DE CONCRETO (SUMINISTRO Y APLICACIÓN)</v>
      </c>
      <c r="H49" s="666" t="str">
        <f>+_xlfn.XLOOKUP(D49,APU_IDU[Código],APU_IDU[UM],"",0)</f>
        <v>M2</v>
      </c>
      <c r="I49" s="669">
        <f>ROUND(+VLOOKUP(D49,CantidadesConsolidadas[[#Headers],[#Data]],53,FALSE),2)</f>
        <v>523.46</v>
      </c>
      <c r="J49" s="670">
        <f>ROUND(_xlfn.XLOOKUP(D49,APU_IDU[Código],APU_IDU[Valor],"",0)*(1+$K$146),0)</f>
        <v>4329</v>
      </c>
      <c r="K49" s="671">
        <f t="shared" si="0"/>
        <v>2266058</v>
      </c>
      <c r="L49" s="650"/>
    </row>
    <row r="50" spans="2:12" ht="27.6" x14ac:dyDescent="0.3">
      <c r="B50" s="648"/>
      <c r="C50" s="667">
        <v>39</v>
      </c>
      <c r="D50" s="667">
        <v>3837</v>
      </c>
      <c r="E50" s="667" t="s">
        <v>6783</v>
      </c>
      <c r="F50" s="760"/>
      <c r="G50" s="668" t="str">
        <f>+_xlfn.XLOOKUP(D50,APU_IDU[Código],APU_IDU[Nombre],"",0)</f>
        <v>SELLADO DE JUNTAS EN PAVIMENTO DE CONCRETO HIDRAULICO (INCLUYE LIMPIEZA, SUMINISTRO E INSTALACIÓN DE FONDO Y SELLANTE)</v>
      </c>
      <c r="H50" s="666" t="str">
        <f>+_xlfn.XLOOKUP(D50,APU_IDU[Código],APU_IDU[UM],"",0)</f>
        <v>ML</v>
      </c>
      <c r="I50" s="669">
        <f>ROUND(+VLOOKUP(D50,CantidadesConsolidadas[[#Headers],[#Data]],53,FALSE),2)</f>
        <v>104.76</v>
      </c>
      <c r="J50" s="670">
        <f>ROUND(_xlfn.XLOOKUP(D50,APU_IDU[Código],APU_IDU[Valor],"",0)*(1+$K$146),0)</f>
        <v>19479</v>
      </c>
      <c r="K50" s="671">
        <f t="shared" si="0"/>
        <v>2040620</v>
      </c>
      <c r="L50" s="650"/>
    </row>
    <row r="51" spans="2:12" ht="27.6" x14ac:dyDescent="0.3">
      <c r="B51" s="648"/>
      <c r="C51" s="667">
        <v>40</v>
      </c>
      <c r="D51" s="667">
        <v>4243</v>
      </c>
      <c r="E51" s="667" t="s">
        <v>6783</v>
      </c>
      <c r="F51" s="760"/>
      <c r="G51" s="668" t="str">
        <f>+_xlfn.XLOOKUP(D51,APU_IDU[Código],APU_IDU[Nombre],"",0)</f>
        <v>DEMARCACION LINEA DISCONTINUA A=0.15M (E=2.3MM,TERMOPLÁSTICA. INC. SUMINISTRO Y APLICACIÓN CON EQUIPO. INC MICROESFERAS)</v>
      </c>
      <c r="H51" s="666" t="str">
        <f>+_xlfn.XLOOKUP(D51,APU_IDU[Código],APU_IDU[UM],"",0)</f>
        <v>ML</v>
      </c>
      <c r="I51" s="669">
        <f>ROUND(+VLOOKUP(D51,CantidadesConsolidadas[[#Headers],[#Data]],53,FALSE),2)</f>
        <v>60.72</v>
      </c>
      <c r="J51" s="670">
        <f>ROUND(_xlfn.XLOOKUP(D51,APU_IDU[Código],APU_IDU[Valor],"",0)*(1+$K$146),0)</f>
        <v>32772</v>
      </c>
      <c r="K51" s="671">
        <f t="shared" si="0"/>
        <v>1989916</v>
      </c>
      <c r="L51" s="650"/>
    </row>
    <row r="52" spans="2:12" ht="15.6" x14ac:dyDescent="0.3">
      <c r="B52" s="648"/>
      <c r="C52" s="667">
        <v>41</v>
      </c>
      <c r="D52" s="667">
        <v>3224</v>
      </c>
      <c r="E52" s="667" t="s">
        <v>6783</v>
      </c>
      <c r="F52" s="760"/>
      <c r="G52" s="668" t="str">
        <f>+_xlfn.XLOOKUP(D52,APU_IDU[Código],APU_IDU[Nombre],"",0)</f>
        <v>TUBERIA PVC D=2 1/2" TIPO U.M. RDE 21 (SUMINISTRO E INSTALACIÓN)</v>
      </c>
      <c r="H52" s="666" t="str">
        <f>+_xlfn.XLOOKUP(D52,APU_IDU[Código],APU_IDU[UM],"",0)</f>
        <v>ML</v>
      </c>
      <c r="I52" s="669">
        <f>ROUND(+VLOOKUP(D52,CantidadesConsolidadas[[#Headers],[#Data]],53,FALSE),2)</f>
        <v>55.68</v>
      </c>
      <c r="J52" s="670">
        <f>ROUND(_xlfn.XLOOKUP(D52,APU_IDU[Código],APU_IDU[Valor],"",0)*(1+$K$146),0)</f>
        <v>46439</v>
      </c>
      <c r="K52" s="671">
        <f t="shared" si="0"/>
        <v>2585724</v>
      </c>
      <c r="L52" s="650"/>
    </row>
    <row r="53" spans="2:12" ht="15.6" x14ac:dyDescent="0.3">
      <c r="B53" s="648"/>
      <c r="C53" s="667">
        <v>42</v>
      </c>
      <c r="D53" s="667">
        <v>3226</v>
      </c>
      <c r="E53" s="667" t="s">
        <v>6783</v>
      </c>
      <c r="F53" s="760"/>
      <c r="G53" s="668" t="str">
        <f>+_xlfn.XLOOKUP(D53,APU_IDU[Código],APU_IDU[Nombre],"",0)</f>
        <v>TUBERIA PVC D=4" TIPO U.M. RDE 21 (SUMINISTRO E INSTALACIÓN)</v>
      </c>
      <c r="H53" s="666" t="str">
        <f>+_xlfn.XLOOKUP(D53,APU_IDU[Código],APU_IDU[UM],"",0)</f>
        <v>ML</v>
      </c>
      <c r="I53" s="669">
        <f>ROUND(+VLOOKUP(D53,CantidadesConsolidadas[[#Headers],[#Data]],53,FALSE),2)</f>
        <v>14.92</v>
      </c>
      <c r="J53" s="670">
        <f>ROUND(_xlfn.XLOOKUP(D53,APU_IDU[Código],APU_IDU[Valor],"",0)*(1+$K$146),0)</f>
        <v>96732</v>
      </c>
      <c r="K53" s="671">
        <f t="shared" si="0"/>
        <v>1443241</v>
      </c>
      <c r="L53" s="650"/>
    </row>
    <row r="54" spans="2:12" ht="15.6" x14ac:dyDescent="0.3">
      <c r="B54" s="648"/>
      <c r="C54" s="667">
        <v>43</v>
      </c>
      <c r="D54" s="667">
        <v>3227</v>
      </c>
      <c r="E54" s="667" t="s">
        <v>6783</v>
      </c>
      <c r="F54" s="760"/>
      <c r="G54" s="668" t="str">
        <f>+_xlfn.XLOOKUP(D54,APU_IDU[Código],APU_IDU[Nombre],"",0)</f>
        <v>TUBERIA PVC D=6" TIPO U.M. RDE 21 (SUMINISTRO E INSTALACIÓN)</v>
      </c>
      <c r="H54" s="666" t="str">
        <f>+_xlfn.XLOOKUP(D54,APU_IDU[Código],APU_IDU[UM],"",0)</f>
        <v>ML</v>
      </c>
      <c r="I54" s="669">
        <f>ROUND(+VLOOKUP(D54,CantidadesConsolidadas[[#Headers],[#Data]],53,FALSE),2)</f>
        <v>3.8</v>
      </c>
      <c r="J54" s="670">
        <f>ROUND(_xlfn.XLOOKUP(D54,APU_IDU[Código],APU_IDU[Valor],"",0)*(1+$K$146),0)</f>
        <v>192946</v>
      </c>
      <c r="K54" s="671">
        <f t="shared" si="0"/>
        <v>733195</v>
      </c>
      <c r="L54" s="650"/>
    </row>
    <row r="55" spans="2:12" ht="15.6" x14ac:dyDescent="0.3">
      <c r="B55" s="648"/>
      <c r="C55" s="667">
        <v>44</v>
      </c>
      <c r="D55" s="667">
        <v>3391</v>
      </c>
      <c r="E55" s="667" t="s">
        <v>6783</v>
      </c>
      <c r="F55" s="760"/>
      <c r="G55" s="668" t="str">
        <f>+_xlfn.XLOOKUP(D55,APU_IDU[Código],APU_IDU[Nombre],"",0)</f>
        <v>CODO HD 22.5° EXTREMO LISO PARA PVC D=4" (SUMINISTRO E INSTALACIÓN)</v>
      </c>
      <c r="H55" s="666" t="str">
        <f>+_xlfn.XLOOKUP(D55,APU_IDU[Código],APU_IDU[UM],"",0)</f>
        <v>UN</v>
      </c>
      <c r="I55" s="669">
        <f>ROUND(+VLOOKUP(D55,CantidadesConsolidadas[[#Headers],[#Data]],53,FALSE),2)</f>
        <v>2</v>
      </c>
      <c r="J55" s="670">
        <f>ROUND(_xlfn.XLOOKUP(D55,APU_IDU[Código],APU_IDU[Valor],"",0)*(1+$K$146),0)</f>
        <v>419205</v>
      </c>
      <c r="K55" s="671">
        <f t="shared" si="0"/>
        <v>838410</v>
      </c>
      <c r="L55" s="650"/>
    </row>
    <row r="56" spans="2:12" ht="15.6" x14ac:dyDescent="0.3">
      <c r="B56" s="648"/>
      <c r="C56" s="667">
        <v>45</v>
      </c>
      <c r="D56" s="667">
        <v>3523</v>
      </c>
      <c r="E56" s="667" t="s">
        <v>6783</v>
      </c>
      <c r="F56" s="760"/>
      <c r="G56" s="668" t="str">
        <f>+_xlfn.XLOOKUP(D56,APU_IDU[Código],APU_IDU[Nombre],"",0)</f>
        <v>CODO G.RAD. PVC 45º TIPO U.M. D=4" (SUMINISTRO E INSTALACIÓN)</v>
      </c>
      <c r="H56" s="666" t="str">
        <f>+_xlfn.XLOOKUP(D56,APU_IDU[Código],APU_IDU[UM],"",0)</f>
        <v>UN</v>
      </c>
      <c r="I56" s="669">
        <f>ROUND(+VLOOKUP(D56,CantidadesConsolidadas[[#Headers],[#Data]],53,FALSE),2)</f>
        <v>4</v>
      </c>
      <c r="J56" s="670">
        <f>ROUND(_xlfn.XLOOKUP(D56,APU_IDU[Código],APU_IDU[Valor],"",0)*(1+$K$146),0)</f>
        <v>224900</v>
      </c>
      <c r="K56" s="671">
        <f t="shared" si="0"/>
        <v>899600</v>
      </c>
      <c r="L56" s="650"/>
    </row>
    <row r="57" spans="2:12" ht="15.6" x14ac:dyDescent="0.3">
      <c r="B57" s="648"/>
      <c r="C57" s="667">
        <v>46</v>
      </c>
      <c r="D57" s="667">
        <v>3532</v>
      </c>
      <c r="E57" s="667" t="s">
        <v>6783</v>
      </c>
      <c r="F57" s="760"/>
      <c r="G57" s="668" t="str">
        <f>+_xlfn.XLOOKUP(D57,APU_IDU[Código],APU_IDU[Nombre],"",0)</f>
        <v>CODO G.RAD. PVC 22.5° TIPO U.M D=6" (SUMINISTRO E INSTALACIÓN)</v>
      </c>
      <c r="H57" s="666" t="str">
        <f>+_xlfn.XLOOKUP(D57,APU_IDU[Código],APU_IDU[UM],"",0)</f>
        <v>UN</v>
      </c>
      <c r="I57" s="669">
        <f>ROUND(+VLOOKUP(D57,CantidadesConsolidadas[[#Headers],[#Data]],53,FALSE),2)</f>
        <v>3</v>
      </c>
      <c r="J57" s="670">
        <f>ROUND(_xlfn.XLOOKUP(D57,APU_IDU[Código],APU_IDU[Valor],"",0)*(1+$K$146),0)</f>
        <v>430713</v>
      </c>
      <c r="K57" s="671">
        <f t="shared" si="0"/>
        <v>1292139</v>
      </c>
      <c r="L57" s="650"/>
    </row>
    <row r="58" spans="2:12" ht="15.6" x14ac:dyDescent="0.3">
      <c r="B58" s="648"/>
      <c r="C58" s="667">
        <v>47</v>
      </c>
      <c r="D58" s="667">
        <v>3535</v>
      </c>
      <c r="E58" s="667" t="s">
        <v>6783</v>
      </c>
      <c r="F58" s="760"/>
      <c r="G58" s="668" t="str">
        <f>+_xlfn.XLOOKUP(D58,APU_IDU[Código],APU_IDU[Nombre],"",0)</f>
        <v>CODO G.RAD. PVC 22.5° TIPO U.M. D=12" (SUMINISTRO E INSTALACIÓN)</v>
      </c>
      <c r="H58" s="666" t="str">
        <f>+_xlfn.XLOOKUP(D58,APU_IDU[Código],APU_IDU[UM],"",0)</f>
        <v>UN</v>
      </c>
      <c r="I58" s="669">
        <f>ROUND(+VLOOKUP(D58,CantidadesConsolidadas[[#Headers],[#Data]],53,FALSE),2)</f>
        <v>1</v>
      </c>
      <c r="J58" s="670">
        <f>ROUND(_xlfn.XLOOKUP(D58,APU_IDU[Código],APU_IDU[Valor],"",0)*(1+$K$146),0)</f>
        <v>2663750</v>
      </c>
      <c r="K58" s="671">
        <f t="shared" si="0"/>
        <v>2663750</v>
      </c>
      <c r="L58" s="650"/>
    </row>
    <row r="59" spans="2:12" ht="15.6" x14ac:dyDescent="0.3">
      <c r="B59" s="648"/>
      <c r="C59" s="667">
        <v>48</v>
      </c>
      <c r="D59" s="667">
        <v>3539</v>
      </c>
      <c r="E59" s="667" t="s">
        <v>6783</v>
      </c>
      <c r="F59" s="760"/>
      <c r="G59" s="668" t="str">
        <f>+_xlfn.XLOOKUP(D59,APU_IDU[Código],APU_IDU[Nombre],"",0)</f>
        <v>CODO G.RAD. PVC 11.25° TIPO U.M. D=4" RDE 21 (SUMINISTRO E INSTALACIÓN)</v>
      </c>
      <c r="H59" s="666" t="str">
        <f>+_xlfn.XLOOKUP(D59,APU_IDU[Código],APU_IDU[UM],"",0)</f>
        <v>UN</v>
      </c>
      <c r="I59" s="669">
        <f>ROUND(+VLOOKUP(D59,CantidadesConsolidadas[[#Headers],[#Data]],53,FALSE),2)</f>
        <v>1</v>
      </c>
      <c r="J59" s="670">
        <f>ROUND(_xlfn.XLOOKUP(D59,APU_IDU[Código],APU_IDU[Valor],"",0)*(1+$K$146),0)</f>
        <v>171483</v>
      </c>
      <c r="K59" s="671">
        <f t="shared" si="0"/>
        <v>171483</v>
      </c>
      <c r="L59" s="650"/>
    </row>
    <row r="60" spans="2:12" ht="15.6" x14ac:dyDescent="0.3">
      <c r="B60" s="648"/>
      <c r="C60" s="667">
        <v>49</v>
      </c>
      <c r="D60" s="667">
        <v>3540</v>
      </c>
      <c r="E60" s="667" t="s">
        <v>6783</v>
      </c>
      <c r="F60" s="760"/>
      <c r="G60" s="668" t="str">
        <f>+_xlfn.XLOOKUP(D60,APU_IDU[Código],APU_IDU[Nombre],"",0)</f>
        <v>CODO G.RAD. PVC 11.25° TIPO U.M. D=6" (SUMINISTRO E INSTALACIÓN)</v>
      </c>
      <c r="H60" s="666" t="str">
        <f>+_xlfn.XLOOKUP(D60,APU_IDU[Código],APU_IDU[UM],"",0)</f>
        <v>UN</v>
      </c>
      <c r="I60" s="669">
        <f>ROUND(+VLOOKUP(D60,CantidadesConsolidadas[[#Headers],[#Data]],53,FALSE),2)</f>
        <v>3</v>
      </c>
      <c r="J60" s="670">
        <f>ROUND(_xlfn.XLOOKUP(D60,APU_IDU[Código],APU_IDU[Valor],"",0)*(1+$K$146),0)</f>
        <v>387185</v>
      </c>
      <c r="K60" s="671">
        <f t="shared" si="0"/>
        <v>1161555</v>
      </c>
      <c r="L60" s="650"/>
    </row>
    <row r="61" spans="2:12" ht="27.6" x14ac:dyDescent="0.3">
      <c r="B61" s="648"/>
      <c r="C61" s="667">
        <v>50</v>
      </c>
      <c r="D61" s="667">
        <v>4402</v>
      </c>
      <c r="E61" s="667" t="s">
        <v>6783</v>
      </c>
      <c r="F61" s="760"/>
      <c r="G61" s="668" t="str">
        <f>+_xlfn.XLOOKUP(D61,APU_IDU[Código],APU_IDU[Nombre],"",0)</f>
        <v>VALVULA COMPUERTA ELASTICA VASTAGO NO ASCENDENTE EXTREMO LISO D=4" (SUMINISTRO E INSTALACIÓN)</v>
      </c>
      <c r="H61" s="666" t="str">
        <f>+_xlfn.XLOOKUP(D61,APU_IDU[Código],APU_IDU[UM],"",0)</f>
        <v>UN</v>
      </c>
      <c r="I61" s="669">
        <f>ROUND(+VLOOKUP(D61,CantidadesConsolidadas[[#Headers],[#Data]],53,FALSE),2)</f>
        <v>1</v>
      </c>
      <c r="J61" s="670">
        <f>ROUND(_xlfn.XLOOKUP(D61,APU_IDU[Código],APU_IDU[Valor],"",0)*(1+$K$146),0)</f>
        <v>1514047</v>
      </c>
      <c r="K61" s="671">
        <f t="shared" si="0"/>
        <v>1514047</v>
      </c>
      <c r="L61" s="650"/>
    </row>
    <row r="62" spans="2:12" ht="15.6" x14ac:dyDescent="0.3">
      <c r="B62" s="648"/>
      <c r="C62" s="667">
        <v>51</v>
      </c>
      <c r="D62" s="667">
        <v>4416</v>
      </c>
      <c r="E62" s="667" t="s">
        <v>6783</v>
      </c>
      <c r="F62" s="760"/>
      <c r="G62" s="668" t="str">
        <f>+_xlfn.XLOOKUP(D62,APU_IDU[Código],APU_IDU[Nombre],"",0)</f>
        <v>TAPON PVC TIPO U.M. D=4" (SUMINISTRO E INSTALACIÓN)</v>
      </c>
      <c r="H62" s="666" t="str">
        <f>+_xlfn.XLOOKUP(D62,APU_IDU[Código],APU_IDU[UM],"",0)</f>
        <v>UN</v>
      </c>
      <c r="I62" s="669">
        <f>ROUND(+VLOOKUP(D62,CantidadesConsolidadas[[#Headers],[#Data]],53,FALSE),2)</f>
        <v>4</v>
      </c>
      <c r="J62" s="670">
        <f>ROUND(_xlfn.XLOOKUP(D62,APU_IDU[Código],APU_IDU[Valor],"",0)*(1+$K$146),0)</f>
        <v>139184</v>
      </c>
      <c r="K62" s="671">
        <f t="shared" si="0"/>
        <v>556736</v>
      </c>
      <c r="L62" s="650"/>
    </row>
    <row r="63" spans="2:12" ht="41.4" x14ac:dyDescent="0.3">
      <c r="B63" s="648"/>
      <c r="C63" s="667">
        <v>52</v>
      </c>
      <c r="D63" s="667">
        <v>5186</v>
      </c>
      <c r="E63" s="667" t="s">
        <v>6783</v>
      </c>
      <c r="F63" s="760"/>
      <c r="G63" s="668" t="str">
        <f>+_xlfn.XLOOKUP(D63,APU_IDU[Código],APU_IDU[Nombre],"",0)</f>
        <v>ACOMETIDA DOMICILIARIA DE 1/2" CON COLLAR DE DERIVACION DE 4" X 1/2". SUMINISTRO E INSTALACION. (INCLUYE TUBERIA PF, REGISTROS Y ACCESORIOS, LONGITUD PROMEDIO DE 6.5M, INCLUYE CAJILLA EN POLIPROPILENO PARA MEDIDOR)</v>
      </c>
      <c r="H63" s="666" t="str">
        <f>+_xlfn.XLOOKUP(D63,APU_IDU[Código],APU_IDU[UM],"",0)</f>
        <v>UN</v>
      </c>
      <c r="I63" s="669">
        <f>ROUND(+VLOOKUP(D63,CantidadesConsolidadas[[#Headers],[#Data]],53,FALSE),2)</f>
        <v>7</v>
      </c>
      <c r="J63" s="670">
        <f>ROUND(_xlfn.XLOOKUP(D63,APU_IDU[Código],APU_IDU[Valor],"",0)*(1+$K$146),0)</f>
        <v>597972</v>
      </c>
      <c r="K63" s="671">
        <f t="shared" si="0"/>
        <v>4185804</v>
      </c>
      <c r="L63" s="650"/>
    </row>
    <row r="64" spans="2:12" ht="15.6" x14ac:dyDescent="0.3">
      <c r="B64" s="648"/>
      <c r="C64" s="667">
        <v>53</v>
      </c>
      <c r="D64" s="667">
        <v>5078</v>
      </c>
      <c r="E64" s="667" t="s">
        <v>6783</v>
      </c>
      <c r="F64" s="760"/>
      <c r="G64" s="668" t="str">
        <f>+_xlfn.XLOOKUP(D64,APU_IDU[Código],APU_IDU[Nombre],"",0)</f>
        <v>CODO 90° CXE PVC SANITARIA D=4" (INCLUYE SUMINISTRO E INSTALACIÓN).</v>
      </c>
      <c r="H64" s="666" t="str">
        <f>+_xlfn.XLOOKUP(D64,APU_IDU[Código],APU_IDU[UM],"",0)</f>
        <v>UN</v>
      </c>
      <c r="I64" s="669">
        <f>ROUND(+VLOOKUP(D64,CantidadesConsolidadas[[#Headers],[#Data]],53,FALSE),2)</f>
        <v>2</v>
      </c>
      <c r="J64" s="670">
        <f>ROUND(_xlfn.XLOOKUP(D64,APU_IDU[Código],APU_IDU[Valor],"",0)*(1+$K$146),0)</f>
        <v>37883</v>
      </c>
      <c r="K64" s="671">
        <f t="shared" si="0"/>
        <v>75766</v>
      </c>
      <c r="L64" s="650"/>
    </row>
    <row r="65" spans="2:12" ht="15.6" x14ac:dyDescent="0.3">
      <c r="B65" s="648"/>
      <c r="C65" s="667">
        <v>54</v>
      </c>
      <c r="D65" s="667">
        <v>7419</v>
      </c>
      <c r="E65" s="667" t="s">
        <v>6783</v>
      </c>
      <c r="F65" s="760"/>
      <c r="G65" s="668" t="str">
        <f>+_xlfn.XLOOKUP(D65,APU_IDU[Código],APU_IDU[Nombre],"",0)</f>
        <v>TEE PVC U.M. 4" X 4" (SUMINISTRO E INSTALACIÓN)</v>
      </c>
      <c r="H65" s="666" t="str">
        <f>+_xlfn.XLOOKUP(D65,APU_IDU[Código],APU_IDU[UM],"",0)</f>
        <v>UN</v>
      </c>
      <c r="I65" s="669">
        <f>ROUND(+VLOOKUP(D65,CantidadesConsolidadas[[#Headers],[#Data]],53,FALSE),2)</f>
        <v>2</v>
      </c>
      <c r="J65" s="670">
        <f>ROUND(_xlfn.XLOOKUP(D65,APU_IDU[Código],APU_IDU[Valor],"",0)*(1+$K$146),0)</f>
        <v>367005</v>
      </c>
      <c r="K65" s="671">
        <f t="shared" si="0"/>
        <v>734010</v>
      </c>
      <c r="L65" s="650"/>
    </row>
    <row r="66" spans="2:12" ht="15.6" x14ac:dyDescent="0.3">
      <c r="B66" s="648"/>
      <c r="C66" s="667">
        <v>55</v>
      </c>
      <c r="D66" s="667">
        <v>7421</v>
      </c>
      <c r="E66" s="667" t="s">
        <v>6783</v>
      </c>
      <c r="F66" s="760"/>
      <c r="G66" s="668" t="str">
        <f>+_xlfn.XLOOKUP(D66,APU_IDU[Código],APU_IDU[Nombre],"",0)</f>
        <v>TEE PVC U.M. 6" X 4" (SUMINISTRO E INSTALACIÓN)</v>
      </c>
      <c r="H66" s="666" t="str">
        <f>+_xlfn.XLOOKUP(D66,APU_IDU[Código],APU_IDU[UM],"",0)</f>
        <v>UN</v>
      </c>
      <c r="I66" s="669">
        <f>ROUND(+VLOOKUP(D66,CantidadesConsolidadas[[#Headers],[#Data]],53,FALSE),2)</f>
        <v>1</v>
      </c>
      <c r="J66" s="670">
        <f>ROUND(_xlfn.XLOOKUP(D66,APU_IDU[Código],APU_IDU[Valor],"",0)*(1+$K$146),0)</f>
        <v>2449702</v>
      </c>
      <c r="K66" s="671">
        <f t="shared" si="0"/>
        <v>2449702</v>
      </c>
      <c r="L66" s="650"/>
    </row>
    <row r="67" spans="2:12" ht="15.6" x14ac:dyDescent="0.3">
      <c r="B67" s="648"/>
      <c r="C67" s="667">
        <v>56</v>
      </c>
      <c r="D67" s="667">
        <v>7727</v>
      </c>
      <c r="E67" s="667" t="s">
        <v>6783</v>
      </c>
      <c r="F67" s="760"/>
      <c r="G67" s="668" t="str">
        <f>+_xlfn.XLOOKUP(D67,APU_IDU[Código],APU_IDU[Nombre],"",0)</f>
        <v>TEE PVC U.M. 8" X 4" (SUMINISTRO E INSTALACIÓN)</v>
      </c>
      <c r="H67" s="666" t="str">
        <f>+_xlfn.XLOOKUP(D67,APU_IDU[Código],APU_IDU[UM],"",0)</f>
        <v>UN</v>
      </c>
      <c r="I67" s="669">
        <f>ROUND(+VLOOKUP(D67,CantidadesConsolidadas[[#Headers],[#Data]],53,FALSE),2)</f>
        <v>3</v>
      </c>
      <c r="J67" s="670">
        <f>ROUND(_xlfn.XLOOKUP(D67,APU_IDU[Código],APU_IDU[Valor],"",0)*(1+$K$146),0)</f>
        <v>4112046</v>
      </c>
      <c r="K67" s="671">
        <f t="shared" si="0"/>
        <v>12336138</v>
      </c>
      <c r="L67" s="650"/>
    </row>
    <row r="68" spans="2:12" ht="15.6" x14ac:dyDescent="0.3">
      <c r="B68" s="648"/>
      <c r="C68" s="667">
        <v>57</v>
      </c>
      <c r="D68" s="667">
        <v>4558</v>
      </c>
      <c r="E68" s="667" t="s">
        <v>6783</v>
      </c>
      <c r="F68" s="760"/>
      <c r="G68" s="668" t="str">
        <f>+_xlfn.XLOOKUP(D68,APU_IDU[Código],APU_IDU[Nombre],"",0)</f>
        <v>SUMIDERO ALCANTARILLADO PLUVIAL EN VIA NS-047-1V4 EAAB</v>
      </c>
      <c r="H68" s="666" t="str">
        <f>+_xlfn.XLOOKUP(D68,APU_IDU[Código],APU_IDU[UM],"",0)</f>
        <v>UN</v>
      </c>
      <c r="I68" s="669">
        <f>ROUND(+VLOOKUP(D68,CantidadesConsolidadas[[#Headers],[#Data]],53,FALSE),2)</f>
        <v>1</v>
      </c>
      <c r="J68" s="670">
        <f>ROUND(_xlfn.XLOOKUP(D68,APU_IDU[Código],APU_IDU[Valor],"",0)*(1+$K$146),0)</f>
        <v>10191029</v>
      </c>
      <c r="K68" s="671">
        <f t="shared" si="0"/>
        <v>10191029</v>
      </c>
      <c r="L68" s="650"/>
    </row>
    <row r="69" spans="2:12" ht="27.6" x14ac:dyDescent="0.3">
      <c r="B69" s="648"/>
      <c r="C69" s="667">
        <v>58</v>
      </c>
      <c r="D69" s="667">
        <v>5015</v>
      </c>
      <c r="E69" s="667" t="s">
        <v>6783</v>
      </c>
      <c r="F69" s="760"/>
      <c r="G69" s="668" t="str">
        <f>+_xlfn.XLOOKUP(D69,APU_IDU[Código],APU_IDU[Nombre],"",0)</f>
        <v>CAJA DE INSPECCION 0.80X0.8M. SUMINISTRO Y CONSTRUCCION. (H=0.6M. INCLUYE MARCO Y TAPA, NO INCLUYE BASE Y CAÑUELA).</v>
      </c>
      <c r="H69" s="666" t="str">
        <f>+_xlfn.XLOOKUP(D69,APU_IDU[Código],APU_IDU[UM],"",0)</f>
        <v>UN</v>
      </c>
      <c r="I69" s="669">
        <f>ROUND(+VLOOKUP(D69,CantidadesConsolidadas[[#Headers],[#Data]],53,FALSE),2)</f>
        <v>2</v>
      </c>
      <c r="J69" s="670">
        <f>ROUND(_xlfn.XLOOKUP(D69,APU_IDU[Código],APU_IDU[Valor],"",0)*(1+$K$146),0)</f>
        <v>927312</v>
      </c>
      <c r="K69" s="671">
        <f t="shared" si="0"/>
        <v>1854624</v>
      </c>
      <c r="L69" s="650"/>
    </row>
    <row r="70" spans="2:12" ht="27.6" x14ac:dyDescent="0.3">
      <c r="B70" s="648"/>
      <c r="C70" s="667">
        <v>59</v>
      </c>
      <c r="D70" s="667">
        <v>3779</v>
      </c>
      <c r="E70" s="667" t="s">
        <v>6783</v>
      </c>
      <c r="F70" s="760"/>
      <c r="G70" s="668" t="str">
        <f>+_xlfn.XLOOKUP(D70,APU_IDU[Código],APU_IDU[Nombre],"",0)</f>
        <v>CAJA DE INSPECCIÓN DE 0.6X0.6M (H=0.6M. INCLUYE SUMINISTRO Y CONSTRUCCIÓN. INCLUYE MARCO Y TAPA. NO INC. BASE Y CAÑUELA)</v>
      </c>
      <c r="H70" s="666" t="str">
        <f>+_xlfn.XLOOKUP(D70,APU_IDU[Código],APU_IDU[UM],"",0)</f>
        <v>UN</v>
      </c>
      <c r="I70" s="669">
        <f>ROUND(+VLOOKUP(D70,CantidadesConsolidadas[[#Headers],[#Data]],53,FALSE),2)</f>
        <v>1</v>
      </c>
      <c r="J70" s="670">
        <f>ROUND(_xlfn.XLOOKUP(D70,APU_IDU[Código],APU_IDU[Valor],"",0)*(1+$K$146),0)</f>
        <v>791992</v>
      </c>
      <c r="K70" s="671">
        <f t="shared" si="0"/>
        <v>791992</v>
      </c>
      <c r="L70" s="650"/>
    </row>
    <row r="71" spans="2:12" ht="15.6" x14ac:dyDescent="0.3">
      <c r="B71" s="648"/>
      <c r="C71" s="667">
        <v>60</v>
      </c>
      <c r="D71" s="667">
        <v>4611</v>
      </c>
      <c r="E71" s="667" t="s">
        <v>6783</v>
      </c>
      <c r="F71" s="760"/>
      <c r="G71" s="668" t="str">
        <f>+_xlfn.XLOOKUP(D71,APU_IDU[Código],APU_IDU[Nombre],"",0)</f>
        <v>CARCAMO PROTECCIÓN DE TUBERÍA Ø 8" (TIPO PLACA) NORMA EAAB NS-090</v>
      </c>
      <c r="H71" s="666" t="str">
        <f>+_xlfn.XLOOKUP(D71,APU_IDU[Código],APU_IDU[UM],"",0)</f>
        <v>ML</v>
      </c>
      <c r="I71" s="669">
        <f>ROUND(+VLOOKUP(D71,CantidadesConsolidadas[[#Headers],[#Data]],53,FALSE),2)</f>
        <v>23</v>
      </c>
      <c r="J71" s="670">
        <f>ROUND(_xlfn.XLOOKUP(D71,APU_IDU[Código],APU_IDU[Valor],"",0)*(1+$K$146),0)</f>
        <v>323927</v>
      </c>
      <c r="K71" s="671">
        <f t="shared" si="0"/>
        <v>7450321</v>
      </c>
      <c r="L71" s="650"/>
    </row>
    <row r="72" spans="2:12" ht="15.6" x14ac:dyDescent="0.3">
      <c r="B72" s="648"/>
      <c r="C72" s="667">
        <v>61</v>
      </c>
      <c r="D72" s="667">
        <v>4612</v>
      </c>
      <c r="E72" s="667" t="s">
        <v>6783</v>
      </c>
      <c r="F72" s="760"/>
      <c r="G72" s="668" t="str">
        <f>+_xlfn.XLOOKUP(D72,APU_IDU[Código],APU_IDU[Nombre],"",0)</f>
        <v>CARCAMO PROTECCIÓN DE TUBERÍA Ø 10" (TIPO PLACA) NORMA EAAB NS-090</v>
      </c>
      <c r="H72" s="666" t="str">
        <f>+_xlfn.XLOOKUP(D72,APU_IDU[Código],APU_IDU[UM],"",0)</f>
        <v>ML</v>
      </c>
      <c r="I72" s="669">
        <f>ROUND(+VLOOKUP(D72,CantidadesConsolidadas[[#Headers],[#Data]],53,FALSE),2)</f>
        <v>10</v>
      </c>
      <c r="J72" s="670">
        <f>ROUND(_xlfn.XLOOKUP(D72,APU_IDU[Código],APU_IDU[Valor],"",0)*(1+$K$146),0)</f>
        <v>323927</v>
      </c>
      <c r="K72" s="671">
        <f t="shared" si="0"/>
        <v>3239270</v>
      </c>
      <c r="L72" s="650"/>
    </row>
    <row r="73" spans="2:12" ht="15.6" x14ac:dyDescent="0.3">
      <c r="B73" s="648"/>
      <c r="C73" s="667">
        <v>62</v>
      </c>
      <c r="D73" s="667">
        <v>4614</v>
      </c>
      <c r="E73" s="667" t="s">
        <v>6783</v>
      </c>
      <c r="F73" s="760"/>
      <c r="G73" s="668" t="str">
        <f>+_xlfn.XLOOKUP(D73,APU_IDU[Código],APU_IDU[Nombre],"",0)</f>
        <v>CARCAMO PROTECCIÓN DE TUBERÍA Ø 12" (TIPO PLACA) NORMA EAAB NS-090</v>
      </c>
      <c r="H73" s="666" t="str">
        <f>+_xlfn.XLOOKUP(D73,APU_IDU[Código],APU_IDU[UM],"",0)</f>
        <v>ML</v>
      </c>
      <c r="I73" s="669">
        <f>ROUND(+VLOOKUP(D73,CantidadesConsolidadas[[#Headers],[#Data]],53,FALSE),2)</f>
        <v>11</v>
      </c>
      <c r="J73" s="670">
        <f>ROUND(_xlfn.XLOOKUP(D73,APU_IDU[Código],APU_IDU[Valor],"",0)*(1+$K$146),0)</f>
        <v>326961</v>
      </c>
      <c r="K73" s="671">
        <f t="shared" si="0"/>
        <v>3596571</v>
      </c>
      <c r="L73" s="650"/>
    </row>
    <row r="74" spans="2:12" ht="15.6" x14ac:dyDescent="0.3">
      <c r="B74" s="648"/>
      <c r="C74" s="667">
        <v>63</v>
      </c>
      <c r="D74" s="667">
        <v>3009</v>
      </c>
      <c r="E74" s="667" t="s">
        <v>6783</v>
      </c>
      <c r="F74" s="760"/>
      <c r="G74" s="668" t="str">
        <f>+_xlfn.XLOOKUP(D74,APU_IDU[Código],APU_IDU[Nombre],"",0)</f>
        <v>EXCAVACION MANUAL PARA REDES PROFUNDIDAD 0M - 2M (INCLUYE CARGUE)</v>
      </c>
      <c r="H74" s="666" t="str">
        <f>+_xlfn.XLOOKUP(D74,APU_IDU[Código],APU_IDU[UM],"",0)</f>
        <v>M3</v>
      </c>
      <c r="I74" s="669">
        <f>ROUND(+VLOOKUP(D74,CantidadesConsolidadas[[#Headers],[#Data]],53,FALSE),2)</f>
        <v>1957.53</v>
      </c>
      <c r="J74" s="670">
        <f>ROUND(_xlfn.XLOOKUP(D74,APU_IDU[Código],APU_IDU[Valor],"",0)*(1+$K$146),0)</f>
        <v>74340</v>
      </c>
      <c r="K74" s="671">
        <f t="shared" si="0"/>
        <v>145522780</v>
      </c>
      <c r="L74" s="650"/>
    </row>
    <row r="75" spans="2:12" ht="27.6" x14ac:dyDescent="0.3">
      <c r="B75" s="648"/>
      <c r="C75" s="667">
        <v>64</v>
      </c>
      <c r="D75" s="667">
        <v>3050</v>
      </c>
      <c r="E75" s="667" t="s">
        <v>6783</v>
      </c>
      <c r="F75" s="760"/>
      <c r="G75" s="668" t="str">
        <f>+_xlfn.XLOOKUP(D75,APU_IDU[Código],APU_IDU[Nombre],"",0)</f>
        <v>RELLENO EN MATERIAL SELECCIONADO PROVENIENTE DE LA EXCAVACIÓN (EXTENDIDO MANUAL, HUMEDECIMIENTO Y COMPACTACIÓN)</v>
      </c>
      <c r="H75" s="666" t="str">
        <f>+_xlfn.XLOOKUP(D75,APU_IDU[Código],APU_IDU[UM],"",0)</f>
        <v>M3</v>
      </c>
      <c r="I75" s="669">
        <f>ROUND(+VLOOKUP(D75,CantidadesConsolidadas[[#Headers],[#Data]],53,FALSE),2)</f>
        <v>184.46</v>
      </c>
      <c r="J75" s="670">
        <f>ROUND(_xlfn.XLOOKUP(D75,APU_IDU[Código],APU_IDU[Valor],"",0)*(1+$K$146),0)</f>
        <v>61182</v>
      </c>
      <c r="K75" s="671">
        <f t="shared" si="0"/>
        <v>11285632</v>
      </c>
      <c r="L75" s="650"/>
    </row>
    <row r="76" spans="2:12" ht="27.6" x14ac:dyDescent="0.3">
      <c r="B76" s="648"/>
      <c r="C76" s="667">
        <v>65</v>
      </c>
      <c r="D76" s="667">
        <v>5412</v>
      </c>
      <c r="E76" s="667" t="s">
        <v>6783</v>
      </c>
      <c r="F76" s="760"/>
      <c r="G76" s="668" t="str">
        <f>+_xlfn.XLOOKUP(D76,APU_IDU[Código],APU_IDU[Nombre],"",0)</f>
        <v>RELLENO EN TRITURADO DE 3/4`` (INCLUYE TRANSPORTE, SUMINISTRO, EXTENDIDO MANUAL Y COLOCACIÓN)</v>
      </c>
      <c r="H76" s="666" t="str">
        <f>+_xlfn.XLOOKUP(D76,APU_IDU[Código],APU_IDU[UM],"",0)</f>
        <v>M3</v>
      </c>
      <c r="I76" s="669">
        <f>ROUND(+VLOOKUP(D76,CantidadesConsolidadas[[#Headers],[#Data]],53,FALSE),2)</f>
        <v>11.29</v>
      </c>
      <c r="J76" s="670">
        <f>ROUND(_xlfn.XLOOKUP(D76,APU_IDU[Código],APU_IDU[Valor],"",0)*(1+$K$146),0)</f>
        <v>227363</v>
      </c>
      <c r="K76" s="671">
        <f t="shared" si="0"/>
        <v>2566928</v>
      </c>
      <c r="L76" s="650"/>
    </row>
    <row r="77" spans="2:12" ht="27.6" x14ac:dyDescent="0.3">
      <c r="B77" s="648"/>
      <c r="C77" s="667">
        <v>66</v>
      </c>
      <c r="D77" s="667">
        <v>4792</v>
      </c>
      <c r="E77" s="667" t="s">
        <v>6783</v>
      </c>
      <c r="F77" s="760"/>
      <c r="G77" s="668" t="str">
        <f>+_xlfn.XLOOKUP(D77,APU_IDU[Código],APU_IDU[Nombre],"",0)</f>
        <v>RELLENO EN RECEBO COMUN (SUMINISTRO E INSTALACIÓN EXTENDIDO MANUAL, HUMEDECIMIENTO Y COMPACTACIÓN TRANSPORTE A 28 KM).</v>
      </c>
      <c r="H77" s="666" t="str">
        <f>+_xlfn.XLOOKUP(D77,APU_IDU[Código],APU_IDU[UM],"",0)</f>
        <v>M3</v>
      </c>
      <c r="I77" s="669">
        <f>ROUND(+VLOOKUP(D77,CantidadesConsolidadas[[#Headers],[#Data]],53,FALSE),2)</f>
        <v>17.38</v>
      </c>
      <c r="J77" s="670">
        <f>ROUND(_xlfn.XLOOKUP(D77,APU_IDU[Código],APU_IDU[Valor],"",0)*(1+$K$146),0)</f>
        <v>143643</v>
      </c>
      <c r="K77" s="671">
        <f t="shared" ref="K77:K124" si="1">ROUND(I77*J77,0)</f>
        <v>2496515</v>
      </c>
      <c r="L77" s="650"/>
    </row>
    <row r="78" spans="2:12" ht="41.4" x14ac:dyDescent="0.3">
      <c r="B78" s="648"/>
      <c r="C78" s="667">
        <v>67</v>
      </c>
      <c r="D78" s="667">
        <v>4837</v>
      </c>
      <c r="E78" s="667" t="s">
        <v>6783</v>
      </c>
      <c r="F78" s="760"/>
      <c r="G78" s="668" t="str">
        <f>+_xlfn.XLOOKUP(D78,APU_IDU[Código],APU_IDU[Nombre],"",0)</f>
        <v>RELLENO CON MEZCLA DE GRAVILLA DE 3/4" Y ARENA DE RIO (RELACIÓN 1:1) SUMINISTRO Y COLOCACIÓN. (INCLUYE TRANSPORTE, SUMINISTRO, EXTENDIDO MANUAL Y COLOCACIÓN).</v>
      </c>
      <c r="H78" s="666" t="str">
        <f>+_xlfn.XLOOKUP(D78,APU_IDU[Código],APU_IDU[UM],"",0)</f>
        <v>M3</v>
      </c>
      <c r="I78" s="669">
        <f>ROUND(+VLOOKUP(D78,CantidadesConsolidadas[[#Headers],[#Data]],53,FALSE),2)</f>
        <v>587.28</v>
      </c>
      <c r="J78" s="670">
        <f>ROUND(_xlfn.XLOOKUP(D78,APU_IDU[Código],APU_IDU[Valor],"",0)*(1+$K$146),0)</f>
        <v>283646</v>
      </c>
      <c r="K78" s="671">
        <f t="shared" si="1"/>
        <v>166579623</v>
      </c>
      <c r="L78" s="650"/>
    </row>
    <row r="79" spans="2:12" ht="27.6" x14ac:dyDescent="0.3">
      <c r="B79" s="648"/>
      <c r="C79" s="667">
        <v>68</v>
      </c>
      <c r="D79" s="667">
        <v>3024</v>
      </c>
      <c r="E79" s="667" t="s">
        <v>6783</v>
      </c>
      <c r="F79" s="760"/>
      <c r="G79" s="668" t="str">
        <f>+_xlfn.XLOOKUP(D79,APU_IDU[Código],APU_IDU[Nombre],"",0)</f>
        <v>RELLENO PARA REDES EN ARENA DE PEÑA (SUMINISTRO, EXTENDIDO, HUMEDECIMIENTO Y COMPACTACIÓN)</v>
      </c>
      <c r="H79" s="666" t="str">
        <f>+_xlfn.XLOOKUP(D79,APU_IDU[Código],APU_IDU[UM],"",0)</f>
        <v>M3</v>
      </c>
      <c r="I79" s="669">
        <f>ROUND(+VLOOKUP(D79,CantidadesConsolidadas[[#Headers],[#Data]],53,FALSE),2)</f>
        <v>2.87</v>
      </c>
      <c r="J79" s="670">
        <f>ROUND(_xlfn.XLOOKUP(D79,APU_IDU[Código],APU_IDU[Valor],"",0)*(1+$K$146),0)</f>
        <v>231630</v>
      </c>
      <c r="K79" s="671">
        <f t="shared" si="1"/>
        <v>664778</v>
      </c>
      <c r="L79" s="650"/>
    </row>
    <row r="80" spans="2:12" ht="27.6" x14ac:dyDescent="0.3">
      <c r="B80" s="648"/>
      <c r="C80" s="667">
        <v>69</v>
      </c>
      <c r="D80" s="667">
        <v>3878</v>
      </c>
      <c r="E80" s="667" t="s">
        <v>6783</v>
      </c>
      <c r="F80" s="760"/>
      <c r="G80" s="668" t="str">
        <f>+_xlfn.XLOOKUP(D80,APU_IDU[Código],APU_IDU[Nombre],"",0)</f>
        <v>PLACA CUBIERTA D=1.70M POZO INSPEC. (PREFABRICADA. INCLUYE SUMINISTRO E INSTALACIÓN. INCLUYE TAPA)</v>
      </c>
      <c r="H80" s="666" t="str">
        <f>+_xlfn.XLOOKUP(D80,APU_IDU[Código],APU_IDU[UM],"",0)</f>
        <v>UN</v>
      </c>
      <c r="I80" s="669">
        <f>ROUND(+VLOOKUP(D80,CantidadesConsolidadas[[#Headers],[#Data]],53,FALSE),2)</f>
        <v>51</v>
      </c>
      <c r="J80" s="670">
        <f>ROUND(_xlfn.XLOOKUP(D80,APU_IDU[Código],APU_IDU[Valor],"",0)*(1+$K$146),0)</f>
        <v>2575578</v>
      </c>
      <c r="K80" s="671">
        <f t="shared" si="1"/>
        <v>131354478</v>
      </c>
      <c r="L80" s="650"/>
    </row>
    <row r="81" spans="2:12" ht="41.4" x14ac:dyDescent="0.3">
      <c r="B81" s="648"/>
      <c r="C81" s="667">
        <v>70</v>
      </c>
      <c r="D81" s="667">
        <v>3471</v>
      </c>
      <c r="E81" s="667" t="s">
        <v>6783</v>
      </c>
      <c r="F81" s="760"/>
      <c r="G81" s="668" t="str">
        <f>+_xlfn.XLOOKUP(D81,APU_IDU[Código],APU_IDU[Nombre],"",0)</f>
        <v>CILINDRO POZO INSP. EN MAMPOSTERIA E=0.25M (INC. SUMIN. Y CONST, ACERO PARA ESCALERAS, GEOTEXTIL NO TEJIDO CON RESISTENCIA A LA TENSION GRAB: ENTRE 450 N Y 500 N Y PAÑETE IMPERMEAB.)</v>
      </c>
      <c r="H81" s="666" t="str">
        <f>+_xlfn.XLOOKUP(D81,APU_IDU[Código],APU_IDU[UM],"",0)</f>
        <v>ML</v>
      </c>
      <c r="I81" s="669">
        <f>ROUND(+VLOOKUP(D81,CantidadesConsolidadas[[#Headers],[#Data]],53,FALSE),2)</f>
        <v>51</v>
      </c>
      <c r="J81" s="670">
        <f>ROUND(_xlfn.XLOOKUP(D81,APU_IDU[Código],APU_IDU[Valor],"",0)*(1+$K$146),0)</f>
        <v>1153554</v>
      </c>
      <c r="K81" s="671">
        <f t="shared" si="1"/>
        <v>58831254</v>
      </c>
      <c r="L81" s="650"/>
    </row>
    <row r="82" spans="2:12" ht="27.6" x14ac:dyDescent="0.3">
      <c r="B82" s="648"/>
      <c r="C82" s="667">
        <v>71</v>
      </c>
      <c r="D82" s="667">
        <v>3722</v>
      </c>
      <c r="E82" s="667" t="s">
        <v>6783</v>
      </c>
      <c r="F82" s="760"/>
      <c r="G82" s="668" t="str">
        <f>+_xlfn.XLOOKUP(D82,APU_IDU[Código],APU_IDU[Nombre],"",0)</f>
        <v>NIVELACIÓN DE POZO (HASTA RASANTE EN CONCRETO 3000 PSI HECHO EN OBRA, H=0.15M. INCLUYE SUMINISTRO Y CONSTRUCCIÓN)</v>
      </c>
      <c r="H82" s="666" t="str">
        <f>+_xlfn.XLOOKUP(D82,APU_IDU[Código],APU_IDU[UM],"",0)</f>
        <v>UN</v>
      </c>
      <c r="I82" s="669">
        <f>ROUND(+VLOOKUP(D82,CantidadesConsolidadas[[#Headers],[#Data]],53,FALSE),2)</f>
        <v>51</v>
      </c>
      <c r="J82" s="670">
        <f>ROUND(_xlfn.XLOOKUP(D82,APU_IDU[Código],APU_IDU[Valor],"",0)*(1+$K$146),0)</f>
        <v>186452</v>
      </c>
      <c r="K82" s="671">
        <f t="shared" si="1"/>
        <v>9509052</v>
      </c>
      <c r="L82" s="650"/>
    </row>
    <row r="83" spans="2:12" ht="15.6" x14ac:dyDescent="0.3">
      <c r="B83" s="648"/>
      <c r="C83" s="667">
        <v>72</v>
      </c>
      <c r="D83" s="667">
        <v>4265</v>
      </c>
      <c r="E83" s="667" t="s">
        <v>6783</v>
      </c>
      <c r="F83" s="760"/>
      <c r="G83" s="668" t="str">
        <f>+_xlfn.XLOOKUP(D83,APU_IDU[Código],APU_IDU[Nombre],"",0)</f>
        <v>TUBERIA CONCRETO D=10" CL. II SIN REFUERZO (INCLUYE SUMINISTRO E INSTALACIÓN)</v>
      </c>
      <c r="H83" s="666" t="str">
        <f>+_xlfn.XLOOKUP(D83,APU_IDU[Código],APU_IDU[UM],"",0)</f>
        <v>ML</v>
      </c>
      <c r="I83" s="669">
        <f>ROUND(+VLOOKUP(D83,CantidadesConsolidadas[[#Headers],[#Data]],53,FALSE),2)</f>
        <v>458.29</v>
      </c>
      <c r="J83" s="670">
        <f>ROUND(_xlfn.XLOOKUP(D83,APU_IDU[Código],APU_IDU[Valor],"",0)*(1+$K$146),0)</f>
        <v>197002</v>
      </c>
      <c r="K83" s="671">
        <f t="shared" si="1"/>
        <v>90284047</v>
      </c>
      <c r="L83" s="650"/>
    </row>
    <row r="84" spans="2:12" ht="15.6" x14ac:dyDescent="0.3">
      <c r="B84" s="648"/>
      <c r="C84" s="667">
        <v>73</v>
      </c>
      <c r="D84" s="667">
        <v>3934</v>
      </c>
      <c r="E84" s="667" t="s">
        <v>6783</v>
      </c>
      <c r="F84" s="760"/>
      <c r="G84" s="668" t="str">
        <f>+_xlfn.XLOOKUP(D84,APU_IDU[Código],APU_IDU[Nombre],"",0)</f>
        <v>TUBERIA CONCRETO D=12" CL. II SIN REFUERZO (INCLUYE SUMINISTRO E INSTALACIÓN)</v>
      </c>
      <c r="H84" s="666" t="str">
        <f>+_xlfn.XLOOKUP(D84,APU_IDU[Código],APU_IDU[UM],"",0)</f>
        <v>ML</v>
      </c>
      <c r="I84" s="669">
        <f>ROUND(+VLOOKUP(D84,CantidadesConsolidadas[[#Headers],[#Data]],53,FALSE),2)</f>
        <v>292.68</v>
      </c>
      <c r="J84" s="670">
        <f>ROUND(_xlfn.XLOOKUP(D84,APU_IDU[Código],APU_IDU[Valor],"",0)*(1+$K$146),0)</f>
        <v>266057</v>
      </c>
      <c r="K84" s="671">
        <f t="shared" si="1"/>
        <v>77869563</v>
      </c>
      <c r="L84" s="650"/>
    </row>
    <row r="85" spans="2:12" ht="15.6" x14ac:dyDescent="0.3">
      <c r="B85" s="648"/>
      <c r="C85" s="667">
        <v>74</v>
      </c>
      <c r="D85" s="667">
        <v>3935</v>
      </c>
      <c r="E85" s="667" t="s">
        <v>6783</v>
      </c>
      <c r="F85" s="760"/>
      <c r="G85" s="668" t="str">
        <f>+_xlfn.XLOOKUP(D85,APU_IDU[Código],APU_IDU[Nombre],"",0)</f>
        <v>TUBERIA CONCRETO D=14" CL. II SIN REFUERZO (INCLUYE SUMINISTRO E INSTALACIÓN)</v>
      </c>
      <c r="H85" s="666" t="str">
        <f>+_xlfn.XLOOKUP(D85,APU_IDU[Código],APU_IDU[UM],"",0)</f>
        <v>ML</v>
      </c>
      <c r="I85" s="669">
        <f>ROUND(+VLOOKUP(D85,CantidadesConsolidadas[[#Headers],[#Data]],53,FALSE),2)</f>
        <v>19.21</v>
      </c>
      <c r="J85" s="670">
        <f>ROUND(_xlfn.XLOOKUP(D85,APU_IDU[Código],APU_IDU[Valor],"",0)*(1+$K$146),0)</f>
        <v>336463</v>
      </c>
      <c r="K85" s="671">
        <f t="shared" si="1"/>
        <v>6463454</v>
      </c>
      <c r="L85" s="650"/>
    </row>
    <row r="86" spans="2:12" ht="15.6" x14ac:dyDescent="0.3">
      <c r="B86" s="648"/>
      <c r="C86" s="667">
        <v>75</v>
      </c>
      <c r="D86" s="667">
        <v>3936</v>
      </c>
      <c r="E86" s="667" t="s">
        <v>6783</v>
      </c>
      <c r="F86" s="760"/>
      <c r="G86" s="668" t="str">
        <f>+_xlfn.XLOOKUP(D86,APU_IDU[Código],APU_IDU[Nombre],"",0)</f>
        <v>TUBERIA CONCRETO D=16" CL. II SIN REFUERZO (INCLUYE SUMINISTRO E INSTALACIÓN)</v>
      </c>
      <c r="H86" s="666" t="str">
        <f>+_xlfn.XLOOKUP(D86,APU_IDU[Código],APU_IDU[UM],"",0)</f>
        <v>ML</v>
      </c>
      <c r="I86" s="669">
        <f>ROUND(+VLOOKUP(D86,CantidadesConsolidadas[[#Headers],[#Data]],53,FALSE),2)</f>
        <v>45.44</v>
      </c>
      <c r="J86" s="670">
        <f>ROUND(_xlfn.XLOOKUP(D86,APU_IDU[Código],APU_IDU[Valor],"",0)*(1+$K$146),0)</f>
        <v>430524</v>
      </c>
      <c r="K86" s="671">
        <f t="shared" si="1"/>
        <v>19563011</v>
      </c>
      <c r="L86" s="650"/>
    </row>
    <row r="87" spans="2:12" ht="27.6" x14ac:dyDescent="0.3">
      <c r="B87" s="648"/>
      <c r="C87" s="667">
        <v>76</v>
      </c>
      <c r="D87" s="667">
        <v>3041</v>
      </c>
      <c r="E87" s="667" t="s">
        <v>6783</v>
      </c>
      <c r="F87" s="760"/>
      <c r="G87" s="668" t="str">
        <f>+_xlfn.XLOOKUP(D87,APU_IDU[Código],APU_IDU[Nombre],"",0)</f>
        <v>TUBERIA PVC U.M. EXT CORRUGADO/INT LISO U.M. NORMA NTC 3722-1 D=4" (INCLUYE SUMINISTRO E INSTALACIÓN)</v>
      </c>
      <c r="H87" s="666" t="str">
        <f>+_xlfn.XLOOKUP(D87,APU_IDU[Código],APU_IDU[UM],"",0)</f>
        <v>ML</v>
      </c>
      <c r="I87" s="669">
        <f>ROUND(+VLOOKUP(D87,CantidadesConsolidadas[[#Headers],[#Data]],53,FALSE),2)</f>
        <v>635.12</v>
      </c>
      <c r="J87" s="670">
        <f>ROUND(_xlfn.XLOOKUP(D87,APU_IDU[Código],APU_IDU[Valor],"",0)*(1+$K$146),0)</f>
        <v>49962</v>
      </c>
      <c r="K87" s="671">
        <f t="shared" si="1"/>
        <v>31731865</v>
      </c>
      <c r="L87" s="650"/>
    </row>
    <row r="88" spans="2:12" ht="27.6" x14ac:dyDescent="0.3">
      <c r="B88" s="648"/>
      <c r="C88" s="667">
        <v>77</v>
      </c>
      <c r="D88" s="667">
        <v>3042</v>
      </c>
      <c r="E88" s="667" t="s">
        <v>6783</v>
      </c>
      <c r="F88" s="760"/>
      <c r="G88" s="668" t="str">
        <f>+_xlfn.XLOOKUP(D88,APU_IDU[Código],APU_IDU[Nombre],"",0)</f>
        <v>TUBERIA PVC U.M. EXT CORRUGADO/INT LISO U.M. NORMA NTC 3722-1 D=6" (INCLUYE SUMINISTRO E INSTALACIÓN)</v>
      </c>
      <c r="H88" s="666" t="str">
        <f>+_xlfn.XLOOKUP(D88,APU_IDU[Código],APU_IDU[UM],"",0)</f>
        <v>ML</v>
      </c>
      <c r="I88" s="669">
        <f>ROUND(+VLOOKUP(D88,CantidadesConsolidadas[[#Headers],[#Data]],53,FALSE),2)</f>
        <v>46.1</v>
      </c>
      <c r="J88" s="670">
        <f>ROUND(_xlfn.XLOOKUP(D88,APU_IDU[Código],APU_IDU[Valor],"",0)*(1+$K$146),0)</f>
        <v>83968</v>
      </c>
      <c r="K88" s="671">
        <f t="shared" si="1"/>
        <v>3870925</v>
      </c>
      <c r="L88" s="650"/>
    </row>
    <row r="89" spans="2:12" ht="27.6" x14ac:dyDescent="0.3">
      <c r="B89" s="648"/>
      <c r="C89" s="667">
        <v>78</v>
      </c>
      <c r="D89" s="667">
        <v>3043</v>
      </c>
      <c r="E89" s="667" t="s">
        <v>6783</v>
      </c>
      <c r="F89" s="760"/>
      <c r="G89" s="668" t="str">
        <f>+_xlfn.XLOOKUP(D89,APU_IDU[Código],APU_IDU[Nombre],"",0)</f>
        <v>TUBERIA PVC U.M. EXT CORRUGADO/INT LISO U.M. NORMA NTC 3722-1 D=8" (INCLUYE SUMINISTRO E INSTALACIÓN)</v>
      </c>
      <c r="H89" s="666" t="str">
        <f>+_xlfn.XLOOKUP(D89,APU_IDU[Código],APU_IDU[UM],"",0)</f>
        <v>ML</v>
      </c>
      <c r="I89" s="669">
        <f>ROUND(+VLOOKUP(D89,CantidadesConsolidadas[[#Headers],[#Data]],53,FALSE),2)</f>
        <v>45.44</v>
      </c>
      <c r="J89" s="670">
        <f>ROUND(_xlfn.XLOOKUP(D89,APU_IDU[Código],APU_IDU[Valor],"",0)*(1+$K$146),0)</f>
        <v>116163</v>
      </c>
      <c r="K89" s="671">
        <f t="shared" si="1"/>
        <v>5278447</v>
      </c>
      <c r="L89" s="650"/>
    </row>
    <row r="90" spans="2:12" ht="27.6" x14ac:dyDescent="0.3">
      <c r="B90" s="648"/>
      <c r="C90" s="667">
        <v>79</v>
      </c>
      <c r="D90" s="667">
        <v>3044</v>
      </c>
      <c r="E90" s="667" t="s">
        <v>6783</v>
      </c>
      <c r="F90" s="760"/>
      <c r="G90" s="668" t="str">
        <f>+_xlfn.XLOOKUP(D90,APU_IDU[Código],APU_IDU[Nombre],"",0)</f>
        <v>TUBERIA PVC U.M. EXT CORRUGADO/INT LISO U.M. NORMA NTC 3722-1 D=10" (INCLUYE SUMINISTRO E INSTALACIÓN)</v>
      </c>
      <c r="H90" s="666" t="str">
        <f>+_xlfn.XLOOKUP(D90,APU_IDU[Código],APU_IDU[UM],"",0)</f>
        <v>ML</v>
      </c>
      <c r="I90" s="669">
        <f>ROUND(+VLOOKUP(D90,CantidadesConsolidadas[[#Headers],[#Data]],53,FALSE),2)</f>
        <v>49.04</v>
      </c>
      <c r="J90" s="670">
        <f>ROUND(_xlfn.XLOOKUP(D90,APU_IDU[Código],APU_IDU[Valor],"",0)*(1+$K$146),0)</f>
        <v>163494</v>
      </c>
      <c r="K90" s="671">
        <f t="shared" si="1"/>
        <v>8017746</v>
      </c>
      <c r="L90" s="650"/>
    </row>
    <row r="91" spans="2:12" ht="27.6" x14ac:dyDescent="0.3">
      <c r="B91" s="648"/>
      <c r="C91" s="667">
        <v>80</v>
      </c>
      <c r="D91" s="667">
        <v>3045</v>
      </c>
      <c r="E91" s="667" t="s">
        <v>6783</v>
      </c>
      <c r="F91" s="760"/>
      <c r="G91" s="668" t="str">
        <f>+_xlfn.XLOOKUP(D91,APU_IDU[Código],APU_IDU[Nombre],"",0)</f>
        <v>TUBERIA PVC U.M. EXT CORRUGADO/INT LISO U.M. NORMA NTC 3722-1 D=12" (INCLUYE SUMINISTRO E INSTALACIÓN)</v>
      </c>
      <c r="H91" s="666" t="str">
        <f>+_xlfn.XLOOKUP(D91,APU_IDU[Código],APU_IDU[UM],"",0)</f>
        <v>ML</v>
      </c>
      <c r="I91" s="669">
        <f>ROUND(+VLOOKUP(D91,CantidadesConsolidadas[[#Headers],[#Data]],53,FALSE),2)</f>
        <v>7.91</v>
      </c>
      <c r="J91" s="670">
        <f>ROUND(_xlfn.XLOOKUP(D91,APU_IDU[Código],APU_IDU[Valor],"",0)*(1+$K$146),0)</f>
        <v>228162</v>
      </c>
      <c r="K91" s="671">
        <f t="shared" si="1"/>
        <v>1804761</v>
      </c>
      <c r="L91" s="650"/>
    </row>
    <row r="92" spans="2:12" ht="27.6" x14ac:dyDescent="0.3">
      <c r="B92" s="648"/>
      <c r="C92" s="667">
        <v>81</v>
      </c>
      <c r="D92" s="667">
        <v>3047</v>
      </c>
      <c r="E92" s="667" t="s">
        <v>6783</v>
      </c>
      <c r="F92" s="760"/>
      <c r="G92" s="668" t="str">
        <f>+_xlfn.XLOOKUP(D92,APU_IDU[Código],APU_IDU[Nombre],"",0)</f>
        <v>TUBERIA PVC U.M. EXT CORRUGADO/INT LISO U.M. NORMA NTC 3722-1 D=18" (INCLUYE SUMINISTRO E INSTALACIÓN)</v>
      </c>
      <c r="H92" s="666" t="str">
        <f>+_xlfn.XLOOKUP(D92,APU_IDU[Código],APU_IDU[UM],"",0)</f>
        <v>ML</v>
      </c>
      <c r="I92" s="669">
        <f>ROUND(+VLOOKUP(D92,CantidadesConsolidadas[[#Headers],[#Data]],53,FALSE),2)</f>
        <v>12.8</v>
      </c>
      <c r="J92" s="670">
        <f>ROUND(_xlfn.XLOOKUP(D92,APU_IDU[Código],APU_IDU[Valor],"",0)*(1+$K$146),0)</f>
        <v>546760</v>
      </c>
      <c r="K92" s="671">
        <f t="shared" si="1"/>
        <v>6998528</v>
      </c>
      <c r="L92" s="650"/>
    </row>
    <row r="93" spans="2:12" ht="110.4" x14ac:dyDescent="0.3">
      <c r="B93" s="648"/>
      <c r="C93" s="667">
        <v>82</v>
      </c>
      <c r="D93" s="667">
        <v>8001</v>
      </c>
      <c r="E93" s="667" t="s">
        <v>6783</v>
      </c>
      <c r="F93" s="760"/>
      <c r="G93" s="668" t="str">
        <f>+_xlfn.XLOOKUP(D93,APU_IDU[Código],APU_IDU[Nombre],"",0)</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H93" s="666" t="str">
        <f>+_xlfn.XLOOKUP(D93,APU_IDU[Código],APU_IDU[UM],"",0)</f>
        <v>ML</v>
      </c>
      <c r="I93" s="669">
        <f>ROUND(+VLOOKUP(D93,CantidadesConsolidadas[[#Headers],[#Data]],53,FALSE),2)</f>
        <v>13.15</v>
      </c>
      <c r="J93" s="670">
        <f>ROUND(_xlfn.XLOOKUP(D93,APU_IDU[Código],APU_IDU[Valor],"",0)*(1+$K$146),0)</f>
        <v>2193801</v>
      </c>
      <c r="K93" s="671">
        <f t="shared" si="1"/>
        <v>28848483</v>
      </c>
      <c r="L93" s="650"/>
    </row>
    <row r="94" spans="2:12" ht="110.4" x14ac:dyDescent="0.3">
      <c r="B94" s="648"/>
      <c r="C94" s="667">
        <v>83</v>
      </c>
      <c r="D94" s="667">
        <v>8002</v>
      </c>
      <c r="E94" s="667" t="s">
        <v>6783</v>
      </c>
      <c r="F94" s="760"/>
      <c r="G94" s="668" t="str">
        <f>+_xlfn.XLOOKUP(D94,APU_IDU[Código],APU_IDU[Nombre],"",0)</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H94" s="666" t="str">
        <f>+_xlfn.XLOOKUP(D94,APU_IDU[Código],APU_IDU[UM],"",0)</f>
        <v>ML</v>
      </c>
      <c r="I94" s="669">
        <f>ROUND(+VLOOKUP(D94,CantidadesConsolidadas[[#Headers],[#Data]],53,FALSE),2)</f>
        <v>20.94</v>
      </c>
      <c r="J94" s="670">
        <f>ROUND(_xlfn.XLOOKUP(D94,APU_IDU[Código],APU_IDU[Valor],"",0)*(1+$K$146),0)</f>
        <v>2405616</v>
      </c>
      <c r="K94" s="671">
        <f t="shared" si="1"/>
        <v>50373599</v>
      </c>
      <c r="L94" s="650"/>
    </row>
    <row r="95" spans="2:12" ht="110.4" x14ac:dyDescent="0.3">
      <c r="B95" s="648"/>
      <c r="C95" s="667">
        <v>84</v>
      </c>
      <c r="D95" s="667">
        <v>8003</v>
      </c>
      <c r="E95" s="667" t="s">
        <v>6783</v>
      </c>
      <c r="F95" s="760"/>
      <c r="G95" s="668" t="str">
        <f>+_xlfn.XLOOKUP(D95,APU_IDU[Código],APU_IDU[Nombre],"",0)</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H95" s="666" t="str">
        <f>+_xlfn.XLOOKUP(D95,APU_IDU[Código],APU_IDU[UM],"",0)</f>
        <v>ML</v>
      </c>
      <c r="I95" s="669">
        <f>ROUND(+VLOOKUP(D95,CantidadesConsolidadas[[#Headers],[#Data]],53,FALSE),2)</f>
        <v>8.64</v>
      </c>
      <c r="J95" s="670">
        <f>ROUND(_xlfn.XLOOKUP(D95,APU_IDU[Código],APU_IDU[Valor],"",0)*(1+$K$146),0)</f>
        <v>2647691</v>
      </c>
      <c r="K95" s="671">
        <f t="shared" si="1"/>
        <v>22876050</v>
      </c>
      <c r="L95" s="650"/>
    </row>
    <row r="96" spans="2:12" ht="27.6" x14ac:dyDescent="0.3">
      <c r="B96" s="648"/>
      <c r="C96" s="667">
        <v>85</v>
      </c>
      <c r="D96" s="667">
        <v>4553</v>
      </c>
      <c r="E96" s="667" t="s">
        <v>6783</v>
      </c>
      <c r="F96" s="760"/>
      <c r="G96" s="668" t="str">
        <f>+_xlfn.XLOOKUP(D96,APU_IDU[Código],APU_IDU[Nombre],"",0)</f>
        <v>POZO DE INSPECCION D=1.7 M (INCL. SUMINISTRO E INSTALACION). INCLUYE CILINDRO POZO DE INSPECCION EN MAMPOSTERIA, CONO PREFABRICADO, PLACA FONDO.</v>
      </c>
      <c r="H96" s="666" t="str">
        <f>+_xlfn.XLOOKUP(D96,APU_IDU[Código],APU_IDU[UM],"",0)</f>
        <v>UN</v>
      </c>
      <c r="I96" s="669">
        <f>ROUND(+VLOOKUP(D96,CantidadesConsolidadas[[#Headers],[#Data]],53,FALSE),2)</f>
        <v>1</v>
      </c>
      <c r="J96" s="670">
        <f>ROUND(_xlfn.XLOOKUP(D96,APU_IDU[Código],APU_IDU[Valor],"",0)*(1+$K$146),0)</f>
        <v>5745017</v>
      </c>
      <c r="K96" s="671">
        <f t="shared" si="1"/>
        <v>5745017</v>
      </c>
      <c r="L96" s="650"/>
    </row>
    <row r="97" spans="2:12" ht="15.6" x14ac:dyDescent="0.3">
      <c r="B97" s="648"/>
      <c r="C97" s="667">
        <v>86</v>
      </c>
      <c r="D97" s="667">
        <v>3800</v>
      </c>
      <c r="E97" s="667" t="s">
        <v>6783</v>
      </c>
      <c r="F97" s="760"/>
      <c r="G97" s="668" t="str">
        <f>+_xlfn.XLOOKUP(D97,APU_IDU[Código],APU_IDU[Nombre],"",0)</f>
        <v>NIVELACION Y COMPACTACIÓN DE SUBRASANTE</v>
      </c>
      <c r="H97" s="666" t="str">
        <f>+_xlfn.XLOOKUP(D97,APU_IDU[Código],APU_IDU[UM],"",0)</f>
        <v>M2</v>
      </c>
      <c r="I97" s="669">
        <f>ROUND(+VLOOKUP(D97,CantidadesConsolidadas[[#Headers],[#Data]],53,FALSE),2)</f>
        <v>3360.85</v>
      </c>
      <c r="J97" s="670">
        <f>ROUND(_xlfn.XLOOKUP(D97,APU_IDU[Código],APU_IDU[Valor],"",0)*(1+$K$146),0)</f>
        <v>2440</v>
      </c>
      <c r="K97" s="671">
        <f t="shared" si="1"/>
        <v>8200474</v>
      </c>
      <c r="L97" s="650"/>
    </row>
    <row r="98" spans="2:12" ht="27.6" x14ac:dyDescent="0.3">
      <c r="B98" s="648"/>
      <c r="C98" s="667">
        <v>87</v>
      </c>
      <c r="D98" s="667">
        <v>4396</v>
      </c>
      <c r="E98" s="667" t="s">
        <v>6783</v>
      </c>
      <c r="F98" s="760"/>
      <c r="G98" s="668" t="str">
        <f>+_xlfn.XLOOKUP(D98,APU_IDU[Código],APU_IDU[Nombre],"",0)</f>
        <v>ADOQUIN DE ARCILLA TR. LIVIANO 20X10X6CM (SUMINISTRO E INSTALACIÓN. INCLUYE BASE 4CM ARENA NIVELACION Y ARENA DE SELLO)</v>
      </c>
      <c r="H98" s="666" t="str">
        <f>+_xlfn.XLOOKUP(D98,APU_IDU[Código],APU_IDU[UM],"",0)</f>
        <v>M2</v>
      </c>
      <c r="I98" s="669">
        <f>ROUND(+VLOOKUP(D98,CantidadesConsolidadas[[#Headers],[#Data]],53,FALSE),2)</f>
        <v>39.020000000000003</v>
      </c>
      <c r="J98" s="670">
        <f>ROUND(_xlfn.XLOOKUP(D98,APU_IDU[Código],APU_IDU[Valor],"",0)*(1+$K$146),0)</f>
        <v>109864</v>
      </c>
      <c r="K98" s="671">
        <f t="shared" si="1"/>
        <v>4286893</v>
      </c>
      <c r="L98" s="650"/>
    </row>
    <row r="99" spans="2:12" ht="27.6" x14ac:dyDescent="0.3">
      <c r="B99" s="648"/>
      <c r="C99" s="667">
        <v>88</v>
      </c>
      <c r="D99" s="667">
        <v>4919</v>
      </c>
      <c r="E99" s="667" t="s">
        <v>6783</v>
      </c>
      <c r="F99" s="760"/>
      <c r="G99" s="668" t="str">
        <f>+_xlfn.XLOOKUP(D99,APU_IDU[Código],APU_IDU[Nombre],"",0)</f>
        <v>ADOQUIN EN CONCRETO 200X100X60MM A25 (SUMINISTRO E INSTALACIÓN. INCLUYE BASE 4CM MORTERO 2000 PSI Y ARENA DE SELLO).</v>
      </c>
      <c r="H99" s="666" t="str">
        <f>+_xlfn.XLOOKUP(D99,APU_IDU[Código],APU_IDU[UM],"",0)</f>
        <v>M2</v>
      </c>
      <c r="I99" s="669">
        <f>ROUND(+VLOOKUP(D99,CantidadesConsolidadas[[#Headers],[#Data]],53,FALSE),2)</f>
        <v>64.650000000000006</v>
      </c>
      <c r="J99" s="670">
        <f>ROUND(_xlfn.XLOOKUP(D99,APU_IDU[Código],APU_IDU[Valor],"",0)*(1+$K$146),0)</f>
        <v>187963</v>
      </c>
      <c r="K99" s="671">
        <f t="shared" si="1"/>
        <v>12151808</v>
      </c>
      <c r="L99" s="650"/>
    </row>
    <row r="100" spans="2:12" ht="27.6" x14ac:dyDescent="0.3">
      <c r="B100" s="648"/>
      <c r="C100" s="667">
        <v>89</v>
      </c>
      <c r="D100" s="667">
        <v>5047</v>
      </c>
      <c r="E100" s="667" t="s">
        <v>6783</v>
      </c>
      <c r="F100" s="760"/>
      <c r="G100" s="668" t="str">
        <f>+_xlfn.XLOOKUP(D100,APU_IDU[Código],APU_IDU[Nombre],"",0)</f>
        <v>ADOQUIN EN CONCRETO COLOR OCRE A25 (20X10X6cm) (Suministro e instalación. Incluye base 4cm mortero 2000 PSI y arena de sello)</v>
      </c>
      <c r="H100" s="666" t="str">
        <f>+_xlfn.XLOOKUP(D100,APU_IDU[Código],APU_IDU[UM],"",0)</f>
        <v>M2</v>
      </c>
      <c r="I100" s="669">
        <f>ROUND(+VLOOKUP(D100,CantidadesConsolidadas[[#Headers],[#Data]],53,FALSE),2)</f>
        <v>39.020000000000003</v>
      </c>
      <c r="J100" s="670">
        <f>ROUND(_xlfn.XLOOKUP(D100,APU_IDU[Código],APU_IDU[Valor],"",0)*(1+$K$146),0)</f>
        <v>202272</v>
      </c>
      <c r="K100" s="671">
        <f t="shared" si="1"/>
        <v>7892653</v>
      </c>
      <c r="L100" s="650"/>
    </row>
    <row r="101" spans="2:12" ht="41.4" x14ac:dyDescent="0.3">
      <c r="B101" s="648"/>
      <c r="C101" s="667">
        <v>90</v>
      </c>
      <c r="D101" s="667">
        <v>6021</v>
      </c>
      <c r="E101" s="667" t="s">
        <v>6783</v>
      </c>
      <c r="F101" s="760"/>
      <c r="G101" s="668" t="str">
        <f>+_xlfn.XLOOKUP(D101,APU_IDU[Código],APU_IDU[Nombre],"",0)</f>
        <v>CONCRETO DE NIVELACIÓN 2000 PSI GRAVA COMÚN (140 KG/CM2) (PREMEZCLADO. INCLUYE SUMINISTRO, FUNDIDA Y NIVELACIÓN Y COLOCACIÓN. NO INCLUYE REFUERZO, CURADO) PARA MEJORAMIENTO, ADECUACIÓN Y REHABILITACIÓN DE ESPACIO PÚBLICO.</v>
      </c>
      <c r="H101" s="666" t="str">
        <f>+_xlfn.XLOOKUP(D101,APU_IDU[Código],APU_IDU[UM],"",0)</f>
        <v>M3</v>
      </c>
      <c r="I101" s="669">
        <f>ROUND(+VLOOKUP(D101,CantidadesConsolidadas[[#Headers],[#Data]],53,FALSE),2)</f>
        <v>5</v>
      </c>
      <c r="J101" s="670">
        <f>ROUND(_xlfn.XLOOKUP(D101,APU_IDU[Código],APU_IDU[Valor],"",0)*(1+$K$146),0)</f>
        <v>1068206</v>
      </c>
      <c r="K101" s="671">
        <f t="shared" si="1"/>
        <v>5341030</v>
      </c>
      <c r="L101" s="650"/>
    </row>
    <row r="102" spans="2:12" ht="27.6" x14ac:dyDescent="0.3">
      <c r="B102" s="648"/>
      <c r="C102" s="667">
        <v>91</v>
      </c>
      <c r="D102" s="667">
        <v>4908</v>
      </c>
      <c r="E102" s="667" t="s">
        <v>6783</v>
      </c>
      <c r="F102" s="760"/>
      <c r="G102" s="668" t="str">
        <f>+_xlfn.XLOOKUP(D102,APU_IDU[Código],APU_IDU[Nombre],"",0)</f>
        <v>MATERIAL SELECCIONADO. (INCLUYE SUMINISTRO, EXTENDIDO MANUAL, NIVELACIÓN, HUMEDECIMIENTO, COMPACTACIÓN Y TRANSPORTE A 21Km).</v>
      </c>
      <c r="H102" s="666" t="str">
        <f>+_xlfn.XLOOKUP(D102,APU_IDU[Código],APU_IDU[UM],"",0)</f>
        <v>M3</v>
      </c>
      <c r="I102" s="669">
        <f>ROUND(+VLOOKUP(D102,CantidadesConsolidadas[[#Headers],[#Data]],53,FALSE),2)</f>
        <v>26.69</v>
      </c>
      <c r="J102" s="670">
        <f>ROUND(_xlfn.XLOOKUP(D102,APU_IDU[Código],APU_IDU[Valor],"",0)*(1+$K$146),0)</f>
        <v>169901</v>
      </c>
      <c r="K102" s="671">
        <f t="shared" si="1"/>
        <v>4534658</v>
      </c>
      <c r="L102" s="650"/>
    </row>
    <row r="103" spans="2:12" ht="27.6" x14ac:dyDescent="0.3">
      <c r="B103" s="648"/>
      <c r="C103" s="667">
        <v>92</v>
      </c>
      <c r="D103" s="667">
        <v>3011</v>
      </c>
      <c r="E103" s="667" t="s">
        <v>6783</v>
      </c>
      <c r="F103" s="760"/>
      <c r="G103" s="668" t="str">
        <f>+_xlfn.XLOOKUP(D103,APU_IDU[Código],APU_IDU[Nombre],"",0)</f>
        <v>DEMOLICION MANUAL SARDINEL EXISTENTE (INCLUYE CARGUE). NO INCLUYE TRANSPORTE Y DISPOSICIÓN FINAL DE SOBRANTES.</v>
      </c>
      <c r="H103" s="666" t="str">
        <f>+_xlfn.XLOOKUP(D103,APU_IDU[Código],APU_IDU[UM],"",0)</f>
        <v>ML</v>
      </c>
      <c r="I103" s="669">
        <f>ROUND(+VLOOKUP(D103,CantidadesConsolidadas[[#Headers],[#Data]],53,FALSE),2)</f>
        <v>1191.24</v>
      </c>
      <c r="J103" s="670">
        <f>ROUND(_xlfn.XLOOKUP(D103,APU_IDU[Código],APU_IDU[Valor],"",0)*(1+$K$146),0)</f>
        <v>10395</v>
      </c>
      <c r="K103" s="671">
        <f t="shared" si="1"/>
        <v>12382940</v>
      </c>
      <c r="L103" s="650"/>
    </row>
    <row r="104" spans="2:12" ht="15.6" x14ac:dyDescent="0.3">
      <c r="B104" s="648"/>
      <c r="C104" s="667">
        <v>93</v>
      </c>
      <c r="D104" s="667">
        <v>3464</v>
      </c>
      <c r="E104" s="667" t="s">
        <v>6783</v>
      </c>
      <c r="F104" s="760"/>
      <c r="G104" s="668" t="str">
        <f>+_xlfn.XLOOKUP(D104,APU_IDU[Código],APU_IDU[Nombre],"",0)</f>
        <v>EXCAVACION MANUAL EN MATERIAL COMUN. INCLUYE CARGUE.</v>
      </c>
      <c r="H104" s="666" t="str">
        <f>+_xlfn.XLOOKUP(D104,APU_IDU[Código],APU_IDU[UM],"",0)</f>
        <v>M3</v>
      </c>
      <c r="I104" s="669">
        <f>ROUND(+VLOOKUP(D104,CantidadesConsolidadas[[#Headers],[#Data]],53,FALSE),2)</f>
        <v>504.12</v>
      </c>
      <c r="J104" s="670">
        <f>ROUND(_xlfn.XLOOKUP(D104,APU_IDU[Código],APU_IDU[Valor],"",0)*(1+$K$146),0)</f>
        <v>74340</v>
      </c>
      <c r="K104" s="671">
        <f t="shared" si="1"/>
        <v>37476281</v>
      </c>
      <c r="L104" s="650"/>
    </row>
    <row r="105" spans="2:12" ht="41.4" x14ac:dyDescent="0.3">
      <c r="B105" s="648"/>
      <c r="C105" s="667">
        <v>94</v>
      </c>
      <c r="D105" s="667">
        <v>4032</v>
      </c>
      <c r="E105" s="667" t="s">
        <v>6783</v>
      </c>
      <c r="F105" s="760"/>
      <c r="G105" s="668" t="str">
        <f>+_xlfn.XLOOKUP(D105,APU_IDU[Código],APU_IDU[Nombre],"",0)</f>
        <v>GEOTEXTIL TEJIDO CON RESISTENCIA A LA TENSION METODO TIRA ANCHA SENTIDO LONGITUDINAL: ENTRE 40 KN/M Y 43 KN/M. PARA SEPARACION SUBRASANTE/CAPAS GRANULARES. (INCLUYE SUMINISTRO E INSTALACION).</v>
      </c>
      <c r="H105" s="666" t="str">
        <f>+_xlfn.XLOOKUP(D105,APU_IDU[Código],APU_IDU[UM],"",0)</f>
        <v>M2</v>
      </c>
      <c r="I105" s="669">
        <f>ROUND(+VLOOKUP(D105,CantidadesConsolidadas[[#Headers],[#Data]],53,FALSE),2)</f>
        <v>141.11000000000001</v>
      </c>
      <c r="J105" s="670">
        <f>ROUND(_xlfn.XLOOKUP(D105,APU_IDU[Código],APU_IDU[Valor],"",0)*(1+$K$146),0)</f>
        <v>19580</v>
      </c>
      <c r="K105" s="671">
        <f t="shared" si="1"/>
        <v>2762934</v>
      </c>
      <c r="L105" s="650"/>
    </row>
    <row r="106" spans="2:12" ht="41.4" x14ac:dyDescent="0.3">
      <c r="B106" s="648"/>
      <c r="C106" s="667">
        <v>95</v>
      </c>
      <c r="D106" s="667">
        <v>6471</v>
      </c>
      <c r="E106" s="667" t="s">
        <v>6783</v>
      </c>
      <c r="F106" s="760"/>
      <c r="G106" s="668" t="str">
        <f>+_xlfn.XLOOKUP(D106,APU_IDU[Código],APU_IDU[Nombre],"",0)</f>
        <v>SUBBASE GRANULAR PEATONAL SBG_PEA. (SUMINISTRO, EXTENDIDO  Y NIVELACIÓN MANUAL, HUMEDECIMIENTO MECÁNICO Y COMPACTACIÓN MECÁNICA CON VIBROCOMPACTADOR TÁNDEM PEQUEÑO, INCLUYE OPERARIO Y COMBUSTIBLE).</v>
      </c>
      <c r="H106" s="666" t="str">
        <f>+_xlfn.XLOOKUP(D106,APU_IDU[Código],APU_IDU[UM],"",0)</f>
        <v>M3</v>
      </c>
      <c r="I106" s="669">
        <f>ROUND(+VLOOKUP(D106,CantidadesConsolidadas[[#Headers],[#Data]],53,FALSE),2)</f>
        <v>477.43</v>
      </c>
      <c r="J106" s="670">
        <f>ROUND(_xlfn.XLOOKUP(D106,APU_IDU[Código],APU_IDU[Valor],"",0)*(1+$K$146),0)</f>
        <v>253051</v>
      </c>
      <c r="K106" s="671">
        <f t="shared" si="1"/>
        <v>120814139</v>
      </c>
      <c r="L106" s="650"/>
    </row>
    <row r="107" spans="2:12" ht="41.4" x14ac:dyDescent="0.3">
      <c r="B107" s="648"/>
      <c r="C107" s="667">
        <v>96</v>
      </c>
      <c r="D107" s="667">
        <v>8228</v>
      </c>
      <c r="E107" s="667" t="s">
        <v>6783</v>
      </c>
      <c r="F107" s="760"/>
      <c r="G107" s="668" t="str">
        <f>+_xlfn.XLOOKUP(D107,APU_IDU[Código],APU_IDU[Nombre],"",0)</f>
        <v>CENEFA LINEAL EN LOSETA PREFABRICADA TÁCTIL ALERTA A57 / A58 ANCHO 0.20M COLOR AMARILLO. (SUMINISTRO E INSTALACIÓN. INCLUYE BASE EN ARENA DE NIVELACIÓN E= 4CM Y ARENA DE SELLO).</v>
      </c>
      <c r="H107" s="666" t="str">
        <f>+_xlfn.XLOOKUP(D107,APU_IDU[Código],APU_IDU[UM],"",0)</f>
        <v>ML</v>
      </c>
      <c r="I107" s="669">
        <f>ROUND(+VLOOKUP(D107,CantidadesConsolidadas[[#Headers],[#Data]],53,FALSE),2)</f>
        <v>447.23</v>
      </c>
      <c r="J107" s="670">
        <f>ROUND(_xlfn.XLOOKUP(D107,APU_IDU[Código],APU_IDU[Valor],"",0)*(1+$K$146),0)</f>
        <v>44048</v>
      </c>
      <c r="K107" s="671">
        <f t="shared" si="1"/>
        <v>19699587</v>
      </c>
      <c r="L107" s="650"/>
    </row>
    <row r="108" spans="2:12" ht="41.4" x14ac:dyDescent="0.3">
      <c r="B108" s="648"/>
      <c r="C108" s="667">
        <v>97</v>
      </c>
      <c r="D108" s="667">
        <v>6102</v>
      </c>
      <c r="E108" s="667" t="s">
        <v>6783</v>
      </c>
      <c r="F108" s="760"/>
      <c r="G108" s="668" t="str">
        <f>+_xlfn.XLOOKUP(D108,APU_IDU[Código],APU_IDU[Nombre],"",0)</f>
        <v>CENEFA LINEAL EN LOSETA PREFABRICADA TÁCTIL ALERTA Y GUÍA A55 / A56 ANCHO 0.40m (SUMINISTRO E INSTALACIÓN. INCLUYE BASE EN ARENA DE NIVELACIÓN e= 4cm Y ARENA DE SELLO).</v>
      </c>
      <c r="H108" s="666" t="str">
        <f>+_xlfn.XLOOKUP(D108,APU_IDU[Código],APU_IDU[UM],"",0)</f>
        <v>ML</v>
      </c>
      <c r="I108" s="669">
        <f>ROUND(+VLOOKUP(D108,CantidadesConsolidadas[[#Headers],[#Data]],53,FALSE),2)</f>
        <v>601.32000000000005</v>
      </c>
      <c r="J108" s="670">
        <f>ROUND(_xlfn.XLOOKUP(D108,APU_IDU[Código],APU_IDU[Valor],"",0)*(1+$K$146),0)</f>
        <v>63466</v>
      </c>
      <c r="K108" s="671">
        <f t="shared" si="1"/>
        <v>38163375</v>
      </c>
      <c r="L108" s="650"/>
    </row>
    <row r="109" spans="2:12" ht="27.6" x14ac:dyDescent="0.3">
      <c r="B109" s="648"/>
      <c r="C109" s="667">
        <v>98</v>
      </c>
      <c r="D109" s="667">
        <v>6422</v>
      </c>
      <c r="E109" s="667" t="s">
        <v>6783</v>
      </c>
      <c r="F109" s="760"/>
      <c r="G109" s="668" t="str">
        <f>+_xlfn.XLOOKUP(D109,APU_IDU[Código],APU_IDU[Nombre],"",0)</f>
        <v>REJILLA PREFABRICADA EN CONCRETO 0,4M X 0,4M. (INCLUYE SUMINISTRO Y COLOCACIÓN, MORTERO DE 2000 PSI Y MANO DE OBRA)</v>
      </c>
      <c r="H109" s="666" t="str">
        <f>+_xlfn.XLOOKUP(D109,APU_IDU[Código],APU_IDU[UM],"",0)</f>
        <v>UN</v>
      </c>
      <c r="I109" s="669">
        <f>ROUND(+VLOOKUP(D109,CantidadesConsolidadas[[#Headers],[#Data]],53,FALSE),2)</f>
        <v>11</v>
      </c>
      <c r="J109" s="670">
        <f>ROUND(_xlfn.XLOOKUP(D109,APU_IDU[Código],APU_IDU[Valor],"",0)*(1+$K$146),0)</f>
        <v>123219</v>
      </c>
      <c r="K109" s="671">
        <f t="shared" si="1"/>
        <v>1355409</v>
      </c>
      <c r="L109" s="650"/>
    </row>
    <row r="110" spans="2:12" ht="15.6" x14ac:dyDescent="0.3">
      <c r="B110" s="648"/>
      <c r="C110" s="667">
        <v>99</v>
      </c>
      <c r="D110" s="667">
        <v>4751</v>
      </c>
      <c r="E110" s="667" t="s">
        <v>6783</v>
      </c>
      <c r="F110" s="760"/>
      <c r="G110" s="668" t="str">
        <f>+_xlfn.XLOOKUP(D110,APU_IDU[Código],APU_IDU[Nombre],"",0)</f>
        <v>FRANJA DE AJUSTE EN CONCRETO 3000 PSI E= 10 CM ANCHO ENTRE 12-20CM</v>
      </c>
      <c r="H110" s="666" t="str">
        <f>+_xlfn.XLOOKUP(D110,APU_IDU[Código],APU_IDU[UM],"",0)</f>
        <v>ML</v>
      </c>
      <c r="I110" s="669">
        <f>ROUND(+VLOOKUP(D110,CantidadesConsolidadas[[#Headers],[#Data]],53,FALSE),2)</f>
        <v>27.67</v>
      </c>
      <c r="J110" s="670">
        <f>ROUND(_xlfn.XLOOKUP(D110,APU_IDU[Código],APU_IDU[Valor],"",0)*(1+$K$146),0)</f>
        <v>21014</v>
      </c>
      <c r="K110" s="671">
        <f t="shared" si="1"/>
        <v>581457</v>
      </c>
      <c r="L110" s="650"/>
    </row>
    <row r="111" spans="2:12" ht="27.6" x14ac:dyDescent="0.3">
      <c r="B111" s="648"/>
      <c r="C111" s="667">
        <v>100</v>
      </c>
      <c r="D111" s="667">
        <v>3210</v>
      </c>
      <c r="E111" s="667" t="s">
        <v>6783</v>
      </c>
      <c r="F111" s="760"/>
      <c r="G111" s="668" t="str">
        <f>+_xlfn.XLOOKUP(D111,APU_IDU[Código],APU_IDU[Nombre],"",0)</f>
        <v>BORDILLO PREFABRICADO A80 (SUMINISTRO E INSTALACIÓN. INCLUYE 3CM MORTERO DE NIVELACIÓN 2000 PSI)</v>
      </c>
      <c r="H111" s="666" t="str">
        <f>+_xlfn.XLOOKUP(D111,APU_IDU[Código],APU_IDU[UM],"",0)</f>
        <v>ML</v>
      </c>
      <c r="I111" s="669">
        <f>ROUND(+VLOOKUP(D111,CantidadesConsolidadas[[#Headers],[#Data]],53,FALSE),2)</f>
        <v>793.54</v>
      </c>
      <c r="J111" s="670">
        <f>ROUND(_xlfn.XLOOKUP(D111,APU_IDU[Código],APU_IDU[Valor],"",0)*(1+$K$146),0)</f>
        <v>104995</v>
      </c>
      <c r="K111" s="671">
        <f t="shared" si="1"/>
        <v>83317732</v>
      </c>
      <c r="L111" s="650"/>
    </row>
    <row r="112" spans="2:12" ht="41.4" x14ac:dyDescent="0.3">
      <c r="B112" s="648"/>
      <c r="C112" s="667">
        <v>101</v>
      </c>
      <c r="D112" s="667">
        <v>6475</v>
      </c>
      <c r="E112" s="667" t="s">
        <v>6783</v>
      </c>
      <c r="F112" s="760"/>
      <c r="G112" s="668" t="str">
        <f>+_xlfn.XLOOKUP(D112,APU_IDU[Código],APU_IDU[Nombre],"",0)</f>
        <v>BORDILLO PREFABRICADO A80 (SUMINISTRO E INSTALACIÓN. INCLUYE 3CM MORTERO DE PEGA 2000 PSI Y NIVELACIÓN DEL TERRENO CON RELLENO EN MATERIAL SELECCIONADO PROVENIENTE DE EXCAVACIÓN).</v>
      </c>
      <c r="H112" s="666" t="str">
        <f>+_xlfn.XLOOKUP(D112,APU_IDU[Código],APU_IDU[UM],"",0)</f>
        <v>ML</v>
      </c>
      <c r="I112" s="669">
        <f>ROUND(+VLOOKUP(D112,CantidadesConsolidadas[[#Headers],[#Data]],53,FALSE),2)</f>
        <v>12.7</v>
      </c>
      <c r="J112" s="670">
        <f>ROUND(_xlfn.XLOOKUP(D112,APU_IDU[Código],APU_IDU[Valor],"",0)*(1+$K$146),0)</f>
        <v>114126</v>
      </c>
      <c r="K112" s="671">
        <f t="shared" si="1"/>
        <v>1449400</v>
      </c>
      <c r="L112" s="650"/>
    </row>
    <row r="113" spans="1:12" ht="15.6" x14ac:dyDescent="0.3">
      <c r="B113" s="648"/>
      <c r="C113" s="667">
        <v>102</v>
      </c>
      <c r="D113" s="667">
        <v>4054</v>
      </c>
      <c r="E113" s="667" t="s">
        <v>6783</v>
      </c>
      <c r="F113" s="760"/>
      <c r="G113" s="668" t="str">
        <f>+_xlfn.XLOOKUP(D113,APU_IDU[Código],APU_IDU[Nombre],"",0)</f>
        <v>SARDINEL TIPO A10 (SUMINISTRO E INSTALACIÓN. INCLUYE 3CM MORTERO 2000 PSI)</v>
      </c>
      <c r="H113" s="666" t="str">
        <f>+_xlfn.XLOOKUP(D113,APU_IDU[Código],APU_IDU[UM],"",0)</f>
        <v>ML</v>
      </c>
      <c r="I113" s="669">
        <f>ROUND(+VLOOKUP(D113,CantidadesConsolidadas[[#Headers],[#Data]],53,FALSE),2)</f>
        <v>385</v>
      </c>
      <c r="J113" s="670">
        <f>ROUND(_xlfn.XLOOKUP(D113,APU_IDU[Código],APU_IDU[Valor],"",0)*(1+$K$146),0)</f>
        <v>117819</v>
      </c>
      <c r="K113" s="671">
        <f t="shared" si="1"/>
        <v>45360315</v>
      </c>
      <c r="L113" s="650"/>
    </row>
    <row r="114" spans="1:12" ht="27.6" x14ac:dyDescent="0.3">
      <c r="B114" s="648"/>
      <c r="C114" s="667">
        <v>103</v>
      </c>
      <c r="D114" s="667">
        <v>4088</v>
      </c>
      <c r="E114" s="667" t="s">
        <v>6783</v>
      </c>
      <c r="F114" s="760"/>
      <c r="G114" s="668" t="str">
        <f>+_xlfn.XLOOKUP(D114,APU_IDU[Código],APU_IDU[Nombre],"",0)</f>
        <v>SARDINEL BAJO A85 PARA RAMPAS (SUMINISTRO E INSTALACIÓN. INCLUYE 3CM MORTERO 2000 PSI)</v>
      </c>
      <c r="H114" s="666" t="str">
        <f>+_xlfn.XLOOKUP(D114,APU_IDU[Código],APU_IDU[UM],"",0)</f>
        <v>ML</v>
      </c>
      <c r="I114" s="669">
        <f>ROUND(+VLOOKUP(D114,CantidadesConsolidadas[[#Headers],[#Data]],53,FALSE),2)</f>
        <v>115.5</v>
      </c>
      <c r="J114" s="670">
        <f>ROUND(_xlfn.XLOOKUP(D114,APU_IDU[Código],APU_IDU[Valor],"",0)*(1+$K$146),0)</f>
        <v>94396</v>
      </c>
      <c r="K114" s="671">
        <f t="shared" si="1"/>
        <v>10902738</v>
      </c>
      <c r="L114" s="650"/>
    </row>
    <row r="115" spans="1:12" ht="27.6" x14ac:dyDescent="0.3">
      <c r="B115" s="648"/>
      <c r="C115" s="667">
        <v>104</v>
      </c>
      <c r="D115" s="667">
        <v>6880</v>
      </c>
      <c r="E115" s="667" t="s">
        <v>6783</v>
      </c>
      <c r="F115" s="760"/>
      <c r="G115" s="668" t="str">
        <f>+_xlfn.XLOOKUP(D115,APU_IDU[Código],APU_IDU[Nombre],"",0)</f>
        <v>CONCRETO MR41 COLOR OCRE PARA RAMPAS Y ESCALERAS (PREMEZCLADO. INCLUYE SUMINISTRO, FORMALETEO, COLOCACIÓN Y CURADO. NO INCLUYE REFUERZO).</v>
      </c>
      <c r="H115" s="666" t="str">
        <f>+_xlfn.XLOOKUP(D115,APU_IDU[Código],APU_IDU[UM],"",0)</f>
        <v>M3</v>
      </c>
      <c r="I115" s="669">
        <f>ROUND(+VLOOKUP(D115,CantidadesConsolidadas[[#Headers],[#Data]],53,FALSE),2)</f>
        <v>3.35</v>
      </c>
      <c r="J115" s="670">
        <f>ROUND(_xlfn.XLOOKUP(D115,APU_IDU[Código],APU_IDU[Valor],"",0)*(1+$K$146),0)</f>
        <v>1991701</v>
      </c>
      <c r="K115" s="671">
        <f t="shared" si="1"/>
        <v>6672198</v>
      </c>
      <c r="L115" s="650"/>
    </row>
    <row r="116" spans="1:12" ht="27.6" x14ac:dyDescent="0.3">
      <c r="B116" s="648"/>
      <c r="C116" s="667">
        <v>105</v>
      </c>
      <c r="D116" s="667">
        <v>4920</v>
      </c>
      <c r="E116" s="667" t="s">
        <v>6783</v>
      </c>
      <c r="F116" s="760"/>
      <c r="G116" s="668" t="str">
        <f>+_xlfn.XLOOKUP(D116,APU_IDU[Código],APU_IDU[Nombre],"",0)</f>
        <v>CANECA DE ACERO INOXIDABLE M121 TIPO BARCELONA (SUMINISTRO E INSTALACIÓN. INCLUYE CONCRETO PARA ANCLAJE DE 3000 PSI PREMEZCLADO GRAVA COMÚN.</v>
      </c>
      <c r="H116" s="666" t="str">
        <f>+_xlfn.XLOOKUP(D116,APU_IDU[Código],APU_IDU[UM],"",0)</f>
        <v>UN</v>
      </c>
      <c r="I116" s="669">
        <f>ROUND(+VLOOKUP(D116,CantidadesConsolidadas[[#Headers],[#Data]],53,FALSE),2)</f>
        <v>3</v>
      </c>
      <c r="J116" s="670">
        <f>ROUND(_xlfn.XLOOKUP(D116,APU_IDU[Código],APU_IDU[Valor],"",0)*(1+$K$146),0)</f>
        <v>1160952</v>
      </c>
      <c r="K116" s="671">
        <f t="shared" si="1"/>
        <v>3482856</v>
      </c>
      <c r="L116" s="650"/>
    </row>
    <row r="117" spans="1:12" ht="41.4" x14ac:dyDescent="0.3">
      <c r="B117" s="648"/>
      <c r="C117" s="667">
        <v>106</v>
      </c>
      <c r="D117" s="667">
        <v>8953</v>
      </c>
      <c r="E117" s="667" t="s">
        <v>6783</v>
      </c>
      <c r="F117" s="760"/>
      <c r="G117" s="668" t="str">
        <f>+_xlfn.XLOOKUP(D117,APU_IDU[Código],APU_IDU[Nombre],"",0)</f>
        <v>BARANDA METALICA M-82 PREFABRICADA MOV. REDUCIDA BORDE DE VIA (Incluye dados de concreto 3000psi grava común de 0.20 x 0.20m y recubrimiento en epóxico y esmalte uretano). Suministro e Instalación</v>
      </c>
      <c r="H117" s="666" t="str">
        <f>+_xlfn.XLOOKUP(D117,APU_IDU[Código],APU_IDU[UM],"",0)</f>
        <v>ML</v>
      </c>
      <c r="I117" s="669">
        <f>ROUND(+VLOOKUP(D117,CantidadesConsolidadas[[#Headers],[#Data]],53,FALSE),2)</f>
        <v>23.41</v>
      </c>
      <c r="J117" s="670">
        <f>ROUND(_xlfn.XLOOKUP(D117,APU_IDU[Código],APU_IDU[Valor],"",0)*(1+$K$146),0)</f>
        <v>812629</v>
      </c>
      <c r="K117" s="671">
        <f t="shared" si="1"/>
        <v>19023645</v>
      </c>
      <c r="L117" s="650"/>
    </row>
    <row r="118" spans="1:12" ht="27.6" x14ac:dyDescent="0.3">
      <c r="B118" s="648"/>
      <c r="C118" s="667">
        <v>107</v>
      </c>
      <c r="D118" s="667">
        <v>4859</v>
      </c>
      <c r="E118" s="667" t="s">
        <v>6783</v>
      </c>
      <c r="F118" s="760"/>
      <c r="G118" s="668" t="str">
        <f>+_xlfn.XLOOKUP(D118,APU_IDU[Código],APU_IDU[Nombre],"",0)</f>
        <v>BORDE CONTENEDOR DE RAICES A 70 (INCLUYE SUMINISTRO E INSTALACIÓN, INCLUYE BASE DE 3CM EN MORTERO 1:3 HECHO EN OBRA)</v>
      </c>
      <c r="H118" s="666" t="str">
        <f>+_xlfn.XLOOKUP(D118,APU_IDU[Código],APU_IDU[UM],"",0)</f>
        <v>ML</v>
      </c>
      <c r="I118" s="669">
        <f>ROUND(+VLOOKUP(D118,CantidadesConsolidadas[[#Headers],[#Data]],53,FALSE),2)</f>
        <v>5</v>
      </c>
      <c r="J118" s="670">
        <f>ROUND(_xlfn.XLOOKUP(D118,APU_IDU[Código],APU_IDU[Valor],"",0)*(1+$K$146),0)</f>
        <v>68610</v>
      </c>
      <c r="K118" s="671">
        <f t="shared" si="1"/>
        <v>343050</v>
      </c>
      <c r="L118" s="650"/>
    </row>
    <row r="119" spans="1:12" ht="27.6" x14ac:dyDescent="0.3">
      <c r="B119" s="648"/>
      <c r="C119" s="667">
        <v>108</v>
      </c>
      <c r="D119" s="824">
        <v>3403</v>
      </c>
      <c r="E119" s="667" t="s">
        <v>6783</v>
      </c>
      <c r="F119" s="760"/>
      <c r="G119" s="668" t="str">
        <f>+_xlfn.XLOOKUP(D119,APU_IDU[Código],APU_IDU[Nombre],"",0)</f>
        <v>CONTENEDOR DE RAICES TIPO B20 (TIPO A) (1.2X1.2X1.40M. INC. SUMINISTRO, CONSTRUCCIÓN Y FILTRO EN GRAVILLA. NO INC. TIERRA)</v>
      </c>
      <c r="H119" s="666" t="str">
        <f>+_xlfn.XLOOKUP(D119,APU_IDU[Código],APU_IDU[UM],"",0)</f>
        <v>UN</v>
      </c>
      <c r="I119" s="669">
        <f>ROUND(+VLOOKUP(D119,CantidadesConsolidadas[[#Headers],[#Data]],53,FALSE),2)</f>
        <v>4</v>
      </c>
      <c r="J119" s="670">
        <f>ROUND(_xlfn.XLOOKUP(D119,APU_IDU[Código],APU_IDU[Valor],"",0)*(1+$K$146),0)</f>
        <v>1239146</v>
      </c>
      <c r="K119" s="671">
        <f t="shared" si="1"/>
        <v>4956584</v>
      </c>
      <c r="L119" s="650"/>
    </row>
    <row r="120" spans="1:12" ht="27.6" x14ac:dyDescent="0.3">
      <c r="B120" s="648"/>
      <c r="C120" s="667">
        <v>109</v>
      </c>
      <c r="D120" s="824">
        <v>3721</v>
      </c>
      <c r="E120" s="667" t="s">
        <v>6783</v>
      </c>
      <c r="F120" s="760"/>
      <c r="G120" s="668" t="str">
        <f>+_xlfn.XLOOKUP(D120,APU_IDU[Código],APU_IDU[Nombre],"",0)</f>
        <v>SIEMBRA DE GRAMA (INCLUYE SUMINISTRO E INSTALACIÓN. INCLUYE 10CM DE TIERRA NEGRA)</v>
      </c>
      <c r="H120" s="666" t="str">
        <f>+_xlfn.XLOOKUP(D120,APU_IDU[Código],APU_IDU[UM],"",0)</f>
        <v>M2</v>
      </c>
      <c r="I120" s="669">
        <f>ROUND(+VLOOKUP(D120,CantidadesConsolidadas[[#Headers],[#Data]],53,FALSE),2)</f>
        <v>10</v>
      </c>
      <c r="J120" s="670">
        <f>ROUND(_xlfn.XLOOKUP(D120,APU_IDU[Código],APU_IDU[Valor],"",0)*(1+$K$146),0)</f>
        <v>45673</v>
      </c>
      <c r="K120" s="671">
        <f t="shared" si="1"/>
        <v>456730</v>
      </c>
      <c r="L120" s="650"/>
    </row>
    <row r="121" spans="1:12" ht="41.4" x14ac:dyDescent="0.3">
      <c r="B121" s="648"/>
      <c r="C121" s="667">
        <v>110</v>
      </c>
      <c r="D121" s="824">
        <v>4909</v>
      </c>
      <c r="E121" s="667" t="s">
        <v>6783</v>
      </c>
      <c r="F121" s="760"/>
      <c r="G121" s="668" t="str">
        <f>+_xlfn.XLOOKUP(D121,APU_IDU[Código],APU_IDU[Nombre],"",0)</f>
        <v>RAMPA VEHICULAR FUNDIDA EN EL SITIO EN CONCRETO PREMEZCLADO DE 3000 PSI (GRAVA COMUN) SUM, CONSTR. E INSTALACIÓN. INCLUYE ACABADO EN ADOQUIN DE ARCILLA TIPO TRÁFICO PESADO O SIMILAR, BASE DE 4CM EN MORTERO DE 2000 PSI.</v>
      </c>
      <c r="H121" s="666" t="str">
        <f>+_xlfn.XLOOKUP(D121,APU_IDU[Código],APU_IDU[UM],"",0)</f>
        <v>M2</v>
      </c>
      <c r="I121" s="669">
        <f>ROUND(+VLOOKUP(D121,CantidadesConsolidadas[[#Headers],[#Data]],53,FALSE),2)</f>
        <v>44.86</v>
      </c>
      <c r="J121" s="670">
        <f>ROUND(_xlfn.XLOOKUP(D121,APU_IDU[Código],APU_IDU[Valor],"",0)*(1+$K$146),0)</f>
        <v>273635</v>
      </c>
      <c r="K121" s="671">
        <f t="shared" si="1"/>
        <v>12275266</v>
      </c>
      <c r="L121" s="650"/>
    </row>
    <row r="122" spans="1:12" ht="27.6" x14ac:dyDescent="0.3">
      <c r="B122" s="648"/>
      <c r="C122" s="667">
        <v>111</v>
      </c>
      <c r="D122" s="667">
        <v>8499</v>
      </c>
      <c r="E122" s="667" t="s">
        <v>6783</v>
      </c>
      <c r="F122" s="760"/>
      <c r="G122" s="668" t="str">
        <f>+_xlfn.XLOOKUP(D122,APU_IDU[Código],APU_IDU[Nombre],"",0)</f>
        <v>LOSETA PREFABRICADA EN CONCRETO A20 TIPO PANOT DE 20X20X6CM COLOR GRIS (SUMINISTRO E INSTALACIÓN. INCLUYE MORTERO DE 1500 PSI DE NIVELACIÓN)</v>
      </c>
      <c r="H122" s="666" t="str">
        <f>+_xlfn.XLOOKUP(D122,APU_IDU[Código],APU_IDU[UM],"",0)</f>
        <v>M2</v>
      </c>
      <c r="I122" s="669">
        <f>ROUND(+VLOOKUP(D122,CantidadesConsolidadas[[#Headers],[#Data]],53,FALSE),2)</f>
        <v>515.44000000000005</v>
      </c>
      <c r="J122" s="670">
        <f>ROUND(_xlfn.XLOOKUP(D122,APU_IDU[Código],APU_IDU[Valor],"",0)*(1+$K$146),0)</f>
        <v>193962</v>
      </c>
      <c r="K122" s="671">
        <f t="shared" si="1"/>
        <v>99975773</v>
      </c>
      <c r="L122" s="650"/>
    </row>
    <row r="123" spans="1:12" ht="27.6" x14ac:dyDescent="0.3">
      <c r="B123" s="648"/>
      <c r="C123" s="667">
        <v>112</v>
      </c>
      <c r="D123" s="667">
        <v>5426</v>
      </c>
      <c r="E123" s="667" t="s">
        <v>6783</v>
      </c>
      <c r="F123" s="760"/>
      <c r="G123" s="668" t="str">
        <f>+_xlfn.XLOOKUP(D123,APU_IDU[Código],APU_IDU[Nombre],"",0)</f>
        <v>CONCRETO 4000 PSI GRAVA COMÚN PARA RAMPAS Y ESCALERAS (PREMEZCLADO. INCL. SUMINISTRO, FORMALETEO Y COLOCACIÓN. NO INCL. REFUERZO, CURADO).</v>
      </c>
      <c r="H123" s="666" t="str">
        <f>+_xlfn.XLOOKUP(D123,APU_IDU[Código],APU_IDU[UM],"",0)</f>
        <v>M3</v>
      </c>
      <c r="I123" s="669">
        <f>ROUND(+VLOOKUP(D123,CantidadesConsolidadas[[#Headers],[#Data]],53,FALSE),2)</f>
        <v>3.6</v>
      </c>
      <c r="J123" s="670">
        <f>ROUND(_xlfn.XLOOKUP(D123,APU_IDU[Código],APU_IDU[Valor],"",0)*(1+$K$146),0)</f>
        <v>1324150</v>
      </c>
      <c r="K123" s="671">
        <f t="shared" si="1"/>
        <v>4766940</v>
      </c>
      <c r="L123" s="650"/>
    </row>
    <row r="124" spans="1:12" ht="28.2" thickBot="1" x14ac:dyDescent="0.35">
      <c r="A124" t="e">
        <f>IF(I124=0,#REF!,#REF!+1)</f>
        <v>#REF!</v>
      </c>
      <c r="B124" s="648"/>
      <c r="C124" s="667">
        <v>113</v>
      </c>
      <c r="D124" s="667">
        <v>4051</v>
      </c>
      <c r="E124" s="667" t="s">
        <v>6783</v>
      </c>
      <c r="F124" s="667"/>
      <c r="G124" s="668" t="str">
        <f>+_xlfn.XLOOKUP(D124,APU_IDU[Código],APU_IDU[Nombre],"",0)</f>
        <v>ANDEN CONCRETO 3000 PSI (210 KG/CM2) HECHO EN OBRA E=0.10M (INCLUYE MEZCLA, FORMALETEO, FUNDIDA Y CURADO)</v>
      </c>
      <c r="H124" s="666" t="str">
        <f>+_xlfn.XLOOKUP(D124,APU_IDU[Código],APU_IDU[UM],"",0)</f>
        <v>M2</v>
      </c>
      <c r="I124" s="669">
        <f>ROUND(+VLOOKUP(D124,CantidadesConsolidadas[[#Headers],[#Data]],53,FALSE),2)</f>
        <v>2577.89</v>
      </c>
      <c r="J124" s="670">
        <f>ROUND(_xlfn.XLOOKUP(D124,APU_IDU[Código],APU_IDU[Valor],"",0)*(1+$K$146),0)</f>
        <v>114000</v>
      </c>
      <c r="K124" s="671">
        <f t="shared" si="1"/>
        <v>293879460</v>
      </c>
      <c r="L124" s="650"/>
    </row>
    <row r="125" spans="1:12" ht="16.2" thickBot="1" x14ac:dyDescent="0.35">
      <c r="B125" s="672"/>
      <c r="C125" s="673" t="s">
        <v>6784</v>
      </c>
      <c r="D125" s="674"/>
      <c r="E125" s="674"/>
      <c r="F125" s="674"/>
      <c r="G125" s="674"/>
      <c r="H125" s="674"/>
      <c r="I125" s="674"/>
      <c r="J125" s="675"/>
      <c r="K125" s="676">
        <f>SUM(K12:K124)</f>
        <v>11284303262</v>
      </c>
      <c r="L125" s="677"/>
    </row>
    <row r="126" spans="1:12" ht="16.2" thickBot="1" x14ac:dyDescent="0.35">
      <c r="B126" s="672"/>
      <c r="C126" s="678"/>
      <c r="D126" s="678"/>
      <c r="E126" s="678"/>
      <c r="F126" s="678"/>
      <c r="G126" s="678"/>
      <c r="H126" s="678"/>
      <c r="I126" s="678"/>
      <c r="J126" s="678"/>
      <c r="K126" s="679"/>
      <c r="L126" s="677"/>
    </row>
    <row r="127" spans="1:12" ht="15.6" x14ac:dyDescent="0.3">
      <c r="B127" s="672"/>
      <c r="C127" s="680"/>
      <c r="D127" s="681"/>
      <c r="E127" s="680"/>
      <c r="F127" s="680"/>
      <c r="G127" s="842" t="s">
        <v>6785</v>
      </c>
      <c r="H127" s="843"/>
      <c r="I127" s="843"/>
      <c r="J127" s="844"/>
      <c r="K127" s="682">
        <f>K125</f>
        <v>11284303262</v>
      </c>
      <c r="L127" s="677"/>
    </row>
    <row r="128" spans="1:12" ht="15.6" x14ac:dyDescent="0.3">
      <c r="B128" s="672"/>
      <c r="C128" s="680"/>
      <c r="D128" s="681"/>
      <c r="E128" s="680"/>
      <c r="F128" s="680"/>
      <c r="G128" s="845"/>
      <c r="H128" s="846"/>
      <c r="I128" s="846"/>
      <c r="J128" s="847"/>
      <c r="K128" s="683"/>
      <c r="L128" s="677"/>
    </row>
    <row r="129" spans="2:14" ht="15.6" x14ac:dyDescent="0.3">
      <c r="B129" s="672"/>
      <c r="C129" s="680"/>
      <c r="D129" s="681"/>
      <c r="E129" s="680"/>
      <c r="F129" s="680"/>
      <c r="G129" s="848" t="s">
        <v>6958</v>
      </c>
      <c r="H129" s="849"/>
      <c r="I129" s="849"/>
      <c r="J129" s="850"/>
      <c r="K129" s="683">
        <f>ROUND('DATOS DEL PROCESO'!C15*(1+Formulario!$K$146)+2536,0)</f>
        <v>687985580</v>
      </c>
      <c r="L129" s="677"/>
      <c r="M129" s="763"/>
      <c r="N129" s="759"/>
    </row>
    <row r="130" spans="2:14" ht="15.6" x14ac:dyDescent="0.3">
      <c r="B130" s="672"/>
      <c r="C130" s="680"/>
      <c r="D130" s="681"/>
      <c r="E130" s="680"/>
      <c r="F130" s="680"/>
      <c r="G130" s="684"/>
      <c r="H130" s="685"/>
      <c r="I130" s="685"/>
      <c r="J130" s="686"/>
      <c r="K130" s="683"/>
      <c r="L130" s="677"/>
      <c r="N130" s="17"/>
    </row>
    <row r="131" spans="2:14" ht="15.6" x14ac:dyDescent="0.3">
      <c r="B131" s="672"/>
      <c r="C131" s="680"/>
      <c r="D131" s="687"/>
      <c r="E131" s="687"/>
      <c r="F131" s="687"/>
      <c r="G131" s="825" t="s">
        <v>6786</v>
      </c>
      <c r="H131" s="826"/>
      <c r="I131" s="688" t="s">
        <v>3186</v>
      </c>
      <c r="J131" s="766">
        <v>3.8082569933433695E-2</v>
      </c>
      <c r="K131" s="683">
        <f>+'DATOS DEL PROCESO'!C21</f>
        <v>358609035</v>
      </c>
      <c r="L131" s="677"/>
    </row>
    <row r="132" spans="2:14" ht="15.6" x14ac:dyDescent="0.3">
      <c r="B132" s="672"/>
      <c r="C132" s="680"/>
      <c r="D132" s="687"/>
      <c r="E132" s="687"/>
      <c r="F132" s="687"/>
      <c r="G132" s="825" t="s">
        <v>6787</v>
      </c>
      <c r="H132" s="826"/>
      <c r="I132" s="688" t="s">
        <v>3186</v>
      </c>
      <c r="J132" s="766">
        <v>3.5146147287441511E-2</v>
      </c>
      <c r="K132" s="683">
        <f>+'DATOS DEL PROCESO'!C20</f>
        <v>330957863</v>
      </c>
      <c r="L132" s="677"/>
    </row>
    <row r="133" spans="2:14" ht="15.6" x14ac:dyDescent="0.3">
      <c r="B133" s="672"/>
      <c r="C133" s="680"/>
      <c r="D133" s="681"/>
      <c r="E133" s="680"/>
      <c r="F133" s="680"/>
      <c r="G133" s="825" t="s">
        <v>6788</v>
      </c>
      <c r="H133" s="826"/>
      <c r="I133" s="688" t="s">
        <v>3186</v>
      </c>
      <c r="J133" s="766">
        <v>2.0993439593673658E-2</v>
      </c>
      <c r="K133" s="683">
        <f>+'DATOS DEL PROCESO'!C19</f>
        <v>197687213</v>
      </c>
      <c r="L133" s="677"/>
      <c r="N133" s="740"/>
    </row>
    <row r="134" spans="2:14" ht="15.6" x14ac:dyDescent="0.3">
      <c r="B134" s="672"/>
      <c r="C134" s="680"/>
      <c r="D134" s="681"/>
      <c r="E134" s="680"/>
      <c r="F134" s="680"/>
      <c r="G134" s="856"/>
      <c r="H134" s="857"/>
      <c r="I134" s="857"/>
      <c r="J134" s="858"/>
      <c r="K134" s="683"/>
      <c r="L134" s="677"/>
      <c r="N134" s="740"/>
    </row>
    <row r="135" spans="2:14" ht="30" customHeight="1" x14ac:dyDescent="0.3">
      <c r="B135" s="672"/>
      <c r="C135" s="680"/>
      <c r="D135" s="681"/>
      <c r="E135" s="680"/>
      <c r="F135" s="680"/>
      <c r="G135" s="848" t="s">
        <v>6912</v>
      </c>
      <c r="H135" s="849"/>
      <c r="I135" s="688" t="s">
        <v>3186</v>
      </c>
      <c r="J135" s="689">
        <v>1</v>
      </c>
      <c r="K135" s="683">
        <f>+'DATOS DEL PROCESO'!C23</f>
        <v>375198364</v>
      </c>
      <c r="L135" s="677"/>
      <c r="N135" s="740"/>
    </row>
    <row r="136" spans="2:14" ht="15.6" x14ac:dyDescent="0.3">
      <c r="B136" s="672"/>
      <c r="C136" s="680"/>
      <c r="D136" s="681"/>
      <c r="E136" s="680"/>
      <c r="F136" s="680"/>
      <c r="G136" s="856"/>
      <c r="H136" s="857"/>
      <c r="I136" s="857"/>
      <c r="J136" s="858"/>
      <c r="K136" s="683"/>
      <c r="L136" s="677"/>
    </row>
    <row r="137" spans="2:14" ht="15.6" x14ac:dyDescent="0.3">
      <c r="B137" s="672"/>
      <c r="C137" s="680"/>
      <c r="D137" s="681"/>
      <c r="E137" s="680"/>
      <c r="F137" s="680"/>
      <c r="G137" s="825" t="s">
        <v>6789</v>
      </c>
      <c r="H137" s="826"/>
      <c r="I137" s="688" t="s">
        <v>3186</v>
      </c>
      <c r="J137" s="689">
        <v>1</v>
      </c>
      <c r="K137" s="683">
        <f>+'DATOS DEL PROCESO'!C24</f>
        <v>165258683</v>
      </c>
      <c r="L137" s="677"/>
    </row>
    <row r="138" spans="2:14" ht="16.2" thickBot="1" x14ac:dyDescent="0.35">
      <c r="B138" s="672"/>
      <c r="C138" s="680"/>
      <c r="D138" s="681"/>
      <c r="E138" s="680"/>
      <c r="F138" s="690"/>
      <c r="G138" s="856"/>
      <c r="H138" s="857"/>
      <c r="I138" s="857"/>
      <c r="J138" s="858"/>
      <c r="K138" s="691"/>
      <c r="L138" s="677"/>
    </row>
    <row r="139" spans="2:14" ht="16.2" thickBot="1" x14ac:dyDescent="0.35">
      <c r="B139" s="672"/>
      <c r="C139" s="680"/>
      <c r="D139" s="681"/>
      <c r="E139" s="680"/>
      <c r="F139" s="680"/>
      <c r="G139" s="859" t="s">
        <v>6790</v>
      </c>
      <c r="H139" s="860"/>
      <c r="I139" s="860"/>
      <c r="J139" s="861"/>
      <c r="K139" s="676">
        <f>K127+K129+K131+K132+K133+K135+K137</f>
        <v>13400000000</v>
      </c>
      <c r="L139" s="677"/>
      <c r="M139" s="17"/>
      <c r="N139" s="17"/>
    </row>
    <row r="140" spans="2:14" ht="16.2" thickBot="1" x14ac:dyDescent="0.35">
      <c r="B140" s="672"/>
      <c r="C140" s="680"/>
      <c r="D140" s="681"/>
      <c r="E140" s="681"/>
      <c r="F140" s="681"/>
      <c r="G140" s="680"/>
      <c r="H140" s="680"/>
      <c r="I140" s="692"/>
      <c r="J140" s="693"/>
      <c r="K140" s="694"/>
      <c r="L140" s="677"/>
    </row>
    <row r="141" spans="2:14" ht="15.6" x14ac:dyDescent="0.3">
      <c r="B141" s="672"/>
      <c r="C141" s="695"/>
      <c r="D141" s="862"/>
      <c r="E141" s="862"/>
      <c r="F141" s="862"/>
      <c r="G141" s="862"/>
      <c r="H141" s="862"/>
      <c r="I141" s="862"/>
      <c r="J141" s="862"/>
      <c r="K141" s="863"/>
      <c r="L141" s="696"/>
    </row>
    <row r="142" spans="2:14" ht="27" customHeight="1" x14ac:dyDescent="0.3">
      <c r="B142" s="672"/>
      <c r="C142" s="851" t="s">
        <v>6791</v>
      </c>
      <c r="D142" s="852"/>
      <c r="E142" s="852"/>
      <c r="F142" s="852"/>
      <c r="G142" s="853"/>
      <c r="H142" s="864" t="s">
        <v>5424</v>
      </c>
      <c r="I142" s="865"/>
      <c r="J142" s="866"/>
      <c r="K142" s="697" t="s">
        <v>6792</v>
      </c>
      <c r="L142" s="698"/>
    </row>
    <row r="143" spans="2:14" ht="27" customHeight="1" x14ac:dyDescent="0.3">
      <c r="B143" s="672"/>
      <c r="C143" s="851" t="s">
        <v>6793</v>
      </c>
      <c r="D143" s="852"/>
      <c r="E143" s="852"/>
      <c r="F143" s="852"/>
      <c r="G143" s="853"/>
      <c r="H143" s="867" t="s">
        <v>6794</v>
      </c>
      <c r="I143" s="868"/>
      <c r="J143" s="699" t="s">
        <v>6795</v>
      </c>
      <c r="K143" s="761">
        <f>+'AIU OBRA '!X71</f>
        <v>0.2114</v>
      </c>
      <c r="L143" s="698"/>
    </row>
    <row r="144" spans="2:14" ht="27" customHeight="1" x14ac:dyDescent="0.3">
      <c r="B144" s="672"/>
      <c r="C144" s="851" t="s">
        <v>6796</v>
      </c>
      <c r="D144" s="852"/>
      <c r="E144" s="852"/>
      <c r="F144" s="852"/>
      <c r="G144" s="853"/>
      <c r="H144" s="854" t="s">
        <v>6797</v>
      </c>
      <c r="I144" s="855"/>
      <c r="J144" s="699" t="s">
        <v>6798</v>
      </c>
      <c r="K144" s="761">
        <f>+'AIU OBRA '!X72</f>
        <v>0.01</v>
      </c>
      <c r="L144" s="698"/>
    </row>
    <row r="145" spans="1:12" ht="43.8" customHeight="1" x14ac:dyDescent="0.3">
      <c r="B145" s="672"/>
      <c r="C145" s="869"/>
      <c r="D145" s="870"/>
      <c r="E145" s="870"/>
      <c r="F145" s="870"/>
      <c r="G145" s="870"/>
      <c r="H145" s="864" t="s">
        <v>6799</v>
      </c>
      <c r="I145" s="866"/>
      <c r="J145" s="699" t="s">
        <v>6800</v>
      </c>
      <c r="K145" s="761">
        <f>+'AIU OBRA '!X73</f>
        <v>0.05</v>
      </c>
      <c r="L145" s="677"/>
    </row>
    <row r="146" spans="1:12" ht="27" customHeight="1" x14ac:dyDescent="0.3">
      <c r="B146" s="672"/>
      <c r="C146" s="871"/>
      <c r="D146" s="870"/>
      <c r="E146" s="870"/>
      <c r="F146" s="870"/>
      <c r="G146" s="870"/>
      <c r="H146" s="867" t="s">
        <v>6801</v>
      </c>
      <c r="I146" s="868"/>
      <c r="J146" s="699" t="s">
        <v>6802</v>
      </c>
      <c r="K146" s="761">
        <f>SUM(K143:K145)</f>
        <v>0.27140000000000003</v>
      </c>
      <c r="L146" s="677"/>
    </row>
    <row r="147" spans="1:12" ht="16.2" thickBot="1" x14ac:dyDescent="0.35">
      <c r="B147" s="648"/>
      <c r="C147" s="700"/>
      <c r="D147" s="701"/>
      <c r="E147" s="701"/>
      <c r="F147" s="701"/>
      <c r="G147" s="702"/>
      <c r="H147" s="872"/>
      <c r="I147" s="872"/>
      <c r="J147" s="872"/>
      <c r="K147" s="873"/>
      <c r="L147" s="650"/>
    </row>
    <row r="148" spans="1:12" s="705" customFormat="1" ht="15.6" x14ac:dyDescent="0.3">
      <c r="A148" s="649"/>
      <c r="B148" s="648"/>
      <c r="C148" s="703"/>
      <c r="D148" s="704"/>
      <c r="E148" s="704"/>
      <c r="F148" s="703"/>
      <c r="G148" s="704"/>
      <c r="H148" s="703"/>
      <c r="I148" s="703"/>
      <c r="J148" s="703"/>
      <c r="K148" s="703"/>
      <c r="L148" s="650"/>
    </row>
    <row r="149" spans="1:12" s="705" customFormat="1" ht="15.6" x14ac:dyDescent="0.3">
      <c r="A149" s="649"/>
      <c r="B149" s="648"/>
      <c r="C149" s="704"/>
      <c r="D149" s="704"/>
      <c r="E149" s="704"/>
      <c r="F149" s="704"/>
      <c r="G149" s="706"/>
      <c r="H149" s="704"/>
      <c r="I149" s="704"/>
      <c r="J149" s="704"/>
      <c r="K149" s="704"/>
      <c r="L149" s="650"/>
    </row>
    <row r="150" spans="1:12" s="705" customFormat="1" ht="16.2" thickBot="1" x14ac:dyDescent="0.35">
      <c r="A150" s="649"/>
      <c r="B150" s="707"/>
      <c r="C150" s="708"/>
      <c r="D150" s="708"/>
      <c r="E150" s="709"/>
      <c r="F150" s="708"/>
      <c r="G150" s="710"/>
      <c r="H150" s="708"/>
      <c r="I150" s="708"/>
      <c r="J150" s="708"/>
      <c r="K150" s="708"/>
      <c r="L150" s="711"/>
    </row>
    <row r="151" spans="1:12" ht="16.8" thickTop="1" thickBot="1" x14ac:dyDescent="0.35">
      <c r="B151" s="707"/>
      <c r="C151" s="708"/>
      <c r="D151" s="708"/>
      <c r="E151" s="709"/>
      <c r="F151" s="708"/>
      <c r="G151" s="710"/>
      <c r="H151" s="708"/>
      <c r="I151" s="708"/>
      <c r="J151" s="708"/>
      <c r="K151" s="708"/>
      <c r="L151" s="711"/>
    </row>
    <row r="152" spans="1:12" ht="15" thickTop="1" x14ac:dyDescent="0.3"/>
  </sheetData>
  <autoFilter ref="A10:L124" xr:uid="{00000000-0001-0000-0600-000000000000}">
    <filterColumn colId="4" showButton="0"/>
  </autoFilter>
  <mergeCells count="30">
    <mergeCell ref="C145:G145"/>
    <mergeCell ref="H145:I145"/>
    <mergeCell ref="C146:G146"/>
    <mergeCell ref="H146:I146"/>
    <mergeCell ref="H147:K147"/>
    <mergeCell ref="C144:G144"/>
    <mergeCell ref="H144:I144"/>
    <mergeCell ref="G134:J134"/>
    <mergeCell ref="G135:H135"/>
    <mergeCell ref="G136:J136"/>
    <mergeCell ref="G137:H137"/>
    <mergeCell ref="G138:J138"/>
    <mergeCell ref="G139:J139"/>
    <mergeCell ref="D141:K141"/>
    <mergeCell ref="C142:G142"/>
    <mergeCell ref="H142:J142"/>
    <mergeCell ref="C143:G143"/>
    <mergeCell ref="H143:I143"/>
    <mergeCell ref="G133:H133"/>
    <mergeCell ref="C2:F2"/>
    <mergeCell ref="C4:K4"/>
    <mergeCell ref="C5:K5"/>
    <mergeCell ref="C6:K7"/>
    <mergeCell ref="C8:K8"/>
    <mergeCell ref="C9:K9"/>
    <mergeCell ref="G127:J127"/>
    <mergeCell ref="G128:J128"/>
    <mergeCell ref="G129:J129"/>
    <mergeCell ref="G131:H131"/>
    <mergeCell ref="G132:H132"/>
  </mergeCells>
  <pageMargins left="0.7" right="0.7" top="0.75" bottom="0.75" header="0.3" footer="0.3"/>
  <pageSetup paperSize="122" scale="92" fitToHeight="0" orientation="portrait" r:id="rId1"/>
  <rowBreaks count="1" manualBreakCount="1">
    <brk id="125"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D1AC1-B1C2-4E93-90EB-50FDBE8E77EB}">
  <dimension ref="B2:I3173"/>
  <sheetViews>
    <sheetView topLeftCell="A3046" zoomScale="85" zoomScaleNormal="85" workbookViewId="0">
      <selection activeCell="B3" sqref="B3:I3173"/>
    </sheetView>
  </sheetViews>
  <sheetFormatPr baseColWidth="10" defaultRowHeight="14.4" x14ac:dyDescent="0.3"/>
  <cols>
    <col min="4" max="4" width="14.88671875" customWidth="1"/>
    <col min="8" max="8" width="12.5546875" customWidth="1"/>
    <col min="9" max="9" width="25.44140625" customWidth="1"/>
  </cols>
  <sheetData>
    <row r="2" spans="2:9" ht="16.8" x14ac:dyDescent="0.3">
      <c r="B2" s="776" t="s">
        <v>6216</v>
      </c>
      <c r="C2" s="777" t="s">
        <v>6217</v>
      </c>
      <c r="D2" s="777" t="s">
        <v>6218</v>
      </c>
      <c r="E2" s="545" t="s">
        <v>15</v>
      </c>
      <c r="F2" s="778" t="s">
        <v>16</v>
      </c>
      <c r="G2" s="546" t="s">
        <v>17</v>
      </c>
      <c r="H2" s="547" t="s">
        <v>18</v>
      </c>
      <c r="I2" s="779" t="s">
        <v>19</v>
      </c>
    </row>
    <row r="3" spans="2:9" ht="15" x14ac:dyDescent="0.35">
      <c r="B3" s="512" t="s">
        <v>6219</v>
      </c>
      <c r="C3" s="512" t="s">
        <v>6220</v>
      </c>
      <c r="D3" s="512" t="s">
        <v>6221</v>
      </c>
      <c r="E3" s="513">
        <v>3007</v>
      </c>
      <c r="F3" s="512" t="s">
        <v>20</v>
      </c>
      <c r="G3" s="513" t="s">
        <v>21</v>
      </c>
      <c r="H3" s="514">
        <v>1081</v>
      </c>
      <c r="I3" s="515" t="s">
        <v>6915</v>
      </c>
    </row>
    <row r="4" spans="2:9" ht="15" x14ac:dyDescent="0.35">
      <c r="B4" s="512" t="s">
        <v>6219</v>
      </c>
      <c r="C4" s="512" t="s">
        <v>6220</v>
      </c>
      <c r="D4" s="512" t="s">
        <v>6222</v>
      </c>
      <c r="E4" s="513">
        <v>3009</v>
      </c>
      <c r="F4" s="512" t="s">
        <v>22</v>
      </c>
      <c r="G4" s="513" t="s">
        <v>23</v>
      </c>
      <c r="H4" s="516">
        <v>58471</v>
      </c>
      <c r="I4" s="512" t="s">
        <v>6915</v>
      </c>
    </row>
    <row r="5" spans="2:9" ht="15" x14ac:dyDescent="0.35">
      <c r="B5" s="512" t="s">
        <v>6219</v>
      </c>
      <c r="C5" s="512" t="s">
        <v>6223</v>
      </c>
      <c r="D5" s="512" t="s">
        <v>6223</v>
      </c>
      <c r="E5" s="513">
        <v>3010</v>
      </c>
      <c r="F5" s="512" t="s">
        <v>24</v>
      </c>
      <c r="G5" s="513" t="s">
        <v>23</v>
      </c>
      <c r="H5" s="516">
        <v>43555</v>
      </c>
      <c r="I5" s="512" t="s">
        <v>6915</v>
      </c>
    </row>
    <row r="6" spans="2:9" ht="15" x14ac:dyDescent="0.35">
      <c r="B6" s="512" t="s">
        <v>6219</v>
      </c>
      <c r="C6" s="512" t="s">
        <v>6223</v>
      </c>
      <c r="D6" s="512" t="s">
        <v>6223</v>
      </c>
      <c r="E6" s="513">
        <v>3011</v>
      </c>
      <c r="F6" s="512" t="s">
        <v>25</v>
      </c>
      <c r="G6" s="513" t="s">
        <v>26</v>
      </c>
      <c r="H6" s="516">
        <v>8176</v>
      </c>
      <c r="I6" s="512" t="s">
        <v>6915</v>
      </c>
    </row>
    <row r="7" spans="2:9" ht="15" x14ac:dyDescent="0.35">
      <c r="B7" s="512" t="s">
        <v>6219</v>
      </c>
      <c r="C7" s="512" t="s">
        <v>6223</v>
      </c>
      <c r="D7" s="512" t="s">
        <v>6223</v>
      </c>
      <c r="E7" s="513">
        <v>3012</v>
      </c>
      <c r="F7" s="512" t="s">
        <v>27</v>
      </c>
      <c r="G7" s="513" t="s">
        <v>21</v>
      </c>
      <c r="H7" s="516">
        <v>9583</v>
      </c>
      <c r="I7" s="512" t="s">
        <v>6915</v>
      </c>
    </row>
    <row r="8" spans="2:9" ht="15" x14ac:dyDescent="0.35">
      <c r="B8" s="512" t="s">
        <v>6219</v>
      </c>
      <c r="C8" s="512" t="s">
        <v>6224</v>
      </c>
      <c r="D8" s="512" t="s">
        <v>6225</v>
      </c>
      <c r="E8" s="513">
        <v>3015</v>
      </c>
      <c r="F8" s="512" t="s">
        <v>28</v>
      </c>
      <c r="G8" s="513" t="s">
        <v>29</v>
      </c>
      <c r="H8" s="516">
        <v>256334</v>
      </c>
      <c r="I8" s="512" t="s">
        <v>6915</v>
      </c>
    </row>
    <row r="9" spans="2:9" ht="15" x14ac:dyDescent="0.35">
      <c r="B9" s="512" t="s">
        <v>6219</v>
      </c>
      <c r="C9" s="512" t="s">
        <v>6226</v>
      </c>
      <c r="D9" s="512" t="s">
        <v>6226</v>
      </c>
      <c r="E9" s="513">
        <v>3017</v>
      </c>
      <c r="F9" s="512" t="s">
        <v>30</v>
      </c>
      <c r="G9" s="513" t="s">
        <v>23</v>
      </c>
      <c r="H9" s="516">
        <v>45734</v>
      </c>
      <c r="I9" s="512" t="s">
        <v>6425</v>
      </c>
    </row>
    <row r="10" spans="2:9" ht="15" x14ac:dyDescent="0.35">
      <c r="B10" s="512" t="s">
        <v>6219</v>
      </c>
      <c r="C10" s="512" t="s">
        <v>6227</v>
      </c>
      <c r="D10" s="512" t="s">
        <v>6228</v>
      </c>
      <c r="E10" s="513">
        <v>3018</v>
      </c>
      <c r="F10" s="512" t="s">
        <v>31</v>
      </c>
      <c r="G10" s="513" t="s">
        <v>23</v>
      </c>
      <c r="H10" s="514">
        <v>111152</v>
      </c>
      <c r="I10" s="515" t="s">
        <v>6915</v>
      </c>
    </row>
    <row r="11" spans="2:9" ht="15" x14ac:dyDescent="0.35">
      <c r="B11" s="512" t="s">
        <v>6219</v>
      </c>
      <c r="C11" s="512" t="s">
        <v>6223</v>
      </c>
      <c r="D11" s="512" t="s">
        <v>6223</v>
      </c>
      <c r="E11" s="513">
        <v>3021</v>
      </c>
      <c r="F11" s="512" t="s">
        <v>32</v>
      </c>
      <c r="G11" s="513" t="s">
        <v>21</v>
      </c>
      <c r="H11" s="516">
        <v>8838</v>
      </c>
      <c r="I11" s="512" t="s">
        <v>6915</v>
      </c>
    </row>
    <row r="12" spans="2:9" ht="15" x14ac:dyDescent="0.35">
      <c r="B12" s="512" t="s">
        <v>6219</v>
      </c>
      <c r="C12" s="512" t="s">
        <v>6223</v>
      </c>
      <c r="D12" s="512" t="s">
        <v>6223</v>
      </c>
      <c r="E12" s="513">
        <v>3022</v>
      </c>
      <c r="F12" s="512" t="s">
        <v>33</v>
      </c>
      <c r="G12" s="513" t="s">
        <v>23</v>
      </c>
      <c r="H12" s="516">
        <v>64547</v>
      </c>
      <c r="I12" s="512" t="s">
        <v>6915</v>
      </c>
    </row>
    <row r="13" spans="2:9" ht="15" x14ac:dyDescent="0.35">
      <c r="B13" s="512" t="s">
        <v>6219</v>
      </c>
      <c r="C13" s="512" t="s">
        <v>6227</v>
      </c>
      <c r="D13" s="512" t="s">
        <v>6229</v>
      </c>
      <c r="E13" s="513">
        <v>3024</v>
      </c>
      <c r="F13" s="512" t="s">
        <v>34</v>
      </c>
      <c r="G13" s="513" t="s">
        <v>23</v>
      </c>
      <c r="H13" s="516">
        <v>182185</v>
      </c>
      <c r="I13" s="512" t="s">
        <v>6915</v>
      </c>
    </row>
    <row r="14" spans="2:9" ht="15" x14ac:dyDescent="0.35">
      <c r="B14" s="512" t="s">
        <v>6219</v>
      </c>
      <c r="C14" s="512" t="s">
        <v>6230</v>
      </c>
      <c r="D14" s="512" t="s">
        <v>6231</v>
      </c>
      <c r="E14" s="513">
        <v>3027</v>
      </c>
      <c r="F14" s="512" t="s">
        <v>35</v>
      </c>
      <c r="G14" s="513" t="s">
        <v>26</v>
      </c>
      <c r="H14" s="516">
        <v>90524</v>
      </c>
      <c r="I14" s="512" t="s">
        <v>6915</v>
      </c>
    </row>
    <row r="15" spans="2:9" ht="15" x14ac:dyDescent="0.35">
      <c r="B15" s="512" t="s">
        <v>6219</v>
      </c>
      <c r="C15" s="512" t="s">
        <v>6232</v>
      </c>
      <c r="D15" s="512" t="s">
        <v>6232</v>
      </c>
      <c r="E15" s="513">
        <v>3041</v>
      </c>
      <c r="F15" s="512" t="s">
        <v>36</v>
      </c>
      <c r="G15" s="513" t="s">
        <v>26</v>
      </c>
      <c r="H15" s="514">
        <v>39297</v>
      </c>
      <c r="I15" s="515" t="s">
        <v>6915</v>
      </c>
    </row>
    <row r="16" spans="2:9" ht="15" x14ac:dyDescent="0.35">
      <c r="B16" s="512" t="s">
        <v>6219</v>
      </c>
      <c r="C16" s="512" t="s">
        <v>6232</v>
      </c>
      <c r="D16" s="512" t="s">
        <v>6232</v>
      </c>
      <c r="E16" s="513">
        <v>3042</v>
      </c>
      <c r="F16" s="512" t="s">
        <v>37</v>
      </c>
      <c r="G16" s="513" t="s">
        <v>26</v>
      </c>
      <c r="H16" s="514">
        <v>66044</v>
      </c>
      <c r="I16" s="515" t="s">
        <v>6915</v>
      </c>
    </row>
    <row r="17" spans="2:9" ht="15" x14ac:dyDescent="0.35">
      <c r="B17" s="512" t="s">
        <v>6219</v>
      </c>
      <c r="C17" s="512" t="s">
        <v>6232</v>
      </c>
      <c r="D17" s="512" t="s">
        <v>6232</v>
      </c>
      <c r="E17" s="513">
        <v>3043</v>
      </c>
      <c r="F17" s="512" t="s">
        <v>38</v>
      </c>
      <c r="G17" s="513" t="s">
        <v>26</v>
      </c>
      <c r="H17" s="514">
        <v>91366</v>
      </c>
      <c r="I17" s="515" t="s">
        <v>6915</v>
      </c>
    </row>
    <row r="18" spans="2:9" ht="15" x14ac:dyDescent="0.35">
      <c r="B18" s="512" t="s">
        <v>6219</v>
      </c>
      <c r="C18" s="512" t="s">
        <v>6232</v>
      </c>
      <c r="D18" s="512" t="s">
        <v>6232</v>
      </c>
      <c r="E18" s="513">
        <v>3044</v>
      </c>
      <c r="F18" s="512" t="s">
        <v>39</v>
      </c>
      <c r="G18" s="513" t="s">
        <v>26</v>
      </c>
      <c r="H18" s="514">
        <v>128594</v>
      </c>
      <c r="I18" s="515" t="s">
        <v>6915</v>
      </c>
    </row>
    <row r="19" spans="2:9" ht="15" x14ac:dyDescent="0.35">
      <c r="B19" s="512" t="s">
        <v>6219</v>
      </c>
      <c r="C19" s="512" t="s">
        <v>6232</v>
      </c>
      <c r="D19" s="512" t="s">
        <v>6232</v>
      </c>
      <c r="E19" s="513">
        <v>3045</v>
      </c>
      <c r="F19" s="512" t="s">
        <v>40</v>
      </c>
      <c r="G19" s="513" t="s">
        <v>26</v>
      </c>
      <c r="H19" s="514">
        <v>179457</v>
      </c>
      <c r="I19" s="515" t="s">
        <v>6915</v>
      </c>
    </row>
    <row r="20" spans="2:9" ht="15" x14ac:dyDescent="0.35">
      <c r="B20" s="512" t="s">
        <v>6219</v>
      </c>
      <c r="C20" s="512" t="s">
        <v>6232</v>
      </c>
      <c r="D20" s="512" t="s">
        <v>6232</v>
      </c>
      <c r="E20" s="513">
        <v>3046</v>
      </c>
      <c r="F20" s="512" t="s">
        <v>41</v>
      </c>
      <c r="G20" s="513" t="s">
        <v>26</v>
      </c>
      <c r="H20" s="514">
        <v>317101</v>
      </c>
      <c r="I20" s="515" t="s">
        <v>6915</v>
      </c>
    </row>
    <row r="21" spans="2:9" ht="15" x14ac:dyDescent="0.35">
      <c r="B21" s="512" t="s">
        <v>6219</v>
      </c>
      <c r="C21" s="512" t="s">
        <v>6232</v>
      </c>
      <c r="D21" s="512" t="s">
        <v>6232</v>
      </c>
      <c r="E21" s="513">
        <v>3047</v>
      </c>
      <c r="F21" s="512" t="s">
        <v>42</v>
      </c>
      <c r="G21" s="513" t="s">
        <v>26</v>
      </c>
      <c r="H21" s="514">
        <v>430046</v>
      </c>
      <c r="I21" s="515" t="s">
        <v>6915</v>
      </c>
    </row>
    <row r="22" spans="2:9" ht="15" x14ac:dyDescent="0.35">
      <c r="B22" s="512" t="s">
        <v>6219</v>
      </c>
      <c r="C22" s="512" t="s">
        <v>6232</v>
      </c>
      <c r="D22" s="512" t="s">
        <v>6232</v>
      </c>
      <c r="E22" s="513">
        <v>3048</v>
      </c>
      <c r="F22" s="512" t="s">
        <v>43</v>
      </c>
      <c r="G22" s="513" t="s">
        <v>26</v>
      </c>
      <c r="H22" s="514">
        <v>523908</v>
      </c>
      <c r="I22" s="515" t="s">
        <v>6915</v>
      </c>
    </row>
    <row r="23" spans="2:9" ht="15" x14ac:dyDescent="0.35">
      <c r="B23" s="512" t="s">
        <v>6219</v>
      </c>
      <c r="C23" s="512" t="s">
        <v>6227</v>
      </c>
      <c r="D23" s="512" t="s">
        <v>6229</v>
      </c>
      <c r="E23" s="513">
        <v>3050</v>
      </c>
      <c r="F23" s="512" t="s">
        <v>44</v>
      </c>
      <c r="G23" s="513" t="s">
        <v>23</v>
      </c>
      <c r="H23" s="516">
        <v>48122</v>
      </c>
      <c r="I23" s="512" t="s">
        <v>6915</v>
      </c>
    </row>
    <row r="24" spans="2:9" ht="15" x14ac:dyDescent="0.35">
      <c r="B24" s="512" t="s">
        <v>6219</v>
      </c>
      <c r="C24" s="512" t="s">
        <v>6227</v>
      </c>
      <c r="D24" s="512" t="s">
        <v>6229</v>
      </c>
      <c r="E24" s="513">
        <v>3052</v>
      </c>
      <c r="F24" s="512" t="s">
        <v>45</v>
      </c>
      <c r="G24" s="513" t="s">
        <v>23</v>
      </c>
      <c r="H24" s="516">
        <v>123218</v>
      </c>
      <c r="I24" s="512" t="s">
        <v>6915</v>
      </c>
    </row>
    <row r="25" spans="2:9" ht="15" x14ac:dyDescent="0.35">
      <c r="B25" s="512" t="s">
        <v>6219</v>
      </c>
      <c r="C25" s="512" t="s">
        <v>6233</v>
      </c>
      <c r="D25" s="512" t="s">
        <v>6234</v>
      </c>
      <c r="E25" s="513">
        <v>3055</v>
      </c>
      <c r="F25" s="512" t="s">
        <v>46</v>
      </c>
      <c r="G25" s="513" t="s">
        <v>26</v>
      </c>
      <c r="H25" s="514">
        <v>360330</v>
      </c>
      <c r="I25" s="515" t="s">
        <v>6915</v>
      </c>
    </row>
    <row r="26" spans="2:9" ht="15" x14ac:dyDescent="0.35">
      <c r="B26" s="512" t="s">
        <v>6219</v>
      </c>
      <c r="C26" s="512" t="s">
        <v>6233</v>
      </c>
      <c r="D26" s="512" t="s">
        <v>6234</v>
      </c>
      <c r="E26" s="513">
        <v>3056</v>
      </c>
      <c r="F26" s="512" t="s">
        <v>47</v>
      </c>
      <c r="G26" s="513" t="s">
        <v>26</v>
      </c>
      <c r="H26" s="514">
        <v>477849</v>
      </c>
      <c r="I26" s="515" t="s">
        <v>6915</v>
      </c>
    </row>
    <row r="27" spans="2:9" ht="15" x14ac:dyDescent="0.35">
      <c r="B27" s="512" t="s">
        <v>6219</v>
      </c>
      <c r="C27" s="512" t="s">
        <v>6233</v>
      </c>
      <c r="D27" s="512" t="s">
        <v>6234</v>
      </c>
      <c r="E27" s="513">
        <v>3057</v>
      </c>
      <c r="F27" s="512" t="s">
        <v>48</v>
      </c>
      <c r="G27" s="513" t="s">
        <v>29</v>
      </c>
      <c r="H27" s="514">
        <v>5496717</v>
      </c>
      <c r="I27" s="515" t="s">
        <v>6915</v>
      </c>
    </row>
    <row r="28" spans="2:9" ht="15" x14ac:dyDescent="0.35">
      <c r="B28" s="512" t="s">
        <v>6219</v>
      </c>
      <c r="C28" s="512" t="s">
        <v>6233</v>
      </c>
      <c r="D28" s="512" t="s">
        <v>6234</v>
      </c>
      <c r="E28" s="513">
        <v>3058</v>
      </c>
      <c r="F28" s="512" t="s">
        <v>49</v>
      </c>
      <c r="G28" s="513" t="s">
        <v>29</v>
      </c>
      <c r="H28" s="514">
        <v>9002389</v>
      </c>
      <c r="I28" s="515" t="s">
        <v>6915</v>
      </c>
    </row>
    <row r="29" spans="2:9" ht="15" x14ac:dyDescent="0.35">
      <c r="B29" s="512" t="s">
        <v>6219</v>
      </c>
      <c r="C29" s="512" t="s">
        <v>6233</v>
      </c>
      <c r="D29" s="512" t="s">
        <v>6234</v>
      </c>
      <c r="E29" s="513">
        <v>3059</v>
      </c>
      <c r="F29" s="512" t="s">
        <v>50</v>
      </c>
      <c r="G29" s="513" t="s">
        <v>29</v>
      </c>
      <c r="H29" s="514">
        <v>5405503</v>
      </c>
      <c r="I29" s="515" t="s">
        <v>6915</v>
      </c>
    </row>
    <row r="30" spans="2:9" ht="15" x14ac:dyDescent="0.35">
      <c r="B30" s="512" t="s">
        <v>6219</v>
      </c>
      <c r="C30" s="512" t="s">
        <v>6232</v>
      </c>
      <c r="D30" s="512" t="s">
        <v>6232</v>
      </c>
      <c r="E30" s="513">
        <v>3064</v>
      </c>
      <c r="F30" s="512" t="s">
        <v>51</v>
      </c>
      <c r="G30" s="513" t="s">
        <v>26</v>
      </c>
      <c r="H30" s="516">
        <v>103912</v>
      </c>
      <c r="I30" s="512" t="s">
        <v>6915</v>
      </c>
    </row>
    <row r="31" spans="2:9" ht="15" x14ac:dyDescent="0.35">
      <c r="B31" s="512" t="s">
        <v>6219</v>
      </c>
      <c r="C31" s="512" t="s">
        <v>6232</v>
      </c>
      <c r="D31" s="512" t="s">
        <v>6232</v>
      </c>
      <c r="E31" s="513">
        <v>3065</v>
      </c>
      <c r="F31" s="512" t="s">
        <v>52</v>
      </c>
      <c r="G31" s="513" t="s">
        <v>26</v>
      </c>
      <c r="H31" s="516">
        <v>125262</v>
      </c>
      <c r="I31" s="512" t="s">
        <v>6915</v>
      </c>
    </row>
    <row r="32" spans="2:9" ht="15" x14ac:dyDescent="0.35">
      <c r="B32" s="512" t="s">
        <v>6219</v>
      </c>
      <c r="C32" s="512" t="s">
        <v>6232</v>
      </c>
      <c r="D32" s="512" t="s">
        <v>6232</v>
      </c>
      <c r="E32" s="513">
        <v>3066</v>
      </c>
      <c r="F32" s="512" t="s">
        <v>53</v>
      </c>
      <c r="G32" s="513" t="s">
        <v>26</v>
      </c>
      <c r="H32" s="516">
        <v>162873</v>
      </c>
      <c r="I32" s="512" t="s">
        <v>6915</v>
      </c>
    </row>
    <row r="33" spans="2:9" ht="15" x14ac:dyDescent="0.35">
      <c r="B33" s="512" t="s">
        <v>6219</v>
      </c>
      <c r="C33" s="512" t="s">
        <v>6232</v>
      </c>
      <c r="D33" s="512" t="s">
        <v>6232</v>
      </c>
      <c r="E33" s="513">
        <v>3067</v>
      </c>
      <c r="F33" s="512" t="s">
        <v>54</v>
      </c>
      <c r="G33" s="513" t="s">
        <v>26</v>
      </c>
      <c r="H33" s="516">
        <v>194640</v>
      </c>
      <c r="I33" s="512" t="s">
        <v>6915</v>
      </c>
    </row>
    <row r="34" spans="2:9" ht="15" x14ac:dyDescent="0.35">
      <c r="B34" s="512" t="s">
        <v>6219</v>
      </c>
      <c r="C34" s="512" t="s">
        <v>6232</v>
      </c>
      <c r="D34" s="512" t="s">
        <v>6232</v>
      </c>
      <c r="E34" s="513">
        <v>3068</v>
      </c>
      <c r="F34" s="512" t="s">
        <v>55</v>
      </c>
      <c r="G34" s="513" t="s">
        <v>26</v>
      </c>
      <c r="H34" s="516">
        <v>250158</v>
      </c>
      <c r="I34" s="512" t="s">
        <v>6915</v>
      </c>
    </row>
    <row r="35" spans="2:9" ht="15" x14ac:dyDescent="0.35">
      <c r="B35" s="512" t="s">
        <v>6219</v>
      </c>
      <c r="C35" s="512" t="s">
        <v>6232</v>
      </c>
      <c r="D35" s="512" t="s">
        <v>6232</v>
      </c>
      <c r="E35" s="513">
        <v>3069</v>
      </c>
      <c r="F35" s="512" t="s">
        <v>56</v>
      </c>
      <c r="G35" s="513" t="s">
        <v>26</v>
      </c>
      <c r="H35" s="516">
        <v>315153</v>
      </c>
      <c r="I35" s="512" t="s">
        <v>6915</v>
      </c>
    </row>
    <row r="36" spans="2:9" ht="15" x14ac:dyDescent="0.35">
      <c r="B36" s="512" t="s">
        <v>6219</v>
      </c>
      <c r="C36" s="512" t="s">
        <v>6232</v>
      </c>
      <c r="D36" s="512" t="s">
        <v>6232</v>
      </c>
      <c r="E36" s="513">
        <v>3070</v>
      </c>
      <c r="F36" s="512" t="s">
        <v>57</v>
      </c>
      <c r="G36" s="513" t="s">
        <v>26</v>
      </c>
      <c r="H36" s="516">
        <v>403869</v>
      </c>
      <c r="I36" s="512" t="s">
        <v>6915</v>
      </c>
    </row>
    <row r="37" spans="2:9" ht="15" x14ac:dyDescent="0.35">
      <c r="B37" s="512" t="s">
        <v>6219</v>
      </c>
      <c r="C37" s="512" t="s">
        <v>6232</v>
      </c>
      <c r="D37" s="512" t="s">
        <v>6232</v>
      </c>
      <c r="E37" s="513">
        <v>3071</v>
      </c>
      <c r="F37" s="512" t="s">
        <v>58</v>
      </c>
      <c r="G37" s="513" t="s">
        <v>26</v>
      </c>
      <c r="H37" s="516">
        <v>583226</v>
      </c>
      <c r="I37" s="512" t="s">
        <v>6915</v>
      </c>
    </row>
    <row r="38" spans="2:9" ht="15" x14ac:dyDescent="0.35">
      <c r="B38" s="512" t="s">
        <v>6219</v>
      </c>
      <c r="C38" s="512" t="s">
        <v>6232</v>
      </c>
      <c r="D38" s="512" t="s">
        <v>6232</v>
      </c>
      <c r="E38" s="513">
        <v>3151</v>
      </c>
      <c r="F38" s="512" t="s">
        <v>59</v>
      </c>
      <c r="G38" s="513" t="s">
        <v>29</v>
      </c>
      <c r="H38" s="514">
        <v>3325537</v>
      </c>
      <c r="I38" s="515" t="s">
        <v>6915</v>
      </c>
    </row>
    <row r="39" spans="2:9" ht="15" x14ac:dyDescent="0.35">
      <c r="B39" s="512" t="s">
        <v>6219</v>
      </c>
      <c r="C39" s="512" t="s">
        <v>6232</v>
      </c>
      <c r="D39" s="512" t="s">
        <v>6232</v>
      </c>
      <c r="E39" s="513">
        <v>3155</v>
      </c>
      <c r="F39" s="512" t="s">
        <v>60</v>
      </c>
      <c r="G39" s="513" t="s">
        <v>29</v>
      </c>
      <c r="H39" s="516">
        <v>201905</v>
      </c>
      <c r="I39" s="512" t="s">
        <v>6915</v>
      </c>
    </row>
    <row r="40" spans="2:9" ht="15" x14ac:dyDescent="0.35">
      <c r="B40" s="512" t="s">
        <v>6219</v>
      </c>
      <c r="C40" s="512" t="s">
        <v>6224</v>
      </c>
      <c r="D40" s="512" t="s">
        <v>6225</v>
      </c>
      <c r="E40" s="513">
        <v>3159</v>
      </c>
      <c r="F40" s="512" t="s">
        <v>61</v>
      </c>
      <c r="G40" s="513" t="s">
        <v>26</v>
      </c>
      <c r="H40" s="514">
        <v>41892</v>
      </c>
      <c r="I40" s="515" t="s">
        <v>6915</v>
      </c>
    </row>
    <row r="41" spans="2:9" ht="15" x14ac:dyDescent="0.35">
      <c r="B41" s="512" t="s">
        <v>6219</v>
      </c>
      <c r="C41" s="512" t="s">
        <v>6230</v>
      </c>
      <c r="D41" s="512" t="s">
        <v>6231</v>
      </c>
      <c r="E41" s="513">
        <v>3163</v>
      </c>
      <c r="F41" s="512" t="s">
        <v>62</v>
      </c>
      <c r="G41" s="513" t="s">
        <v>26</v>
      </c>
      <c r="H41" s="514">
        <v>376877</v>
      </c>
      <c r="I41" s="515" t="s">
        <v>6915</v>
      </c>
    </row>
    <row r="42" spans="2:9" ht="15" x14ac:dyDescent="0.35">
      <c r="B42" s="512" t="s">
        <v>6219</v>
      </c>
      <c r="C42" s="512" t="s">
        <v>6235</v>
      </c>
      <c r="D42" s="512" t="s">
        <v>6236</v>
      </c>
      <c r="E42" s="513">
        <v>3172</v>
      </c>
      <c r="F42" s="512" t="s">
        <v>63</v>
      </c>
      <c r="G42" s="513" t="s">
        <v>21</v>
      </c>
      <c r="H42" s="514">
        <v>24882</v>
      </c>
      <c r="I42" s="515" t="s">
        <v>6915</v>
      </c>
    </row>
    <row r="43" spans="2:9" ht="15" x14ac:dyDescent="0.35">
      <c r="B43" s="512" t="s">
        <v>6219</v>
      </c>
      <c r="C43" s="512" t="s">
        <v>6237</v>
      </c>
      <c r="D43" s="512" t="s">
        <v>6238</v>
      </c>
      <c r="E43" s="513">
        <v>3178</v>
      </c>
      <c r="F43" s="512" t="s">
        <v>64</v>
      </c>
      <c r="G43" s="513" t="s">
        <v>21</v>
      </c>
      <c r="H43" s="514">
        <v>45802</v>
      </c>
      <c r="I43" s="515" t="s">
        <v>6915</v>
      </c>
    </row>
    <row r="44" spans="2:9" ht="15" x14ac:dyDescent="0.35">
      <c r="B44" s="512" t="s">
        <v>6219</v>
      </c>
      <c r="C44" s="512" t="s">
        <v>6237</v>
      </c>
      <c r="D44" s="512" t="s">
        <v>6238</v>
      </c>
      <c r="E44" s="513">
        <v>3180</v>
      </c>
      <c r="F44" s="512" t="s">
        <v>65</v>
      </c>
      <c r="G44" s="513" t="s">
        <v>26</v>
      </c>
      <c r="H44" s="514">
        <v>7974</v>
      </c>
      <c r="I44" s="515" t="s">
        <v>6915</v>
      </c>
    </row>
    <row r="45" spans="2:9" ht="15" x14ac:dyDescent="0.35">
      <c r="B45" s="512" t="s">
        <v>6219</v>
      </c>
      <c r="C45" s="512" t="s">
        <v>6224</v>
      </c>
      <c r="D45" s="512" t="s">
        <v>6225</v>
      </c>
      <c r="E45" s="513">
        <v>3189</v>
      </c>
      <c r="F45" s="512" t="s">
        <v>66</v>
      </c>
      <c r="G45" s="513" t="s">
        <v>26</v>
      </c>
      <c r="H45" s="514">
        <v>372392</v>
      </c>
      <c r="I45" s="515" t="s">
        <v>6915</v>
      </c>
    </row>
    <row r="46" spans="2:9" ht="15" x14ac:dyDescent="0.35">
      <c r="B46" s="512" t="s">
        <v>6219</v>
      </c>
      <c r="C46" s="512" t="s">
        <v>6233</v>
      </c>
      <c r="D46" s="512" t="s">
        <v>6234</v>
      </c>
      <c r="E46" s="513">
        <v>3194</v>
      </c>
      <c r="F46" s="512" t="s">
        <v>67</v>
      </c>
      <c r="G46" s="513" t="s">
        <v>26</v>
      </c>
      <c r="H46" s="514">
        <v>153527</v>
      </c>
      <c r="I46" s="515" t="s">
        <v>6915</v>
      </c>
    </row>
    <row r="47" spans="2:9" ht="15" x14ac:dyDescent="0.35">
      <c r="B47" s="512" t="s">
        <v>6219</v>
      </c>
      <c r="C47" s="512" t="s">
        <v>6233</v>
      </c>
      <c r="D47" s="512" t="s">
        <v>6234</v>
      </c>
      <c r="E47" s="513">
        <v>3195</v>
      </c>
      <c r="F47" s="512" t="s">
        <v>68</v>
      </c>
      <c r="G47" s="513" t="s">
        <v>26</v>
      </c>
      <c r="H47" s="514">
        <v>63509</v>
      </c>
      <c r="I47" s="515" t="s">
        <v>6915</v>
      </c>
    </row>
    <row r="48" spans="2:9" ht="15" x14ac:dyDescent="0.35">
      <c r="B48" s="512" t="s">
        <v>6219</v>
      </c>
      <c r="C48" s="512" t="s">
        <v>6239</v>
      </c>
      <c r="D48" s="512" t="s">
        <v>6239</v>
      </c>
      <c r="E48" s="513">
        <v>3196</v>
      </c>
      <c r="F48" s="512" t="s">
        <v>69</v>
      </c>
      <c r="G48" s="513" t="s">
        <v>29</v>
      </c>
      <c r="H48" s="516">
        <v>204994</v>
      </c>
      <c r="I48" s="512" t="s">
        <v>6915</v>
      </c>
    </row>
    <row r="49" spans="2:9" ht="15" x14ac:dyDescent="0.35">
      <c r="B49" s="512" t="s">
        <v>6219</v>
      </c>
      <c r="C49" s="512" t="s">
        <v>6239</v>
      </c>
      <c r="D49" s="512" t="s">
        <v>6239</v>
      </c>
      <c r="E49" s="513">
        <v>3197</v>
      </c>
      <c r="F49" s="512" t="s">
        <v>70</v>
      </c>
      <c r="G49" s="513" t="s">
        <v>29</v>
      </c>
      <c r="H49" s="516">
        <v>256810</v>
      </c>
      <c r="I49" s="512" t="s">
        <v>6915</v>
      </c>
    </row>
    <row r="50" spans="2:9" ht="15" x14ac:dyDescent="0.35">
      <c r="B50" s="512" t="s">
        <v>6219</v>
      </c>
      <c r="C50" s="512" t="s">
        <v>6239</v>
      </c>
      <c r="D50" s="512" t="s">
        <v>6239</v>
      </c>
      <c r="E50" s="513">
        <v>3198</v>
      </c>
      <c r="F50" s="512" t="s">
        <v>71</v>
      </c>
      <c r="G50" s="513" t="s">
        <v>29</v>
      </c>
      <c r="H50" s="516">
        <v>346993</v>
      </c>
      <c r="I50" s="512" t="s">
        <v>6915</v>
      </c>
    </row>
    <row r="51" spans="2:9" ht="15" x14ac:dyDescent="0.35">
      <c r="B51" s="512" t="s">
        <v>6219</v>
      </c>
      <c r="C51" s="512" t="s">
        <v>6239</v>
      </c>
      <c r="D51" s="512" t="s">
        <v>6239</v>
      </c>
      <c r="E51" s="513">
        <v>3199</v>
      </c>
      <c r="F51" s="512" t="s">
        <v>72</v>
      </c>
      <c r="G51" s="513" t="s">
        <v>29</v>
      </c>
      <c r="H51" s="516">
        <v>371482</v>
      </c>
      <c r="I51" s="512" t="s">
        <v>6915</v>
      </c>
    </row>
    <row r="52" spans="2:9" ht="15" x14ac:dyDescent="0.35">
      <c r="B52" s="512" t="s">
        <v>6219</v>
      </c>
      <c r="C52" s="512" t="s">
        <v>6239</v>
      </c>
      <c r="D52" s="512" t="s">
        <v>6239</v>
      </c>
      <c r="E52" s="513">
        <v>3200</v>
      </c>
      <c r="F52" s="512" t="s">
        <v>73</v>
      </c>
      <c r="G52" s="513" t="s">
        <v>29</v>
      </c>
      <c r="H52" s="516">
        <v>694163</v>
      </c>
      <c r="I52" s="512" t="s">
        <v>6915</v>
      </c>
    </row>
    <row r="53" spans="2:9" ht="15" x14ac:dyDescent="0.35">
      <c r="B53" s="512" t="s">
        <v>6219</v>
      </c>
      <c r="C53" s="512" t="s">
        <v>6239</v>
      </c>
      <c r="D53" s="512" t="s">
        <v>6239</v>
      </c>
      <c r="E53" s="513">
        <v>3201</v>
      </c>
      <c r="F53" s="512" t="s">
        <v>74</v>
      </c>
      <c r="G53" s="513" t="s">
        <v>29</v>
      </c>
      <c r="H53" s="516">
        <v>1041325</v>
      </c>
      <c r="I53" s="512" t="s">
        <v>6915</v>
      </c>
    </row>
    <row r="54" spans="2:9" ht="15" x14ac:dyDescent="0.35">
      <c r="B54" s="512" t="s">
        <v>6219</v>
      </c>
      <c r="C54" s="512" t="s">
        <v>6240</v>
      </c>
      <c r="D54" s="512" t="s">
        <v>6241</v>
      </c>
      <c r="E54" s="513">
        <v>3202</v>
      </c>
      <c r="F54" s="512" t="s">
        <v>75</v>
      </c>
      <c r="G54" s="513" t="s">
        <v>23</v>
      </c>
      <c r="H54" s="516">
        <v>751398</v>
      </c>
      <c r="I54" s="512" t="s">
        <v>6915</v>
      </c>
    </row>
    <row r="55" spans="2:9" ht="15" x14ac:dyDescent="0.35">
      <c r="B55" s="512" t="s">
        <v>6219</v>
      </c>
      <c r="C55" s="512" t="s">
        <v>6240</v>
      </c>
      <c r="D55" s="512" t="s">
        <v>6241</v>
      </c>
      <c r="E55" s="513">
        <v>3203</v>
      </c>
      <c r="F55" s="512" t="s">
        <v>76</v>
      </c>
      <c r="G55" s="513" t="s">
        <v>23</v>
      </c>
      <c r="H55" s="516">
        <v>669645</v>
      </c>
      <c r="I55" s="512" t="s">
        <v>6915</v>
      </c>
    </row>
    <row r="56" spans="2:9" ht="15" x14ac:dyDescent="0.35">
      <c r="B56" s="512" t="s">
        <v>6219</v>
      </c>
      <c r="C56" s="512" t="s">
        <v>6242</v>
      </c>
      <c r="D56" s="512" t="s">
        <v>6243</v>
      </c>
      <c r="E56" s="513">
        <v>3204</v>
      </c>
      <c r="F56" s="512" t="s">
        <v>77</v>
      </c>
      <c r="G56" s="513" t="s">
        <v>23</v>
      </c>
      <c r="H56" s="514">
        <v>977648</v>
      </c>
      <c r="I56" s="515" t="s">
        <v>6915</v>
      </c>
    </row>
    <row r="57" spans="2:9" ht="15" x14ac:dyDescent="0.35">
      <c r="B57" s="512" t="s">
        <v>6219</v>
      </c>
      <c r="C57" s="512" t="s">
        <v>6230</v>
      </c>
      <c r="D57" s="512" t="s">
        <v>6231</v>
      </c>
      <c r="E57" s="513">
        <v>3207</v>
      </c>
      <c r="F57" s="512" t="s">
        <v>78</v>
      </c>
      <c r="G57" s="513" t="s">
        <v>29</v>
      </c>
      <c r="H57" s="516">
        <v>69768</v>
      </c>
      <c r="I57" s="512" t="s">
        <v>6915</v>
      </c>
    </row>
    <row r="58" spans="2:9" ht="15" x14ac:dyDescent="0.35">
      <c r="B58" s="512" t="s">
        <v>6219</v>
      </c>
      <c r="C58" s="512" t="s">
        <v>6230</v>
      </c>
      <c r="D58" s="512" t="s">
        <v>6231</v>
      </c>
      <c r="E58" s="513">
        <v>3209</v>
      </c>
      <c r="F58" s="512" t="s">
        <v>79</v>
      </c>
      <c r="G58" s="513" t="s">
        <v>26</v>
      </c>
      <c r="H58" s="516">
        <v>471999</v>
      </c>
      <c r="I58" s="512" t="s">
        <v>6915</v>
      </c>
    </row>
    <row r="59" spans="2:9" ht="15" x14ac:dyDescent="0.35">
      <c r="B59" s="512" t="s">
        <v>6219</v>
      </c>
      <c r="C59" s="512" t="s">
        <v>6230</v>
      </c>
      <c r="D59" s="512" t="s">
        <v>6231</v>
      </c>
      <c r="E59" s="513">
        <v>3210</v>
      </c>
      <c r="F59" s="512" t="s">
        <v>80</v>
      </c>
      <c r="G59" s="513" t="s">
        <v>26</v>
      </c>
      <c r="H59" s="516">
        <v>82582</v>
      </c>
      <c r="I59" s="512" t="s">
        <v>6915</v>
      </c>
    </row>
    <row r="60" spans="2:9" ht="15" x14ac:dyDescent="0.35">
      <c r="B60" s="512" t="s">
        <v>6219</v>
      </c>
      <c r="C60" s="512" t="s">
        <v>6224</v>
      </c>
      <c r="D60" s="512" t="s">
        <v>6225</v>
      </c>
      <c r="E60" s="513">
        <v>3221</v>
      </c>
      <c r="F60" s="512" t="s">
        <v>81</v>
      </c>
      <c r="G60" s="513" t="s">
        <v>29</v>
      </c>
      <c r="H60" s="514">
        <v>888282</v>
      </c>
      <c r="I60" s="515" t="s">
        <v>6915</v>
      </c>
    </row>
    <row r="61" spans="2:9" ht="15" x14ac:dyDescent="0.35">
      <c r="B61" s="512" t="s">
        <v>6219</v>
      </c>
      <c r="C61" s="512" t="s">
        <v>6239</v>
      </c>
      <c r="D61" s="512" t="s">
        <v>6239</v>
      </c>
      <c r="E61" s="513">
        <v>3223</v>
      </c>
      <c r="F61" s="512" t="s">
        <v>82</v>
      </c>
      <c r="G61" s="513" t="s">
        <v>26</v>
      </c>
      <c r="H61" s="514">
        <v>26617</v>
      </c>
      <c r="I61" s="515" t="s">
        <v>6915</v>
      </c>
    </row>
    <row r="62" spans="2:9" ht="15" x14ac:dyDescent="0.35">
      <c r="B62" s="512" t="s">
        <v>6219</v>
      </c>
      <c r="C62" s="512" t="s">
        <v>6239</v>
      </c>
      <c r="D62" s="512" t="s">
        <v>6239</v>
      </c>
      <c r="E62" s="513">
        <v>3224</v>
      </c>
      <c r="F62" s="512" t="s">
        <v>83</v>
      </c>
      <c r="G62" s="513" t="s">
        <v>26</v>
      </c>
      <c r="H62" s="514">
        <v>36526</v>
      </c>
      <c r="I62" s="515" t="s">
        <v>6915</v>
      </c>
    </row>
    <row r="63" spans="2:9" ht="15" x14ac:dyDescent="0.35">
      <c r="B63" s="512" t="s">
        <v>6219</v>
      </c>
      <c r="C63" s="512" t="s">
        <v>6239</v>
      </c>
      <c r="D63" s="512" t="s">
        <v>6239</v>
      </c>
      <c r="E63" s="513">
        <v>3225</v>
      </c>
      <c r="F63" s="512" t="s">
        <v>84</v>
      </c>
      <c r="G63" s="513" t="s">
        <v>26</v>
      </c>
      <c r="H63" s="514">
        <v>59868</v>
      </c>
      <c r="I63" s="515" t="s">
        <v>6915</v>
      </c>
    </row>
    <row r="64" spans="2:9" ht="15" x14ac:dyDescent="0.35">
      <c r="B64" s="512" t="s">
        <v>6219</v>
      </c>
      <c r="C64" s="512" t="s">
        <v>6239</v>
      </c>
      <c r="D64" s="512" t="s">
        <v>6239</v>
      </c>
      <c r="E64" s="513">
        <v>3226</v>
      </c>
      <c r="F64" s="512" t="s">
        <v>85</v>
      </c>
      <c r="G64" s="513" t="s">
        <v>26</v>
      </c>
      <c r="H64" s="514">
        <v>76083</v>
      </c>
      <c r="I64" s="515" t="s">
        <v>6915</v>
      </c>
    </row>
    <row r="65" spans="2:9" ht="15" x14ac:dyDescent="0.35">
      <c r="B65" s="512" t="s">
        <v>6219</v>
      </c>
      <c r="C65" s="512" t="s">
        <v>6239</v>
      </c>
      <c r="D65" s="512" t="s">
        <v>6239</v>
      </c>
      <c r="E65" s="513">
        <v>3227</v>
      </c>
      <c r="F65" s="512" t="s">
        <v>86</v>
      </c>
      <c r="G65" s="513" t="s">
        <v>26</v>
      </c>
      <c r="H65" s="514">
        <v>151759</v>
      </c>
      <c r="I65" s="515" t="s">
        <v>6915</v>
      </c>
    </row>
    <row r="66" spans="2:9" ht="15" x14ac:dyDescent="0.35">
      <c r="B66" s="512" t="s">
        <v>6219</v>
      </c>
      <c r="C66" s="512" t="s">
        <v>6239</v>
      </c>
      <c r="D66" s="512" t="s">
        <v>6239</v>
      </c>
      <c r="E66" s="513">
        <v>3228</v>
      </c>
      <c r="F66" s="512" t="s">
        <v>87</v>
      </c>
      <c r="G66" s="513" t="s">
        <v>26</v>
      </c>
      <c r="H66" s="514">
        <v>250672</v>
      </c>
      <c r="I66" s="515" t="s">
        <v>6915</v>
      </c>
    </row>
    <row r="67" spans="2:9" ht="15" x14ac:dyDescent="0.35">
      <c r="B67" s="512" t="s">
        <v>6219</v>
      </c>
      <c r="C67" s="512" t="s">
        <v>6239</v>
      </c>
      <c r="D67" s="512" t="s">
        <v>6239</v>
      </c>
      <c r="E67" s="513">
        <v>3229</v>
      </c>
      <c r="F67" s="512" t="s">
        <v>88</v>
      </c>
      <c r="G67" s="513" t="s">
        <v>26</v>
      </c>
      <c r="H67" s="514">
        <v>390190</v>
      </c>
      <c r="I67" s="515" t="s">
        <v>6915</v>
      </c>
    </row>
    <row r="68" spans="2:9" ht="15" x14ac:dyDescent="0.35">
      <c r="B68" s="512" t="s">
        <v>6219</v>
      </c>
      <c r="C68" s="512" t="s">
        <v>6239</v>
      </c>
      <c r="D68" s="512" t="s">
        <v>6239</v>
      </c>
      <c r="E68" s="513">
        <v>3230</v>
      </c>
      <c r="F68" s="512" t="s">
        <v>89</v>
      </c>
      <c r="G68" s="513" t="s">
        <v>26</v>
      </c>
      <c r="H68" s="514">
        <v>533659</v>
      </c>
      <c r="I68" s="515" t="s">
        <v>6915</v>
      </c>
    </row>
    <row r="69" spans="2:9" ht="15" x14ac:dyDescent="0.35">
      <c r="B69" s="512" t="s">
        <v>6219</v>
      </c>
      <c r="C69" s="512" t="s">
        <v>6239</v>
      </c>
      <c r="D69" s="512" t="s">
        <v>6239</v>
      </c>
      <c r="E69" s="513">
        <v>3231</v>
      </c>
      <c r="F69" s="512" t="s">
        <v>90</v>
      </c>
      <c r="G69" s="513" t="s">
        <v>26</v>
      </c>
      <c r="H69" s="514">
        <v>23172</v>
      </c>
      <c r="I69" s="515" t="s">
        <v>6915</v>
      </c>
    </row>
    <row r="70" spans="2:9" ht="15" x14ac:dyDescent="0.35">
      <c r="B70" s="512" t="s">
        <v>6219</v>
      </c>
      <c r="C70" s="512" t="s">
        <v>6239</v>
      </c>
      <c r="D70" s="512" t="s">
        <v>6239</v>
      </c>
      <c r="E70" s="513">
        <v>3232</v>
      </c>
      <c r="F70" s="512" t="s">
        <v>91</v>
      </c>
      <c r="G70" s="513" t="s">
        <v>26</v>
      </c>
      <c r="H70" s="514">
        <v>31427</v>
      </c>
      <c r="I70" s="515" t="s">
        <v>6915</v>
      </c>
    </row>
    <row r="71" spans="2:9" ht="15" x14ac:dyDescent="0.35">
      <c r="B71" s="512" t="s">
        <v>6219</v>
      </c>
      <c r="C71" s="512" t="s">
        <v>6239</v>
      </c>
      <c r="D71" s="512" t="s">
        <v>6239</v>
      </c>
      <c r="E71" s="513">
        <v>3233</v>
      </c>
      <c r="F71" s="512" t="s">
        <v>92</v>
      </c>
      <c r="G71" s="513" t="s">
        <v>26</v>
      </c>
      <c r="H71" s="514">
        <v>50824</v>
      </c>
      <c r="I71" s="515" t="s">
        <v>6915</v>
      </c>
    </row>
    <row r="72" spans="2:9" ht="15" x14ac:dyDescent="0.35">
      <c r="B72" s="512" t="s">
        <v>6219</v>
      </c>
      <c r="C72" s="512" t="s">
        <v>6239</v>
      </c>
      <c r="D72" s="512" t="s">
        <v>6239</v>
      </c>
      <c r="E72" s="513">
        <v>3234</v>
      </c>
      <c r="F72" s="512" t="s">
        <v>93</v>
      </c>
      <c r="G72" s="513" t="s">
        <v>26</v>
      </c>
      <c r="H72" s="514">
        <v>65505</v>
      </c>
      <c r="I72" s="515" t="s">
        <v>6915</v>
      </c>
    </row>
    <row r="73" spans="2:9" ht="15" x14ac:dyDescent="0.35">
      <c r="B73" s="512" t="s">
        <v>6219</v>
      </c>
      <c r="C73" s="512" t="s">
        <v>6239</v>
      </c>
      <c r="D73" s="512" t="s">
        <v>6239</v>
      </c>
      <c r="E73" s="513">
        <v>3235</v>
      </c>
      <c r="F73" s="512" t="s">
        <v>94</v>
      </c>
      <c r="G73" s="513" t="s">
        <v>26</v>
      </c>
      <c r="H73" s="514">
        <v>126872</v>
      </c>
      <c r="I73" s="515" t="s">
        <v>6915</v>
      </c>
    </row>
    <row r="74" spans="2:9" ht="15" x14ac:dyDescent="0.35">
      <c r="B74" s="512" t="s">
        <v>6219</v>
      </c>
      <c r="C74" s="512" t="s">
        <v>6239</v>
      </c>
      <c r="D74" s="512" t="s">
        <v>6239</v>
      </c>
      <c r="E74" s="513">
        <v>3236</v>
      </c>
      <c r="F74" s="512" t="s">
        <v>95</v>
      </c>
      <c r="G74" s="513" t="s">
        <v>26</v>
      </c>
      <c r="H74" s="514">
        <v>209349</v>
      </c>
      <c r="I74" s="515" t="s">
        <v>6915</v>
      </c>
    </row>
    <row r="75" spans="2:9" ht="15" x14ac:dyDescent="0.35">
      <c r="B75" s="512" t="s">
        <v>6219</v>
      </c>
      <c r="C75" s="512" t="s">
        <v>6239</v>
      </c>
      <c r="D75" s="512" t="s">
        <v>6239</v>
      </c>
      <c r="E75" s="513">
        <v>3237</v>
      </c>
      <c r="F75" s="512" t="s">
        <v>96</v>
      </c>
      <c r="G75" s="513" t="s">
        <v>26</v>
      </c>
      <c r="H75" s="514">
        <v>321751</v>
      </c>
      <c r="I75" s="515" t="s">
        <v>6915</v>
      </c>
    </row>
    <row r="76" spans="2:9" ht="15" x14ac:dyDescent="0.35">
      <c r="B76" s="512" t="s">
        <v>6219</v>
      </c>
      <c r="C76" s="512" t="s">
        <v>6239</v>
      </c>
      <c r="D76" s="512" t="s">
        <v>6239</v>
      </c>
      <c r="E76" s="513">
        <v>3238</v>
      </c>
      <c r="F76" s="512" t="s">
        <v>97</v>
      </c>
      <c r="G76" s="513" t="s">
        <v>26</v>
      </c>
      <c r="H76" s="514">
        <v>460130</v>
      </c>
      <c r="I76" s="515" t="s">
        <v>6915</v>
      </c>
    </row>
    <row r="77" spans="2:9" ht="15" x14ac:dyDescent="0.35">
      <c r="B77" s="512" t="s">
        <v>6219</v>
      </c>
      <c r="C77" s="512" t="s">
        <v>6239</v>
      </c>
      <c r="D77" s="512" t="s">
        <v>6239</v>
      </c>
      <c r="E77" s="513">
        <v>3239</v>
      </c>
      <c r="F77" s="512" t="s">
        <v>98</v>
      </c>
      <c r="G77" s="513" t="s">
        <v>26</v>
      </c>
      <c r="H77" s="514">
        <v>42294</v>
      </c>
      <c r="I77" s="515" t="s">
        <v>6915</v>
      </c>
    </row>
    <row r="78" spans="2:9" ht="15" x14ac:dyDescent="0.35">
      <c r="B78" s="512" t="s">
        <v>6219</v>
      </c>
      <c r="C78" s="512" t="s">
        <v>6239</v>
      </c>
      <c r="D78" s="512" t="s">
        <v>6239</v>
      </c>
      <c r="E78" s="513">
        <v>3240</v>
      </c>
      <c r="F78" s="512" t="s">
        <v>99</v>
      </c>
      <c r="G78" s="513" t="s">
        <v>26</v>
      </c>
      <c r="H78" s="514">
        <v>54140</v>
      </c>
      <c r="I78" s="515" t="s">
        <v>6915</v>
      </c>
    </row>
    <row r="79" spans="2:9" ht="15" x14ac:dyDescent="0.35">
      <c r="B79" s="512" t="s">
        <v>6219</v>
      </c>
      <c r="C79" s="512" t="s">
        <v>6239</v>
      </c>
      <c r="D79" s="512" t="s">
        <v>6239</v>
      </c>
      <c r="E79" s="513">
        <v>3241</v>
      </c>
      <c r="F79" s="512" t="s">
        <v>100</v>
      </c>
      <c r="G79" s="513" t="s">
        <v>26</v>
      </c>
      <c r="H79" s="514">
        <v>106141</v>
      </c>
      <c r="I79" s="515" t="s">
        <v>6915</v>
      </c>
    </row>
    <row r="80" spans="2:9" ht="15" x14ac:dyDescent="0.35">
      <c r="B80" s="512" t="s">
        <v>6219</v>
      </c>
      <c r="C80" s="512" t="s">
        <v>6239</v>
      </c>
      <c r="D80" s="512" t="s">
        <v>6239</v>
      </c>
      <c r="E80" s="513">
        <v>3242</v>
      </c>
      <c r="F80" s="512" t="s">
        <v>101</v>
      </c>
      <c r="G80" s="513" t="s">
        <v>26</v>
      </c>
      <c r="H80" s="514">
        <v>174106</v>
      </c>
      <c r="I80" s="515" t="s">
        <v>6915</v>
      </c>
    </row>
    <row r="81" spans="2:9" ht="15" x14ac:dyDescent="0.35">
      <c r="B81" s="512" t="s">
        <v>6219</v>
      </c>
      <c r="C81" s="512" t="s">
        <v>6239</v>
      </c>
      <c r="D81" s="512" t="s">
        <v>6239</v>
      </c>
      <c r="E81" s="513">
        <v>3243</v>
      </c>
      <c r="F81" s="512" t="s">
        <v>102</v>
      </c>
      <c r="G81" s="513" t="s">
        <v>26</v>
      </c>
      <c r="H81" s="514">
        <v>267933</v>
      </c>
      <c r="I81" s="515" t="s">
        <v>6915</v>
      </c>
    </row>
    <row r="82" spans="2:9" ht="15" x14ac:dyDescent="0.35">
      <c r="B82" s="512" t="s">
        <v>6219</v>
      </c>
      <c r="C82" s="512" t="s">
        <v>6239</v>
      </c>
      <c r="D82" s="512" t="s">
        <v>6239</v>
      </c>
      <c r="E82" s="513">
        <v>3245</v>
      </c>
      <c r="F82" s="512" t="s">
        <v>103</v>
      </c>
      <c r="G82" s="513" t="s">
        <v>26</v>
      </c>
      <c r="H82" s="514">
        <v>380579</v>
      </c>
      <c r="I82" s="515" t="s">
        <v>6915</v>
      </c>
    </row>
    <row r="83" spans="2:9" ht="15" x14ac:dyDescent="0.35">
      <c r="B83" s="512" t="s">
        <v>6219</v>
      </c>
      <c r="C83" s="512" t="s">
        <v>6239</v>
      </c>
      <c r="D83" s="512" t="s">
        <v>6239</v>
      </c>
      <c r="E83" s="513">
        <v>3246</v>
      </c>
      <c r="F83" s="512" t="s">
        <v>104</v>
      </c>
      <c r="G83" s="513" t="s">
        <v>26</v>
      </c>
      <c r="H83" s="514">
        <v>44088</v>
      </c>
      <c r="I83" s="515" t="s">
        <v>6915</v>
      </c>
    </row>
    <row r="84" spans="2:9" ht="15" x14ac:dyDescent="0.35">
      <c r="B84" s="512" t="s">
        <v>6219</v>
      </c>
      <c r="C84" s="512" t="s">
        <v>6239</v>
      </c>
      <c r="D84" s="512" t="s">
        <v>6239</v>
      </c>
      <c r="E84" s="513">
        <v>3247</v>
      </c>
      <c r="F84" s="512" t="s">
        <v>105</v>
      </c>
      <c r="G84" s="513" t="s">
        <v>26</v>
      </c>
      <c r="H84" s="514">
        <v>88318</v>
      </c>
      <c r="I84" s="515" t="s">
        <v>6915</v>
      </c>
    </row>
    <row r="85" spans="2:9" ht="15" x14ac:dyDescent="0.35">
      <c r="B85" s="512" t="s">
        <v>6219</v>
      </c>
      <c r="C85" s="512" t="s">
        <v>6239</v>
      </c>
      <c r="D85" s="512" t="s">
        <v>6239</v>
      </c>
      <c r="E85" s="513">
        <v>3248</v>
      </c>
      <c r="F85" s="512" t="s">
        <v>106</v>
      </c>
      <c r="G85" s="513" t="s">
        <v>26</v>
      </c>
      <c r="H85" s="514">
        <v>142854</v>
      </c>
      <c r="I85" s="515" t="s">
        <v>6915</v>
      </c>
    </row>
    <row r="86" spans="2:9" ht="15" x14ac:dyDescent="0.35">
      <c r="B86" s="512" t="s">
        <v>6219</v>
      </c>
      <c r="C86" s="512" t="s">
        <v>6239</v>
      </c>
      <c r="D86" s="512" t="s">
        <v>6239</v>
      </c>
      <c r="E86" s="513">
        <v>3249</v>
      </c>
      <c r="F86" s="512" t="s">
        <v>107</v>
      </c>
      <c r="G86" s="513" t="s">
        <v>26</v>
      </c>
      <c r="H86" s="514">
        <v>219157</v>
      </c>
      <c r="I86" s="515" t="s">
        <v>6915</v>
      </c>
    </row>
    <row r="87" spans="2:9" ht="15" x14ac:dyDescent="0.35">
      <c r="B87" s="512" t="s">
        <v>6219</v>
      </c>
      <c r="C87" s="512" t="s">
        <v>6239</v>
      </c>
      <c r="D87" s="512" t="s">
        <v>6239</v>
      </c>
      <c r="E87" s="513">
        <v>3250</v>
      </c>
      <c r="F87" s="512" t="s">
        <v>108</v>
      </c>
      <c r="G87" s="513" t="s">
        <v>26</v>
      </c>
      <c r="H87" s="514">
        <v>292739</v>
      </c>
      <c r="I87" s="515" t="s">
        <v>6915</v>
      </c>
    </row>
    <row r="88" spans="2:9" ht="15" x14ac:dyDescent="0.35">
      <c r="B88" s="512" t="s">
        <v>6219</v>
      </c>
      <c r="C88" s="512" t="s">
        <v>6239</v>
      </c>
      <c r="D88" s="512" t="s">
        <v>6239</v>
      </c>
      <c r="E88" s="513">
        <v>3251</v>
      </c>
      <c r="F88" s="512" t="s">
        <v>109</v>
      </c>
      <c r="G88" s="513" t="s">
        <v>29</v>
      </c>
      <c r="H88" s="514">
        <v>921117</v>
      </c>
      <c r="I88" s="515" t="s">
        <v>6915</v>
      </c>
    </row>
    <row r="89" spans="2:9" ht="15" x14ac:dyDescent="0.35">
      <c r="B89" s="512" t="s">
        <v>6219</v>
      </c>
      <c r="C89" s="512" t="s">
        <v>6239</v>
      </c>
      <c r="D89" s="512" t="s">
        <v>6239</v>
      </c>
      <c r="E89" s="513">
        <v>3252</v>
      </c>
      <c r="F89" s="512" t="s">
        <v>110</v>
      </c>
      <c r="G89" s="513" t="s">
        <v>29</v>
      </c>
      <c r="H89" s="514">
        <v>838880</v>
      </c>
      <c r="I89" s="515" t="s">
        <v>6915</v>
      </c>
    </row>
    <row r="90" spans="2:9" ht="15" x14ac:dyDescent="0.35">
      <c r="B90" s="512" t="s">
        <v>6219</v>
      </c>
      <c r="C90" s="512" t="s">
        <v>6239</v>
      </c>
      <c r="D90" s="512" t="s">
        <v>6239</v>
      </c>
      <c r="E90" s="513">
        <v>3253</v>
      </c>
      <c r="F90" s="512" t="s">
        <v>111</v>
      </c>
      <c r="G90" s="513" t="s">
        <v>29</v>
      </c>
      <c r="H90" s="514">
        <v>807074</v>
      </c>
      <c r="I90" s="515" t="s">
        <v>6915</v>
      </c>
    </row>
    <row r="91" spans="2:9" ht="15" x14ac:dyDescent="0.35">
      <c r="B91" s="512" t="s">
        <v>6219</v>
      </c>
      <c r="C91" s="512" t="s">
        <v>6239</v>
      </c>
      <c r="D91" s="512" t="s">
        <v>6239</v>
      </c>
      <c r="E91" s="513">
        <v>3254</v>
      </c>
      <c r="F91" s="512" t="s">
        <v>112</v>
      </c>
      <c r="G91" s="513" t="s">
        <v>29</v>
      </c>
      <c r="H91" s="514">
        <v>1001044</v>
      </c>
      <c r="I91" s="515" t="s">
        <v>6915</v>
      </c>
    </row>
    <row r="92" spans="2:9" ht="15" x14ac:dyDescent="0.35">
      <c r="B92" s="512" t="s">
        <v>6219</v>
      </c>
      <c r="C92" s="512" t="s">
        <v>6239</v>
      </c>
      <c r="D92" s="512" t="s">
        <v>6239</v>
      </c>
      <c r="E92" s="513">
        <v>3255</v>
      </c>
      <c r="F92" s="512" t="s">
        <v>113</v>
      </c>
      <c r="G92" s="513" t="s">
        <v>29</v>
      </c>
      <c r="H92" s="514">
        <v>1264786</v>
      </c>
      <c r="I92" s="515" t="s">
        <v>6915</v>
      </c>
    </row>
    <row r="93" spans="2:9" ht="15" x14ac:dyDescent="0.35">
      <c r="B93" s="512" t="s">
        <v>6219</v>
      </c>
      <c r="C93" s="512" t="s">
        <v>6239</v>
      </c>
      <c r="D93" s="512" t="s">
        <v>6239</v>
      </c>
      <c r="E93" s="513">
        <v>3256</v>
      </c>
      <c r="F93" s="512" t="s">
        <v>114</v>
      </c>
      <c r="G93" s="513" t="s">
        <v>29</v>
      </c>
      <c r="H93" s="514">
        <v>1393306</v>
      </c>
      <c r="I93" s="515" t="s">
        <v>6915</v>
      </c>
    </row>
    <row r="94" spans="2:9" ht="15" x14ac:dyDescent="0.35">
      <c r="B94" s="512" t="s">
        <v>6219</v>
      </c>
      <c r="C94" s="512" t="s">
        <v>6239</v>
      </c>
      <c r="D94" s="512" t="s">
        <v>6239</v>
      </c>
      <c r="E94" s="513">
        <v>3257</v>
      </c>
      <c r="F94" s="512" t="s">
        <v>115</v>
      </c>
      <c r="G94" s="513" t="s">
        <v>29</v>
      </c>
      <c r="H94" s="514">
        <v>1575376</v>
      </c>
      <c r="I94" s="515" t="s">
        <v>6915</v>
      </c>
    </row>
    <row r="95" spans="2:9" ht="15" x14ac:dyDescent="0.35">
      <c r="B95" s="512" t="s">
        <v>6219</v>
      </c>
      <c r="C95" s="512" t="s">
        <v>6239</v>
      </c>
      <c r="D95" s="512" t="s">
        <v>6239</v>
      </c>
      <c r="E95" s="513">
        <v>3258</v>
      </c>
      <c r="F95" s="512" t="s">
        <v>116</v>
      </c>
      <c r="G95" s="513" t="s">
        <v>29</v>
      </c>
      <c r="H95" s="514">
        <v>1646776</v>
      </c>
      <c r="I95" s="515" t="s">
        <v>6915</v>
      </c>
    </row>
    <row r="96" spans="2:9" ht="15" x14ac:dyDescent="0.35">
      <c r="B96" s="512" t="s">
        <v>6219</v>
      </c>
      <c r="C96" s="512" t="s">
        <v>6239</v>
      </c>
      <c r="D96" s="512" t="s">
        <v>6239</v>
      </c>
      <c r="E96" s="513">
        <v>3259</v>
      </c>
      <c r="F96" s="512" t="s">
        <v>117</v>
      </c>
      <c r="G96" s="513" t="s">
        <v>29</v>
      </c>
      <c r="H96" s="514">
        <v>1715796</v>
      </c>
      <c r="I96" s="515" t="s">
        <v>6915</v>
      </c>
    </row>
    <row r="97" spans="2:9" ht="15" x14ac:dyDescent="0.35">
      <c r="B97" s="512" t="s">
        <v>6219</v>
      </c>
      <c r="C97" s="512" t="s">
        <v>6239</v>
      </c>
      <c r="D97" s="512" t="s">
        <v>6239</v>
      </c>
      <c r="E97" s="513">
        <v>3260</v>
      </c>
      <c r="F97" s="512" t="s">
        <v>118</v>
      </c>
      <c r="G97" s="513" t="s">
        <v>29</v>
      </c>
      <c r="H97" s="514">
        <v>1890785</v>
      </c>
      <c r="I97" s="515" t="s">
        <v>6915</v>
      </c>
    </row>
    <row r="98" spans="2:9" ht="15" x14ac:dyDescent="0.35">
      <c r="B98" s="512" t="s">
        <v>6219</v>
      </c>
      <c r="C98" s="512" t="s">
        <v>6239</v>
      </c>
      <c r="D98" s="512" t="s">
        <v>6239</v>
      </c>
      <c r="E98" s="513">
        <v>3261</v>
      </c>
      <c r="F98" s="512" t="s">
        <v>119</v>
      </c>
      <c r="G98" s="513" t="s">
        <v>29</v>
      </c>
      <c r="H98" s="514">
        <v>2266825</v>
      </c>
      <c r="I98" s="515" t="s">
        <v>6915</v>
      </c>
    </row>
    <row r="99" spans="2:9" ht="15" x14ac:dyDescent="0.35">
      <c r="B99" s="512" t="s">
        <v>6219</v>
      </c>
      <c r="C99" s="512" t="s">
        <v>6239</v>
      </c>
      <c r="D99" s="512" t="s">
        <v>6239</v>
      </c>
      <c r="E99" s="513">
        <v>3262</v>
      </c>
      <c r="F99" s="512" t="s">
        <v>120</v>
      </c>
      <c r="G99" s="513" t="s">
        <v>29</v>
      </c>
      <c r="H99" s="514">
        <v>2348935</v>
      </c>
      <c r="I99" s="515" t="s">
        <v>6915</v>
      </c>
    </row>
    <row r="100" spans="2:9" ht="15" x14ac:dyDescent="0.35">
      <c r="B100" s="512" t="s">
        <v>6219</v>
      </c>
      <c r="C100" s="512" t="s">
        <v>6239</v>
      </c>
      <c r="D100" s="512" t="s">
        <v>6239</v>
      </c>
      <c r="E100" s="513">
        <v>3263</v>
      </c>
      <c r="F100" s="512" t="s">
        <v>121</v>
      </c>
      <c r="G100" s="513" t="s">
        <v>29</v>
      </c>
      <c r="H100" s="514">
        <v>2565515</v>
      </c>
      <c r="I100" s="515" t="s">
        <v>6915</v>
      </c>
    </row>
    <row r="101" spans="2:9" ht="15" x14ac:dyDescent="0.35">
      <c r="B101" s="512" t="s">
        <v>6219</v>
      </c>
      <c r="C101" s="512" t="s">
        <v>6239</v>
      </c>
      <c r="D101" s="512" t="s">
        <v>6239</v>
      </c>
      <c r="E101" s="513">
        <v>3264</v>
      </c>
      <c r="F101" s="512" t="s">
        <v>122</v>
      </c>
      <c r="G101" s="513" t="s">
        <v>29</v>
      </c>
      <c r="H101" s="514">
        <v>2835645</v>
      </c>
      <c r="I101" s="515" t="s">
        <v>6915</v>
      </c>
    </row>
    <row r="102" spans="2:9" ht="15" x14ac:dyDescent="0.35">
      <c r="B102" s="512" t="s">
        <v>6219</v>
      </c>
      <c r="C102" s="512" t="s">
        <v>6239</v>
      </c>
      <c r="D102" s="512" t="s">
        <v>6239</v>
      </c>
      <c r="E102" s="513">
        <v>3265</v>
      </c>
      <c r="F102" s="512" t="s">
        <v>123</v>
      </c>
      <c r="G102" s="513" t="s">
        <v>29</v>
      </c>
      <c r="H102" s="514">
        <v>3434215</v>
      </c>
      <c r="I102" s="515" t="s">
        <v>6915</v>
      </c>
    </row>
    <row r="103" spans="2:9" ht="15" x14ac:dyDescent="0.35">
      <c r="B103" s="512" t="s">
        <v>6219</v>
      </c>
      <c r="C103" s="512" t="s">
        <v>6239</v>
      </c>
      <c r="D103" s="512" t="s">
        <v>6239</v>
      </c>
      <c r="E103" s="513">
        <v>3267</v>
      </c>
      <c r="F103" s="512" t="s">
        <v>124</v>
      </c>
      <c r="G103" s="513" t="s">
        <v>29</v>
      </c>
      <c r="H103" s="514">
        <v>2306153</v>
      </c>
      <c r="I103" s="515" t="s">
        <v>6915</v>
      </c>
    </row>
    <row r="104" spans="2:9" ht="15" x14ac:dyDescent="0.35">
      <c r="B104" s="512" t="s">
        <v>6219</v>
      </c>
      <c r="C104" s="512" t="s">
        <v>6239</v>
      </c>
      <c r="D104" s="512" t="s">
        <v>6239</v>
      </c>
      <c r="E104" s="513">
        <v>3268</v>
      </c>
      <c r="F104" s="512" t="s">
        <v>125</v>
      </c>
      <c r="G104" s="513" t="s">
        <v>29</v>
      </c>
      <c r="H104" s="514">
        <v>2938043</v>
      </c>
      <c r="I104" s="515" t="s">
        <v>6915</v>
      </c>
    </row>
    <row r="105" spans="2:9" ht="15" x14ac:dyDescent="0.35">
      <c r="B105" s="512" t="s">
        <v>6219</v>
      </c>
      <c r="C105" s="512" t="s">
        <v>6239</v>
      </c>
      <c r="D105" s="512" t="s">
        <v>6239</v>
      </c>
      <c r="E105" s="513">
        <v>3269</v>
      </c>
      <c r="F105" s="512" t="s">
        <v>126</v>
      </c>
      <c r="G105" s="513" t="s">
        <v>29</v>
      </c>
      <c r="H105" s="514">
        <v>2472753</v>
      </c>
      <c r="I105" s="515" t="s">
        <v>6915</v>
      </c>
    </row>
    <row r="106" spans="2:9" ht="15" x14ac:dyDescent="0.35">
      <c r="B106" s="512" t="s">
        <v>6219</v>
      </c>
      <c r="C106" s="512" t="s">
        <v>6239</v>
      </c>
      <c r="D106" s="512" t="s">
        <v>6239</v>
      </c>
      <c r="E106" s="513">
        <v>3270</v>
      </c>
      <c r="F106" s="512" t="s">
        <v>127</v>
      </c>
      <c r="G106" s="513" t="s">
        <v>29</v>
      </c>
      <c r="H106" s="514">
        <v>2942803</v>
      </c>
      <c r="I106" s="515" t="s">
        <v>6915</v>
      </c>
    </row>
    <row r="107" spans="2:9" ht="15" x14ac:dyDescent="0.35">
      <c r="B107" s="512" t="s">
        <v>6219</v>
      </c>
      <c r="C107" s="512" t="s">
        <v>6239</v>
      </c>
      <c r="D107" s="512" t="s">
        <v>6239</v>
      </c>
      <c r="E107" s="513">
        <v>3271</v>
      </c>
      <c r="F107" s="512" t="s">
        <v>128</v>
      </c>
      <c r="G107" s="513" t="s">
        <v>29</v>
      </c>
      <c r="H107" s="514">
        <v>3954303</v>
      </c>
      <c r="I107" s="515" t="s">
        <v>6915</v>
      </c>
    </row>
    <row r="108" spans="2:9" ht="15" x14ac:dyDescent="0.35">
      <c r="B108" s="512" t="s">
        <v>6219</v>
      </c>
      <c r="C108" s="512" t="s">
        <v>6239</v>
      </c>
      <c r="D108" s="512" t="s">
        <v>6239</v>
      </c>
      <c r="E108" s="513">
        <v>3272</v>
      </c>
      <c r="F108" s="512" t="s">
        <v>129</v>
      </c>
      <c r="G108" s="513" t="s">
        <v>29</v>
      </c>
      <c r="H108" s="514">
        <v>4363663</v>
      </c>
      <c r="I108" s="515" t="s">
        <v>6915</v>
      </c>
    </row>
    <row r="109" spans="2:9" ht="15" x14ac:dyDescent="0.35">
      <c r="B109" s="512" t="s">
        <v>6219</v>
      </c>
      <c r="C109" s="512" t="s">
        <v>6239</v>
      </c>
      <c r="D109" s="512" t="s">
        <v>6239</v>
      </c>
      <c r="E109" s="513">
        <v>3273</v>
      </c>
      <c r="F109" s="512" t="s">
        <v>130</v>
      </c>
      <c r="G109" s="513" t="s">
        <v>29</v>
      </c>
      <c r="H109" s="514">
        <v>10847970</v>
      </c>
      <c r="I109" s="515" t="s">
        <v>6915</v>
      </c>
    </row>
    <row r="110" spans="2:9" ht="15" x14ac:dyDescent="0.35">
      <c r="B110" s="512" t="s">
        <v>6219</v>
      </c>
      <c r="C110" s="512" t="s">
        <v>6239</v>
      </c>
      <c r="D110" s="512" t="s">
        <v>6239</v>
      </c>
      <c r="E110" s="513">
        <v>3274</v>
      </c>
      <c r="F110" s="512" t="s">
        <v>131</v>
      </c>
      <c r="G110" s="513" t="s">
        <v>29</v>
      </c>
      <c r="H110" s="514">
        <v>11228770</v>
      </c>
      <c r="I110" s="515" t="s">
        <v>6915</v>
      </c>
    </row>
    <row r="111" spans="2:9" ht="15" x14ac:dyDescent="0.35">
      <c r="B111" s="512" t="s">
        <v>6219</v>
      </c>
      <c r="C111" s="512" t="s">
        <v>6239</v>
      </c>
      <c r="D111" s="512" t="s">
        <v>6239</v>
      </c>
      <c r="E111" s="513">
        <v>3275</v>
      </c>
      <c r="F111" s="512" t="s">
        <v>132</v>
      </c>
      <c r="G111" s="513" t="s">
        <v>29</v>
      </c>
      <c r="H111" s="514">
        <v>13097070</v>
      </c>
      <c r="I111" s="515" t="s">
        <v>6915</v>
      </c>
    </row>
    <row r="112" spans="2:9" ht="15" x14ac:dyDescent="0.35">
      <c r="B112" s="512" t="s">
        <v>6219</v>
      </c>
      <c r="C112" s="512" t="s">
        <v>6239</v>
      </c>
      <c r="D112" s="512" t="s">
        <v>6239</v>
      </c>
      <c r="E112" s="513">
        <v>3276</v>
      </c>
      <c r="F112" s="512" t="s">
        <v>133</v>
      </c>
      <c r="G112" s="513" t="s">
        <v>29</v>
      </c>
      <c r="H112" s="514">
        <v>13727770</v>
      </c>
      <c r="I112" s="515" t="s">
        <v>6915</v>
      </c>
    </row>
    <row r="113" spans="2:9" ht="15" x14ac:dyDescent="0.35">
      <c r="B113" s="512" t="s">
        <v>6219</v>
      </c>
      <c r="C113" s="512" t="s">
        <v>6239</v>
      </c>
      <c r="D113" s="512" t="s">
        <v>6239</v>
      </c>
      <c r="E113" s="513">
        <v>3277</v>
      </c>
      <c r="F113" s="512" t="s">
        <v>134</v>
      </c>
      <c r="G113" s="513" t="s">
        <v>29</v>
      </c>
      <c r="H113" s="514">
        <v>14691670</v>
      </c>
      <c r="I113" s="515" t="s">
        <v>6915</v>
      </c>
    </row>
    <row r="114" spans="2:9" ht="15" x14ac:dyDescent="0.35">
      <c r="B114" s="512" t="s">
        <v>6219</v>
      </c>
      <c r="C114" s="512" t="s">
        <v>6239</v>
      </c>
      <c r="D114" s="512" t="s">
        <v>6239</v>
      </c>
      <c r="E114" s="513">
        <v>3278</v>
      </c>
      <c r="F114" s="512" t="s">
        <v>135</v>
      </c>
      <c r="G114" s="513" t="s">
        <v>29</v>
      </c>
      <c r="H114" s="514">
        <v>15108170</v>
      </c>
      <c r="I114" s="515" t="s">
        <v>6915</v>
      </c>
    </row>
    <row r="115" spans="2:9" ht="15" x14ac:dyDescent="0.35">
      <c r="B115" s="512" t="s">
        <v>6219</v>
      </c>
      <c r="C115" s="512" t="s">
        <v>6239</v>
      </c>
      <c r="D115" s="512" t="s">
        <v>6239</v>
      </c>
      <c r="E115" s="513">
        <v>3279</v>
      </c>
      <c r="F115" s="512" t="s">
        <v>136</v>
      </c>
      <c r="G115" s="513" t="s">
        <v>29</v>
      </c>
      <c r="H115" s="514">
        <v>16060170</v>
      </c>
      <c r="I115" s="515" t="s">
        <v>6915</v>
      </c>
    </row>
    <row r="116" spans="2:9" ht="15" x14ac:dyDescent="0.35">
      <c r="B116" s="512" t="s">
        <v>6219</v>
      </c>
      <c r="C116" s="512" t="s">
        <v>6239</v>
      </c>
      <c r="D116" s="512" t="s">
        <v>6239</v>
      </c>
      <c r="E116" s="513">
        <v>3280</v>
      </c>
      <c r="F116" s="512" t="s">
        <v>137</v>
      </c>
      <c r="G116" s="513" t="s">
        <v>29</v>
      </c>
      <c r="H116" s="514">
        <v>17066910</v>
      </c>
      <c r="I116" s="515" t="s">
        <v>6915</v>
      </c>
    </row>
    <row r="117" spans="2:9" ht="15" x14ac:dyDescent="0.35">
      <c r="B117" s="512" t="s">
        <v>6219</v>
      </c>
      <c r="C117" s="512" t="s">
        <v>6239</v>
      </c>
      <c r="D117" s="512" t="s">
        <v>6239</v>
      </c>
      <c r="E117" s="513">
        <v>3281</v>
      </c>
      <c r="F117" s="512" t="s">
        <v>138</v>
      </c>
      <c r="G117" s="513" t="s">
        <v>29</v>
      </c>
      <c r="H117" s="514">
        <v>535589</v>
      </c>
      <c r="I117" s="515" t="s">
        <v>6915</v>
      </c>
    </row>
    <row r="118" spans="2:9" ht="15" x14ac:dyDescent="0.35">
      <c r="B118" s="512" t="s">
        <v>6219</v>
      </c>
      <c r="C118" s="512" t="s">
        <v>6239</v>
      </c>
      <c r="D118" s="512" t="s">
        <v>6239</v>
      </c>
      <c r="E118" s="513">
        <v>3282</v>
      </c>
      <c r="F118" s="512" t="s">
        <v>139</v>
      </c>
      <c r="G118" s="513" t="s">
        <v>29</v>
      </c>
      <c r="H118" s="514">
        <v>591904</v>
      </c>
      <c r="I118" s="515" t="s">
        <v>6915</v>
      </c>
    </row>
    <row r="119" spans="2:9" ht="15" x14ac:dyDescent="0.35">
      <c r="B119" s="512" t="s">
        <v>6219</v>
      </c>
      <c r="C119" s="512" t="s">
        <v>6224</v>
      </c>
      <c r="D119" s="512" t="s">
        <v>6225</v>
      </c>
      <c r="E119" s="513">
        <v>3283</v>
      </c>
      <c r="F119" s="512" t="s">
        <v>140</v>
      </c>
      <c r="G119" s="513" t="s">
        <v>26</v>
      </c>
      <c r="H119" s="514">
        <v>9728</v>
      </c>
      <c r="I119" s="515" t="s">
        <v>6915</v>
      </c>
    </row>
    <row r="120" spans="2:9" ht="15" x14ac:dyDescent="0.35">
      <c r="B120" s="512" t="s">
        <v>6219</v>
      </c>
      <c r="C120" s="512" t="s">
        <v>6224</v>
      </c>
      <c r="D120" s="512" t="s">
        <v>6225</v>
      </c>
      <c r="E120" s="513">
        <v>3284</v>
      </c>
      <c r="F120" s="512" t="s">
        <v>141</v>
      </c>
      <c r="G120" s="513" t="s">
        <v>26</v>
      </c>
      <c r="H120" s="514">
        <v>15404</v>
      </c>
      <c r="I120" s="515" t="s">
        <v>6915</v>
      </c>
    </row>
    <row r="121" spans="2:9" ht="15" x14ac:dyDescent="0.35">
      <c r="B121" s="512" t="s">
        <v>6219</v>
      </c>
      <c r="C121" s="512" t="s">
        <v>6224</v>
      </c>
      <c r="D121" s="512" t="s">
        <v>6225</v>
      </c>
      <c r="E121" s="513">
        <v>3285</v>
      </c>
      <c r="F121" s="512" t="s">
        <v>142</v>
      </c>
      <c r="G121" s="513" t="s">
        <v>26</v>
      </c>
      <c r="H121" s="514">
        <v>12922</v>
      </c>
      <c r="I121" s="515" t="s">
        <v>6915</v>
      </c>
    </row>
    <row r="122" spans="2:9" ht="15" x14ac:dyDescent="0.35">
      <c r="B122" s="512" t="s">
        <v>6219</v>
      </c>
      <c r="C122" s="512" t="s">
        <v>6224</v>
      </c>
      <c r="D122" s="512" t="s">
        <v>6225</v>
      </c>
      <c r="E122" s="513">
        <v>3286</v>
      </c>
      <c r="F122" s="512" t="s">
        <v>143</v>
      </c>
      <c r="G122" s="513" t="s">
        <v>26</v>
      </c>
      <c r="H122" s="514">
        <v>21606</v>
      </c>
      <c r="I122" s="515" t="s">
        <v>6915</v>
      </c>
    </row>
    <row r="123" spans="2:9" ht="15" x14ac:dyDescent="0.35">
      <c r="B123" s="512" t="s">
        <v>6219</v>
      </c>
      <c r="C123" s="512" t="s">
        <v>6224</v>
      </c>
      <c r="D123" s="512" t="s">
        <v>6225</v>
      </c>
      <c r="E123" s="513">
        <v>3287</v>
      </c>
      <c r="F123" s="512" t="s">
        <v>144</v>
      </c>
      <c r="G123" s="513" t="s">
        <v>26</v>
      </c>
      <c r="H123" s="516">
        <v>49798</v>
      </c>
      <c r="I123" s="512" t="s">
        <v>6915</v>
      </c>
    </row>
    <row r="124" spans="2:9" ht="15" x14ac:dyDescent="0.35">
      <c r="B124" s="512" t="s">
        <v>6219</v>
      </c>
      <c r="C124" s="512" t="s">
        <v>6224</v>
      </c>
      <c r="D124" s="512" t="s">
        <v>6225</v>
      </c>
      <c r="E124" s="513">
        <v>3288</v>
      </c>
      <c r="F124" s="512" t="s">
        <v>145</v>
      </c>
      <c r="G124" s="513" t="s">
        <v>26</v>
      </c>
      <c r="H124" s="516">
        <v>47031</v>
      </c>
      <c r="I124" s="512" t="s">
        <v>6915</v>
      </c>
    </row>
    <row r="125" spans="2:9" ht="15" x14ac:dyDescent="0.35">
      <c r="B125" s="512" t="s">
        <v>6219</v>
      </c>
      <c r="C125" s="512" t="s">
        <v>6239</v>
      </c>
      <c r="D125" s="512" t="s">
        <v>6239</v>
      </c>
      <c r="E125" s="513">
        <v>3291</v>
      </c>
      <c r="F125" s="512" t="s">
        <v>146</v>
      </c>
      <c r="G125" s="513" t="s">
        <v>29</v>
      </c>
      <c r="H125" s="514">
        <v>180553</v>
      </c>
      <c r="I125" s="515" t="s">
        <v>6915</v>
      </c>
    </row>
    <row r="126" spans="2:9" ht="15" x14ac:dyDescent="0.35">
      <c r="B126" s="512" t="s">
        <v>6219</v>
      </c>
      <c r="C126" s="512" t="s">
        <v>6239</v>
      </c>
      <c r="D126" s="512" t="s">
        <v>6239</v>
      </c>
      <c r="E126" s="513">
        <v>3292</v>
      </c>
      <c r="F126" s="512" t="s">
        <v>147</v>
      </c>
      <c r="G126" s="513" t="s">
        <v>29</v>
      </c>
      <c r="H126" s="514">
        <v>244858</v>
      </c>
      <c r="I126" s="515" t="s">
        <v>6915</v>
      </c>
    </row>
    <row r="127" spans="2:9" ht="15" x14ac:dyDescent="0.35">
      <c r="B127" s="512" t="s">
        <v>6219</v>
      </c>
      <c r="C127" s="512" t="s">
        <v>6239</v>
      </c>
      <c r="D127" s="512" t="s">
        <v>6239</v>
      </c>
      <c r="E127" s="513">
        <v>3293</v>
      </c>
      <c r="F127" s="512" t="s">
        <v>148</v>
      </c>
      <c r="G127" s="513" t="s">
        <v>29</v>
      </c>
      <c r="H127" s="514">
        <v>378509</v>
      </c>
      <c r="I127" s="515" t="s">
        <v>6915</v>
      </c>
    </row>
    <row r="128" spans="2:9" ht="15" x14ac:dyDescent="0.35">
      <c r="B128" s="512" t="s">
        <v>6219</v>
      </c>
      <c r="C128" s="512" t="s">
        <v>6239</v>
      </c>
      <c r="D128" s="512" t="s">
        <v>6239</v>
      </c>
      <c r="E128" s="513">
        <v>3294</v>
      </c>
      <c r="F128" s="512" t="s">
        <v>149</v>
      </c>
      <c r="G128" s="513" t="s">
        <v>29</v>
      </c>
      <c r="H128" s="514">
        <v>756154</v>
      </c>
      <c r="I128" s="515" t="s">
        <v>6915</v>
      </c>
    </row>
    <row r="129" spans="2:9" ht="15" x14ac:dyDescent="0.35">
      <c r="B129" s="512" t="s">
        <v>6219</v>
      </c>
      <c r="C129" s="512" t="s">
        <v>6239</v>
      </c>
      <c r="D129" s="512" t="s">
        <v>6239</v>
      </c>
      <c r="E129" s="513">
        <v>3295</v>
      </c>
      <c r="F129" s="512" t="s">
        <v>150</v>
      </c>
      <c r="G129" s="513" t="s">
        <v>29</v>
      </c>
      <c r="H129" s="514">
        <v>1375577</v>
      </c>
      <c r="I129" s="515" t="s">
        <v>6915</v>
      </c>
    </row>
    <row r="130" spans="2:9" ht="15" x14ac:dyDescent="0.35">
      <c r="B130" s="512" t="s">
        <v>6219</v>
      </c>
      <c r="C130" s="512" t="s">
        <v>6239</v>
      </c>
      <c r="D130" s="512" t="s">
        <v>6239</v>
      </c>
      <c r="E130" s="513">
        <v>3296</v>
      </c>
      <c r="F130" s="512" t="s">
        <v>151</v>
      </c>
      <c r="G130" s="513" t="s">
        <v>29</v>
      </c>
      <c r="H130" s="514">
        <v>2357995</v>
      </c>
      <c r="I130" s="515" t="s">
        <v>6915</v>
      </c>
    </row>
    <row r="131" spans="2:9" ht="15" x14ac:dyDescent="0.35">
      <c r="B131" s="512" t="s">
        <v>6219</v>
      </c>
      <c r="C131" s="512" t="s">
        <v>6239</v>
      </c>
      <c r="D131" s="512" t="s">
        <v>6239</v>
      </c>
      <c r="E131" s="513">
        <v>3297</v>
      </c>
      <c r="F131" s="512" t="s">
        <v>152</v>
      </c>
      <c r="G131" s="513" t="s">
        <v>29</v>
      </c>
      <c r="H131" s="514">
        <v>3029295</v>
      </c>
      <c r="I131" s="515" t="s">
        <v>6915</v>
      </c>
    </row>
    <row r="132" spans="2:9" ht="15" x14ac:dyDescent="0.35">
      <c r="B132" s="512" t="s">
        <v>6219</v>
      </c>
      <c r="C132" s="512" t="s">
        <v>6239</v>
      </c>
      <c r="D132" s="512" t="s">
        <v>6239</v>
      </c>
      <c r="E132" s="513">
        <v>3298</v>
      </c>
      <c r="F132" s="512" t="s">
        <v>153</v>
      </c>
      <c r="G132" s="513" t="s">
        <v>29</v>
      </c>
      <c r="H132" s="514">
        <v>6591529</v>
      </c>
      <c r="I132" s="515" t="s">
        <v>6915</v>
      </c>
    </row>
    <row r="133" spans="2:9" ht="15" x14ac:dyDescent="0.35">
      <c r="B133" s="512" t="s">
        <v>6219</v>
      </c>
      <c r="C133" s="512" t="s">
        <v>6239</v>
      </c>
      <c r="D133" s="512" t="s">
        <v>6239</v>
      </c>
      <c r="E133" s="513">
        <v>3299</v>
      </c>
      <c r="F133" s="512" t="s">
        <v>154</v>
      </c>
      <c r="G133" s="513" t="s">
        <v>29</v>
      </c>
      <c r="H133" s="514">
        <v>8229652</v>
      </c>
      <c r="I133" s="515" t="s">
        <v>6915</v>
      </c>
    </row>
    <row r="134" spans="2:9" ht="15" x14ac:dyDescent="0.35">
      <c r="B134" s="512" t="s">
        <v>6219</v>
      </c>
      <c r="C134" s="512" t="s">
        <v>6239</v>
      </c>
      <c r="D134" s="512" t="s">
        <v>6239</v>
      </c>
      <c r="E134" s="513">
        <v>3300</v>
      </c>
      <c r="F134" s="512" t="s">
        <v>155</v>
      </c>
      <c r="G134" s="513" t="s">
        <v>29</v>
      </c>
      <c r="H134" s="514">
        <v>9468102</v>
      </c>
      <c r="I134" s="515" t="s">
        <v>6915</v>
      </c>
    </row>
    <row r="135" spans="2:9" ht="15" x14ac:dyDescent="0.35">
      <c r="B135" s="512" t="s">
        <v>6219</v>
      </c>
      <c r="C135" s="512" t="s">
        <v>6239</v>
      </c>
      <c r="D135" s="512" t="s">
        <v>6239</v>
      </c>
      <c r="E135" s="513">
        <v>3301</v>
      </c>
      <c r="F135" s="512" t="s">
        <v>156</v>
      </c>
      <c r="G135" s="513" t="s">
        <v>29</v>
      </c>
      <c r="H135" s="514">
        <v>13251140</v>
      </c>
      <c r="I135" s="515" t="s">
        <v>6915</v>
      </c>
    </row>
    <row r="136" spans="2:9" ht="15" x14ac:dyDescent="0.35">
      <c r="B136" s="512" t="s">
        <v>6219</v>
      </c>
      <c r="C136" s="512" t="s">
        <v>6239</v>
      </c>
      <c r="D136" s="512" t="s">
        <v>6239</v>
      </c>
      <c r="E136" s="513">
        <v>3303</v>
      </c>
      <c r="F136" s="512" t="s">
        <v>157</v>
      </c>
      <c r="G136" s="513" t="s">
        <v>29</v>
      </c>
      <c r="H136" s="514">
        <v>204353</v>
      </c>
      <c r="I136" s="515" t="s">
        <v>6915</v>
      </c>
    </row>
    <row r="137" spans="2:9" ht="15" x14ac:dyDescent="0.35">
      <c r="B137" s="512" t="s">
        <v>6219</v>
      </c>
      <c r="C137" s="512" t="s">
        <v>6239</v>
      </c>
      <c r="D137" s="512" t="s">
        <v>6239</v>
      </c>
      <c r="E137" s="513">
        <v>3304</v>
      </c>
      <c r="F137" s="512" t="s">
        <v>158</v>
      </c>
      <c r="G137" s="513" t="s">
        <v>29</v>
      </c>
      <c r="H137" s="514">
        <v>242478</v>
      </c>
      <c r="I137" s="515" t="s">
        <v>6915</v>
      </c>
    </row>
    <row r="138" spans="2:9" ht="15" x14ac:dyDescent="0.35">
      <c r="B138" s="512" t="s">
        <v>6219</v>
      </c>
      <c r="C138" s="512" t="s">
        <v>6239</v>
      </c>
      <c r="D138" s="512" t="s">
        <v>6239</v>
      </c>
      <c r="E138" s="513">
        <v>3305</v>
      </c>
      <c r="F138" s="512" t="s">
        <v>159</v>
      </c>
      <c r="G138" s="513" t="s">
        <v>29</v>
      </c>
      <c r="H138" s="514">
        <v>366609</v>
      </c>
      <c r="I138" s="515" t="s">
        <v>6915</v>
      </c>
    </row>
    <row r="139" spans="2:9" ht="15" x14ac:dyDescent="0.35">
      <c r="B139" s="512" t="s">
        <v>6219</v>
      </c>
      <c r="C139" s="512" t="s">
        <v>6239</v>
      </c>
      <c r="D139" s="512" t="s">
        <v>6239</v>
      </c>
      <c r="E139" s="513">
        <v>3306</v>
      </c>
      <c r="F139" s="512" t="s">
        <v>160</v>
      </c>
      <c r="G139" s="513" t="s">
        <v>29</v>
      </c>
      <c r="H139" s="514">
        <v>644294</v>
      </c>
      <c r="I139" s="515" t="s">
        <v>6915</v>
      </c>
    </row>
    <row r="140" spans="2:9" ht="15" x14ac:dyDescent="0.35">
      <c r="B140" s="512" t="s">
        <v>6219</v>
      </c>
      <c r="C140" s="512" t="s">
        <v>6239</v>
      </c>
      <c r="D140" s="512" t="s">
        <v>6239</v>
      </c>
      <c r="E140" s="513">
        <v>3307</v>
      </c>
      <c r="F140" s="512" t="s">
        <v>161</v>
      </c>
      <c r="G140" s="513" t="s">
        <v>29</v>
      </c>
      <c r="H140" s="514">
        <v>1302987</v>
      </c>
      <c r="I140" s="515" t="s">
        <v>6915</v>
      </c>
    </row>
    <row r="141" spans="2:9" ht="15" x14ac:dyDescent="0.35">
      <c r="B141" s="512" t="s">
        <v>6219</v>
      </c>
      <c r="C141" s="512" t="s">
        <v>6239</v>
      </c>
      <c r="D141" s="512" t="s">
        <v>6239</v>
      </c>
      <c r="E141" s="513">
        <v>3308</v>
      </c>
      <c r="F141" s="512" t="s">
        <v>162</v>
      </c>
      <c r="G141" s="513" t="s">
        <v>29</v>
      </c>
      <c r="H141" s="514">
        <v>2188915</v>
      </c>
      <c r="I141" s="515" t="s">
        <v>6915</v>
      </c>
    </row>
    <row r="142" spans="2:9" ht="15" x14ac:dyDescent="0.35">
      <c r="B142" s="512" t="s">
        <v>6219</v>
      </c>
      <c r="C142" s="512" t="s">
        <v>6239</v>
      </c>
      <c r="D142" s="512" t="s">
        <v>6239</v>
      </c>
      <c r="E142" s="513">
        <v>3309</v>
      </c>
      <c r="F142" s="512" t="s">
        <v>163</v>
      </c>
      <c r="G142" s="513" t="s">
        <v>29</v>
      </c>
      <c r="H142" s="514">
        <v>2787725</v>
      </c>
      <c r="I142" s="515" t="s">
        <v>6915</v>
      </c>
    </row>
    <row r="143" spans="2:9" ht="15" x14ac:dyDescent="0.35">
      <c r="B143" s="512" t="s">
        <v>6219</v>
      </c>
      <c r="C143" s="512" t="s">
        <v>6239</v>
      </c>
      <c r="D143" s="512" t="s">
        <v>6239</v>
      </c>
      <c r="E143" s="513">
        <v>3310</v>
      </c>
      <c r="F143" s="512" t="s">
        <v>164</v>
      </c>
      <c r="G143" s="513" t="s">
        <v>29</v>
      </c>
      <c r="H143" s="514">
        <v>4276035</v>
      </c>
      <c r="I143" s="515" t="s">
        <v>6915</v>
      </c>
    </row>
    <row r="144" spans="2:9" ht="15" x14ac:dyDescent="0.35">
      <c r="B144" s="512" t="s">
        <v>6219</v>
      </c>
      <c r="C144" s="512" t="s">
        <v>6239</v>
      </c>
      <c r="D144" s="512" t="s">
        <v>6239</v>
      </c>
      <c r="E144" s="513">
        <v>3311</v>
      </c>
      <c r="F144" s="512" t="s">
        <v>165</v>
      </c>
      <c r="G144" s="513" t="s">
        <v>29</v>
      </c>
      <c r="H144" s="514">
        <v>6182852</v>
      </c>
      <c r="I144" s="515" t="s">
        <v>6915</v>
      </c>
    </row>
    <row r="145" spans="2:9" ht="15" x14ac:dyDescent="0.35">
      <c r="B145" s="512" t="s">
        <v>6219</v>
      </c>
      <c r="C145" s="512" t="s">
        <v>6239</v>
      </c>
      <c r="D145" s="512" t="s">
        <v>6239</v>
      </c>
      <c r="E145" s="513">
        <v>3312</v>
      </c>
      <c r="F145" s="512" t="s">
        <v>166</v>
      </c>
      <c r="G145" s="513" t="s">
        <v>29</v>
      </c>
      <c r="H145" s="514">
        <v>8159102</v>
      </c>
      <c r="I145" s="515" t="s">
        <v>6915</v>
      </c>
    </row>
    <row r="146" spans="2:9" ht="15" x14ac:dyDescent="0.35">
      <c r="B146" s="512" t="s">
        <v>6219</v>
      </c>
      <c r="C146" s="512" t="s">
        <v>6239</v>
      </c>
      <c r="D146" s="512" t="s">
        <v>6239</v>
      </c>
      <c r="E146" s="513">
        <v>3313</v>
      </c>
      <c r="F146" s="512" t="s">
        <v>167</v>
      </c>
      <c r="G146" s="513" t="s">
        <v>29</v>
      </c>
      <c r="H146" s="514">
        <v>10335640</v>
      </c>
      <c r="I146" s="515" t="s">
        <v>6915</v>
      </c>
    </row>
    <row r="147" spans="2:9" ht="15" x14ac:dyDescent="0.35">
      <c r="B147" s="512" t="s">
        <v>6219</v>
      </c>
      <c r="C147" s="512" t="s">
        <v>6239</v>
      </c>
      <c r="D147" s="512" t="s">
        <v>6239</v>
      </c>
      <c r="E147" s="513">
        <v>3315</v>
      </c>
      <c r="F147" s="512" t="s">
        <v>168</v>
      </c>
      <c r="G147" s="513" t="s">
        <v>29</v>
      </c>
      <c r="H147" s="514">
        <v>615734</v>
      </c>
      <c r="I147" s="515" t="s">
        <v>6915</v>
      </c>
    </row>
    <row r="148" spans="2:9" ht="15" x14ac:dyDescent="0.35">
      <c r="B148" s="512" t="s">
        <v>6219</v>
      </c>
      <c r="C148" s="512" t="s">
        <v>6239</v>
      </c>
      <c r="D148" s="512" t="s">
        <v>6239</v>
      </c>
      <c r="E148" s="513">
        <v>3316</v>
      </c>
      <c r="F148" s="512" t="s">
        <v>169</v>
      </c>
      <c r="G148" s="513" t="s">
        <v>29</v>
      </c>
      <c r="H148" s="514">
        <v>2473565</v>
      </c>
      <c r="I148" s="515" t="s">
        <v>6915</v>
      </c>
    </row>
    <row r="149" spans="2:9" ht="15" x14ac:dyDescent="0.35">
      <c r="B149" s="512" t="s">
        <v>6219</v>
      </c>
      <c r="C149" s="512" t="s">
        <v>6239</v>
      </c>
      <c r="D149" s="512" t="s">
        <v>6239</v>
      </c>
      <c r="E149" s="513">
        <v>3317</v>
      </c>
      <c r="F149" s="512" t="s">
        <v>170</v>
      </c>
      <c r="G149" s="513" t="s">
        <v>29</v>
      </c>
      <c r="H149" s="514">
        <v>544334</v>
      </c>
      <c r="I149" s="515" t="s">
        <v>6915</v>
      </c>
    </row>
    <row r="150" spans="2:9" ht="15" x14ac:dyDescent="0.35">
      <c r="B150" s="512" t="s">
        <v>6219</v>
      </c>
      <c r="C150" s="512" t="s">
        <v>6239</v>
      </c>
      <c r="D150" s="512" t="s">
        <v>6239</v>
      </c>
      <c r="E150" s="513">
        <v>3318</v>
      </c>
      <c r="F150" s="512" t="s">
        <v>171</v>
      </c>
      <c r="G150" s="513" t="s">
        <v>29</v>
      </c>
      <c r="H150" s="514">
        <v>2116565</v>
      </c>
      <c r="I150" s="515" t="s">
        <v>6915</v>
      </c>
    </row>
    <row r="151" spans="2:9" ht="15" x14ac:dyDescent="0.35">
      <c r="B151" s="512" t="s">
        <v>6219</v>
      </c>
      <c r="C151" s="512" t="s">
        <v>6239</v>
      </c>
      <c r="D151" s="512" t="s">
        <v>6239</v>
      </c>
      <c r="E151" s="513">
        <v>3320</v>
      </c>
      <c r="F151" s="512" t="s">
        <v>172</v>
      </c>
      <c r="G151" s="513" t="s">
        <v>29</v>
      </c>
      <c r="H151" s="514">
        <v>463414</v>
      </c>
      <c r="I151" s="515" t="s">
        <v>6915</v>
      </c>
    </row>
    <row r="152" spans="2:9" ht="15" x14ac:dyDescent="0.35">
      <c r="B152" s="512" t="s">
        <v>6219</v>
      </c>
      <c r="C152" s="512" t="s">
        <v>6239</v>
      </c>
      <c r="D152" s="512" t="s">
        <v>6239</v>
      </c>
      <c r="E152" s="513">
        <v>3322</v>
      </c>
      <c r="F152" s="512" t="s">
        <v>173</v>
      </c>
      <c r="G152" s="513" t="s">
        <v>29</v>
      </c>
      <c r="H152" s="514">
        <v>613611</v>
      </c>
      <c r="I152" s="515" t="s">
        <v>6915</v>
      </c>
    </row>
    <row r="153" spans="2:9" ht="15" x14ac:dyDescent="0.35">
      <c r="B153" s="512" t="s">
        <v>6219</v>
      </c>
      <c r="C153" s="512" t="s">
        <v>6239</v>
      </c>
      <c r="D153" s="512" t="s">
        <v>6239</v>
      </c>
      <c r="E153" s="513">
        <v>3323</v>
      </c>
      <c r="F153" s="512" t="s">
        <v>174</v>
      </c>
      <c r="G153" s="513" t="s">
        <v>29</v>
      </c>
      <c r="H153" s="514">
        <v>882155</v>
      </c>
      <c r="I153" s="515" t="s">
        <v>6915</v>
      </c>
    </row>
    <row r="154" spans="2:9" ht="15" x14ac:dyDescent="0.35">
      <c r="B154" s="512" t="s">
        <v>6219</v>
      </c>
      <c r="C154" s="512" t="s">
        <v>6239</v>
      </c>
      <c r="D154" s="512" t="s">
        <v>6239</v>
      </c>
      <c r="E154" s="513">
        <v>3324</v>
      </c>
      <c r="F154" s="512" t="s">
        <v>175</v>
      </c>
      <c r="G154" s="513" t="s">
        <v>29</v>
      </c>
      <c r="H154" s="514">
        <v>2247570</v>
      </c>
      <c r="I154" s="515" t="s">
        <v>6915</v>
      </c>
    </row>
    <row r="155" spans="2:9" ht="15" x14ac:dyDescent="0.35">
      <c r="B155" s="512" t="s">
        <v>6219</v>
      </c>
      <c r="C155" s="512" t="s">
        <v>6239</v>
      </c>
      <c r="D155" s="512" t="s">
        <v>6239</v>
      </c>
      <c r="E155" s="513">
        <v>3325</v>
      </c>
      <c r="F155" s="512" t="s">
        <v>176</v>
      </c>
      <c r="G155" s="513" t="s">
        <v>29</v>
      </c>
      <c r="H155" s="516">
        <v>3785326</v>
      </c>
      <c r="I155" s="512" t="s">
        <v>6915</v>
      </c>
    </row>
    <row r="156" spans="2:9" ht="15" x14ac:dyDescent="0.35">
      <c r="B156" s="512" t="s">
        <v>6219</v>
      </c>
      <c r="C156" s="512" t="s">
        <v>6239</v>
      </c>
      <c r="D156" s="512" t="s">
        <v>6239</v>
      </c>
      <c r="E156" s="513">
        <v>3327</v>
      </c>
      <c r="F156" s="512" t="s">
        <v>177</v>
      </c>
      <c r="G156" s="513" t="s">
        <v>29</v>
      </c>
      <c r="H156" s="514">
        <v>4503651</v>
      </c>
      <c r="I156" s="515" t="s">
        <v>6915</v>
      </c>
    </row>
    <row r="157" spans="2:9" ht="15" x14ac:dyDescent="0.35">
      <c r="B157" s="512" t="s">
        <v>6219</v>
      </c>
      <c r="C157" s="512" t="s">
        <v>6239</v>
      </c>
      <c r="D157" s="512" t="s">
        <v>6239</v>
      </c>
      <c r="E157" s="513">
        <v>3328</v>
      </c>
      <c r="F157" s="512" t="s">
        <v>178</v>
      </c>
      <c r="G157" s="513" t="s">
        <v>29</v>
      </c>
      <c r="H157" s="516">
        <v>3270874</v>
      </c>
      <c r="I157" s="512" t="s">
        <v>6915</v>
      </c>
    </row>
    <row r="158" spans="2:9" ht="15" x14ac:dyDescent="0.35">
      <c r="B158" s="512" t="s">
        <v>6219</v>
      </c>
      <c r="C158" s="512" t="s">
        <v>6239</v>
      </c>
      <c r="D158" s="512" t="s">
        <v>6239</v>
      </c>
      <c r="E158" s="513">
        <v>3329</v>
      </c>
      <c r="F158" s="512" t="s">
        <v>179</v>
      </c>
      <c r="G158" s="513" t="s">
        <v>29</v>
      </c>
      <c r="H158" s="516">
        <v>3508938</v>
      </c>
      <c r="I158" s="512" t="s">
        <v>6915</v>
      </c>
    </row>
    <row r="159" spans="2:9" ht="15" x14ac:dyDescent="0.35">
      <c r="B159" s="512" t="s">
        <v>6219</v>
      </c>
      <c r="C159" s="512" t="s">
        <v>6239</v>
      </c>
      <c r="D159" s="512" t="s">
        <v>6239</v>
      </c>
      <c r="E159" s="513">
        <v>3330</v>
      </c>
      <c r="F159" s="512" t="s">
        <v>180</v>
      </c>
      <c r="G159" s="513" t="s">
        <v>29</v>
      </c>
      <c r="H159" s="514">
        <v>6261344</v>
      </c>
      <c r="I159" s="515" t="s">
        <v>6915</v>
      </c>
    </row>
    <row r="160" spans="2:9" ht="15" x14ac:dyDescent="0.35">
      <c r="B160" s="512" t="s">
        <v>6219</v>
      </c>
      <c r="C160" s="512" t="s">
        <v>6239</v>
      </c>
      <c r="D160" s="512" t="s">
        <v>6239</v>
      </c>
      <c r="E160" s="513">
        <v>3331</v>
      </c>
      <c r="F160" s="512" t="s">
        <v>181</v>
      </c>
      <c r="G160" s="513" t="s">
        <v>29</v>
      </c>
      <c r="H160" s="514">
        <v>8965088</v>
      </c>
      <c r="I160" s="515" t="s">
        <v>6915</v>
      </c>
    </row>
    <row r="161" spans="2:9" ht="15" x14ac:dyDescent="0.35">
      <c r="B161" s="512" t="s">
        <v>6219</v>
      </c>
      <c r="C161" s="512" t="s">
        <v>6224</v>
      </c>
      <c r="D161" s="512" t="s">
        <v>6244</v>
      </c>
      <c r="E161" s="513">
        <v>3347</v>
      </c>
      <c r="F161" s="512" t="s">
        <v>182</v>
      </c>
      <c r="G161" s="513" t="s">
        <v>29</v>
      </c>
      <c r="H161" s="516">
        <v>1259538</v>
      </c>
      <c r="I161" s="512" t="s">
        <v>6915</v>
      </c>
    </row>
    <row r="162" spans="2:9" ht="15" x14ac:dyDescent="0.35">
      <c r="B162" s="512" t="s">
        <v>6219</v>
      </c>
      <c r="C162" s="512" t="s">
        <v>6224</v>
      </c>
      <c r="D162" s="512" t="s">
        <v>6244</v>
      </c>
      <c r="E162" s="513">
        <v>3348</v>
      </c>
      <c r="F162" s="512" t="s">
        <v>183</v>
      </c>
      <c r="G162" s="513" t="s">
        <v>29</v>
      </c>
      <c r="H162" s="516">
        <v>1456776</v>
      </c>
      <c r="I162" s="512" t="s">
        <v>6915</v>
      </c>
    </row>
    <row r="163" spans="2:9" ht="15" x14ac:dyDescent="0.35">
      <c r="B163" s="512" t="s">
        <v>6219</v>
      </c>
      <c r="C163" s="512" t="s">
        <v>6224</v>
      </c>
      <c r="D163" s="512" t="s">
        <v>6244</v>
      </c>
      <c r="E163" s="513">
        <v>3350</v>
      </c>
      <c r="F163" s="512" t="s">
        <v>184</v>
      </c>
      <c r="G163" s="513" t="s">
        <v>29</v>
      </c>
      <c r="H163" s="516">
        <v>1267046</v>
      </c>
      <c r="I163" s="512" t="s">
        <v>6915</v>
      </c>
    </row>
    <row r="164" spans="2:9" ht="15" x14ac:dyDescent="0.35">
      <c r="B164" s="512" t="s">
        <v>6219</v>
      </c>
      <c r="C164" s="512" t="s">
        <v>6224</v>
      </c>
      <c r="D164" s="512" t="s">
        <v>6244</v>
      </c>
      <c r="E164" s="513">
        <v>3351</v>
      </c>
      <c r="F164" s="512" t="s">
        <v>185</v>
      </c>
      <c r="G164" s="513" t="s">
        <v>29</v>
      </c>
      <c r="H164" s="516">
        <v>1747040</v>
      </c>
      <c r="I164" s="512" t="s">
        <v>6915</v>
      </c>
    </row>
    <row r="165" spans="2:9" ht="15" x14ac:dyDescent="0.35">
      <c r="B165" s="512" t="s">
        <v>6219</v>
      </c>
      <c r="C165" s="512" t="s">
        <v>6224</v>
      </c>
      <c r="D165" s="512" t="s">
        <v>6244</v>
      </c>
      <c r="E165" s="513">
        <v>3352</v>
      </c>
      <c r="F165" s="512" t="s">
        <v>186</v>
      </c>
      <c r="G165" s="513" t="s">
        <v>29</v>
      </c>
      <c r="H165" s="516">
        <v>1953852</v>
      </c>
      <c r="I165" s="512" t="s">
        <v>6915</v>
      </c>
    </row>
    <row r="166" spans="2:9" ht="15" x14ac:dyDescent="0.35">
      <c r="B166" s="512" t="s">
        <v>6219</v>
      </c>
      <c r="C166" s="512" t="s">
        <v>6224</v>
      </c>
      <c r="D166" s="512" t="s">
        <v>6244</v>
      </c>
      <c r="E166" s="513">
        <v>3353</v>
      </c>
      <c r="F166" s="512" t="s">
        <v>187</v>
      </c>
      <c r="G166" s="513" t="s">
        <v>29</v>
      </c>
      <c r="H166" s="516">
        <v>1825170</v>
      </c>
      <c r="I166" s="512" t="s">
        <v>6915</v>
      </c>
    </row>
    <row r="167" spans="2:9" ht="15" x14ac:dyDescent="0.35">
      <c r="B167" s="512" t="s">
        <v>6219</v>
      </c>
      <c r="C167" s="512" t="s">
        <v>6224</v>
      </c>
      <c r="D167" s="512" t="s">
        <v>6244</v>
      </c>
      <c r="E167" s="513">
        <v>3354</v>
      </c>
      <c r="F167" s="512" t="s">
        <v>188</v>
      </c>
      <c r="G167" s="513" t="s">
        <v>29</v>
      </c>
      <c r="H167" s="516">
        <v>2590149</v>
      </c>
      <c r="I167" s="512" t="s">
        <v>6915</v>
      </c>
    </row>
    <row r="168" spans="2:9" ht="15" x14ac:dyDescent="0.35">
      <c r="B168" s="512" t="s">
        <v>6219</v>
      </c>
      <c r="C168" s="512" t="s">
        <v>6224</v>
      </c>
      <c r="D168" s="512" t="s">
        <v>6244</v>
      </c>
      <c r="E168" s="513">
        <v>3355</v>
      </c>
      <c r="F168" s="512" t="s">
        <v>189</v>
      </c>
      <c r="G168" s="513" t="s">
        <v>29</v>
      </c>
      <c r="H168" s="516">
        <v>2617689</v>
      </c>
      <c r="I168" s="512" t="s">
        <v>6915</v>
      </c>
    </row>
    <row r="169" spans="2:9" ht="15" x14ac:dyDescent="0.35">
      <c r="B169" s="512" t="s">
        <v>6219</v>
      </c>
      <c r="C169" s="512" t="s">
        <v>6224</v>
      </c>
      <c r="D169" s="512" t="s">
        <v>6244</v>
      </c>
      <c r="E169" s="513">
        <v>3356</v>
      </c>
      <c r="F169" s="512" t="s">
        <v>190</v>
      </c>
      <c r="G169" s="513" t="s">
        <v>29</v>
      </c>
      <c r="H169" s="516">
        <v>3392025</v>
      </c>
      <c r="I169" s="512" t="s">
        <v>6915</v>
      </c>
    </row>
    <row r="170" spans="2:9" ht="15" x14ac:dyDescent="0.35">
      <c r="B170" s="512" t="s">
        <v>6219</v>
      </c>
      <c r="C170" s="512" t="s">
        <v>6224</v>
      </c>
      <c r="D170" s="512" t="s">
        <v>6244</v>
      </c>
      <c r="E170" s="513">
        <v>3357</v>
      </c>
      <c r="F170" s="512" t="s">
        <v>191</v>
      </c>
      <c r="G170" s="513" t="s">
        <v>29</v>
      </c>
      <c r="H170" s="516">
        <v>4139928</v>
      </c>
      <c r="I170" s="512" t="s">
        <v>6915</v>
      </c>
    </row>
    <row r="171" spans="2:9" ht="15" x14ac:dyDescent="0.35">
      <c r="B171" s="512" t="s">
        <v>6219</v>
      </c>
      <c r="C171" s="512" t="s">
        <v>6224</v>
      </c>
      <c r="D171" s="512" t="s">
        <v>6244</v>
      </c>
      <c r="E171" s="513">
        <v>3358</v>
      </c>
      <c r="F171" s="512" t="s">
        <v>192</v>
      </c>
      <c r="G171" s="513" t="s">
        <v>29</v>
      </c>
      <c r="H171" s="516">
        <v>2283933</v>
      </c>
      <c r="I171" s="512" t="s">
        <v>6915</v>
      </c>
    </row>
    <row r="172" spans="2:9" ht="15" x14ac:dyDescent="0.35">
      <c r="B172" s="512" t="s">
        <v>6219</v>
      </c>
      <c r="C172" s="512" t="s">
        <v>6224</v>
      </c>
      <c r="D172" s="512" t="s">
        <v>6244</v>
      </c>
      <c r="E172" s="513">
        <v>3359</v>
      </c>
      <c r="F172" s="512" t="s">
        <v>193</v>
      </c>
      <c r="G172" s="513" t="s">
        <v>29</v>
      </c>
      <c r="H172" s="516">
        <v>2834415</v>
      </c>
      <c r="I172" s="512" t="s">
        <v>6915</v>
      </c>
    </row>
    <row r="173" spans="2:9" ht="15" x14ac:dyDescent="0.35">
      <c r="B173" s="512" t="s">
        <v>6219</v>
      </c>
      <c r="C173" s="512" t="s">
        <v>6224</v>
      </c>
      <c r="D173" s="512" t="s">
        <v>6244</v>
      </c>
      <c r="E173" s="513">
        <v>3360</v>
      </c>
      <c r="F173" s="512" t="s">
        <v>194</v>
      </c>
      <c r="G173" s="513" t="s">
        <v>29</v>
      </c>
      <c r="H173" s="516">
        <v>4434646</v>
      </c>
      <c r="I173" s="512" t="s">
        <v>6915</v>
      </c>
    </row>
    <row r="174" spans="2:9" ht="15" x14ac:dyDescent="0.35">
      <c r="B174" s="512" t="s">
        <v>6219</v>
      </c>
      <c r="C174" s="512" t="s">
        <v>6224</v>
      </c>
      <c r="D174" s="512" t="s">
        <v>6244</v>
      </c>
      <c r="E174" s="513">
        <v>3361</v>
      </c>
      <c r="F174" s="512" t="s">
        <v>195</v>
      </c>
      <c r="G174" s="513" t="s">
        <v>29</v>
      </c>
      <c r="H174" s="516">
        <v>4864487</v>
      </c>
      <c r="I174" s="512" t="s">
        <v>6915</v>
      </c>
    </row>
    <row r="175" spans="2:9" ht="15" x14ac:dyDescent="0.35">
      <c r="B175" s="512" t="s">
        <v>6219</v>
      </c>
      <c r="C175" s="512" t="s">
        <v>6224</v>
      </c>
      <c r="D175" s="512" t="s">
        <v>6244</v>
      </c>
      <c r="E175" s="513">
        <v>3363</v>
      </c>
      <c r="F175" s="512" t="s">
        <v>196</v>
      </c>
      <c r="G175" s="513" t="s">
        <v>29</v>
      </c>
      <c r="H175" s="516">
        <v>5593346</v>
      </c>
      <c r="I175" s="512" t="s">
        <v>6915</v>
      </c>
    </row>
    <row r="176" spans="2:9" ht="15" x14ac:dyDescent="0.35">
      <c r="B176" s="512" t="s">
        <v>6219</v>
      </c>
      <c r="C176" s="512" t="s">
        <v>6224</v>
      </c>
      <c r="D176" s="512" t="s">
        <v>6244</v>
      </c>
      <c r="E176" s="513">
        <v>3364</v>
      </c>
      <c r="F176" s="512" t="s">
        <v>197</v>
      </c>
      <c r="G176" s="513" t="s">
        <v>29</v>
      </c>
      <c r="H176" s="516">
        <v>1043828</v>
      </c>
      <c r="I176" s="512" t="s">
        <v>6915</v>
      </c>
    </row>
    <row r="177" spans="2:9" ht="15" x14ac:dyDescent="0.35">
      <c r="B177" s="512" t="s">
        <v>6219</v>
      </c>
      <c r="C177" s="512" t="s">
        <v>6224</v>
      </c>
      <c r="D177" s="512" t="s">
        <v>6244</v>
      </c>
      <c r="E177" s="513">
        <v>3365</v>
      </c>
      <c r="F177" s="512" t="s">
        <v>198</v>
      </c>
      <c r="G177" s="513" t="s">
        <v>29</v>
      </c>
      <c r="H177" s="516">
        <v>1217348</v>
      </c>
      <c r="I177" s="512" t="s">
        <v>6915</v>
      </c>
    </row>
    <row r="178" spans="2:9" ht="15" x14ac:dyDescent="0.35">
      <c r="B178" s="512" t="s">
        <v>6219</v>
      </c>
      <c r="C178" s="512" t="s">
        <v>6224</v>
      </c>
      <c r="D178" s="512" t="s">
        <v>6244</v>
      </c>
      <c r="E178" s="513">
        <v>3366</v>
      </c>
      <c r="F178" s="512" t="s">
        <v>199</v>
      </c>
      <c r="G178" s="513" t="s">
        <v>29</v>
      </c>
      <c r="H178" s="516">
        <v>1532512</v>
      </c>
      <c r="I178" s="512" t="s">
        <v>6915</v>
      </c>
    </row>
    <row r="179" spans="2:9" ht="15" x14ac:dyDescent="0.35">
      <c r="B179" s="512" t="s">
        <v>6219</v>
      </c>
      <c r="C179" s="512" t="s">
        <v>6224</v>
      </c>
      <c r="D179" s="512" t="s">
        <v>6244</v>
      </c>
      <c r="E179" s="513">
        <v>3368</v>
      </c>
      <c r="F179" s="512" t="s">
        <v>200</v>
      </c>
      <c r="G179" s="513" t="s">
        <v>29</v>
      </c>
      <c r="H179" s="516">
        <v>1226151</v>
      </c>
      <c r="I179" s="512" t="s">
        <v>6915</v>
      </c>
    </row>
    <row r="180" spans="2:9" ht="15" x14ac:dyDescent="0.35">
      <c r="B180" s="512" t="s">
        <v>6219</v>
      </c>
      <c r="C180" s="512" t="s">
        <v>6224</v>
      </c>
      <c r="D180" s="512" t="s">
        <v>6244</v>
      </c>
      <c r="E180" s="513">
        <v>3369</v>
      </c>
      <c r="F180" s="512" t="s">
        <v>201</v>
      </c>
      <c r="G180" s="513" t="s">
        <v>29</v>
      </c>
      <c r="H180" s="516">
        <v>1416458</v>
      </c>
      <c r="I180" s="512" t="s">
        <v>6915</v>
      </c>
    </row>
    <row r="181" spans="2:9" ht="15" x14ac:dyDescent="0.35">
      <c r="B181" s="512" t="s">
        <v>6219</v>
      </c>
      <c r="C181" s="512" t="s">
        <v>6224</v>
      </c>
      <c r="D181" s="512" t="s">
        <v>6244</v>
      </c>
      <c r="E181" s="513">
        <v>3370</v>
      </c>
      <c r="F181" s="512" t="s">
        <v>202</v>
      </c>
      <c r="G181" s="513" t="s">
        <v>29</v>
      </c>
      <c r="H181" s="516">
        <v>1848490</v>
      </c>
      <c r="I181" s="512" t="s">
        <v>6915</v>
      </c>
    </row>
    <row r="182" spans="2:9" ht="15" x14ac:dyDescent="0.35">
      <c r="B182" s="512" t="s">
        <v>6219</v>
      </c>
      <c r="C182" s="512" t="s">
        <v>6224</v>
      </c>
      <c r="D182" s="512" t="s">
        <v>6244</v>
      </c>
      <c r="E182" s="513">
        <v>3371</v>
      </c>
      <c r="F182" s="512" t="s">
        <v>203</v>
      </c>
      <c r="G182" s="513" t="s">
        <v>29</v>
      </c>
      <c r="H182" s="516">
        <v>1467932</v>
      </c>
      <c r="I182" s="512" t="s">
        <v>6915</v>
      </c>
    </row>
    <row r="183" spans="2:9" ht="15" x14ac:dyDescent="0.35">
      <c r="B183" s="512" t="s">
        <v>6219</v>
      </c>
      <c r="C183" s="512" t="s">
        <v>6224</v>
      </c>
      <c r="D183" s="512" t="s">
        <v>6244</v>
      </c>
      <c r="E183" s="513">
        <v>3372</v>
      </c>
      <c r="F183" s="512" t="s">
        <v>204</v>
      </c>
      <c r="G183" s="513" t="s">
        <v>29</v>
      </c>
      <c r="H183" s="516">
        <v>1807290</v>
      </c>
      <c r="I183" s="512" t="s">
        <v>6915</v>
      </c>
    </row>
    <row r="184" spans="2:9" ht="15" x14ac:dyDescent="0.35">
      <c r="B184" s="512" t="s">
        <v>6219</v>
      </c>
      <c r="C184" s="512" t="s">
        <v>6224</v>
      </c>
      <c r="D184" s="512" t="s">
        <v>6244</v>
      </c>
      <c r="E184" s="513">
        <v>3373</v>
      </c>
      <c r="F184" s="512" t="s">
        <v>205</v>
      </c>
      <c r="G184" s="513" t="s">
        <v>29</v>
      </c>
      <c r="H184" s="516">
        <v>2590149</v>
      </c>
      <c r="I184" s="512" t="s">
        <v>6915</v>
      </c>
    </row>
    <row r="185" spans="2:9" ht="15" x14ac:dyDescent="0.35">
      <c r="B185" s="512" t="s">
        <v>6219</v>
      </c>
      <c r="C185" s="512" t="s">
        <v>6224</v>
      </c>
      <c r="D185" s="512" t="s">
        <v>6244</v>
      </c>
      <c r="E185" s="513">
        <v>3374</v>
      </c>
      <c r="F185" s="512" t="s">
        <v>206</v>
      </c>
      <c r="G185" s="513" t="s">
        <v>29</v>
      </c>
      <c r="H185" s="516">
        <v>2327567</v>
      </c>
      <c r="I185" s="512" t="s">
        <v>6915</v>
      </c>
    </row>
    <row r="186" spans="2:9" ht="15" x14ac:dyDescent="0.35">
      <c r="B186" s="512" t="s">
        <v>6219</v>
      </c>
      <c r="C186" s="512" t="s">
        <v>6224</v>
      </c>
      <c r="D186" s="512" t="s">
        <v>6244</v>
      </c>
      <c r="E186" s="513">
        <v>3375</v>
      </c>
      <c r="F186" s="512" t="s">
        <v>207</v>
      </c>
      <c r="G186" s="513" t="s">
        <v>29</v>
      </c>
      <c r="H186" s="516">
        <v>2900614</v>
      </c>
      <c r="I186" s="512" t="s">
        <v>6915</v>
      </c>
    </row>
    <row r="187" spans="2:9" ht="15" x14ac:dyDescent="0.35">
      <c r="B187" s="512" t="s">
        <v>6219</v>
      </c>
      <c r="C187" s="512" t="s">
        <v>6224</v>
      </c>
      <c r="D187" s="512" t="s">
        <v>6244</v>
      </c>
      <c r="E187" s="513">
        <v>3376</v>
      </c>
      <c r="F187" s="512" t="s">
        <v>208</v>
      </c>
      <c r="G187" s="513" t="s">
        <v>29</v>
      </c>
      <c r="H187" s="516">
        <v>3349530</v>
      </c>
      <c r="I187" s="512" t="s">
        <v>6915</v>
      </c>
    </row>
    <row r="188" spans="2:9" ht="15" x14ac:dyDescent="0.35">
      <c r="B188" s="512" t="s">
        <v>6219</v>
      </c>
      <c r="C188" s="512" t="s">
        <v>6220</v>
      </c>
      <c r="D188" s="512" t="s">
        <v>6221</v>
      </c>
      <c r="E188" s="513">
        <v>3378</v>
      </c>
      <c r="F188" s="512" t="s">
        <v>209</v>
      </c>
      <c r="G188" s="513" t="s">
        <v>21</v>
      </c>
      <c r="H188" s="516">
        <v>5099</v>
      </c>
      <c r="I188" s="512" t="s">
        <v>6915</v>
      </c>
    </row>
    <row r="189" spans="2:9" ht="15" x14ac:dyDescent="0.35">
      <c r="B189" s="512" t="s">
        <v>6219</v>
      </c>
      <c r="C189" s="512" t="s">
        <v>6224</v>
      </c>
      <c r="D189" s="512" t="s">
        <v>6244</v>
      </c>
      <c r="E189" s="513">
        <v>3379</v>
      </c>
      <c r="F189" s="512" t="s">
        <v>210</v>
      </c>
      <c r="G189" s="513" t="s">
        <v>26</v>
      </c>
      <c r="H189" s="514">
        <v>259901</v>
      </c>
      <c r="I189" s="515" t="s">
        <v>6915</v>
      </c>
    </row>
    <row r="190" spans="2:9" ht="15" x14ac:dyDescent="0.35">
      <c r="B190" s="512" t="s">
        <v>6219</v>
      </c>
      <c r="C190" s="512" t="s">
        <v>6224</v>
      </c>
      <c r="D190" s="512" t="s">
        <v>6244</v>
      </c>
      <c r="E190" s="513">
        <v>3380</v>
      </c>
      <c r="F190" s="512" t="s">
        <v>211</v>
      </c>
      <c r="G190" s="513" t="s">
        <v>26</v>
      </c>
      <c r="H190" s="514">
        <v>122268</v>
      </c>
      <c r="I190" s="515" t="s">
        <v>6915</v>
      </c>
    </row>
    <row r="191" spans="2:9" ht="15" x14ac:dyDescent="0.35">
      <c r="B191" s="512" t="s">
        <v>6219</v>
      </c>
      <c r="C191" s="512" t="s">
        <v>6224</v>
      </c>
      <c r="D191" s="512" t="s">
        <v>6244</v>
      </c>
      <c r="E191" s="513">
        <v>3382</v>
      </c>
      <c r="F191" s="512" t="s">
        <v>212</v>
      </c>
      <c r="G191" s="513" t="s">
        <v>26</v>
      </c>
      <c r="H191" s="514">
        <v>29546</v>
      </c>
      <c r="I191" s="515" t="s">
        <v>6915</v>
      </c>
    </row>
    <row r="192" spans="2:9" ht="15" x14ac:dyDescent="0.35">
      <c r="B192" s="512" t="s">
        <v>6219</v>
      </c>
      <c r="C192" s="512" t="s">
        <v>6233</v>
      </c>
      <c r="D192" s="512" t="s">
        <v>6234</v>
      </c>
      <c r="E192" s="513">
        <v>3385</v>
      </c>
      <c r="F192" s="512" t="s">
        <v>213</v>
      </c>
      <c r="G192" s="513" t="s">
        <v>26</v>
      </c>
      <c r="H192" s="514">
        <v>181028</v>
      </c>
      <c r="I192" s="515" t="s">
        <v>6915</v>
      </c>
    </row>
    <row r="193" spans="2:9" ht="15" x14ac:dyDescent="0.35">
      <c r="B193" s="512" t="s">
        <v>6219</v>
      </c>
      <c r="C193" s="512" t="s">
        <v>6224</v>
      </c>
      <c r="D193" s="512" t="s">
        <v>6244</v>
      </c>
      <c r="E193" s="513">
        <v>3388</v>
      </c>
      <c r="F193" s="512" t="s">
        <v>214</v>
      </c>
      <c r="G193" s="513" t="s">
        <v>26</v>
      </c>
      <c r="H193" s="514">
        <v>578841</v>
      </c>
      <c r="I193" s="515" t="s">
        <v>6915</v>
      </c>
    </row>
    <row r="194" spans="2:9" ht="15" x14ac:dyDescent="0.35">
      <c r="B194" s="512" t="s">
        <v>6219</v>
      </c>
      <c r="C194" s="512" t="s">
        <v>6239</v>
      </c>
      <c r="D194" s="512" t="s">
        <v>6239</v>
      </c>
      <c r="E194" s="513">
        <v>3391</v>
      </c>
      <c r="F194" s="512" t="s">
        <v>215</v>
      </c>
      <c r="G194" s="513" t="s">
        <v>29</v>
      </c>
      <c r="H194" s="514">
        <v>329719</v>
      </c>
      <c r="I194" s="515" t="s">
        <v>6915</v>
      </c>
    </row>
    <row r="195" spans="2:9" ht="15" x14ac:dyDescent="0.35">
      <c r="B195" s="512" t="s">
        <v>6219</v>
      </c>
      <c r="C195" s="512" t="s">
        <v>6239</v>
      </c>
      <c r="D195" s="512" t="s">
        <v>6239</v>
      </c>
      <c r="E195" s="513">
        <v>3393</v>
      </c>
      <c r="F195" s="512" t="s">
        <v>216</v>
      </c>
      <c r="G195" s="513" t="s">
        <v>29</v>
      </c>
      <c r="H195" s="514">
        <v>1567046</v>
      </c>
      <c r="I195" s="515" t="s">
        <v>6915</v>
      </c>
    </row>
    <row r="196" spans="2:9" ht="15" x14ac:dyDescent="0.35">
      <c r="B196" s="512" t="s">
        <v>6219</v>
      </c>
      <c r="C196" s="512" t="s">
        <v>6242</v>
      </c>
      <c r="D196" s="512" t="s">
        <v>6243</v>
      </c>
      <c r="E196" s="513">
        <v>3394</v>
      </c>
      <c r="F196" s="512" t="s">
        <v>217</v>
      </c>
      <c r="G196" s="513" t="s">
        <v>23</v>
      </c>
      <c r="H196" s="514">
        <v>962345</v>
      </c>
      <c r="I196" s="515" t="s">
        <v>6915</v>
      </c>
    </row>
    <row r="197" spans="2:9" ht="15" x14ac:dyDescent="0.35">
      <c r="B197" s="512" t="s">
        <v>6219</v>
      </c>
      <c r="C197" s="512" t="s">
        <v>6235</v>
      </c>
      <c r="D197" s="512" t="s">
        <v>6245</v>
      </c>
      <c r="E197" s="513">
        <v>3396</v>
      </c>
      <c r="F197" s="512" t="s">
        <v>218</v>
      </c>
      <c r="G197" s="513" t="s">
        <v>29</v>
      </c>
      <c r="H197" s="516">
        <v>955001</v>
      </c>
      <c r="I197" s="512" t="s">
        <v>6915</v>
      </c>
    </row>
    <row r="198" spans="2:9" ht="15" x14ac:dyDescent="0.35">
      <c r="B198" s="512" t="s">
        <v>6219</v>
      </c>
      <c r="C198" s="512" t="s">
        <v>6235</v>
      </c>
      <c r="D198" s="512" t="s">
        <v>6245</v>
      </c>
      <c r="E198" s="513">
        <v>3397</v>
      </c>
      <c r="F198" s="512" t="s">
        <v>219</v>
      </c>
      <c r="G198" s="513" t="s">
        <v>29</v>
      </c>
      <c r="H198" s="516">
        <v>488113</v>
      </c>
      <c r="I198" s="512" t="s">
        <v>6915</v>
      </c>
    </row>
    <row r="199" spans="2:9" ht="15" x14ac:dyDescent="0.35">
      <c r="B199" s="512" t="s">
        <v>6219</v>
      </c>
      <c r="C199" s="512" t="s">
        <v>6235</v>
      </c>
      <c r="D199" s="512" t="s">
        <v>6245</v>
      </c>
      <c r="E199" s="513">
        <v>3400</v>
      </c>
      <c r="F199" s="512" t="s">
        <v>220</v>
      </c>
      <c r="G199" s="513" t="s">
        <v>29</v>
      </c>
      <c r="H199" s="516">
        <v>276201</v>
      </c>
      <c r="I199" s="512" t="s">
        <v>6915</v>
      </c>
    </row>
    <row r="200" spans="2:9" ht="15" x14ac:dyDescent="0.35">
      <c r="B200" s="512" t="s">
        <v>6219</v>
      </c>
      <c r="C200" s="512" t="s">
        <v>6235</v>
      </c>
      <c r="D200" s="512" t="s">
        <v>6245</v>
      </c>
      <c r="E200" s="513">
        <v>3401</v>
      </c>
      <c r="F200" s="512" t="s">
        <v>221</v>
      </c>
      <c r="G200" s="513" t="s">
        <v>29</v>
      </c>
      <c r="H200" s="516">
        <v>573011</v>
      </c>
      <c r="I200" s="512" t="s">
        <v>6915</v>
      </c>
    </row>
    <row r="201" spans="2:9" ht="15" x14ac:dyDescent="0.35">
      <c r="B201" s="512" t="s">
        <v>6219</v>
      </c>
      <c r="C201" s="512" t="s">
        <v>6235</v>
      </c>
      <c r="D201" s="512" t="s">
        <v>6245</v>
      </c>
      <c r="E201" s="513">
        <v>3403</v>
      </c>
      <c r="F201" s="512" t="s">
        <v>222</v>
      </c>
      <c r="G201" s="513" t="s">
        <v>29</v>
      </c>
      <c r="H201" s="516">
        <v>974631</v>
      </c>
      <c r="I201" s="512" t="s">
        <v>6915</v>
      </c>
    </row>
    <row r="202" spans="2:9" ht="15" x14ac:dyDescent="0.35">
      <c r="B202" s="512" t="s">
        <v>6219</v>
      </c>
      <c r="C202" s="512" t="s">
        <v>6239</v>
      </c>
      <c r="D202" s="512" t="s">
        <v>6239</v>
      </c>
      <c r="E202" s="513">
        <v>3404</v>
      </c>
      <c r="F202" s="512" t="s">
        <v>223</v>
      </c>
      <c r="G202" s="513" t="s">
        <v>29</v>
      </c>
      <c r="H202" s="514">
        <v>230949</v>
      </c>
      <c r="I202" s="515" t="s">
        <v>6915</v>
      </c>
    </row>
    <row r="203" spans="2:9" ht="15" x14ac:dyDescent="0.35">
      <c r="B203" s="512" t="s">
        <v>6219</v>
      </c>
      <c r="C203" s="512" t="s">
        <v>6239</v>
      </c>
      <c r="D203" s="512" t="s">
        <v>6239</v>
      </c>
      <c r="E203" s="513">
        <v>3405</v>
      </c>
      <c r="F203" s="512" t="s">
        <v>224</v>
      </c>
      <c r="G203" s="513" t="s">
        <v>29</v>
      </c>
      <c r="H203" s="514">
        <v>316388</v>
      </c>
      <c r="I203" s="515" t="s">
        <v>6915</v>
      </c>
    </row>
    <row r="204" spans="2:9" ht="15" x14ac:dyDescent="0.35">
      <c r="B204" s="512" t="s">
        <v>6219</v>
      </c>
      <c r="C204" s="512" t="s">
        <v>6224</v>
      </c>
      <c r="D204" s="512" t="s">
        <v>6244</v>
      </c>
      <c r="E204" s="513">
        <v>3408</v>
      </c>
      <c r="F204" s="512" t="s">
        <v>225</v>
      </c>
      <c r="G204" s="513" t="s">
        <v>26</v>
      </c>
      <c r="H204" s="514">
        <v>387477</v>
      </c>
      <c r="I204" s="515" t="s">
        <v>6915</v>
      </c>
    </row>
    <row r="205" spans="2:9" ht="15" x14ac:dyDescent="0.35">
      <c r="B205" s="512" t="s">
        <v>6219</v>
      </c>
      <c r="C205" s="512" t="s">
        <v>6233</v>
      </c>
      <c r="D205" s="512" t="s">
        <v>6234</v>
      </c>
      <c r="E205" s="513">
        <v>3410</v>
      </c>
      <c r="F205" s="512" t="s">
        <v>226</v>
      </c>
      <c r="G205" s="513" t="s">
        <v>29</v>
      </c>
      <c r="H205" s="514">
        <v>9213439</v>
      </c>
      <c r="I205" s="515" t="s">
        <v>6915</v>
      </c>
    </row>
    <row r="206" spans="2:9" ht="15" x14ac:dyDescent="0.35">
      <c r="B206" s="512" t="s">
        <v>6219</v>
      </c>
      <c r="C206" s="512" t="s">
        <v>6233</v>
      </c>
      <c r="D206" s="512" t="s">
        <v>6234</v>
      </c>
      <c r="E206" s="513">
        <v>3411</v>
      </c>
      <c r="F206" s="512" t="s">
        <v>227</v>
      </c>
      <c r="G206" s="513" t="s">
        <v>29</v>
      </c>
      <c r="H206" s="514">
        <v>9517073</v>
      </c>
      <c r="I206" s="515" t="s">
        <v>6915</v>
      </c>
    </row>
    <row r="207" spans="2:9" ht="15" x14ac:dyDescent="0.35">
      <c r="B207" s="512" t="s">
        <v>6219</v>
      </c>
      <c r="C207" s="512" t="s">
        <v>6239</v>
      </c>
      <c r="D207" s="512" t="s">
        <v>6239</v>
      </c>
      <c r="E207" s="513">
        <v>3412</v>
      </c>
      <c r="F207" s="512" t="s">
        <v>228</v>
      </c>
      <c r="G207" s="513" t="s">
        <v>29</v>
      </c>
      <c r="H207" s="514">
        <v>510703</v>
      </c>
      <c r="I207" s="515" t="s">
        <v>6915</v>
      </c>
    </row>
    <row r="208" spans="2:9" ht="15" x14ac:dyDescent="0.35">
      <c r="B208" s="512" t="s">
        <v>6219</v>
      </c>
      <c r="C208" s="512" t="s">
        <v>6239</v>
      </c>
      <c r="D208" s="512" t="s">
        <v>6239</v>
      </c>
      <c r="E208" s="513">
        <v>3413</v>
      </c>
      <c r="F208" s="512" t="s">
        <v>229</v>
      </c>
      <c r="G208" s="513" t="s">
        <v>29</v>
      </c>
      <c r="H208" s="514">
        <v>12884</v>
      </c>
      <c r="I208" s="515" t="s">
        <v>6915</v>
      </c>
    </row>
    <row r="209" spans="2:9" ht="15" x14ac:dyDescent="0.35">
      <c r="B209" s="512" t="s">
        <v>6219</v>
      </c>
      <c r="C209" s="512" t="s">
        <v>6239</v>
      </c>
      <c r="D209" s="512" t="s">
        <v>6239</v>
      </c>
      <c r="E209" s="513">
        <v>3414</v>
      </c>
      <c r="F209" s="512" t="s">
        <v>230</v>
      </c>
      <c r="G209" s="513" t="s">
        <v>29</v>
      </c>
      <c r="H209" s="514">
        <v>22079</v>
      </c>
      <c r="I209" s="515" t="s">
        <v>6915</v>
      </c>
    </row>
    <row r="210" spans="2:9" ht="15" x14ac:dyDescent="0.35">
      <c r="B210" s="512" t="s">
        <v>6219</v>
      </c>
      <c r="C210" s="512" t="s">
        <v>6233</v>
      </c>
      <c r="D210" s="512" t="s">
        <v>6234</v>
      </c>
      <c r="E210" s="513">
        <v>3415</v>
      </c>
      <c r="F210" s="512" t="s">
        <v>231</v>
      </c>
      <c r="G210" s="513" t="s">
        <v>26</v>
      </c>
      <c r="H210" s="514">
        <v>53507</v>
      </c>
      <c r="I210" s="515" t="s">
        <v>6915</v>
      </c>
    </row>
    <row r="211" spans="2:9" ht="15" x14ac:dyDescent="0.35">
      <c r="B211" s="512" t="s">
        <v>6219</v>
      </c>
      <c r="C211" s="512" t="s">
        <v>6230</v>
      </c>
      <c r="D211" s="512" t="s">
        <v>6246</v>
      </c>
      <c r="E211" s="513">
        <v>3425</v>
      </c>
      <c r="F211" s="512" t="s">
        <v>232</v>
      </c>
      <c r="G211" s="513" t="s">
        <v>21</v>
      </c>
      <c r="H211" s="514">
        <v>92879</v>
      </c>
      <c r="I211" s="515" t="s">
        <v>6915</v>
      </c>
    </row>
    <row r="212" spans="2:9" ht="15" x14ac:dyDescent="0.35">
      <c r="B212" s="512" t="s">
        <v>6219</v>
      </c>
      <c r="C212" s="512" t="s">
        <v>6230</v>
      </c>
      <c r="D212" s="512" t="s">
        <v>6231</v>
      </c>
      <c r="E212" s="513">
        <v>3426</v>
      </c>
      <c r="F212" s="512" t="s">
        <v>233</v>
      </c>
      <c r="G212" s="513" t="s">
        <v>26</v>
      </c>
      <c r="H212" s="514">
        <v>52567</v>
      </c>
      <c r="I212" s="515" t="s">
        <v>6915</v>
      </c>
    </row>
    <row r="213" spans="2:9" ht="15" x14ac:dyDescent="0.35">
      <c r="B213" s="512" t="s">
        <v>6219</v>
      </c>
      <c r="C213" s="512" t="s">
        <v>6237</v>
      </c>
      <c r="D213" s="512" t="s">
        <v>6247</v>
      </c>
      <c r="E213" s="513">
        <v>3429</v>
      </c>
      <c r="F213" s="512" t="s">
        <v>234</v>
      </c>
      <c r="G213" s="513" t="s">
        <v>29</v>
      </c>
      <c r="H213" s="514">
        <v>654099</v>
      </c>
      <c r="I213" s="515" t="s">
        <v>6915</v>
      </c>
    </row>
    <row r="214" spans="2:9" ht="15" x14ac:dyDescent="0.35">
      <c r="B214" s="512" t="s">
        <v>6219</v>
      </c>
      <c r="C214" s="512" t="s">
        <v>6237</v>
      </c>
      <c r="D214" s="512" t="s">
        <v>6247</v>
      </c>
      <c r="E214" s="513">
        <v>3430</v>
      </c>
      <c r="F214" s="512" t="s">
        <v>235</v>
      </c>
      <c r="G214" s="513" t="s">
        <v>29</v>
      </c>
      <c r="H214" s="514">
        <v>479154</v>
      </c>
      <c r="I214" s="515" t="s">
        <v>6915</v>
      </c>
    </row>
    <row r="215" spans="2:9" ht="15" x14ac:dyDescent="0.35">
      <c r="B215" s="512" t="s">
        <v>6219</v>
      </c>
      <c r="C215" s="512" t="s">
        <v>6237</v>
      </c>
      <c r="D215" s="512" t="s">
        <v>6247</v>
      </c>
      <c r="E215" s="513">
        <v>3431</v>
      </c>
      <c r="F215" s="512" t="s">
        <v>236</v>
      </c>
      <c r="G215" s="513" t="s">
        <v>29</v>
      </c>
      <c r="H215" s="514">
        <v>599694</v>
      </c>
      <c r="I215" s="515" t="s">
        <v>6915</v>
      </c>
    </row>
    <row r="216" spans="2:9" ht="15" x14ac:dyDescent="0.35">
      <c r="B216" s="512" t="s">
        <v>6219</v>
      </c>
      <c r="C216" s="512" t="s">
        <v>6237</v>
      </c>
      <c r="D216" s="512" t="s">
        <v>6247</v>
      </c>
      <c r="E216" s="513">
        <v>3432</v>
      </c>
      <c r="F216" s="512" t="s">
        <v>237</v>
      </c>
      <c r="G216" s="513" t="s">
        <v>29</v>
      </c>
      <c r="H216" s="514">
        <v>780528</v>
      </c>
      <c r="I216" s="515" t="s">
        <v>6915</v>
      </c>
    </row>
    <row r="217" spans="2:9" ht="15" x14ac:dyDescent="0.35">
      <c r="B217" s="512" t="s">
        <v>6219</v>
      </c>
      <c r="C217" s="512" t="s">
        <v>6237</v>
      </c>
      <c r="D217" s="512" t="s">
        <v>6238</v>
      </c>
      <c r="E217" s="513">
        <v>3433</v>
      </c>
      <c r="F217" s="512" t="s">
        <v>238</v>
      </c>
      <c r="G217" s="513" t="s">
        <v>29</v>
      </c>
      <c r="H217" s="514">
        <v>9410</v>
      </c>
      <c r="I217" s="515" t="s">
        <v>6915</v>
      </c>
    </row>
    <row r="218" spans="2:9" ht="15" x14ac:dyDescent="0.35">
      <c r="B218" s="512" t="s">
        <v>6219</v>
      </c>
      <c r="C218" s="512" t="s">
        <v>6237</v>
      </c>
      <c r="D218" s="512" t="s">
        <v>6238</v>
      </c>
      <c r="E218" s="513">
        <v>3434</v>
      </c>
      <c r="F218" s="512" t="s">
        <v>239</v>
      </c>
      <c r="G218" s="513" t="s">
        <v>29</v>
      </c>
      <c r="H218" s="514">
        <v>82983</v>
      </c>
      <c r="I218" s="515" t="s">
        <v>6915</v>
      </c>
    </row>
    <row r="219" spans="2:9" ht="15" x14ac:dyDescent="0.35">
      <c r="B219" s="512" t="s">
        <v>6219</v>
      </c>
      <c r="C219" s="512" t="s">
        <v>6227</v>
      </c>
      <c r="D219" s="512" t="s">
        <v>6229</v>
      </c>
      <c r="E219" s="513">
        <v>3436</v>
      </c>
      <c r="F219" s="512" t="s">
        <v>240</v>
      </c>
      <c r="G219" s="513" t="s">
        <v>23</v>
      </c>
      <c r="H219" s="516">
        <v>134047</v>
      </c>
      <c r="I219" s="512" t="s">
        <v>6915</v>
      </c>
    </row>
    <row r="220" spans="2:9" ht="15" x14ac:dyDescent="0.35">
      <c r="B220" s="512" t="s">
        <v>6219</v>
      </c>
      <c r="C220" s="512" t="s">
        <v>6240</v>
      </c>
      <c r="D220" s="512" t="s">
        <v>6241</v>
      </c>
      <c r="E220" s="513">
        <v>3442</v>
      </c>
      <c r="F220" s="512" t="s">
        <v>241</v>
      </c>
      <c r="G220" s="513" t="s">
        <v>23</v>
      </c>
      <c r="H220" s="516">
        <v>681443</v>
      </c>
      <c r="I220" s="512" t="s">
        <v>6915</v>
      </c>
    </row>
    <row r="221" spans="2:9" ht="15" x14ac:dyDescent="0.35">
      <c r="B221" s="512" t="s">
        <v>6219</v>
      </c>
      <c r="C221" s="512" t="s">
        <v>6227</v>
      </c>
      <c r="D221" s="512" t="s">
        <v>6248</v>
      </c>
      <c r="E221" s="513">
        <v>3443</v>
      </c>
      <c r="F221" s="512" t="s">
        <v>242</v>
      </c>
      <c r="G221" s="513" t="s">
        <v>23</v>
      </c>
      <c r="H221" s="516">
        <v>100624</v>
      </c>
      <c r="I221" s="512" t="s">
        <v>6915</v>
      </c>
    </row>
    <row r="222" spans="2:9" ht="15" x14ac:dyDescent="0.35">
      <c r="B222" s="512" t="s">
        <v>6219</v>
      </c>
      <c r="C222" s="512" t="s">
        <v>6224</v>
      </c>
      <c r="D222" s="512" t="s">
        <v>6244</v>
      </c>
      <c r="E222" s="513">
        <v>3450</v>
      </c>
      <c r="F222" s="512" t="s">
        <v>243</v>
      </c>
      <c r="G222" s="513" t="s">
        <v>29</v>
      </c>
      <c r="H222" s="516">
        <v>421069</v>
      </c>
      <c r="I222" s="512" t="s">
        <v>6915</v>
      </c>
    </row>
    <row r="223" spans="2:9" ht="15" x14ac:dyDescent="0.35">
      <c r="B223" s="512" t="s">
        <v>6219</v>
      </c>
      <c r="C223" s="512" t="s">
        <v>6227</v>
      </c>
      <c r="D223" s="512" t="s">
        <v>6248</v>
      </c>
      <c r="E223" s="513">
        <v>3454</v>
      </c>
      <c r="F223" s="512" t="s">
        <v>244</v>
      </c>
      <c r="G223" s="513" t="s">
        <v>23</v>
      </c>
      <c r="H223" s="516">
        <v>121047</v>
      </c>
      <c r="I223" s="512" t="s">
        <v>6915</v>
      </c>
    </row>
    <row r="224" spans="2:9" ht="15" x14ac:dyDescent="0.35">
      <c r="B224" s="512" t="s">
        <v>6219</v>
      </c>
      <c r="C224" s="512" t="s">
        <v>6239</v>
      </c>
      <c r="D224" s="512" t="s">
        <v>6239</v>
      </c>
      <c r="E224" s="513">
        <v>3463</v>
      </c>
      <c r="F224" s="512" t="s">
        <v>245</v>
      </c>
      <c r="G224" s="513" t="s">
        <v>29</v>
      </c>
      <c r="H224" s="516">
        <v>282680</v>
      </c>
      <c r="I224" s="512" t="s">
        <v>6915</v>
      </c>
    </row>
    <row r="225" spans="2:9" ht="15" x14ac:dyDescent="0.35">
      <c r="B225" s="512" t="s">
        <v>6219</v>
      </c>
      <c r="C225" s="512" t="s">
        <v>6220</v>
      </c>
      <c r="D225" s="512" t="s">
        <v>6221</v>
      </c>
      <c r="E225" s="513">
        <v>3464</v>
      </c>
      <c r="F225" s="512" t="s">
        <v>246</v>
      </c>
      <c r="G225" s="513" t="s">
        <v>23</v>
      </c>
      <c r="H225" s="516">
        <v>58471</v>
      </c>
      <c r="I225" s="512" t="s">
        <v>6915</v>
      </c>
    </row>
    <row r="226" spans="2:9" ht="15" x14ac:dyDescent="0.35">
      <c r="B226" s="512" t="s">
        <v>6219</v>
      </c>
      <c r="C226" s="512" t="s">
        <v>6240</v>
      </c>
      <c r="D226" s="512" t="s">
        <v>6249</v>
      </c>
      <c r="E226" s="513">
        <v>3465</v>
      </c>
      <c r="F226" s="512" t="s">
        <v>247</v>
      </c>
      <c r="G226" s="513" t="s">
        <v>23</v>
      </c>
      <c r="H226" s="514">
        <v>572505</v>
      </c>
      <c r="I226" s="515" t="s">
        <v>6915</v>
      </c>
    </row>
    <row r="227" spans="2:9" ht="15" x14ac:dyDescent="0.35">
      <c r="B227" s="512" t="s">
        <v>6219</v>
      </c>
      <c r="C227" s="512" t="s">
        <v>6240</v>
      </c>
      <c r="D227" s="512" t="s">
        <v>6249</v>
      </c>
      <c r="E227" s="513">
        <v>3466</v>
      </c>
      <c r="F227" s="512" t="s">
        <v>248</v>
      </c>
      <c r="G227" s="513" t="s">
        <v>23</v>
      </c>
      <c r="H227" s="516">
        <v>588749</v>
      </c>
      <c r="I227" s="512" t="s">
        <v>6915</v>
      </c>
    </row>
    <row r="228" spans="2:9" ht="15" x14ac:dyDescent="0.35">
      <c r="B228" s="512" t="s">
        <v>6219</v>
      </c>
      <c r="C228" s="512" t="s">
        <v>6240</v>
      </c>
      <c r="D228" s="512" t="s">
        <v>6249</v>
      </c>
      <c r="E228" s="513">
        <v>3467</v>
      </c>
      <c r="F228" s="512" t="s">
        <v>249</v>
      </c>
      <c r="G228" s="513" t="s">
        <v>23</v>
      </c>
      <c r="H228" s="516">
        <v>571889</v>
      </c>
      <c r="I228" s="512" t="s">
        <v>6915</v>
      </c>
    </row>
    <row r="229" spans="2:9" ht="15" x14ac:dyDescent="0.35">
      <c r="B229" s="512" t="s">
        <v>6219</v>
      </c>
      <c r="C229" s="512" t="s">
        <v>6240</v>
      </c>
      <c r="D229" s="512" t="s">
        <v>6249</v>
      </c>
      <c r="E229" s="513">
        <v>3468</v>
      </c>
      <c r="F229" s="512" t="s">
        <v>250</v>
      </c>
      <c r="G229" s="513" t="s">
        <v>23</v>
      </c>
      <c r="H229" s="516">
        <v>503160</v>
      </c>
      <c r="I229" s="512" t="s">
        <v>6915</v>
      </c>
    </row>
    <row r="230" spans="2:9" ht="15" x14ac:dyDescent="0.35">
      <c r="B230" s="512" t="s">
        <v>6219</v>
      </c>
      <c r="C230" s="512" t="s">
        <v>6232</v>
      </c>
      <c r="D230" s="512" t="s">
        <v>6232</v>
      </c>
      <c r="E230" s="513">
        <v>3470</v>
      </c>
      <c r="F230" s="512" t="s">
        <v>251</v>
      </c>
      <c r="G230" s="513" t="s">
        <v>26</v>
      </c>
      <c r="H230" s="516">
        <v>1320452</v>
      </c>
      <c r="I230" s="512" t="s">
        <v>6915</v>
      </c>
    </row>
    <row r="231" spans="2:9" ht="15" x14ac:dyDescent="0.35">
      <c r="B231" s="512" t="s">
        <v>6219</v>
      </c>
      <c r="C231" s="512" t="s">
        <v>6232</v>
      </c>
      <c r="D231" s="512" t="s">
        <v>6232</v>
      </c>
      <c r="E231" s="513">
        <v>3471</v>
      </c>
      <c r="F231" s="512" t="s">
        <v>252</v>
      </c>
      <c r="G231" s="513" t="s">
        <v>26</v>
      </c>
      <c r="H231" s="516">
        <v>907310</v>
      </c>
      <c r="I231" s="512" t="s">
        <v>6915</v>
      </c>
    </row>
    <row r="232" spans="2:9" ht="15" x14ac:dyDescent="0.35">
      <c r="B232" s="512" t="s">
        <v>6219</v>
      </c>
      <c r="C232" s="512" t="s">
        <v>6232</v>
      </c>
      <c r="D232" s="512" t="s">
        <v>6232</v>
      </c>
      <c r="E232" s="513">
        <v>3472</v>
      </c>
      <c r="F232" s="512" t="s">
        <v>253</v>
      </c>
      <c r="G232" s="513" t="s">
        <v>29</v>
      </c>
      <c r="H232" s="516">
        <v>688570</v>
      </c>
      <c r="I232" s="512" t="s">
        <v>6915</v>
      </c>
    </row>
    <row r="233" spans="2:9" ht="15" x14ac:dyDescent="0.35">
      <c r="B233" s="512" t="s">
        <v>6219</v>
      </c>
      <c r="C233" s="512" t="s">
        <v>6232</v>
      </c>
      <c r="D233" s="512" t="s">
        <v>6232</v>
      </c>
      <c r="E233" s="513">
        <v>3473</v>
      </c>
      <c r="F233" s="512" t="s">
        <v>254</v>
      </c>
      <c r="G233" s="513" t="s">
        <v>29</v>
      </c>
      <c r="H233" s="516">
        <v>918136</v>
      </c>
      <c r="I233" s="512" t="s">
        <v>6915</v>
      </c>
    </row>
    <row r="234" spans="2:9" ht="15" x14ac:dyDescent="0.35">
      <c r="B234" s="512" t="s">
        <v>6219</v>
      </c>
      <c r="C234" s="512" t="s">
        <v>6232</v>
      </c>
      <c r="D234" s="512" t="s">
        <v>6232</v>
      </c>
      <c r="E234" s="513">
        <v>3474</v>
      </c>
      <c r="F234" s="512" t="s">
        <v>255</v>
      </c>
      <c r="G234" s="513" t="s">
        <v>29</v>
      </c>
      <c r="H234" s="514">
        <v>1129034</v>
      </c>
      <c r="I234" s="515" t="s">
        <v>6915</v>
      </c>
    </row>
    <row r="235" spans="2:9" ht="15" x14ac:dyDescent="0.35">
      <c r="B235" s="512" t="s">
        <v>6219</v>
      </c>
      <c r="C235" s="512" t="s">
        <v>6240</v>
      </c>
      <c r="D235" s="512" t="s">
        <v>6249</v>
      </c>
      <c r="E235" s="513">
        <v>3475</v>
      </c>
      <c r="F235" s="512" t="s">
        <v>256</v>
      </c>
      <c r="G235" s="513" t="s">
        <v>23</v>
      </c>
      <c r="H235" s="514">
        <v>436180</v>
      </c>
      <c r="I235" s="515" t="s">
        <v>6915</v>
      </c>
    </row>
    <row r="236" spans="2:9" ht="15" x14ac:dyDescent="0.35">
      <c r="B236" s="512" t="s">
        <v>6219</v>
      </c>
      <c r="C236" s="512" t="s">
        <v>6240</v>
      </c>
      <c r="D236" s="512" t="s">
        <v>6249</v>
      </c>
      <c r="E236" s="513">
        <v>3476</v>
      </c>
      <c r="F236" s="512" t="s">
        <v>257</v>
      </c>
      <c r="G236" s="513" t="s">
        <v>23</v>
      </c>
      <c r="H236" s="516">
        <v>486011</v>
      </c>
      <c r="I236" s="512" t="s">
        <v>6915</v>
      </c>
    </row>
    <row r="237" spans="2:9" ht="15" x14ac:dyDescent="0.35">
      <c r="B237" s="512" t="s">
        <v>6219</v>
      </c>
      <c r="C237" s="512" t="s">
        <v>6240</v>
      </c>
      <c r="D237" s="512" t="s">
        <v>6249</v>
      </c>
      <c r="E237" s="513">
        <v>3477</v>
      </c>
      <c r="F237" s="512" t="s">
        <v>258</v>
      </c>
      <c r="G237" s="513" t="s">
        <v>23</v>
      </c>
      <c r="H237" s="516">
        <v>587767</v>
      </c>
      <c r="I237" s="512" t="s">
        <v>6915</v>
      </c>
    </row>
    <row r="238" spans="2:9" ht="15" x14ac:dyDescent="0.35">
      <c r="B238" s="512" t="s">
        <v>6219</v>
      </c>
      <c r="C238" s="512" t="s">
        <v>6227</v>
      </c>
      <c r="D238" s="512" t="s">
        <v>6229</v>
      </c>
      <c r="E238" s="513">
        <v>3478</v>
      </c>
      <c r="F238" s="512" t="s">
        <v>259</v>
      </c>
      <c r="G238" s="513" t="s">
        <v>23</v>
      </c>
      <c r="H238" s="516">
        <v>164514</v>
      </c>
      <c r="I238" s="512" t="s">
        <v>6915</v>
      </c>
    </row>
    <row r="239" spans="2:9" ht="15" x14ac:dyDescent="0.35">
      <c r="B239" s="512" t="s">
        <v>6219</v>
      </c>
      <c r="C239" s="512" t="s">
        <v>6223</v>
      </c>
      <c r="D239" s="512" t="s">
        <v>6223</v>
      </c>
      <c r="E239" s="513">
        <v>3486</v>
      </c>
      <c r="F239" s="512" t="s">
        <v>260</v>
      </c>
      <c r="G239" s="513" t="s">
        <v>23</v>
      </c>
      <c r="H239" s="516">
        <v>197648</v>
      </c>
      <c r="I239" s="512" t="s">
        <v>6915</v>
      </c>
    </row>
    <row r="240" spans="2:9" ht="15" x14ac:dyDescent="0.35">
      <c r="B240" s="512" t="s">
        <v>6219</v>
      </c>
      <c r="C240" s="512" t="s">
        <v>6237</v>
      </c>
      <c r="D240" s="512" t="s">
        <v>6238</v>
      </c>
      <c r="E240" s="513">
        <v>3490</v>
      </c>
      <c r="F240" s="512" t="s">
        <v>261</v>
      </c>
      <c r="G240" s="513" t="s">
        <v>29</v>
      </c>
      <c r="H240" s="516">
        <v>69162</v>
      </c>
      <c r="I240" s="515" t="s">
        <v>6915</v>
      </c>
    </row>
    <row r="241" spans="2:9" ht="15" x14ac:dyDescent="0.35">
      <c r="B241" s="512" t="s">
        <v>6219</v>
      </c>
      <c r="C241" s="512" t="s">
        <v>6237</v>
      </c>
      <c r="D241" s="512" t="s">
        <v>6238</v>
      </c>
      <c r="E241" s="513">
        <v>3491</v>
      </c>
      <c r="F241" s="512" t="s">
        <v>262</v>
      </c>
      <c r="G241" s="513" t="s">
        <v>29</v>
      </c>
      <c r="H241" s="516">
        <v>54963</v>
      </c>
      <c r="I241" s="515" t="s">
        <v>6915</v>
      </c>
    </row>
    <row r="242" spans="2:9" ht="15" x14ac:dyDescent="0.35">
      <c r="B242" s="512" t="s">
        <v>6219</v>
      </c>
      <c r="C242" s="512" t="s">
        <v>6237</v>
      </c>
      <c r="D242" s="512" t="s">
        <v>6238</v>
      </c>
      <c r="E242" s="513">
        <v>3492</v>
      </c>
      <c r="F242" s="512" t="s">
        <v>263</v>
      </c>
      <c r="G242" s="513" t="s">
        <v>29</v>
      </c>
      <c r="H242" s="516">
        <v>99849</v>
      </c>
      <c r="I242" s="515" t="s">
        <v>6915</v>
      </c>
    </row>
    <row r="243" spans="2:9" ht="15" x14ac:dyDescent="0.35">
      <c r="B243" s="512" t="s">
        <v>6219</v>
      </c>
      <c r="C243" s="512" t="s">
        <v>6239</v>
      </c>
      <c r="D243" s="512" t="s">
        <v>6239</v>
      </c>
      <c r="E243" s="513">
        <v>3499</v>
      </c>
      <c r="F243" s="512" t="s">
        <v>264</v>
      </c>
      <c r="G243" s="513" t="s">
        <v>29</v>
      </c>
      <c r="H243" s="514">
        <v>490707</v>
      </c>
      <c r="I243" s="515" t="s">
        <v>6915</v>
      </c>
    </row>
    <row r="244" spans="2:9" ht="15" x14ac:dyDescent="0.35">
      <c r="B244" s="512" t="s">
        <v>6219</v>
      </c>
      <c r="C244" s="512" t="s">
        <v>6239</v>
      </c>
      <c r="D244" s="512" t="s">
        <v>6239</v>
      </c>
      <c r="E244" s="513">
        <v>3500</v>
      </c>
      <c r="F244" s="512" t="s">
        <v>265</v>
      </c>
      <c r="G244" s="513" t="s">
        <v>29</v>
      </c>
      <c r="H244" s="514">
        <v>1029305</v>
      </c>
      <c r="I244" s="515" t="s">
        <v>6915</v>
      </c>
    </row>
    <row r="245" spans="2:9" ht="15" x14ac:dyDescent="0.35">
      <c r="B245" s="512" t="s">
        <v>6219</v>
      </c>
      <c r="C245" s="512" t="s">
        <v>6239</v>
      </c>
      <c r="D245" s="512" t="s">
        <v>6239</v>
      </c>
      <c r="E245" s="513">
        <v>3501</v>
      </c>
      <c r="F245" s="512" t="s">
        <v>266</v>
      </c>
      <c r="G245" s="513" t="s">
        <v>29</v>
      </c>
      <c r="H245" s="514">
        <v>1285631</v>
      </c>
      <c r="I245" s="515" t="s">
        <v>6915</v>
      </c>
    </row>
    <row r="246" spans="2:9" ht="15" x14ac:dyDescent="0.35">
      <c r="B246" s="512" t="s">
        <v>6219</v>
      </c>
      <c r="C246" s="512" t="s">
        <v>6239</v>
      </c>
      <c r="D246" s="512" t="s">
        <v>6239</v>
      </c>
      <c r="E246" s="513">
        <v>3502</v>
      </c>
      <c r="F246" s="512" t="s">
        <v>267</v>
      </c>
      <c r="G246" s="513" t="s">
        <v>29</v>
      </c>
      <c r="H246" s="514">
        <v>1517185</v>
      </c>
      <c r="I246" s="515" t="s">
        <v>6915</v>
      </c>
    </row>
    <row r="247" spans="2:9" ht="15" x14ac:dyDescent="0.35">
      <c r="B247" s="512" t="s">
        <v>6219</v>
      </c>
      <c r="C247" s="512" t="s">
        <v>6239</v>
      </c>
      <c r="D247" s="512" t="s">
        <v>6239</v>
      </c>
      <c r="E247" s="513">
        <v>3503</v>
      </c>
      <c r="F247" s="512" t="s">
        <v>268</v>
      </c>
      <c r="G247" s="513" t="s">
        <v>29</v>
      </c>
      <c r="H247" s="514">
        <v>1659655</v>
      </c>
      <c r="I247" s="515" t="s">
        <v>6915</v>
      </c>
    </row>
    <row r="248" spans="2:9" ht="15" x14ac:dyDescent="0.35">
      <c r="B248" s="512" t="s">
        <v>6219</v>
      </c>
      <c r="C248" s="512" t="s">
        <v>6232</v>
      </c>
      <c r="D248" s="512" t="s">
        <v>6232</v>
      </c>
      <c r="E248" s="513">
        <v>3504</v>
      </c>
      <c r="F248" s="512" t="s">
        <v>269</v>
      </c>
      <c r="G248" s="513" t="s">
        <v>29</v>
      </c>
      <c r="H248" s="514">
        <v>160255</v>
      </c>
      <c r="I248" s="515" t="s">
        <v>6915</v>
      </c>
    </row>
    <row r="249" spans="2:9" ht="15" x14ac:dyDescent="0.35">
      <c r="B249" s="512" t="s">
        <v>6219</v>
      </c>
      <c r="C249" s="512" t="s">
        <v>6232</v>
      </c>
      <c r="D249" s="512" t="s">
        <v>6232</v>
      </c>
      <c r="E249" s="513">
        <v>3505</v>
      </c>
      <c r="F249" s="512" t="s">
        <v>270</v>
      </c>
      <c r="G249" s="513" t="s">
        <v>29</v>
      </c>
      <c r="H249" s="514">
        <v>310421</v>
      </c>
      <c r="I249" s="515" t="s">
        <v>6915</v>
      </c>
    </row>
    <row r="250" spans="2:9" ht="15" x14ac:dyDescent="0.35">
      <c r="B250" s="512" t="s">
        <v>6219</v>
      </c>
      <c r="C250" s="512" t="s">
        <v>6232</v>
      </c>
      <c r="D250" s="512" t="s">
        <v>6232</v>
      </c>
      <c r="E250" s="513">
        <v>3506</v>
      </c>
      <c r="F250" s="512" t="s">
        <v>271</v>
      </c>
      <c r="G250" s="513" t="s">
        <v>29</v>
      </c>
      <c r="H250" s="514">
        <v>397705</v>
      </c>
      <c r="I250" s="515" t="s">
        <v>6915</v>
      </c>
    </row>
    <row r="251" spans="2:9" ht="15" x14ac:dyDescent="0.35">
      <c r="B251" s="512" t="s">
        <v>6219</v>
      </c>
      <c r="C251" s="512" t="s">
        <v>6232</v>
      </c>
      <c r="D251" s="512" t="s">
        <v>6232</v>
      </c>
      <c r="E251" s="513">
        <v>3507</v>
      </c>
      <c r="F251" s="512" t="s">
        <v>272</v>
      </c>
      <c r="G251" s="513" t="s">
        <v>29</v>
      </c>
      <c r="H251" s="516">
        <v>474323</v>
      </c>
      <c r="I251" s="512" t="s">
        <v>6915</v>
      </c>
    </row>
    <row r="252" spans="2:9" ht="15" x14ac:dyDescent="0.35">
      <c r="B252" s="512" t="s">
        <v>6219</v>
      </c>
      <c r="C252" s="512" t="s">
        <v>6232</v>
      </c>
      <c r="D252" s="512" t="s">
        <v>6232</v>
      </c>
      <c r="E252" s="513">
        <v>3508</v>
      </c>
      <c r="F252" s="512" t="s">
        <v>273</v>
      </c>
      <c r="G252" s="513" t="s">
        <v>29</v>
      </c>
      <c r="H252" s="516">
        <v>599750</v>
      </c>
      <c r="I252" s="512" t="s">
        <v>6915</v>
      </c>
    </row>
    <row r="253" spans="2:9" ht="15" x14ac:dyDescent="0.35">
      <c r="B253" s="512" t="s">
        <v>6219</v>
      </c>
      <c r="C253" s="512" t="s">
        <v>6232</v>
      </c>
      <c r="D253" s="512" t="s">
        <v>6232</v>
      </c>
      <c r="E253" s="513">
        <v>3509</v>
      </c>
      <c r="F253" s="512" t="s">
        <v>274</v>
      </c>
      <c r="G253" s="513" t="s">
        <v>29</v>
      </c>
      <c r="H253" s="516">
        <v>694428</v>
      </c>
      <c r="I253" s="512" t="s">
        <v>6915</v>
      </c>
    </row>
    <row r="254" spans="2:9" ht="15" x14ac:dyDescent="0.35">
      <c r="B254" s="512" t="s">
        <v>6219</v>
      </c>
      <c r="C254" s="512" t="s">
        <v>6232</v>
      </c>
      <c r="D254" s="512" t="s">
        <v>6232</v>
      </c>
      <c r="E254" s="513">
        <v>3510</v>
      </c>
      <c r="F254" s="512" t="s">
        <v>275</v>
      </c>
      <c r="G254" s="513" t="s">
        <v>29</v>
      </c>
      <c r="H254" s="516">
        <v>820691</v>
      </c>
      <c r="I254" s="512" t="s">
        <v>6915</v>
      </c>
    </row>
    <row r="255" spans="2:9" ht="15" x14ac:dyDescent="0.35">
      <c r="B255" s="512" t="s">
        <v>6219</v>
      </c>
      <c r="C255" s="512" t="s">
        <v>6232</v>
      </c>
      <c r="D255" s="512" t="s">
        <v>6232</v>
      </c>
      <c r="E255" s="513">
        <v>3511</v>
      </c>
      <c r="F255" s="512" t="s">
        <v>276</v>
      </c>
      <c r="G255" s="513" t="s">
        <v>29</v>
      </c>
      <c r="H255" s="516">
        <v>1173575</v>
      </c>
      <c r="I255" s="512" t="s">
        <v>6915</v>
      </c>
    </row>
    <row r="256" spans="2:9" ht="15" x14ac:dyDescent="0.35">
      <c r="B256" s="512" t="s">
        <v>6219</v>
      </c>
      <c r="C256" s="512" t="s">
        <v>6239</v>
      </c>
      <c r="D256" s="512" t="s">
        <v>6239</v>
      </c>
      <c r="E256" s="513">
        <v>3512</v>
      </c>
      <c r="F256" s="512" t="s">
        <v>277</v>
      </c>
      <c r="G256" s="513" t="s">
        <v>29</v>
      </c>
      <c r="H256" s="516">
        <v>50308</v>
      </c>
      <c r="I256" s="512" t="s">
        <v>6915</v>
      </c>
    </row>
    <row r="257" spans="2:9" ht="15" x14ac:dyDescent="0.35">
      <c r="B257" s="512" t="s">
        <v>6219</v>
      </c>
      <c r="C257" s="512" t="s">
        <v>6239</v>
      </c>
      <c r="D257" s="512" t="s">
        <v>6239</v>
      </c>
      <c r="E257" s="513">
        <v>3513</v>
      </c>
      <c r="F257" s="512" t="s">
        <v>278</v>
      </c>
      <c r="G257" s="513" t="s">
        <v>29</v>
      </c>
      <c r="H257" s="516">
        <v>102799</v>
      </c>
      <c r="I257" s="512" t="s">
        <v>6915</v>
      </c>
    </row>
    <row r="258" spans="2:9" ht="15" x14ac:dyDescent="0.35">
      <c r="B258" s="512" t="s">
        <v>6219</v>
      </c>
      <c r="C258" s="512" t="s">
        <v>6239</v>
      </c>
      <c r="D258" s="512" t="s">
        <v>6239</v>
      </c>
      <c r="E258" s="513">
        <v>3514</v>
      </c>
      <c r="F258" s="512" t="s">
        <v>279</v>
      </c>
      <c r="G258" s="513" t="s">
        <v>29</v>
      </c>
      <c r="H258" s="516">
        <v>140775</v>
      </c>
      <c r="I258" s="512" t="s">
        <v>6915</v>
      </c>
    </row>
    <row r="259" spans="2:9" ht="15" x14ac:dyDescent="0.35">
      <c r="B259" s="512" t="s">
        <v>6219</v>
      </c>
      <c r="C259" s="512" t="s">
        <v>6239</v>
      </c>
      <c r="D259" s="512" t="s">
        <v>6239</v>
      </c>
      <c r="E259" s="513">
        <v>3515</v>
      </c>
      <c r="F259" s="512" t="s">
        <v>280</v>
      </c>
      <c r="G259" s="513" t="s">
        <v>29</v>
      </c>
      <c r="H259" s="514">
        <v>186528</v>
      </c>
      <c r="I259" s="515" t="s">
        <v>6915</v>
      </c>
    </row>
    <row r="260" spans="2:9" ht="15" x14ac:dyDescent="0.35">
      <c r="B260" s="512" t="s">
        <v>6219</v>
      </c>
      <c r="C260" s="512" t="s">
        <v>6239</v>
      </c>
      <c r="D260" s="512" t="s">
        <v>6239</v>
      </c>
      <c r="E260" s="513">
        <v>3516</v>
      </c>
      <c r="F260" s="512" t="s">
        <v>281</v>
      </c>
      <c r="G260" s="513" t="s">
        <v>29</v>
      </c>
      <c r="H260" s="514">
        <v>376664</v>
      </c>
      <c r="I260" s="515" t="s">
        <v>6915</v>
      </c>
    </row>
    <row r="261" spans="2:9" ht="15" x14ac:dyDescent="0.35">
      <c r="B261" s="512" t="s">
        <v>6219</v>
      </c>
      <c r="C261" s="512" t="s">
        <v>6239</v>
      </c>
      <c r="D261" s="512" t="s">
        <v>6239</v>
      </c>
      <c r="E261" s="513">
        <v>3517</v>
      </c>
      <c r="F261" s="512" t="s">
        <v>282</v>
      </c>
      <c r="G261" s="513" t="s">
        <v>29</v>
      </c>
      <c r="H261" s="514">
        <v>1342870</v>
      </c>
      <c r="I261" s="515" t="s">
        <v>6915</v>
      </c>
    </row>
    <row r="262" spans="2:9" ht="15" x14ac:dyDescent="0.35">
      <c r="B262" s="512" t="s">
        <v>6219</v>
      </c>
      <c r="C262" s="512" t="s">
        <v>6239</v>
      </c>
      <c r="D262" s="512" t="s">
        <v>6239</v>
      </c>
      <c r="E262" s="513">
        <v>3518</v>
      </c>
      <c r="F262" s="512" t="s">
        <v>283</v>
      </c>
      <c r="G262" s="513" t="s">
        <v>29</v>
      </c>
      <c r="H262" s="514">
        <v>2904516</v>
      </c>
      <c r="I262" s="515" t="s">
        <v>6915</v>
      </c>
    </row>
    <row r="263" spans="2:9" ht="15" x14ac:dyDescent="0.35">
      <c r="B263" s="512" t="s">
        <v>6219</v>
      </c>
      <c r="C263" s="512" t="s">
        <v>6239</v>
      </c>
      <c r="D263" s="512" t="s">
        <v>6239</v>
      </c>
      <c r="E263" s="513">
        <v>3519</v>
      </c>
      <c r="F263" s="512" t="s">
        <v>284</v>
      </c>
      <c r="G263" s="513" t="s">
        <v>29</v>
      </c>
      <c r="H263" s="514">
        <v>3937485</v>
      </c>
      <c r="I263" s="515" t="s">
        <v>6915</v>
      </c>
    </row>
    <row r="264" spans="2:9" ht="15" x14ac:dyDescent="0.35">
      <c r="B264" s="512" t="s">
        <v>6219</v>
      </c>
      <c r="C264" s="512" t="s">
        <v>6239</v>
      </c>
      <c r="D264" s="512" t="s">
        <v>6239</v>
      </c>
      <c r="E264" s="513">
        <v>3520</v>
      </c>
      <c r="F264" s="512" t="s">
        <v>285</v>
      </c>
      <c r="G264" s="513" t="s">
        <v>29</v>
      </c>
      <c r="H264" s="514">
        <v>91828</v>
      </c>
      <c r="I264" s="515" t="s">
        <v>6915</v>
      </c>
    </row>
    <row r="265" spans="2:9" ht="15" x14ac:dyDescent="0.35">
      <c r="B265" s="512" t="s">
        <v>6219</v>
      </c>
      <c r="C265" s="512" t="s">
        <v>6239</v>
      </c>
      <c r="D265" s="512" t="s">
        <v>6239</v>
      </c>
      <c r="E265" s="513">
        <v>3521</v>
      </c>
      <c r="F265" s="512" t="s">
        <v>286</v>
      </c>
      <c r="G265" s="513" t="s">
        <v>29</v>
      </c>
      <c r="H265" s="514">
        <v>116889</v>
      </c>
      <c r="I265" s="515" t="s">
        <v>6915</v>
      </c>
    </row>
    <row r="266" spans="2:9" ht="15" x14ac:dyDescent="0.35">
      <c r="B266" s="512" t="s">
        <v>6219</v>
      </c>
      <c r="C266" s="512" t="s">
        <v>6239</v>
      </c>
      <c r="D266" s="512" t="s">
        <v>6239</v>
      </c>
      <c r="E266" s="513">
        <v>3522</v>
      </c>
      <c r="F266" s="512" t="s">
        <v>287</v>
      </c>
      <c r="G266" s="513" t="s">
        <v>29</v>
      </c>
      <c r="H266" s="514">
        <v>133978</v>
      </c>
      <c r="I266" s="515" t="s">
        <v>6915</v>
      </c>
    </row>
    <row r="267" spans="2:9" ht="15" x14ac:dyDescent="0.35">
      <c r="B267" s="512" t="s">
        <v>6219</v>
      </c>
      <c r="C267" s="512" t="s">
        <v>6239</v>
      </c>
      <c r="D267" s="512" t="s">
        <v>6239</v>
      </c>
      <c r="E267" s="513">
        <v>3523</v>
      </c>
      <c r="F267" s="512" t="s">
        <v>288</v>
      </c>
      <c r="G267" s="513" t="s">
        <v>29</v>
      </c>
      <c r="H267" s="514">
        <v>176892</v>
      </c>
      <c r="I267" s="515" t="s">
        <v>6915</v>
      </c>
    </row>
    <row r="268" spans="2:9" ht="15" x14ac:dyDescent="0.35">
      <c r="B268" s="512" t="s">
        <v>6219</v>
      </c>
      <c r="C268" s="512" t="s">
        <v>6239</v>
      </c>
      <c r="D268" s="512" t="s">
        <v>6239</v>
      </c>
      <c r="E268" s="513">
        <v>3524</v>
      </c>
      <c r="F268" s="512" t="s">
        <v>289</v>
      </c>
      <c r="G268" s="513" t="s">
        <v>29</v>
      </c>
      <c r="H268" s="514">
        <v>328958</v>
      </c>
      <c r="I268" s="515" t="s">
        <v>6915</v>
      </c>
    </row>
    <row r="269" spans="2:9" ht="15" x14ac:dyDescent="0.35">
      <c r="B269" s="512" t="s">
        <v>6219</v>
      </c>
      <c r="C269" s="512" t="s">
        <v>6239</v>
      </c>
      <c r="D269" s="512" t="s">
        <v>6239</v>
      </c>
      <c r="E269" s="513">
        <v>3525</v>
      </c>
      <c r="F269" s="512" t="s">
        <v>290</v>
      </c>
      <c r="G269" s="513" t="s">
        <v>29</v>
      </c>
      <c r="H269" s="514">
        <v>898567</v>
      </c>
      <c r="I269" s="515" t="s">
        <v>6915</v>
      </c>
    </row>
    <row r="270" spans="2:9" ht="15" x14ac:dyDescent="0.35">
      <c r="B270" s="512" t="s">
        <v>6219</v>
      </c>
      <c r="C270" s="512" t="s">
        <v>6239</v>
      </c>
      <c r="D270" s="512" t="s">
        <v>6239</v>
      </c>
      <c r="E270" s="513">
        <v>3526</v>
      </c>
      <c r="F270" s="512" t="s">
        <v>291</v>
      </c>
      <c r="G270" s="513" t="s">
        <v>29</v>
      </c>
      <c r="H270" s="514">
        <v>1908843</v>
      </c>
      <c r="I270" s="515" t="s">
        <v>6915</v>
      </c>
    </row>
    <row r="271" spans="2:9" ht="15" x14ac:dyDescent="0.35">
      <c r="B271" s="512" t="s">
        <v>6219</v>
      </c>
      <c r="C271" s="512" t="s">
        <v>6239</v>
      </c>
      <c r="D271" s="512" t="s">
        <v>6239</v>
      </c>
      <c r="E271" s="513">
        <v>3527</v>
      </c>
      <c r="F271" s="512" t="s">
        <v>292</v>
      </c>
      <c r="G271" s="513" t="s">
        <v>29</v>
      </c>
      <c r="H271" s="514">
        <v>2673808</v>
      </c>
      <c r="I271" s="515" t="s">
        <v>6915</v>
      </c>
    </row>
    <row r="272" spans="2:9" ht="15" x14ac:dyDescent="0.35">
      <c r="B272" s="512" t="s">
        <v>6219</v>
      </c>
      <c r="C272" s="512" t="s">
        <v>6239</v>
      </c>
      <c r="D272" s="512" t="s">
        <v>6239</v>
      </c>
      <c r="E272" s="513">
        <v>3528</v>
      </c>
      <c r="F272" s="512" t="s">
        <v>293</v>
      </c>
      <c r="G272" s="513" t="s">
        <v>29</v>
      </c>
      <c r="H272" s="514">
        <v>47973</v>
      </c>
      <c r="I272" s="515" t="s">
        <v>6915</v>
      </c>
    </row>
    <row r="273" spans="2:9" ht="15" x14ac:dyDescent="0.35">
      <c r="B273" s="512" t="s">
        <v>6219</v>
      </c>
      <c r="C273" s="512" t="s">
        <v>6239</v>
      </c>
      <c r="D273" s="512" t="s">
        <v>6239</v>
      </c>
      <c r="E273" s="513">
        <v>3529</v>
      </c>
      <c r="F273" s="512" t="s">
        <v>294</v>
      </c>
      <c r="G273" s="513" t="s">
        <v>29</v>
      </c>
      <c r="H273" s="514">
        <v>64995</v>
      </c>
      <c r="I273" s="515" t="s">
        <v>6915</v>
      </c>
    </row>
    <row r="274" spans="2:9" ht="15" x14ac:dyDescent="0.35">
      <c r="B274" s="512" t="s">
        <v>6219</v>
      </c>
      <c r="C274" s="512" t="s">
        <v>6239</v>
      </c>
      <c r="D274" s="512" t="s">
        <v>6239</v>
      </c>
      <c r="E274" s="513">
        <v>3530</v>
      </c>
      <c r="F274" s="512" t="s">
        <v>295</v>
      </c>
      <c r="G274" s="513" t="s">
        <v>29</v>
      </c>
      <c r="H274" s="514">
        <v>87512</v>
      </c>
      <c r="I274" s="515" t="s">
        <v>6915</v>
      </c>
    </row>
    <row r="275" spans="2:9" ht="15" x14ac:dyDescent="0.35">
      <c r="B275" s="512" t="s">
        <v>6219</v>
      </c>
      <c r="C275" s="512" t="s">
        <v>6239</v>
      </c>
      <c r="D275" s="512" t="s">
        <v>6239</v>
      </c>
      <c r="E275" s="513">
        <v>3531</v>
      </c>
      <c r="F275" s="512" t="s">
        <v>296</v>
      </c>
      <c r="G275" s="513" t="s">
        <v>29</v>
      </c>
      <c r="H275" s="514">
        <v>141449</v>
      </c>
      <c r="I275" s="515" t="s">
        <v>6915</v>
      </c>
    </row>
    <row r="276" spans="2:9" ht="15" x14ac:dyDescent="0.35">
      <c r="B276" s="512" t="s">
        <v>6219</v>
      </c>
      <c r="C276" s="512" t="s">
        <v>6239</v>
      </c>
      <c r="D276" s="512" t="s">
        <v>6239</v>
      </c>
      <c r="E276" s="513">
        <v>3532</v>
      </c>
      <c r="F276" s="512" t="s">
        <v>297</v>
      </c>
      <c r="G276" s="513" t="s">
        <v>29</v>
      </c>
      <c r="H276" s="514">
        <v>338771</v>
      </c>
      <c r="I276" s="515" t="s">
        <v>6915</v>
      </c>
    </row>
    <row r="277" spans="2:9" ht="15" x14ac:dyDescent="0.35">
      <c r="B277" s="512" t="s">
        <v>6219</v>
      </c>
      <c r="C277" s="512" t="s">
        <v>6239</v>
      </c>
      <c r="D277" s="512" t="s">
        <v>6239</v>
      </c>
      <c r="E277" s="513">
        <v>3533</v>
      </c>
      <c r="F277" s="512" t="s">
        <v>298</v>
      </c>
      <c r="G277" s="513" t="s">
        <v>29</v>
      </c>
      <c r="H277" s="514">
        <v>703493</v>
      </c>
      <c r="I277" s="515" t="s">
        <v>6915</v>
      </c>
    </row>
    <row r="278" spans="2:9" ht="15" x14ac:dyDescent="0.35">
      <c r="B278" s="512" t="s">
        <v>6219</v>
      </c>
      <c r="C278" s="512" t="s">
        <v>6239</v>
      </c>
      <c r="D278" s="512" t="s">
        <v>6239</v>
      </c>
      <c r="E278" s="513">
        <v>3534</v>
      </c>
      <c r="F278" s="512" t="s">
        <v>299</v>
      </c>
      <c r="G278" s="513" t="s">
        <v>29</v>
      </c>
      <c r="H278" s="514">
        <v>1558950</v>
      </c>
      <c r="I278" s="515" t="s">
        <v>6915</v>
      </c>
    </row>
    <row r="279" spans="2:9" ht="15" x14ac:dyDescent="0.35">
      <c r="B279" s="512" t="s">
        <v>6219</v>
      </c>
      <c r="C279" s="512" t="s">
        <v>6239</v>
      </c>
      <c r="D279" s="512" t="s">
        <v>6239</v>
      </c>
      <c r="E279" s="513">
        <v>3535</v>
      </c>
      <c r="F279" s="512" t="s">
        <v>300</v>
      </c>
      <c r="G279" s="513" t="s">
        <v>29</v>
      </c>
      <c r="H279" s="514">
        <v>2095131</v>
      </c>
      <c r="I279" s="515" t="s">
        <v>6915</v>
      </c>
    </row>
    <row r="280" spans="2:9" ht="15" x14ac:dyDescent="0.35">
      <c r="B280" s="512" t="s">
        <v>6219</v>
      </c>
      <c r="C280" s="512" t="s">
        <v>6239</v>
      </c>
      <c r="D280" s="512" t="s">
        <v>6239</v>
      </c>
      <c r="E280" s="513">
        <v>3536</v>
      </c>
      <c r="F280" s="512" t="s">
        <v>301</v>
      </c>
      <c r="G280" s="513" t="s">
        <v>29</v>
      </c>
      <c r="H280" s="514">
        <v>54400</v>
      </c>
      <c r="I280" s="515" t="s">
        <v>6915</v>
      </c>
    </row>
    <row r="281" spans="2:9" ht="15" x14ac:dyDescent="0.35">
      <c r="B281" s="512" t="s">
        <v>6219</v>
      </c>
      <c r="C281" s="512" t="s">
        <v>6239</v>
      </c>
      <c r="D281" s="512" t="s">
        <v>6239</v>
      </c>
      <c r="E281" s="513">
        <v>3537</v>
      </c>
      <c r="F281" s="512" t="s">
        <v>302</v>
      </c>
      <c r="G281" s="513" t="s">
        <v>29</v>
      </c>
      <c r="H281" s="514">
        <v>61829</v>
      </c>
      <c r="I281" s="515" t="s">
        <v>6915</v>
      </c>
    </row>
    <row r="282" spans="2:9" ht="15" x14ac:dyDescent="0.35">
      <c r="B282" s="512" t="s">
        <v>6219</v>
      </c>
      <c r="C282" s="512" t="s">
        <v>6239</v>
      </c>
      <c r="D282" s="512" t="s">
        <v>6239</v>
      </c>
      <c r="E282" s="513">
        <v>3538</v>
      </c>
      <c r="F282" s="512" t="s">
        <v>303</v>
      </c>
      <c r="G282" s="513" t="s">
        <v>29</v>
      </c>
      <c r="H282" s="514">
        <v>80411</v>
      </c>
      <c r="I282" s="515" t="s">
        <v>6915</v>
      </c>
    </row>
    <row r="283" spans="2:9" ht="15" x14ac:dyDescent="0.35">
      <c r="B283" s="512" t="s">
        <v>6219</v>
      </c>
      <c r="C283" s="512" t="s">
        <v>6239</v>
      </c>
      <c r="D283" s="512" t="s">
        <v>6239</v>
      </c>
      <c r="E283" s="513">
        <v>3539</v>
      </c>
      <c r="F283" s="512" t="s">
        <v>304</v>
      </c>
      <c r="G283" s="513" t="s">
        <v>29</v>
      </c>
      <c r="H283" s="514">
        <v>134877</v>
      </c>
      <c r="I283" s="515" t="s">
        <v>6915</v>
      </c>
    </row>
    <row r="284" spans="2:9" ht="15" x14ac:dyDescent="0.35">
      <c r="B284" s="512" t="s">
        <v>6219</v>
      </c>
      <c r="C284" s="512" t="s">
        <v>6239</v>
      </c>
      <c r="D284" s="512" t="s">
        <v>6239</v>
      </c>
      <c r="E284" s="513">
        <v>3540</v>
      </c>
      <c r="F284" s="512" t="s">
        <v>305</v>
      </c>
      <c r="G284" s="513" t="s">
        <v>29</v>
      </c>
      <c r="H284" s="514">
        <v>304534</v>
      </c>
      <c r="I284" s="515" t="s">
        <v>6915</v>
      </c>
    </row>
    <row r="285" spans="2:9" ht="15" x14ac:dyDescent="0.35">
      <c r="B285" s="512" t="s">
        <v>6219</v>
      </c>
      <c r="C285" s="512" t="s">
        <v>6239</v>
      </c>
      <c r="D285" s="512" t="s">
        <v>6239</v>
      </c>
      <c r="E285" s="513">
        <v>3541</v>
      </c>
      <c r="F285" s="512" t="s">
        <v>306</v>
      </c>
      <c r="G285" s="513" t="s">
        <v>29</v>
      </c>
      <c r="H285" s="514">
        <v>606781</v>
      </c>
      <c r="I285" s="515" t="s">
        <v>6915</v>
      </c>
    </row>
    <row r="286" spans="2:9" ht="15" x14ac:dyDescent="0.35">
      <c r="B286" s="512" t="s">
        <v>6219</v>
      </c>
      <c r="C286" s="512" t="s">
        <v>6239</v>
      </c>
      <c r="D286" s="512" t="s">
        <v>6239</v>
      </c>
      <c r="E286" s="513">
        <v>3542</v>
      </c>
      <c r="F286" s="512" t="s">
        <v>307</v>
      </c>
      <c r="G286" s="513" t="s">
        <v>29</v>
      </c>
      <c r="H286" s="514">
        <v>1279948</v>
      </c>
      <c r="I286" s="515" t="s">
        <v>6915</v>
      </c>
    </row>
    <row r="287" spans="2:9" ht="15" x14ac:dyDescent="0.35">
      <c r="B287" s="512" t="s">
        <v>6219</v>
      </c>
      <c r="C287" s="512" t="s">
        <v>6239</v>
      </c>
      <c r="D287" s="512" t="s">
        <v>6239</v>
      </c>
      <c r="E287" s="513">
        <v>3543</v>
      </c>
      <c r="F287" s="512" t="s">
        <v>308</v>
      </c>
      <c r="G287" s="513" t="s">
        <v>29</v>
      </c>
      <c r="H287" s="514">
        <v>1690591</v>
      </c>
      <c r="I287" s="515" t="s">
        <v>6915</v>
      </c>
    </row>
    <row r="288" spans="2:9" ht="15" x14ac:dyDescent="0.35">
      <c r="B288" s="512" t="s">
        <v>6219</v>
      </c>
      <c r="C288" s="512" t="s">
        <v>6239</v>
      </c>
      <c r="D288" s="512" t="s">
        <v>6239</v>
      </c>
      <c r="E288" s="513">
        <v>3544</v>
      </c>
      <c r="F288" s="512" t="s">
        <v>309</v>
      </c>
      <c r="G288" s="513" t="s">
        <v>29</v>
      </c>
      <c r="H288" s="514">
        <v>43937</v>
      </c>
      <c r="I288" s="515" t="s">
        <v>6915</v>
      </c>
    </row>
    <row r="289" spans="2:9" ht="15" x14ac:dyDescent="0.35">
      <c r="B289" s="512" t="s">
        <v>6219</v>
      </c>
      <c r="C289" s="512" t="s">
        <v>6239</v>
      </c>
      <c r="D289" s="512" t="s">
        <v>6239</v>
      </c>
      <c r="E289" s="513">
        <v>3545</v>
      </c>
      <c r="F289" s="512" t="s">
        <v>310</v>
      </c>
      <c r="G289" s="513" t="s">
        <v>29</v>
      </c>
      <c r="H289" s="514">
        <v>74585</v>
      </c>
      <c r="I289" s="515" t="s">
        <v>6915</v>
      </c>
    </row>
    <row r="290" spans="2:9" ht="15" x14ac:dyDescent="0.35">
      <c r="B290" s="512" t="s">
        <v>6219</v>
      </c>
      <c r="C290" s="512" t="s">
        <v>6239</v>
      </c>
      <c r="D290" s="512" t="s">
        <v>6239</v>
      </c>
      <c r="E290" s="513">
        <v>3546</v>
      </c>
      <c r="F290" s="512" t="s">
        <v>311</v>
      </c>
      <c r="G290" s="513" t="s">
        <v>29</v>
      </c>
      <c r="H290" s="514">
        <v>17634</v>
      </c>
      <c r="I290" s="515" t="s">
        <v>6915</v>
      </c>
    </row>
    <row r="291" spans="2:9" ht="15" x14ac:dyDescent="0.35">
      <c r="B291" s="512" t="s">
        <v>6219</v>
      </c>
      <c r="C291" s="512" t="s">
        <v>6235</v>
      </c>
      <c r="D291" s="512" t="s">
        <v>6245</v>
      </c>
      <c r="E291" s="513">
        <v>3548</v>
      </c>
      <c r="F291" s="512" t="s">
        <v>312</v>
      </c>
      <c r="G291" s="513" t="s">
        <v>29</v>
      </c>
      <c r="H291" s="514">
        <v>294870</v>
      </c>
      <c r="I291" s="515" t="s">
        <v>6915</v>
      </c>
    </row>
    <row r="292" spans="2:9" ht="15" x14ac:dyDescent="0.35">
      <c r="B292" s="512" t="s">
        <v>6219</v>
      </c>
      <c r="C292" s="512" t="s">
        <v>6235</v>
      </c>
      <c r="D292" s="512" t="s">
        <v>6245</v>
      </c>
      <c r="E292" s="513">
        <v>3549</v>
      </c>
      <c r="F292" s="512" t="s">
        <v>313</v>
      </c>
      <c r="G292" s="513" t="s">
        <v>29</v>
      </c>
      <c r="H292" s="514">
        <v>248201</v>
      </c>
      <c r="I292" s="515" t="s">
        <v>6915</v>
      </c>
    </row>
    <row r="293" spans="2:9" ht="15" x14ac:dyDescent="0.35">
      <c r="B293" s="512" t="s">
        <v>6219</v>
      </c>
      <c r="C293" s="512" t="s">
        <v>6235</v>
      </c>
      <c r="D293" s="512" t="s">
        <v>6245</v>
      </c>
      <c r="E293" s="513">
        <v>3550</v>
      </c>
      <c r="F293" s="512" t="s">
        <v>314</v>
      </c>
      <c r="G293" s="513" t="s">
        <v>29</v>
      </c>
      <c r="H293" s="514">
        <v>887664</v>
      </c>
      <c r="I293" s="515" t="s">
        <v>6915</v>
      </c>
    </row>
    <row r="294" spans="2:9" ht="15" x14ac:dyDescent="0.35">
      <c r="B294" s="512" t="s">
        <v>6219</v>
      </c>
      <c r="C294" s="512" t="s">
        <v>6235</v>
      </c>
      <c r="D294" s="512" t="s">
        <v>6245</v>
      </c>
      <c r="E294" s="513">
        <v>3551</v>
      </c>
      <c r="F294" s="512" t="s">
        <v>315</v>
      </c>
      <c r="G294" s="513" t="s">
        <v>29</v>
      </c>
      <c r="H294" s="516">
        <v>1048451</v>
      </c>
      <c r="I294" s="512" t="s">
        <v>6915</v>
      </c>
    </row>
    <row r="295" spans="2:9" ht="15" x14ac:dyDescent="0.35">
      <c r="B295" s="512" t="s">
        <v>6219</v>
      </c>
      <c r="C295" s="512" t="s">
        <v>6235</v>
      </c>
      <c r="D295" s="512" t="s">
        <v>6245</v>
      </c>
      <c r="E295" s="513">
        <v>3552</v>
      </c>
      <c r="F295" s="512" t="s">
        <v>316</v>
      </c>
      <c r="G295" s="513" t="s">
        <v>29</v>
      </c>
      <c r="H295" s="516">
        <v>286851</v>
      </c>
      <c r="I295" s="512" t="s">
        <v>6915</v>
      </c>
    </row>
    <row r="296" spans="2:9" ht="15" x14ac:dyDescent="0.35">
      <c r="B296" s="512" t="s">
        <v>6219</v>
      </c>
      <c r="C296" s="512" t="s">
        <v>6235</v>
      </c>
      <c r="D296" s="512" t="s">
        <v>6245</v>
      </c>
      <c r="E296" s="513">
        <v>3554</v>
      </c>
      <c r="F296" s="512" t="s">
        <v>317</v>
      </c>
      <c r="G296" s="513" t="s">
        <v>29</v>
      </c>
      <c r="H296" s="516">
        <v>749234</v>
      </c>
      <c r="I296" s="512" t="s">
        <v>6915</v>
      </c>
    </row>
    <row r="297" spans="2:9" ht="15" x14ac:dyDescent="0.35">
      <c r="B297" s="512" t="s">
        <v>6219</v>
      </c>
      <c r="C297" s="512" t="s">
        <v>6235</v>
      </c>
      <c r="D297" s="512" t="s">
        <v>6245</v>
      </c>
      <c r="E297" s="513">
        <v>3555</v>
      </c>
      <c r="F297" s="512" t="s">
        <v>318</v>
      </c>
      <c r="G297" s="513" t="s">
        <v>29</v>
      </c>
      <c r="H297" s="516">
        <v>1098051</v>
      </c>
      <c r="I297" s="512" t="s">
        <v>6915</v>
      </c>
    </row>
    <row r="298" spans="2:9" ht="15" x14ac:dyDescent="0.35">
      <c r="B298" s="512" t="s">
        <v>6219</v>
      </c>
      <c r="C298" s="512" t="s">
        <v>6235</v>
      </c>
      <c r="D298" s="512" t="s">
        <v>6245</v>
      </c>
      <c r="E298" s="513">
        <v>3556</v>
      </c>
      <c r="F298" s="512" t="s">
        <v>319</v>
      </c>
      <c r="G298" s="513" t="s">
        <v>29</v>
      </c>
      <c r="H298" s="516">
        <v>10902965</v>
      </c>
      <c r="I298" s="512" t="s">
        <v>6915</v>
      </c>
    </row>
    <row r="299" spans="2:9" ht="15" x14ac:dyDescent="0.35">
      <c r="B299" s="512" t="s">
        <v>6219</v>
      </c>
      <c r="C299" s="512" t="s">
        <v>6235</v>
      </c>
      <c r="D299" s="512" t="s">
        <v>6245</v>
      </c>
      <c r="E299" s="513">
        <v>3557</v>
      </c>
      <c r="F299" s="512" t="s">
        <v>320</v>
      </c>
      <c r="G299" s="513" t="s">
        <v>29</v>
      </c>
      <c r="H299" s="516">
        <v>11738102</v>
      </c>
      <c r="I299" s="512" t="s">
        <v>6915</v>
      </c>
    </row>
    <row r="300" spans="2:9" ht="15" x14ac:dyDescent="0.35">
      <c r="B300" s="512" t="s">
        <v>6219</v>
      </c>
      <c r="C300" s="512" t="s">
        <v>6235</v>
      </c>
      <c r="D300" s="512" t="s">
        <v>6245</v>
      </c>
      <c r="E300" s="513">
        <v>3559</v>
      </c>
      <c r="F300" s="512" t="s">
        <v>321</v>
      </c>
      <c r="G300" s="513" t="s">
        <v>29</v>
      </c>
      <c r="H300" s="516">
        <v>4946364</v>
      </c>
      <c r="I300" s="512" t="s">
        <v>6915</v>
      </c>
    </row>
    <row r="301" spans="2:9" ht="15" x14ac:dyDescent="0.35">
      <c r="B301" s="512" t="s">
        <v>6219</v>
      </c>
      <c r="C301" s="512" t="s">
        <v>6235</v>
      </c>
      <c r="D301" s="512" t="s">
        <v>6245</v>
      </c>
      <c r="E301" s="513">
        <v>3560</v>
      </c>
      <c r="F301" s="512" t="s">
        <v>322</v>
      </c>
      <c r="G301" s="513" t="s">
        <v>29</v>
      </c>
      <c r="H301" s="516">
        <v>211090</v>
      </c>
      <c r="I301" s="512" t="s">
        <v>6915</v>
      </c>
    </row>
    <row r="302" spans="2:9" ht="15" x14ac:dyDescent="0.35">
      <c r="B302" s="512" t="s">
        <v>6219</v>
      </c>
      <c r="C302" s="512" t="s">
        <v>6235</v>
      </c>
      <c r="D302" s="512" t="s">
        <v>6245</v>
      </c>
      <c r="E302" s="513">
        <v>3561</v>
      </c>
      <c r="F302" s="512" t="s">
        <v>323</v>
      </c>
      <c r="G302" s="513" t="s">
        <v>29</v>
      </c>
      <c r="H302" s="516">
        <v>295449</v>
      </c>
      <c r="I302" s="512" t="s">
        <v>6915</v>
      </c>
    </row>
    <row r="303" spans="2:9" ht="15" x14ac:dyDescent="0.35">
      <c r="B303" s="512" t="s">
        <v>6219</v>
      </c>
      <c r="C303" s="512" t="s">
        <v>6224</v>
      </c>
      <c r="D303" s="512" t="s">
        <v>6244</v>
      </c>
      <c r="E303" s="513">
        <v>3562</v>
      </c>
      <c r="F303" s="512" t="s">
        <v>324</v>
      </c>
      <c r="G303" s="513" t="s">
        <v>26</v>
      </c>
      <c r="H303" s="516">
        <v>269167</v>
      </c>
      <c r="I303" s="512" t="s">
        <v>6915</v>
      </c>
    </row>
    <row r="304" spans="2:9" ht="15" x14ac:dyDescent="0.35">
      <c r="B304" s="512" t="s">
        <v>6219</v>
      </c>
      <c r="C304" s="512" t="s">
        <v>6240</v>
      </c>
      <c r="D304" s="512" t="s">
        <v>6241</v>
      </c>
      <c r="E304" s="513">
        <v>3567</v>
      </c>
      <c r="F304" s="512" t="s">
        <v>325</v>
      </c>
      <c r="G304" s="513" t="s">
        <v>21</v>
      </c>
      <c r="H304" s="516">
        <v>116794</v>
      </c>
      <c r="I304" s="512" t="s">
        <v>6915</v>
      </c>
    </row>
    <row r="305" spans="2:9" ht="15" x14ac:dyDescent="0.35">
      <c r="B305" s="512" t="s">
        <v>6219</v>
      </c>
      <c r="C305" s="512" t="s">
        <v>6224</v>
      </c>
      <c r="D305" s="512" t="s">
        <v>6244</v>
      </c>
      <c r="E305" s="513">
        <v>3569</v>
      </c>
      <c r="F305" s="512" t="s">
        <v>326</v>
      </c>
      <c r="G305" s="513" t="s">
        <v>29</v>
      </c>
      <c r="H305" s="516">
        <v>4702528</v>
      </c>
      <c r="I305" s="512" t="s">
        <v>6915</v>
      </c>
    </row>
    <row r="306" spans="2:9" ht="15" x14ac:dyDescent="0.35">
      <c r="B306" s="512" t="s">
        <v>6219</v>
      </c>
      <c r="C306" s="512" t="s">
        <v>6239</v>
      </c>
      <c r="D306" s="512" t="s">
        <v>6239</v>
      </c>
      <c r="E306" s="513">
        <v>3589</v>
      </c>
      <c r="F306" s="512" t="s">
        <v>327</v>
      </c>
      <c r="G306" s="513" t="s">
        <v>29</v>
      </c>
      <c r="H306" s="514">
        <v>897197</v>
      </c>
      <c r="I306" s="515" t="s">
        <v>6915</v>
      </c>
    </row>
    <row r="307" spans="2:9" ht="15" x14ac:dyDescent="0.35">
      <c r="B307" s="512" t="s">
        <v>6219</v>
      </c>
      <c r="C307" s="512" t="s">
        <v>6224</v>
      </c>
      <c r="D307" s="512" t="s">
        <v>6244</v>
      </c>
      <c r="E307" s="513">
        <v>3591</v>
      </c>
      <c r="F307" s="512" t="s">
        <v>328</v>
      </c>
      <c r="G307" s="513" t="s">
        <v>26</v>
      </c>
      <c r="H307" s="516">
        <v>63509</v>
      </c>
      <c r="I307" s="512" t="s">
        <v>6915</v>
      </c>
    </row>
    <row r="308" spans="2:9" ht="15" x14ac:dyDescent="0.35">
      <c r="B308" s="512" t="s">
        <v>6219</v>
      </c>
      <c r="C308" s="512" t="s">
        <v>6233</v>
      </c>
      <c r="D308" s="512" t="s">
        <v>6234</v>
      </c>
      <c r="E308" s="513">
        <v>3599</v>
      </c>
      <c r="F308" s="512" t="s">
        <v>329</v>
      </c>
      <c r="G308" s="513" t="s">
        <v>26</v>
      </c>
      <c r="H308" s="516">
        <v>1081246</v>
      </c>
      <c r="I308" s="512" t="s">
        <v>6915</v>
      </c>
    </row>
    <row r="309" spans="2:9" ht="15" x14ac:dyDescent="0.35">
      <c r="B309" s="512" t="s">
        <v>6219</v>
      </c>
      <c r="C309" s="512" t="s">
        <v>6239</v>
      </c>
      <c r="D309" s="512" t="s">
        <v>6239</v>
      </c>
      <c r="E309" s="513">
        <v>3600</v>
      </c>
      <c r="F309" s="512" t="s">
        <v>330</v>
      </c>
      <c r="G309" s="513" t="s">
        <v>29</v>
      </c>
      <c r="H309" s="514">
        <v>48800</v>
      </c>
      <c r="I309" s="515" t="s">
        <v>6915</v>
      </c>
    </row>
    <row r="310" spans="2:9" ht="15" x14ac:dyDescent="0.35">
      <c r="B310" s="512" t="s">
        <v>6219</v>
      </c>
      <c r="C310" s="512" t="s">
        <v>6239</v>
      </c>
      <c r="D310" s="512" t="s">
        <v>6239</v>
      </c>
      <c r="E310" s="513">
        <v>3601</v>
      </c>
      <c r="F310" s="512" t="s">
        <v>331</v>
      </c>
      <c r="G310" s="513" t="s">
        <v>29</v>
      </c>
      <c r="H310" s="514">
        <v>76538</v>
      </c>
      <c r="I310" s="515" t="s">
        <v>6915</v>
      </c>
    </row>
    <row r="311" spans="2:9" ht="15" x14ac:dyDescent="0.35">
      <c r="B311" s="512" t="s">
        <v>6219</v>
      </c>
      <c r="C311" s="512" t="s">
        <v>6239</v>
      </c>
      <c r="D311" s="512" t="s">
        <v>6239</v>
      </c>
      <c r="E311" s="513">
        <v>3602</v>
      </c>
      <c r="F311" s="512" t="s">
        <v>332</v>
      </c>
      <c r="G311" s="513" t="s">
        <v>29</v>
      </c>
      <c r="H311" s="514">
        <v>109960</v>
      </c>
      <c r="I311" s="515" t="s">
        <v>6915</v>
      </c>
    </row>
    <row r="312" spans="2:9" ht="15" x14ac:dyDescent="0.35">
      <c r="B312" s="512" t="s">
        <v>6219</v>
      </c>
      <c r="C312" s="512" t="s">
        <v>6239</v>
      </c>
      <c r="D312" s="512" t="s">
        <v>6239</v>
      </c>
      <c r="E312" s="513">
        <v>3603</v>
      </c>
      <c r="F312" s="512" t="s">
        <v>333</v>
      </c>
      <c r="G312" s="513" t="s">
        <v>29</v>
      </c>
      <c r="H312" s="514">
        <v>247416</v>
      </c>
      <c r="I312" s="515" t="s">
        <v>6915</v>
      </c>
    </row>
    <row r="313" spans="2:9" ht="15" x14ac:dyDescent="0.35">
      <c r="B313" s="512" t="s">
        <v>6219</v>
      </c>
      <c r="C313" s="512" t="s">
        <v>6239</v>
      </c>
      <c r="D313" s="512" t="s">
        <v>6239</v>
      </c>
      <c r="E313" s="513">
        <v>3604</v>
      </c>
      <c r="F313" s="512" t="s">
        <v>334</v>
      </c>
      <c r="G313" s="513" t="s">
        <v>29</v>
      </c>
      <c r="H313" s="514">
        <v>450174</v>
      </c>
      <c r="I313" s="515" t="s">
        <v>6915</v>
      </c>
    </row>
    <row r="314" spans="2:9" ht="15" x14ac:dyDescent="0.35">
      <c r="B314" s="512" t="s">
        <v>6219</v>
      </c>
      <c r="C314" s="512" t="s">
        <v>6239</v>
      </c>
      <c r="D314" s="512" t="s">
        <v>6239</v>
      </c>
      <c r="E314" s="513">
        <v>3605</v>
      </c>
      <c r="F314" s="512" t="s">
        <v>335</v>
      </c>
      <c r="G314" s="513" t="s">
        <v>29</v>
      </c>
      <c r="H314" s="514">
        <v>812081</v>
      </c>
      <c r="I314" s="515" t="s">
        <v>6915</v>
      </c>
    </row>
    <row r="315" spans="2:9" ht="15" x14ac:dyDescent="0.35">
      <c r="B315" s="512" t="s">
        <v>6219</v>
      </c>
      <c r="C315" s="512" t="s">
        <v>6239</v>
      </c>
      <c r="D315" s="512" t="s">
        <v>6239</v>
      </c>
      <c r="E315" s="513">
        <v>3606</v>
      </c>
      <c r="F315" s="512" t="s">
        <v>336</v>
      </c>
      <c r="G315" s="513" t="s">
        <v>29</v>
      </c>
      <c r="H315" s="514">
        <v>1249210</v>
      </c>
      <c r="I315" s="515" t="s">
        <v>6915</v>
      </c>
    </row>
    <row r="316" spans="2:9" ht="15" x14ac:dyDescent="0.35">
      <c r="B316" s="512" t="s">
        <v>6219</v>
      </c>
      <c r="C316" s="512" t="s">
        <v>6239</v>
      </c>
      <c r="D316" s="512" t="s">
        <v>6239</v>
      </c>
      <c r="E316" s="513">
        <v>3607</v>
      </c>
      <c r="F316" s="512" t="s">
        <v>337</v>
      </c>
      <c r="G316" s="513" t="s">
        <v>29</v>
      </c>
      <c r="H316" s="514">
        <v>32223</v>
      </c>
      <c r="I316" s="515" t="s">
        <v>6915</v>
      </c>
    </row>
    <row r="317" spans="2:9" ht="15" x14ac:dyDescent="0.35">
      <c r="B317" s="512" t="s">
        <v>6219</v>
      </c>
      <c r="C317" s="512" t="s">
        <v>6240</v>
      </c>
      <c r="D317" s="512" t="s">
        <v>6241</v>
      </c>
      <c r="E317" s="513">
        <v>3611</v>
      </c>
      <c r="F317" s="512" t="s">
        <v>338</v>
      </c>
      <c r="G317" s="513" t="s">
        <v>23</v>
      </c>
      <c r="H317" s="514">
        <v>707473</v>
      </c>
      <c r="I317" s="515" t="s">
        <v>6915</v>
      </c>
    </row>
    <row r="318" spans="2:9" ht="15" x14ac:dyDescent="0.35">
      <c r="B318" s="512" t="s">
        <v>6219</v>
      </c>
      <c r="C318" s="512" t="s">
        <v>6239</v>
      </c>
      <c r="D318" s="512" t="s">
        <v>6239</v>
      </c>
      <c r="E318" s="513">
        <v>3618</v>
      </c>
      <c r="F318" s="512" t="s">
        <v>339</v>
      </c>
      <c r="G318" s="513" t="s">
        <v>29</v>
      </c>
      <c r="H318" s="514">
        <v>229388</v>
      </c>
      <c r="I318" s="515" t="s">
        <v>6915</v>
      </c>
    </row>
    <row r="319" spans="2:9" ht="15" x14ac:dyDescent="0.35">
      <c r="B319" s="512" t="s">
        <v>6219</v>
      </c>
      <c r="C319" s="512" t="s">
        <v>6239</v>
      </c>
      <c r="D319" s="512" t="s">
        <v>6239</v>
      </c>
      <c r="E319" s="513">
        <v>3619</v>
      </c>
      <c r="F319" s="512" t="s">
        <v>340</v>
      </c>
      <c r="G319" s="513" t="s">
        <v>29</v>
      </c>
      <c r="H319" s="514">
        <v>165083</v>
      </c>
      <c r="I319" s="515" t="s">
        <v>6915</v>
      </c>
    </row>
    <row r="320" spans="2:9" ht="15" x14ac:dyDescent="0.35">
      <c r="B320" s="512" t="s">
        <v>6219</v>
      </c>
      <c r="C320" s="512" t="s">
        <v>6239</v>
      </c>
      <c r="D320" s="512" t="s">
        <v>6239</v>
      </c>
      <c r="E320" s="513">
        <v>3620</v>
      </c>
      <c r="F320" s="512" t="s">
        <v>341</v>
      </c>
      <c r="G320" s="513" t="s">
        <v>29</v>
      </c>
      <c r="H320" s="514">
        <v>308299</v>
      </c>
      <c r="I320" s="515" t="s">
        <v>6915</v>
      </c>
    </row>
    <row r="321" spans="2:9" ht="15" x14ac:dyDescent="0.35">
      <c r="B321" s="512" t="s">
        <v>6219</v>
      </c>
      <c r="C321" s="512" t="s">
        <v>6230</v>
      </c>
      <c r="D321" s="512" t="s">
        <v>6250</v>
      </c>
      <c r="E321" s="513">
        <v>3621</v>
      </c>
      <c r="F321" s="512" t="s">
        <v>342</v>
      </c>
      <c r="G321" s="513" t="s">
        <v>29</v>
      </c>
      <c r="H321" s="514">
        <v>1108408</v>
      </c>
      <c r="I321" s="515" t="s">
        <v>6915</v>
      </c>
    </row>
    <row r="322" spans="2:9" ht="15" x14ac:dyDescent="0.35">
      <c r="B322" s="512" t="s">
        <v>6219</v>
      </c>
      <c r="C322" s="512" t="s">
        <v>6240</v>
      </c>
      <c r="D322" s="512" t="s">
        <v>6241</v>
      </c>
      <c r="E322" s="513">
        <v>3636</v>
      </c>
      <c r="F322" s="512" t="s">
        <v>343</v>
      </c>
      <c r="G322" s="513" t="s">
        <v>23</v>
      </c>
      <c r="H322" s="514">
        <v>1257454</v>
      </c>
      <c r="I322" s="515" t="s">
        <v>6915</v>
      </c>
    </row>
    <row r="323" spans="2:9" ht="15" x14ac:dyDescent="0.35">
      <c r="B323" s="512" t="s">
        <v>6219</v>
      </c>
      <c r="C323" s="512" t="s">
        <v>6240</v>
      </c>
      <c r="D323" s="512" t="s">
        <v>6241</v>
      </c>
      <c r="E323" s="513">
        <v>3639</v>
      </c>
      <c r="F323" s="512" t="s">
        <v>344</v>
      </c>
      <c r="G323" s="513" t="s">
        <v>23</v>
      </c>
      <c r="H323" s="514">
        <v>988158</v>
      </c>
      <c r="I323" s="515" t="s">
        <v>6915</v>
      </c>
    </row>
    <row r="324" spans="2:9" ht="15" x14ac:dyDescent="0.35">
      <c r="B324" s="512" t="s">
        <v>6219</v>
      </c>
      <c r="C324" s="512" t="s">
        <v>6240</v>
      </c>
      <c r="D324" s="512" t="s">
        <v>6241</v>
      </c>
      <c r="E324" s="513">
        <v>3641</v>
      </c>
      <c r="F324" s="512" t="s">
        <v>345</v>
      </c>
      <c r="G324" s="513" t="s">
        <v>23</v>
      </c>
      <c r="H324" s="516">
        <v>1073769</v>
      </c>
      <c r="I324" s="512" t="s">
        <v>6915</v>
      </c>
    </row>
    <row r="325" spans="2:9" ht="15" x14ac:dyDescent="0.35">
      <c r="B325" s="512" t="s">
        <v>6219</v>
      </c>
      <c r="C325" s="512" t="s">
        <v>6240</v>
      </c>
      <c r="D325" s="512" t="s">
        <v>6241</v>
      </c>
      <c r="E325" s="513">
        <v>3642</v>
      </c>
      <c r="F325" s="512" t="s">
        <v>346</v>
      </c>
      <c r="G325" s="513" t="s">
        <v>23</v>
      </c>
      <c r="H325" s="514">
        <v>1073769</v>
      </c>
      <c r="I325" s="515" t="s">
        <v>6915</v>
      </c>
    </row>
    <row r="326" spans="2:9" ht="15" x14ac:dyDescent="0.35">
      <c r="B326" s="512" t="s">
        <v>6219</v>
      </c>
      <c r="C326" s="512" t="s">
        <v>6240</v>
      </c>
      <c r="D326" s="512" t="s">
        <v>6241</v>
      </c>
      <c r="E326" s="513">
        <v>3643</v>
      </c>
      <c r="F326" s="512" t="s">
        <v>347</v>
      </c>
      <c r="G326" s="513" t="s">
        <v>23</v>
      </c>
      <c r="H326" s="514">
        <v>1071176</v>
      </c>
      <c r="I326" s="515" t="s">
        <v>6915</v>
      </c>
    </row>
    <row r="327" spans="2:9" ht="15" x14ac:dyDescent="0.35">
      <c r="B327" s="512" t="s">
        <v>6219</v>
      </c>
      <c r="C327" s="512" t="s">
        <v>6240</v>
      </c>
      <c r="D327" s="512" t="s">
        <v>6241</v>
      </c>
      <c r="E327" s="513">
        <v>3644</v>
      </c>
      <c r="F327" s="512" t="s">
        <v>348</v>
      </c>
      <c r="G327" s="513" t="s">
        <v>23</v>
      </c>
      <c r="H327" s="514">
        <v>1227233</v>
      </c>
      <c r="I327" s="515" t="s">
        <v>6915</v>
      </c>
    </row>
    <row r="328" spans="2:9" ht="15" x14ac:dyDescent="0.35">
      <c r="B328" s="512" t="s">
        <v>6219</v>
      </c>
      <c r="C328" s="512" t="s">
        <v>6240</v>
      </c>
      <c r="D328" s="512" t="s">
        <v>6241</v>
      </c>
      <c r="E328" s="513">
        <v>3645</v>
      </c>
      <c r="F328" s="512" t="s">
        <v>349</v>
      </c>
      <c r="G328" s="513" t="s">
        <v>23</v>
      </c>
      <c r="H328" s="514">
        <v>1155572</v>
      </c>
      <c r="I328" s="515" t="s">
        <v>6915</v>
      </c>
    </row>
    <row r="329" spans="2:9" ht="15" x14ac:dyDescent="0.35">
      <c r="B329" s="512" t="s">
        <v>6219</v>
      </c>
      <c r="C329" s="512" t="s">
        <v>6240</v>
      </c>
      <c r="D329" s="512" t="s">
        <v>6241</v>
      </c>
      <c r="E329" s="513">
        <v>3646</v>
      </c>
      <c r="F329" s="512" t="s">
        <v>350</v>
      </c>
      <c r="G329" s="513" t="s">
        <v>23</v>
      </c>
      <c r="H329" s="514">
        <v>1022705</v>
      </c>
      <c r="I329" s="515" t="s">
        <v>6915</v>
      </c>
    </row>
    <row r="330" spans="2:9" ht="15" x14ac:dyDescent="0.35">
      <c r="B330" s="512" t="s">
        <v>6219</v>
      </c>
      <c r="C330" s="512" t="s">
        <v>6240</v>
      </c>
      <c r="D330" s="512" t="s">
        <v>6241</v>
      </c>
      <c r="E330" s="513">
        <v>3647</v>
      </c>
      <c r="F330" s="512" t="s">
        <v>351</v>
      </c>
      <c r="G330" s="513" t="s">
        <v>23</v>
      </c>
      <c r="H330" s="514">
        <v>842682</v>
      </c>
      <c r="I330" s="515" t="s">
        <v>6915</v>
      </c>
    </row>
    <row r="331" spans="2:9" ht="15" x14ac:dyDescent="0.35">
      <c r="B331" s="512" t="s">
        <v>6219</v>
      </c>
      <c r="C331" s="512" t="s">
        <v>6240</v>
      </c>
      <c r="D331" s="512" t="s">
        <v>6249</v>
      </c>
      <c r="E331" s="513">
        <v>3649</v>
      </c>
      <c r="F331" s="512" t="s">
        <v>352</v>
      </c>
      <c r="G331" s="513" t="s">
        <v>23</v>
      </c>
      <c r="H331" s="514">
        <v>494644</v>
      </c>
      <c r="I331" s="515" t="s">
        <v>6915</v>
      </c>
    </row>
    <row r="332" spans="2:9" ht="15" x14ac:dyDescent="0.35">
      <c r="B332" s="512" t="s">
        <v>6219</v>
      </c>
      <c r="C332" s="512" t="s">
        <v>6240</v>
      </c>
      <c r="D332" s="512" t="s">
        <v>6249</v>
      </c>
      <c r="E332" s="513">
        <v>3650</v>
      </c>
      <c r="F332" s="512" t="s">
        <v>353</v>
      </c>
      <c r="G332" s="513" t="s">
        <v>23</v>
      </c>
      <c r="H332" s="514">
        <v>455726</v>
      </c>
      <c r="I332" s="515" t="s">
        <v>6915</v>
      </c>
    </row>
    <row r="333" spans="2:9" ht="15" x14ac:dyDescent="0.35">
      <c r="B333" s="512" t="s">
        <v>6219</v>
      </c>
      <c r="C333" s="512" t="s">
        <v>6224</v>
      </c>
      <c r="D333" s="512" t="s">
        <v>6244</v>
      </c>
      <c r="E333" s="513">
        <v>3652</v>
      </c>
      <c r="F333" s="512" t="s">
        <v>354</v>
      </c>
      <c r="G333" s="513" t="s">
        <v>29</v>
      </c>
      <c r="H333" s="514">
        <v>5413182</v>
      </c>
      <c r="I333" s="515" t="s">
        <v>6915</v>
      </c>
    </row>
    <row r="334" spans="2:9" ht="15" x14ac:dyDescent="0.35">
      <c r="B334" s="512" t="s">
        <v>6219</v>
      </c>
      <c r="C334" s="512" t="s">
        <v>6233</v>
      </c>
      <c r="D334" s="512" t="s">
        <v>6234</v>
      </c>
      <c r="E334" s="513">
        <v>3653</v>
      </c>
      <c r="F334" s="512" t="s">
        <v>355</v>
      </c>
      <c r="G334" s="513" t="s">
        <v>29</v>
      </c>
      <c r="H334" s="514">
        <v>7006726</v>
      </c>
      <c r="I334" s="515" t="s">
        <v>6915</v>
      </c>
    </row>
    <row r="335" spans="2:9" ht="15" x14ac:dyDescent="0.35">
      <c r="B335" s="512" t="s">
        <v>6219</v>
      </c>
      <c r="C335" s="512" t="s">
        <v>6233</v>
      </c>
      <c r="D335" s="512" t="s">
        <v>6234</v>
      </c>
      <c r="E335" s="513">
        <v>3654</v>
      </c>
      <c r="F335" s="512" t="s">
        <v>356</v>
      </c>
      <c r="G335" s="513" t="s">
        <v>29</v>
      </c>
      <c r="H335" s="516">
        <v>4805208</v>
      </c>
      <c r="I335" s="512" t="s">
        <v>6915</v>
      </c>
    </row>
    <row r="336" spans="2:9" ht="15" x14ac:dyDescent="0.35">
      <c r="B336" s="512" t="s">
        <v>6219</v>
      </c>
      <c r="C336" s="512" t="s">
        <v>6233</v>
      </c>
      <c r="D336" s="512" t="s">
        <v>6234</v>
      </c>
      <c r="E336" s="513">
        <v>3655</v>
      </c>
      <c r="F336" s="512" t="s">
        <v>357</v>
      </c>
      <c r="G336" s="513" t="s">
        <v>29</v>
      </c>
      <c r="H336" s="516">
        <v>8537279</v>
      </c>
      <c r="I336" s="512" t="s">
        <v>6915</v>
      </c>
    </row>
    <row r="337" spans="2:9" ht="15" x14ac:dyDescent="0.35">
      <c r="B337" s="512" t="s">
        <v>6219</v>
      </c>
      <c r="C337" s="512" t="s">
        <v>6240</v>
      </c>
      <c r="D337" s="512" t="s">
        <v>6241</v>
      </c>
      <c r="E337" s="513">
        <v>3665</v>
      </c>
      <c r="F337" s="512" t="s">
        <v>358</v>
      </c>
      <c r="G337" s="513" t="s">
        <v>23</v>
      </c>
      <c r="H337" s="514">
        <v>442258</v>
      </c>
      <c r="I337" s="515" t="s">
        <v>6915</v>
      </c>
    </row>
    <row r="338" spans="2:9" ht="15" x14ac:dyDescent="0.35">
      <c r="B338" s="512" t="s">
        <v>6219</v>
      </c>
      <c r="C338" s="512" t="s">
        <v>6239</v>
      </c>
      <c r="D338" s="512" t="s">
        <v>6239</v>
      </c>
      <c r="E338" s="513">
        <v>3684</v>
      </c>
      <c r="F338" s="512" t="s">
        <v>359</v>
      </c>
      <c r="G338" s="513" t="s">
        <v>29</v>
      </c>
      <c r="H338" s="514">
        <v>242478</v>
      </c>
      <c r="I338" s="515" t="s">
        <v>6915</v>
      </c>
    </row>
    <row r="339" spans="2:9" ht="15" x14ac:dyDescent="0.35">
      <c r="B339" s="512" t="s">
        <v>6219</v>
      </c>
      <c r="C339" s="512" t="s">
        <v>6239</v>
      </c>
      <c r="D339" s="512" t="s">
        <v>6239</v>
      </c>
      <c r="E339" s="513">
        <v>3685</v>
      </c>
      <c r="F339" s="512" t="s">
        <v>360</v>
      </c>
      <c r="G339" s="513" t="s">
        <v>29</v>
      </c>
      <c r="H339" s="514">
        <v>997157</v>
      </c>
      <c r="I339" s="515" t="s">
        <v>6915</v>
      </c>
    </row>
    <row r="340" spans="2:9" ht="15" x14ac:dyDescent="0.35">
      <c r="B340" s="512" t="s">
        <v>6219</v>
      </c>
      <c r="C340" s="512" t="s">
        <v>6239</v>
      </c>
      <c r="D340" s="512" t="s">
        <v>6239</v>
      </c>
      <c r="E340" s="513">
        <v>3687</v>
      </c>
      <c r="F340" s="512" t="s">
        <v>361</v>
      </c>
      <c r="G340" s="513" t="s">
        <v>29</v>
      </c>
      <c r="H340" s="514">
        <v>326458</v>
      </c>
      <c r="I340" s="515" t="s">
        <v>6915</v>
      </c>
    </row>
    <row r="341" spans="2:9" ht="15" x14ac:dyDescent="0.35">
      <c r="B341" s="512" t="s">
        <v>6219</v>
      </c>
      <c r="C341" s="512" t="s">
        <v>6237</v>
      </c>
      <c r="D341" s="512" t="s">
        <v>6247</v>
      </c>
      <c r="E341" s="513">
        <v>3688</v>
      </c>
      <c r="F341" s="512" t="s">
        <v>362</v>
      </c>
      <c r="G341" s="513" t="s">
        <v>29</v>
      </c>
      <c r="H341" s="516">
        <v>72171</v>
      </c>
      <c r="I341" s="512" t="s">
        <v>6915</v>
      </c>
    </row>
    <row r="342" spans="2:9" ht="15" x14ac:dyDescent="0.35">
      <c r="B342" s="512" t="s">
        <v>6219</v>
      </c>
      <c r="C342" s="512" t="s">
        <v>6227</v>
      </c>
      <c r="D342" s="512" t="s">
        <v>6248</v>
      </c>
      <c r="E342" s="513">
        <v>3689</v>
      </c>
      <c r="F342" s="512" t="s">
        <v>363</v>
      </c>
      <c r="G342" s="513" t="s">
        <v>23</v>
      </c>
      <c r="H342" s="514">
        <v>147034</v>
      </c>
      <c r="I342" s="515" t="s">
        <v>6915</v>
      </c>
    </row>
    <row r="343" spans="2:9" ht="15" x14ac:dyDescent="0.35">
      <c r="B343" s="512" t="s">
        <v>6219</v>
      </c>
      <c r="C343" s="512" t="s">
        <v>6230</v>
      </c>
      <c r="D343" s="512" t="s">
        <v>6250</v>
      </c>
      <c r="E343" s="513">
        <v>3696</v>
      </c>
      <c r="F343" s="512" t="s">
        <v>364</v>
      </c>
      <c r="G343" s="513" t="s">
        <v>21</v>
      </c>
      <c r="H343" s="514">
        <v>114489</v>
      </c>
      <c r="I343" s="515" t="s">
        <v>6915</v>
      </c>
    </row>
    <row r="344" spans="2:9" ht="15" x14ac:dyDescent="0.35">
      <c r="B344" s="512" t="s">
        <v>6219</v>
      </c>
      <c r="C344" s="512" t="s">
        <v>6232</v>
      </c>
      <c r="D344" s="512" t="s">
        <v>6232</v>
      </c>
      <c r="E344" s="513">
        <v>3704</v>
      </c>
      <c r="F344" s="512" t="s">
        <v>365</v>
      </c>
      <c r="G344" s="513" t="s">
        <v>26</v>
      </c>
      <c r="H344" s="514">
        <v>318151</v>
      </c>
      <c r="I344" s="515" t="s">
        <v>6915</v>
      </c>
    </row>
    <row r="345" spans="2:9" ht="15" x14ac:dyDescent="0.35">
      <c r="B345" s="512" t="s">
        <v>6219</v>
      </c>
      <c r="C345" s="512" t="s">
        <v>6251</v>
      </c>
      <c r="D345" s="512" t="s">
        <v>6251</v>
      </c>
      <c r="E345" s="513">
        <v>3708</v>
      </c>
      <c r="F345" s="512" t="s">
        <v>366</v>
      </c>
      <c r="G345" s="513" t="s">
        <v>367</v>
      </c>
      <c r="H345" s="514">
        <v>5794</v>
      </c>
      <c r="I345" s="512" t="s">
        <v>6915</v>
      </c>
    </row>
    <row r="346" spans="2:9" ht="15" x14ac:dyDescent="0.35">
      <c r="B346" s="512" t="s">
        <v>6219</v>
      </c>
      <c r="C346" s="512" t="s">
        <v>6220</v>
      </c>
      <c r="D346" s="512" t="s">
        <v>6221</v>
      </c>
      <c r="E346" s="513">
        <v>3710</v>
      </c>
      <c r="F346" s="512" t="s">
        <v>368</v>
      </c>
      <c r="G346" s="513" t="s">
        <v>23</v>
      </c>
      <c r="H346" s="516">
        <v>5998</v>
      </c>
      <c r="I346" s="512" t="s">
        <v>6915</v>
      </c>
    </row>
    <row r="347" spans="2:9" ht="15" x14ac:dyDescent="0.35">
      <c r="B347" s="512" t="s">
        <v>6219</v>
      </c>
      <c r="C347" s="512" t="s">
        <v>6232</v>
      </c>
      <c r="D347" s="512" t="s">
        <v>6232</v>
      </c>
      <c r="E347" s="513">
        <v>3712</v>
      </c>
      <c r="F347" s="512" t="s">
        <v>369</v>
      </c>
      <c r="G347" s="513" t="s">
        <v>29</v>
      </c>
      <c r="H347" s="516">
        <v>4673967</v>
      </c>
      <c r="I347" s="512" t="s">
        <v>6915</v>
      </c>
    </row>
    <row r="348" spans="2:9" ht="15" x14ac:dyDescent="0.35">
      <c r="B348" s="512" t="s">
        <v>6219</v>
      </c>
      <c r="C348" s="512" t="s">
        <v>6232</v>
      </c>
      <c r="D348" s="512" t="s">
        <v>6232</v>
      </c>
      <c r="E348" s="513">
        <v>3716</v>
      </c>
      <c r="F348" s="512" t="s">
        <v>370</v>
      </c>
      <c r="G348" s="513" t="s">
        <v>29</v>
      </c>
      <c r="H348" s="514">
        <v>1817370</v>
      </c>
      <c r="I348" s="515" t="s">
        <v>6915</v>
      </c>
    </row>
    <row r="349" spans="2:9" ht="15" x14ac:dyDescent="0.35">
      <c r="B349" s="512" t="s">
        <v>6219</v>
      </c>
      <c r="C349" s="512" t="s">
        <v>6235</v>
      </c>
      <c r="D349" s="512" t="s">
        <v>6236</v>
      </c>
      <c r="E349" s="513">
        <v>3721</v>
      </c>
      <c r="F349" s="512" t="s">
        <v>371</v>
      </c>
      <c r="G349" s="513" t="s">
        <v>21</v>
      </c>
      <c r="H349" s="516">
        <v>35923</v>
      </c>
      <c r="I349" s="512" t="s">
        <v>6915</v>
      </c>
    </row>
    <row r="350" spans="2:9" ht="15" x14ac:dyDescent="0.35">
      <c r="B350" s="512" t="s">
        <v>6219</v>
      </c>
      <c r="C350" s="512" t="s">
        <v>6232</v>
      </c>
      <c r="D350" s="512" t="s">
        <v>6232</v>
      </c>
      <c r="E350" s="513">
        <v>3722</v>
      </c>
      <c r="F350" s="512" t="s">
        <v>372</v>
      </c>
      <c r="G350" s="513" t="s">
        <v>29</v>
      </c>
      <c r="H350" s="516">
        <v>146651</v>
      </c>
      <c r="I350" s="512" t="s">
        <v>6915</v>
      </c>
    </row>
    <row r="351" spans="2:9" ht="15" x14ac:dyDescent="0.35">
      <c r="B351" s="512" t="s">
        <v>6219</v>
      </c>
      <c r="C351" s="512" t="s">
        <v>6232</v>
      </c>
      <c r="D351" s="512" t="s">
        <v>6232</v>
      </c>
      <c r="E351" s="513">
        <v>3723</v>
      </c>
      <c r="F351" s="512" t="s">
        <v>373</v>
      </c>
      <c r="G351" s="513" t="s">
        <v>29</v>
      </c>
      <c r="H351" s="516">
        <v>121246</v>
      </c>
      <c r="I351" s="512" t="s">
        <v>6915</v>
      </c>
    </row>
    <row r="352" spans="2:9" ht="15" x14ac:dyDescent="0.35">
      <c r="B352" s="512" t="s">
        <v>6219</v>
      </c>
      <c r="C352" s="512" t="s">
        <v>6232</v>
      </c>
      <c r="D352" s="512" t="s">
        <v>6232</v>
      </c>
      <c r="E352" s="513">
        <v>3724</v>
      </c>
      <c r="F352" s="512" t="s">
        <v>374</v>
      </c>
      <c r="G352" s="513" t="s">
        <v>29</v>
      </c>
      <c r="H352" s="516">
        <v>121246</v>
      </c>
      <c r="I352" s="512" t="s">
        <v>6915</v>
      </c>
    </row>
    <row r="353" spans="2:9" ht="15" x14ac:dyDescent="0.35">
      <c r="B353" s="512" t="s">
        <v>6219</v>
      </c>
      <c r="C353" s="512" t="s">
        <v>6230</v>
      </c>
      <c r="D353" s="512" t="s">
        <v>6250</v>
      </c>
      <c r="E353" s="513">
        <v>3727</v>
      </c>
      <c r="F353" s="512" t="s">
        <v>375</v>
      </c>
      <c r="G353" s="513" t="s">
        <v>26</v>
      </c>
      <c r="H353" s="514">
        <v>8624</v>
      </c>
      <c r="I353" s="512" t="s">
        <v>6915</v>
      </c>
    </row>
    <row r="354" spans="2:9" ht="15" x14ac:dyDescent="0.35">
      <c r="B354" s="512" t="s">
        <v>6219</v>
      </c>
      <c r="C354" s="512" t="s">
        <v>6240</v>
      </c>
      <c r="D354" s="512" t="s">
        <v>6241</v>
      </c>
      <c r="E354" s="513">
        <v>3729</v>
      </c>
      <c r="F354" s="512" t="s">
        <v>376</v>
      </c>
      <c r="G354" s="513" t="s">
        <v>23</v>
      </c>
      <c r="H354" s="514">
        <v>652040</v>
      </c>
      <c r="I354" s="515" t="s">
        <v>6915</v>
      </c>
    </row>
    <row r="355" spans="2:9" ht="15" x14ac:dyDescent="0.35">
      <c r="B355" s="512" t="s">
        <v>6219</v>
      </c>
      <c r="C355" s="512" t="s">
        <v>6240</v>
      </c>
      <c r="D355" s="512" t="s">
        <v>6241</v>
      </c>
      <c r="E355" s="513">
        <v>3730</v>
      </c>
      <c r="F355" s="512" t="s">
        <v>377</v>
      </c>
      <c r="G355" s="513" t="s">
        <v>23</v>
      </c>
      <c r="H355" s="516">
        <v>662260</v>
      </c>
      <c r="I355" s="512" t="s">
        <v>6915</v>
      </c>
    </row>
    <row r="356" spans="2:9" ht="15" x14ac:dyDescent="0.35">
      <c r="B356" s="512" t="s">
        <v>6219</v>
      </c>
      <c r="C356" s="512" t="s">
        <v>6232</v>
      </c>
      <c r="D356" s="512" t="s">
        <v>6232</v>
      </c>
      <c r="E356" s="513">
        <v>3733</v>
      </c>
      <c r="F356" s="512" t="s">
        <v>378</v>
      </c>
      <c r="G356" s="513" t="s">
        <v>26</v>
      </c>
      <c r="H356" s="516">
        <v>2343442</v>
      </c>
      <c r="I356" s="512" t="s">
        <v>6915</v>
      </c>
    </row>
    <row r="357" spans="2:9" ht="15" x14ac:dyDescent="0.35">
      <c r="B357" s="512" t="s">
        <v>6219</v>
      </c>
      <c r="C357" s="512" t="s">
        <v>6239</v>
      </c>
      <c r="D357" s="512" t="s">
        <v>6239</v>
      </c>
      <c r="E357" s="513">
        <v>3735</v>
      </c>
      <c r="F357" s="512" t="s">
        <v>379</v>
      </c>
      <c r="G357" s="513" t="s">
        <v>26</v>
      </c>
      <c r="H357" s="516">
        <v>2682</v>
      </c>
      <c r="I357" s="512" t="s">
        <v>6915</v>
      </c>
    </row>
    <row r="358" spans="2:9" ht="15" x14ac:dyDescent="0.35">
      <c r="B358" s="512" t="s">
        <v>6219</v>
      </c>
      <c r="C358" s="512" t="s">
        <v>6230</v>
      </c>
      <c r="D358" s="512" t="s">
        <v>6250</v>
      </c>
      <c r="E358" s="513">
        <v>3745</v>
      </c>
      <c r="F358" s="512" t="s">
        <v>380</v>
      </c>
      <c r="G358" s="513" t="s">
        <v>21</v>
      </c>
      <c r="H358" s="516">
        <v>124049</v>
      </c>
      <c r="I358" s="512" t="s">
        <v>6915</v>
      </c>
    </row>
    <row r="359" spans="2:9" ht="15" x14ac:dyDescent="0.35">
      <c r="B359" s="512" t="s">
        <v>6219</v>
      </c>
      <c r="C359" s="512" t="s">
        <v>6242</v>
      </c>
      <c r="D359" s="512" t="s">
        <v>6243</v>
      </c>
      <c r="E359" s="513">
        <v>3748</v>
      </c>
      <c r="F359" s="512" t="s">
        <v>381</v>
      </c>
      <c r="G359" s="513" t="s">
        <v>23</v>
      </c>
      <c r="H359" s="516">
        <v>995023</v>
      </c>
      <c r="I359" s="512" t="s">
        <v>6915</v>
      </c>
    </row>
    <row r="360" spans="2:9" ht="15" x14ac:dyDescent="0.35">
      <c r="B360" s="512" t="s">
        <v>6219</v>
      </c>
      <c r="C360" s="512" t="s">
        <v>6252</v>
      </c>
      <c r="D360" s="512" t="s">
        <v>6252</v>
      </c>
      <c r="E360" s="513">
        <v>3749</v>
      </c>
      <c r="F360" s="512" t="s">
        <v>382</v>
      </c>
      <c r="G360" s="513" t="s">
        <v>23</v>
      </c>
      <c r="H360" s="514">
        <v>1033560</v>
      </c>
      <c r="I360" s="515" t="s">
        <v>6915</v>
      </c>
    </row>
    <row r="361" spans="2:9" ht="15" x14ac:dyDescent="0.35">
      <c r="B361" s="512" t="s">
        <v>6219</v>
      </c>
      <c r="C361" s="512" t="s">
        <v>6230</v>
      </c>
      <c r="D361" s="512" t="s">
        <v>6231</v>
      </c>
      <c r="E361" s="513">
        <v>3751</v>
      </c>
      <c r="F361" s="512" t="s">
        <v>383</v>
      </c>
      <c r="G361" s="513" t="s">
        <v>26</v>
      </c>
      <c r="H361" s="516">
        <v>87944</v>
      </c>
      <c r="I361" s="512" t="s">
        <v>6915</v>
      </c>
    </row>
    <row r="362" spans="2:9" ht="15" x14ac:dyDescent="0.35">
      <c r="B362" s="512" t="s">
        <v>6219</v>
      </c>
      <c r="C362" s="512" t="s">
        <v>6230</v>
      </c>
      <c r="D362" s="512" t="s">
        <v>6231</v>
      </c>
      <c r="E362" s="513">
        <v>3753</v>
      </c>
      <c r="F362" s="512" t="s">
        <v>384</v>
      </c>
      <c r="G362" s="513" t="s">
        <v>26</v>
      </c>
      <c r="H362" s="516">
        <v>34533</v>
      </c>
      <c r="I362" s="512" t="s">
        <v>6915</v>
      </c>
    </row>
    <row r="363" spans="2:9" ht="15" x14ac:dyDescent="0.35">
      <c r="B363" s="512" t="s">
        <v>6219</v>
      </c>
      <c r="C363" s="512" t="s">
        <v>6240</v>
      </c>
      <c r="D363" s="512" t="s">
        <v>6241</v>
      </c>
      <c r="E363" s="513">
        <v>3758</v>
      </c>
      <c r="F363" s="512" t="s">
        <v>385</v>
      </c>
      <c r="G363" s="513" t="s">
        <v>26</v>
      </c>
      <c r="H363" s="514">
        <v>497431</v>
      </c>
      <c r="I363" s="515" t="s">
        <v>6915</v>
      </c>
    </row>
    <row r="364" spans="2:9" ht="15" x14ac:dyDescent="0.35">
      <c r="B364" s="512" t="s">
        <v>6219</v>
      </c>
      <c r="C364" s="512" t="s">
        <v>6240</v>
      </c>
      <c r="D364" s="512" t="s">
        <v>6241</v>
      </c>
      <c r="E364" s="513">
        <v>3760</v>
      </c>
      <c r="F364" s="512" t="s">
        <v>386</v>
      </c>
      <c r="G364" s="513" t="s">
        <v>26</v>
      </c>
      <c r="H364" s="514">
        <v>601086</v>
      </c>
      <c r="I364" s="515" t="s">
        <v>6915</v>
      </c>
    </row>
    <row r="365" spans="2:9" ht="15" x14ac:dyDescent="0.35">
      <c r="B365" s="512" t="s">
        <v>6219</v>
      </c>
      <c r="C365" s="512" t="s">
        <v>6240</v>
      </c>
      <c r="D365" s="512" t="s">
        <v>6241</v>
      </c>
      <c r="E365" s="513">
        <v>3761</v>
      </c>
      <c r="F365" s="512" t="s">
        <v>387</v>
      </c>
      <c r="G365" s="513" t="s">
        <v>26</v>
      </c>
      <c r="H365" s="516">
        <v>725334</v>
      </c>
      <c r="I365" s="512" t="s">
        <v>6915</v>
      </c>
    </row>
    <row r="366" spans="2:9" ht="15" x14ac:dyDescent="0.35">
      <c r="B366" s="512" t="s">
        <v>6219</v>
      </c>
      <c r="C366" s="512" t="s">
        <v>6253</v>
      </c>
      <c r="D366" s="512" t="s">
        <v>6254</v>
      </c>
      <c r="E366" s="513">
        <v>3770</v>
      </c>
      <c r="F366" s="512" t="s">
        <v>388</v>
      </c>
      <c r="G366" s="513" t="s">
        <v>389</v>
      </c>
      <c r="H366" s="514">
        <v>705692</v>
      </c>
      <c r="I366" s="515" t="s">
        <v>5686</v>
      </c>
    </row>
    <row r="367" spans="2:9" ht="15" x14ac:dyDescent="0.35">
      <c r="B367" s="512" t="s">
        <v>6219</v>
      </c>
      <c r="C367" s="512" t="s">
        <v>6232</v>
      </c>
      <c r="D367" s="512" t="s">
        <v>6232</v>
      </c>
      <c r="E367" s="513">
        <v>3776</v>
      </c>
      <c r="F367" s="512" t="s">
        <v>390</v>
      </c>
      <c r="G367" s="513" t="s">
        <v>21</v>
      </c>
      <c r="H367" s="516">
        <v>53418</v>
      </c>
      <c r="I367" s="512" t="s">
        <v>6915</v>
      </c>
    </row>
    <row r="368" spans="2:9" ht="15" x14ac:dyDescent="0.35">
      <c r="B368" s="512" t="s">
        <v>6219</v>
      </c>
      <c r="C368" s="512" t="s">
        <v>6224</v>
      </c>
      <c r="D368" s="512" t="s">
        <v>6244</v>
      </c>
      <c r="E368" s="513">
        <v>3777</v>
      </c>
      <c r="F368" s="512" t="s">
        <v>391</v>
      </c>
      <c r="G368" s="513" t="s">
        <v>29</v>
      </c>
      <c r="H368" s="516">
        <v>401206</v>
      </c>
      <c r="I368" s="512" t="s">
        <v>6915</v>
      </c>
    </row>
    <row r="369" spans="2:9" ht="15" x14ac:dyDescent="0.35">
      <c r="B369" s="512" t="s">
        <v>6219</v>
      </c>
      <c r="C369" s="512" t="s">
        <v>6232</v>
      </c>
      <c r="D369" s="512" t="s">
        <v>6232</v>
      </c>
      <c r="E369" s="513">
        <v>3779</v>
      </c>
      <c r="F369" s="512" t="s">
        <v>392</v>
      </c>
      <c r="G369" s="513" t="s">
        <v>29</v>
      </c>
      <c r="H369" s="516">
        <v>622929</v>
      </c>
      <c r="I369" s="512" t="s">
        <v>6915</v>
      </c>
    </row>
    <row r="370" spans="2:9" ht="15" x14ac:dyDescent="0.35">
      <c r="B370" s="512" t="s">
        <v>6219</v>
      </c>
      <c r="C370" s="512" t="s">
        <v>6233</v>
      </c>
      <c r="D370" s="512" t="s">
        <v>6234</v>
      </c>
      <c r="E370" s="513">
        <v>3780</v>
      </c>
      <c r="F370" s="512" t="s">
        <v>393</v>
      </c>
      <c r="G370" s="513" t="s">
        <v>26</v>
      </c>
      <c r="H370" s="516">
        <v>92889</v>
      </c>
      <c r="I370" s="512" t="s">
        <v>6915</v>
      </c>
    </row>
    <row r="371" spans="2:9" ht="15" x14ac:dyDescent="0.35">
      <c r="B371" s="512" t="s">
        <v>6219</v>
      </c>
      <c r="C371" s="512" t="s">
        <v>6230</v>
      </c>
      <c r="D371" s="512" t="s">
        <v>6231</v>
      </c>
      <c r="E371" s="513">
        <v>3784</v>
      </c>
      <c r="F371" s="512" t="s">
        <v>394</v>
      </c>
      <c r="G371" s="513" t="s">
        <v>26</v>
      </c>
      <c r="H371" s="516">
        <v>39056</v>
      </c>
      <c r="I371" s="512" t="s">
        <v>6915</v>
      </c>
    </row>
    <row r="372" spans="2:9" ht="15" x14ac:dyDescent="0.35">
      <c r="B372" s="512" t="s">
        <v>6219</v>
      </c>
      <c r="C372" s="512" t="s">
        <v>6232</v>
      </c>
      <c r="D372" s="512" t="s">
        <v>6232</v>
      </c>
      <c r="E372" s="513">
        <v>3787</v>
      </c>
      <c r="F372" s="512" t="s">
        <v>395</v>
      </c>
      <c r="G372" s="513" t="s">
        <v>26</v>
      </c>
      <c r="H372" s="516">
        <v>30485</v>
      </c>
      <c r="I372" s="512" t="s">
        <v>6915</v>
      </c>
    </row>
    <row r="373" spans="2:9" ht="15" x14ac:dyDescent="0.35">
      <c r="B373" s="512" t="s">
        <v>6219</v>
      </c>
      <c r="C373" s="512" t="s">
        <v>6233</v>
      </c>
      <c r="D373" s="512" t="s">
        <v>6234</v>
      </c>
      <c r="E373" s="513">
        <v>3795</v>
      </c>
      <c r="F373" s="512" t="s">
        <v>396</v>
      </c>
      <c r="G373" s="513" t="s">
        <v>26</v>
      </c>
      <c r="H373" s="514">
        <v>244855</v>
      </c>
      <c r="I373" s="515" t="s">
        <v>6915</v>
      </c>
    </row>
    <row r="374" spans="2:9" ht="15" x14ac:dyDescent="0.35">
      <c r="B374" s="512" t="s">
        <v>6219</v>
      </c>
      <c r="C374" s="512" t="s">
        <v>6233</v>
      </c>
      <c r="D374" s="512" t="s">
        <v>6234</v>
      </c>
      <c r="E374" s="513">
        <v>3796</v>
      </c>
      <c r="F374" s="512" t="s">
        <v>397</v>
      </c>
      <c r="G374" s="513" t="s">
        <v>26</v>
      </c>
      <c r="H374" s="514">
        <v>367932</v>
      </c>
      <c r="I374" s="515" t="s">
        <v>6915</v>
      </c>
    </row>
    <row r="375" spans="2:9" ht="15" x14ac:dyDescent="0.35">
      <c r="B375" s="512" t="s">
        <v>6219</v>
      </c>
      <c r="C375" s="512" t="s">
        <v>6233</v>
      </c>
      <c r="D375" s="512" t="s">
        <v>6234</v>
      </c>
      <c r="E375" s="513">
        <v>3797</v>
      </c>
      <c r="F375" s="512" t="s">
        <v>398</v>
      </c>
      <c r="G375" s="513" t="s">
        <v>26</v>
      </c>
      <c r="H375" s="514">
        <v>487984</v>
      </c>
      <c r="I375" s="515" t="s">
        <v>6915</v>
      </c>
    </row>
    <row r="376" spans="2:9" ht="15" x14ac:dyDescent="0.35">
      <c r="B376" s="512" t="s">
        <v>6219</v>
      </c>
      <c r="C376" s="512" t="s">
        <v>6233</v>
      </c>
      <c r="D376" s="512" t="s">
        <v>6234</v>
      </c>
      <c r="E376" s="513">
        <v>3798</v>
      </c>
      <c r="F376" s="512" t="s">
        <v>399</v>
      </c>
      <c r="G376" s="513" t="s">
        <v>26</v>
      </c>
      <c r="H376" s="514">
        <v>730348</v>
      </c>
      <c r="I376" s="515" t="s">
        <v>6915</v>
      </c>
    </row>
    <row r="377" spans="2:9" ht="15" x14ac:dyDescent="0.35">
      <c r="B377" s="512" t="s">
        <v>6219</v>
      </c>
      <c r="C377" s="512" t="s">
        <v>6227</v>
      </c>
      <c r="D377" s="512" t="s">
        <v>6248</v>
      </c>
      <c r="E377" s="513">
        <v>3800</v>
      </c>
      <c r="F377" s="512" t="s">
        <v>400</v>
      </c>
      <c r="G377" s="513" t="s">
        <v>21</v>
      </c>
      <c r="H377" s="514">
        <v>1919</v>
      </c>
      <c r="I377" s="515" t="s">
        <v>6915</v>
      </c>
    </row>
    <row r="378" spans="2:9" ht="15" x14ac:dyDescent="0.35">
      <c r="B378" s="512" t="s">
        <v>6219</v>
      </c>
      <c r="C378" s="512" t="s">
        <v>6242</v>
      </c>
      <c r="D378" s="512" t="s">
        <v>6243</v>
      </c>
      <c r="E378" s="513">
        <v>3806</v>
      </c>
      <c r="F378" s="512" t="s">
        <v>401</v>
      </c>
      <c r="G378" s="513" t="s">
        <v>21</v>
      </c>
      <c r="H378" s="514">
        <v>3405</v>
      </c>
      <c r="I378" s="515" t="s">
        <v>6915</v>
      </c>
    </row>
    <row r="379" spans="2:9" ht="15" x14ac:dyDescent="0.35">
      <c r="B379" s="512" t="s">
        <v>6219</v>
      </c>
      <c r="C379" s="512" t="s">
        <v>6242</v>
      </c>
      <c r="D379" s="512" t="s">
        <v>6255</v>
      </c>
      <c r="E379" s="513">
        <v>3811</v>
      </c>
      <c r="F379" s="512" t="s">
        <v>402</v>
      </c>
      <c r="G379" s="513" t="s">
        <v>26</v>
      </c>
      <c r="H379" s="514">
        <v>3156</v>
      </c>
      <c r="I379" s="515" t="s">
        <v>6915</v>
      </c>
    </row>
    <row r="380" spans="2:9" ht="15" x14ac:dyDescent="0.35">
      <c r="B380" s="512" t="s">
        <v>6219</v>
      </c>
      <c r="C380" s="512" t="s">
        <v>6240</v>
      </c>
      <c r="D380" s="512" t="s">
        <v>6256</v>
      </c>
      <c r="E380" s="513">
        <v>3819</v>
      </c>
      <c r="F380" s="512" t="s">
        <v>403</v>
      </c>
      <c r="G380" s="513" t="s">
        <v>26</v>
      </c>
      <c r="H380" s="514">
        <v>6953</v>
      </c>
      <c r="I380" s="515" t="s">
        <v>6915</v>
      </c>
    </row>
    <row r="381" spans="2:9" ht="15" x14ac:dyDescent="0.35">
      <c r="B381" s="512" t="s">
        <v>6219</v>
      </c>
      <c r="C381" s="512" t="s">
        <v>6242</v>
      </c>
      <c r="D381" s="512" t="s">
        <v>6255</v>
      </c>
      <c r="E381" s="513">
        <v>3837</v>
      </c>
      <c r="F381" s="512" t="s">
        <v>404</v>
      </c>
      <c r="G381" s="513" t="s">
        <v>26</v>
      </c>
      <c r="H381" s="516">
        <v>15321</v>
      </c>
      <c r="I381" s="512" t="s">
        <v>6915</v>
      </c>
    </row>
    <row r="382" spans="2:9" ht="15" x14ac:dyDescent="0.35">
      <c r="B382" s="512" t="s">
        <v>6219</v>
      </c>
      <c r="C382" s="512" t="s">
        <v>6242</v>
      </c>
      <c r="D382" s="512" t="s">
        <v>6257</v>
      </c>
      <c r="E382" s="513">
        <v>3841</v>
      </c>
      <c r="F382" s="512" t="s">
        <v>405</v>
      </c>
      <c r="G382" s="513" t="s">
        <v>23</v>
      </c>
      <c r="H382" s="516">
        <v>1411155</v>
      </c>
      <c r="I382" s="512" t="s">
        <v>6915</v>
      </c>
    </row>
    <row r="383" spans="2:9" ht="15" x14ac:dyDescent="0.35">
      <c r="B383" s="512" t="s">
        <v>6219</v>
      </c>
      <c r="C383" s="512" t="s">
        <v>6227</v>
      </c>
      <c r="D383" s="512" t="s">
        <v>6229</v>
      </c>
      <c r="E383" s="513">
        <v>3847</v>
      </c>
      <c r="F383" s="512" t="s">
        <v>406</v>
      </c>
      <c r="G383" s="513" t="s">
        <v>23</v>
      </c>
      <c r="H383" s="514">
        <v>169628</v>
      </c>
      <c r="I383" s="515" t="s">
        <v>6915</v>
      </c>
    </row>
    <row r="384" spans="2:9" ht="15" x14ac:dyDescent="0.35">
      <c r="B384" s="512" t="s">
        <v>6219</v>
      </c>
      <c r="C384" s="512" t="s">
        <v>6227</v>
      </c>
      <c r="D384" s="512" t="s">
        <v>6229</v>
      </c>
      <c r="E384" s="513">
        <v>3851</v>
      </c>
      <c r="F384" s="512" t="s">
        <v>407</v>
      </c>
      <c r="G384" s="513" t="s">
        <v>23</v>
      </c>
      <c r="H384" s="514">
        <v>122327</v>
      </c>
      <c r="I384" s="515" t="s">
        <v>6915</v>
      </c>
    </row>
    <row r="385" spans="2:9" ht="15" x14ac:dyDescent="0.35">
      <c r="B385" s="512" t="s">
        <v>6219</v>
      </c>
      <c r="C385" s="512" t="s">
        <v>6242</v>
      </c>
      <c r="D385" s="512" t="s">
        <v>6257</v>
      </c>
      <c r="E385" s="513">
        <v>3864</v>
      </c>
      <c r="F385" s="512" t="s">
        <v>408</v>
      </c>
      <c r="G385" s="513" t="s">
        <v>21</v>
      </c>
      <c r="H385" s="516">
        <v>3384</v>
      </c>
      <c r="I385" s="512" t="s">
        <v>6915</v>
      </c>
    </row>
    <row r="386" spans="2:9" ht="15" x14ac:dyDescent="0.35">
      <c r="B386" s="512" t="s">
        <v>6219</v>
      </c>
      <c r="C386" s="512" t="s">
        <v>6242</v>
      </c>
      <c r="D386" s="512" t="s">
        <v>6257</v>
      </c>
      <c r="E386" s="513">
        <v>3866</v>
      </c>
      <c r="F386" s="512" t="s">
        <v>409</v>
      </c>
      <c r="G386" s="513" t="s">
        <v>21</v>
      </c>
      <c r="H386" s="516">
        <v>3820</v>
      </c>
      <c r="I386" s="512" t="s">
        <v>6915</v>
      </c>
    </row>
    <row r="387" spans="2:9" ht="15" x14ac:dyDescent="0.35">
      <c r="B387" s="512" t="s">
        <v>6219</v>
      </c>
      <c r="C387" s="512" t="s">
        <v>6242</v>
      </c>
      <c r="D387" s="512" t="s">
        <v>6257</v>
      </c>
      <c r="E387" s="513">
        <v>3867</v>
      </c>
      <c r="F387" s="512" t="s">
        <v>410</v>
      </c>
      <c r="G387" s="513" t="s">
        <v>21</v>
      </c>
      <c r="H387" s="516">
        <v>4114</v>
      </c>
      <c r="I387" s="512" t="s">
        <v>6915</v>
      </c>
    </row>
    <row r="388" spans="2:9" ht="15" x14ac:dyDescent="0.35">
      <c r="B388" s="512" t="s">
        <v>6219</v>
      </c>
      <c r="C388" s="512" t="s">
        <v>6237</v>
      </c>
      <c r="D388" s="512" t="s">
        <v>6238</v>
      </c>
      <c r="E388" s="513">
        <v>3872</v>
      </c>
      <c r="F388" s="512" t="s">
        <v>411</v>
      </c>
      <c r="G388" s="513" t="s">
        <v>26</v>
      </c>
      <c r="H388" s="516">
        <v>2711</v>
      </c>
      <c r="I388" s="515" t="s">
        <v>6915</v>
      </c>
    </row>
    <row r="389" spans="2:9" ht="15" x14ac:dyDescent="0.35">
      <c r="B389" s="512" t="s">
        <v>6219</v>
      </c>
      <c r="C389" s="512" t="s">
        <v>6240</v>
      </c>
      <c r="D389" s="512" t="s">
        <v>6241</v>
      </c>
      <c r="E389" s="513">
        <v>3873</v>
      </c>
      <c r="F389" s="512" t="s">
        <v>412</v>
      </c>
      <c r="G389" s="513" t="s">
        <v>23</v>
      </c>
      <c r="H389" s="516">
        <v>379465</v>
      </c>
      <c r="I389" s="512" t="s">
        <v>6915</v>
      </c>
    </row>
    <row r="390" spans="2:9" ht="15" x14ac:dyDescent="0.35">
      <c r="B390" s="512" t="s">
        <v>6219</v>
      </c>
      <c r="C390" s="512" t="s">
        <v>6240</v>
      </c>
      <c r="D390" s="512" t="s">
        <v>6249</v>
      </c>
      <c r="E390" s="513">
        <v>3874</v>
      </c>
      <c r="F390" s="512" t="s">
        <v>413</v>
      </c>
      <c r="G390" s="513" t="s">
        <v>23</v>
      </c>
      <c r="H390" s="516">
        <v>399387</v>
      </c>
      <c r="I390" s="512" t="s">
        <v>6915</v>
      </c>
    </row>
    <row r="391" spans="2:9" ht="15" x14ac:dyDescent="0.35">
      <c r="B391" s="512" t="s">
        <v>6219</v>
      </c>
      <c r="C391" s="512" t="s">
        <v>6240</v>
      </c>
      <c r="D391" s="512" t="s">
        <v>6241</v>
      </c>
      <c r="E391" s="513">
        <v>3875</v>
      </c>
      <c r="F391" s="512" t="s">
        <v>414</v>
      </c>
      <c r="G391" s="513" t="s">
        <v>23</v>
      </c>
      <c r="H391" s="516">
        <v>597586</v>
      </c>
      <c r="I391" s="512" t="s">
        <v>6915</v>
      </c>
    </row>
    <row r="392" spans="2:9" ht="15" x14ac:dyDescent="0.35">
      <c r="B392" s="512" t="s">
        <v>6219</v>
      </c>
      <c r="C392" s="512" t="s">
        <v>6232</v>
      </c>
      <c r="D392" s="512" t="s">
        <v>6232</v>
      </c>
      <c r="E392" s="513">
        <v>3876</v>
      </c>
      <c r="F392" s="512" t="s">
        <v>415</v>
      </c>
      <c r="G392" s="513" t="s">
        <v>26</v>
      </c>
      <c r="H392" s="516">
        <v>211894</v>
      </c>
      <c r="I392" s="512" t="s">
        <v>6915</v>
      </c>
    </row>
    <row r="393" spans="2:9" ht="15" x14ac:dyDescent="0.35">
      <c r="B393" s="512" t="s">
        <v>6219</v>
      </c>
      <c r="C393" s="512" t="s">
        <v>6232</v>
      </c>
      <c r="D393" s="512" t="s">
        <v>6232</v>
      </c>
      <c r="E393" s="513">
        <v>3877</v>
      </c>
      <c r="F393" s="512" t="s">
        <v>416</v>
      </c>
      <c r="G393" s="513" t="s">
        <v>26</v>
      </c>
      <c r="H393" s="516">
        <v>318151</v>
      </c>
      <c r="I393" s="512" t="s">
        <v>6915</v>
      </c>
    </row>
    <row r="394" spans="2:9" ht="15" x14ac:dyDescent="0.35">
      <c r="B394" s="512" t="s">
        <v>6219</v>
      </c>
      <c r="C394" s="512" t="s">
        <v>6232</v>
      </c>
      <c r="D394" s="512" t="s">
        <v>6232</v>
      </c>
      <c r="E394" s="513">
        <v>3878</v>
      </c>
      <c r="F394" s="512" t="s">
        <v>417</v>
      </c>
      <c r="G394" s="513" t="s">
        <v>29</v>
      </c>
      <c r="H394" s="516">
        <v>2025781</v>
      </c>
      <c r="I394" s="512" t="s">
        <v>6915</v>
      </c>
    </row>
    <row r="395" spans="2:9" ht="15" x14ac:dyDescent="0.35">
      <c r="B395" s="512" t="s">
        <v>6219</v>
      </c>
      <c r="C395" s="512" t="s">
        <v>6232</v>
      </c>
      <c r="D395" s="512" t="s">
        <v>6232</v>
      </c>
      <c r="E395" s="513">
        <v>3879</v>
      </c>
      <c r="F395" s="512" t="s">
        <v>418</v>
      </c>
      <c r="G395" s="513" t="s">
        <v>29</v>
      </c>
      <c r="H395" s="514">
        <v>1195280</v>
      </c>
      <c r="I395" s="515" t="s">
        <v>6915</v>
      </c>
    </row>
    <row r="396" spans="2:9" ht="15" x14ac:dyDescent="0.35">
      <c r="B396" s="512" t="s">
        <v>6219</v>
      </c>
      <c r="C396" s="512" t="s">
        <v>6232</v>
      </c>
      <c r="D396" s="512" t="s">
        <v>6232</v>
      </c>
      <c r="E396" s="513">
        <v>3880</v>
      </c>
      <c r="F396" s="512" t="s">
        <v>419</v>
      </c>
      <c r="G396" s="513" t="s">
        <v>29</v>
      </c>
      <c r="H396" s="514">
        <v>1021599</v>
      </c>
      <c r="I396" s="515" t="s">
        <v>6915</v>
      </c>
    </row>
    <row r="397" spans="2:9" ht="15" x14ac:dyDescent="0.35">
      <c r="B397" s="512" t="s">
        <v>6219</v>
      </c>
      <c r="C397" s="512" t="s">
        <v>6232</v>
      </c>
      <c r="D397" s="512" t="s">
        <v>6232</v>
      </c>
      <c r="E397" s="513">
        <v>3881</v>
      </c>
      <c r="F397" s="512" t="s">
        <v>420</v>
      </c>
      <c r="G397" s="513" t="s">
        <v>29</v>
      </c>
      <c r="H397" s="514">
        <v>755319</v>
      </c>
      <c r="I397" s="515" t="s">
        <v>6915</v>
      </c>
    </row>
    <row r="398" spans="2:9" ht="15" x14ac:dyDescent="0.35">
      <c r="B398" s="512" t="s">
        <v>6219</v>
      </c>
      <c r="C398" s="512" t="s">
        <v>6232</v>
      </c>
      <c r="D398" s="512" t="s">
        <v>6232</v>
      </c>
      <c r="E398" s="513">
        <v>3882</v>
      </c>
      <c r="F398" s="512" t="s">
        <v>421</v>
      </c>
      <c r="G398" s="513" t="s">
        <v>29</v>
      </c>
      <c r="H398" s="516">
        <v>3265843</v>
      </c>
      <c r="I398" s="512" t="s">
        <v>6915</v>
      </c>
    </row>
    <row r="399" spans="2:9" ht="15" x14ac:dyDescent="0.35">
      <c r="B399" s="512" t="s">
        <v>6219</v>
      </c>
      <c r="C399" s="512" t="s">
        <v>6232</v>
      </c>
      <c r="D399" s="512" t="s">
        <v>6232</v>
      </c>
      <c r="E399" s="513">
        <v>3883</v>
      </c>
      <c r="F399" s="512" t="s">
        <v>422</v>
      </c>
      <c r="G399" s="513" t="s">
        <v>29</v>
      </c>
      <c r="H399" s="516">
        <v>4476132</v>
      </c>
      <c r="I399" s="512" t="s">
        <v>6915</v>
      </c>
    </row>
    <row r="400" spans="2:9" ht="15" x14ac:dyDescent="0.35">
      <c r="B400" s="512" t="s">
        <v>6219</v>
      </c>
      <c r="C400" s="512" t="s">
        <v>6232</v>
      </c>
      <c r="D400" s="512" t="s">
        <v>6232</v>
      </c>
      <c r="E400" s="513">
        <v>3884</v>
      </c>
      <c r="F400" s="512" t="s">
        <v>423</v>
      </c>
      <c r="G400" s="513" t="s">
        <v>29</v>
      </c>
      <c r="H400" s="516">
        <v>4047234</v>
      </c>
      <c r="I400" s="512" t="s">
        <v>6915</v>
      </c>
    </row>
    <row r="401" spans="2:9" ht="15" x14ac:dyDescent="0.35">
      <c r="B401" s="512" t="s">
        <v>6219</v>
      </c>
      <c r="C401" s="512" t="s">
        <v>6232</v>
      </c>
      <c r="D401" s="512" t="s">
        <v>6232</v>
      </c>
      <c r="E401" s="513">
        <v>3885</v>
      </c>
      <c r="F401" s="512" t="s">
        <v>424</v>
      </c>
      <c r="G401" s="513" t="s">
        <v>29</v>
      </c>
      <c r="H401" s="516">
        <v>5074178</v>
      </c>
      <c r="I401" s="512" t="s">
        <v>6915</v>
      </c>
    </row>
    <row r="402" spans="2:9" ht="15" x14ac:dyDescent="0.35">
      <c r="B402" s="512" t="s">
        <v>6219</v>
      </c>
      <c r="C402" s="512" t="s">
        <v>6232</v>
      </c>
      <c r="D402" s="512" t="s">
        <v>6232</v>
      </c>
      <c r="E402" s="513">
        <v>3886</v>
      </c>
      <c r="F402" s="512" t="s">
        <v>425</v>
      </c>
      <c r="G402" s="513" t="s">
        <v>29</v>
      </c>
      <c r="H402" s="514">
        <v>4971321</v>
      </c>
      <c r="I402" s="515" t="s">
        <v>6915</v>
      </c>
    </row>
    <row r="403" spans="2:9" ht="15" x14ac:dyDescent="0.35">
      <c r="B403" s="512" t="s">
        <v>6219</v>
      </c>
      <c r="C403" s="512" t="s">
        <v>6232</v>
      </c>
      <c r="D403" s="512" t="s">
        <v>6232</v>
      </c>
      <c r="E403" s="513">
        <v>3887</v>
      </c>
      <c r="F403" s="512" t="s">
        <v>426</v>
      </c>
      <c r="G403" s="513" t="s">
        <v>29</v>
      </c>
      <c r="H403" s="514">
        <v>5411503</v>
      </c>
      <c r="I403" s="515" t="s">
        <v>6915</v>
      </c>
    </row>
    <row r="404" spans="2:9" ht="15" x14ac:dyDescent="0.35">
      <c r="B404" s="512" t="s">
        <v>6219</v>
      </c>
      <c r="C404" s="512" t="s">
        <v>6232</v>
      </c>
      <c r="D404" s="512" t="s">
        <v>6232</v>
      </c>
      <c r="E404" s="513">
        <v>3888</v>
      </c>
      <c r="F404" s="512" t="s">
        <v>427</v>
      </c>
      <c r="G404" s="513" t="s">
        <v>29</v>
      </c>
      <c r="H404" s="514">
        <v>5529665</v>
      </c>
      <c r="I404" s="515" t="s">
        <v>6915</v>
      </c>
    </row>
    <row r="405" spans="2:9" ht="15" x14ac:dyDescent="0.35">
      <c r="B405" s="512" t="s">
        <v>6219</v>
      </c>
      <c r="C405" s="512" t="s">
        <v>6232</v>
      </c>
      <c r="D405" s="512" t="s">
        <v>6232</v>
      </c>
      <c r="E405" s="513">
        <v>3889</v>
      </c>
      <c r="F405" s="512" t="s">
        <v>428</v>
      </c>
      <c r="G405" s="513" t="s">
        <v>29</v>
      </c>
      <c r="H405" s="514">
        <v>3380153</v>
      </c>
      <c r="I405" s="515" t="s">
        <v>6915</v>
      </c>
    </row>
    <row r="406" spans="2:9" ht="15" x14ac:dyDescent="0.35">
      <c r="B406" s="512" t="s">
        <v>6219</v>
      </c>
      <c r="C406" s="512" t="s">
        <v>6232</v>
      </c>
      <c r="D406" s="512" t="s">
        <v>6232</v>
      </c>
      <c r="E406" s="513">
        <v>3890</v>
      </c>
      <c r="F406" s="512" t="s">
        <v>429</v>
      </c>
      <c r="G406" s="513" t="s">
        <v>29</v>
      </c>
      <c r="H406" s="514">
        <v>3442907</v>
      </c>
      <c r="I406" s="515" t="s">
        <v>6915</v>
      </c>
    </row>
    <row r="407" spans="2:9" ht="15" x14ac:dyDescent="0.35">
      <c r="B407" s="512" t="s">
        <v>6219</v>
      </c>
      <c r="C407" s="512" t="s">
        <v>6232</v>
      </c>
      <c r="D407" s="512" t="s">
        <v>6232</v>
      </c>
      <c r="E407" s="513">
        <v>3891</v>
      </c>
      <c r="F407" s="512" t="s">
        <v>430</v>
      </c>
      <c r="G407" s="513" t="s">
        <v>29</v>
      </c>
      <c r="H407" s="514">
        <v>4377562</v>
      </c>
      <c r="I407" s="515" t="s">
        <v>6915</v>
      </c>
    </row>
    <row r="408" spans="2:9" ht="15" x14ac:dyDescent="0.35">
      <c r="B408" s="512" t="s">
        <v>6219</v>
      </c>
      <c r="C408" s="512" t="s">
        <v>6232</v>
      </c>
      <c r="D408" s="512" t="s">
        <v>6232</v>
      </c>
      <c r="E408" s="513">
        <v>3892</v>
      </c>
      <c r="F408" s="512" t="s">
        <v>431</v>
      </c>
      <c r="G408" s="513" t="s">
        <v>29</v>
      </c>
      <c r="H408" s="514">
        <v>5344171</v>
      </c>
      <c r="I408" s="515" t="s">
        <v>6915</v>
      </c>
    </row>
    <row r="409" spans="2:9" ht="15" x14ac:dyDescent="0.35">
      <c r="B409" s="512" t="s">
        <v>6219</v>
      </c>
      <c r="C409" s="512" t="s">
        <v>6232</v>
      </c>
      <c r="D409" s="512" t="s">
        <v>6232</v>
      </c>
      <c r="E409" s="513">
        <v>3893</v>
      </c>
      <c r="F409" s="512" t="s">
        <v>432</v>
      </c>
      <c r="G409" s="513" t="s">
        <v>29</v>
      </c>
      <c r="H409" s="514">
        <v>5462333</v>
      </c>
      <c r="I409" s="515" t="s">
        <v>6915</v>
      </c>
    </row>
    <row r="410" spans="2:9" ht="15" x14ac:dyDescent="0.35">
      <c r="B410" s="512" t="s">
        <v>6219</v>
      </c>
      <c r="C410" s="512" t="s">
        <v>6232</v>
      </c>
      <c r="D410" s="512" t="s">
        <v>6232</v>
      </c>
      <c r="E410" s="513">
        <v>3894</v>
      </c>
      <c r="F410" s="512" t="s">
        <v>433</v>
      </c>
      <c r="G410" s="513" t="s">
        <v>29</v>
      </c>
      <c r="H410" s="514">
        <v>5866692</v>
      </c>
      <c r="I410" s="515" t="s">
        <v>6915</v>
      </c>
    </row>
    <row r="411" spans="2:9" ht="15" x14ac:dyDescent="0.35">
      <c r="B411" s="512" t="s">
        <v>6219</v>
      </c>
      <c r="C411" s="512" t="s">
        <v>6232</v>
      </c>
      <c r="D411" s="512" t="s">
        <v>6232</v>
      </c>
      <c r="E411" s="513">
        <v>3895</v>
      </c>
      <c r="F411" s="512" t="s">
        <v>434</v>
      </c>
      <c r="G411" s="513" t="s">
        <v>29</v>
      </c>
      <c r="H411" s="514">
        <v>6000154</v>
      </c>
      <c r="I411" s="515" t="s">
        <v>6915</v>
      </c>
    </row>
    <row r="412" spans="2:9" ht="15" x14ac:dyDescent="0.35">
      <c r="B412" s="512" t="s">
        <v>6219</v>
      </c>
      <c r="C412" s="512" t="s">
        <v>6232</v>
      </c>
      <c r="D412" s="512" t="s">
        <v>6232</v>
      </c>
      <c r="E412" s="513">
        <v>3896</v>
      </c>
      <c r="F412" s="512" t="s">
        <v>435</v>
      </c>
      <c r="G412" s="513" t="s">
        <v>29</v>
      </c>
      <c r="H412" s="514">
        <v>4130499</v>
      </c>
      <c r="I412" s="515" t="s">
        <v>6915</v>
      </c>
    </row>
    <row r="413" spans="2:9" ht="15" x14ac:dyDescent="0.35">
      <c r="B413" s="512" t="s">
        <v>6219</v>
      </c>
      <c r="C413" s="512" t="s">
        <v>6232</v>
      </c>
      <c r="D413" s="512" t="s">
        <v>6232</v>
      </c>
      <c r="E413" s="513">
        <v>3897</v>
      </c>
      <c r="F413" s="512" t="s">
        <v>436</v>
      </c>
      <c r="G413" s="513" t="s">
        <v>29</v>
      </c>
      <c r="H413" s="514">
        <v>6186409</v>
      </c>
      <c r="I413" s="515" t="s">
        <v>6915</v>
      </c>
    </row>
    <row r="414" spans="2:9" ht="15" x14ac:dyDescent="0.35">
      <c r="B414" s="512" t="s">
        <v>6219</v>
      </c>
      <c r="C414" s="512" t="s">
        <v>6232</v>
      </c>
      <c r="D414" s="512" t="s">
        <v>6232</v>
      </c>
      <c r="E414" s="513">
        <v>3898</v>
      </c>
      <c r="F414" s="512" t="s">
        <v>437</v>
      </c>
      <c r="G414" s="513" t="s">
        <v>29</v>
      </c>
      <c r="H414" s="514">
        <v>7360452</v>
      </c>
      <c r="I414" s="515" t="s">
        <v>6915</v>
      </c>
    </row>
    <row r="415" spans="2:9" ht="15" x14ac:dyDescent="0.35">
      <c r="B415" s="512" t="s">
        <v>6219</v>
      </c>
      <c r="C415" s="512" t="s">
        <v>6232</v>
      </c>
      <c r="D415" s="512" t="s">
        <v>6232</v>
      </c>
      <c r="E415" s="513">
        <v>3899</v>
      </c>
      <c r="F415" s="512" t="s">
        <v>438</v>
      </c>
      <c r="G415" s="513" t="s">
        <v>29</v>
      </c>
      <c r="H415" s="514">
        <v>8485894</v>
      </c>
      <c r="I415" s="515" t="s">
        <v>6915</v>
      </c>
    </row>
    <row r="416" spans="2:9" ht="15" x14ac:dyDescent="0.35">
      <c r="B416" s="512" t="s">
        <v>6219</v>
      </c>
      <c r="C416" s="512" t="s">
        <v>6232</v>
      </c>
      <c r="D416" s="512" t="s">
        <v>6232</v>
      </c>
      <c r="E416" s="513">
        <v>3900</v>
      </c>
      <c r="F416" s="512" t="s">
        <v>439</v>
      </c>
      <c r="G416" s="513" t="s">
        <v>26</v>
      </c>
      <c r="H416" s="514">
        <v>2391644</v>
      </c>
      <c r="I416" s="515" t="s">
        <v>6915</v>
      </c>
    </row>
    <row r="417" spans="2:9" ht="15" x14ac:dyDescent="0.35">
      <c r="B417" s="512" t="s">
        <v>6219</v>
      </c>
      <c r="C417" s="512" t="s">
        <v>6232</v>
      </c>
      <c r="D417" s="512" t="s">
        <v>6232</v>
      </c>
      <c r="E417" s="513">
        <v>3901</v>
      </c>
      <c r="F417" s="512" t="s">
        <v>440</v>
      </c>
      <c r="G417" s="513" t="s">
        <v>26</v>
      </c>
      <c r="H417" s="516">
        <v>24758</v>
      </c>
      <c r="I417" s="512" t="s">
        <v>6915</v>
      </c>
    </row>
    <row r="418" spans="2:9" ht="15" x14ac:dyDescent="0.35">
      <c r="B418" s="512" t="s">
        <v>6219</v>
      </c>
      <c r="C418" s="512" t="s">
        <v>6232</v>
      </c>
      <c r="D418" s="512" t="s">
        <v>6232</v>
      </c>
      <c r="E418" s="513">
        <v>3902</v>
      </c>
      <c r="F418" s="512" t="s">
        <v>441</v>
      </c>
      <c r="G418" s="513" t="s">
        <v>26</v>
      </c>
      <c r="H418" s="516">
        <v>46154</v>
      </c>
      <c r="I418" s="512" t="s">
        <v>6915</v>
      </c>
    </row>
    <row r="419" spans="2:9" ht="15" x14ac:dyDescent="0.35">
      <c r="B419" s="512" t="s">
        <v>6219</v>
      </c>
      <c r="C419" s="512" t="s">
        <v>6232</v>
      </c>
      <c r="D419" s="512" t="s">
        <v>6232</v>
      </c>
      <c r="E419" s="513">
        <v>3903</v>
      </c>
      <c r="F419" s="512" t="s">
        <v>442</v>
      </c>
      <c r="G419" s="513" t="s">
        <v>26</v>
      </c>
      <c r="H419" s="516">
        <v>75230</v>
      </c>
      <c r="I419" s="512" t="s">
        <v>6915</v>
      </c>
    </row>
    <row r="420" spans="2:9" ht="15" x14ac:dyDescent="0.35">
      <c r="B420" s="512" t="s">
        <v>6219</v>
      </c>
      <c r="C420" s="512" t="s">
        <v>6232</v>
      </c>
      <c r="D420" s="512" t="s">
        <v>6232</v>
      </c>
      <c r="E420" s="513">
        <v>3904</v>
      </c>
      <c r="F420" s="512" t="s">
        <v>443</v>
      </c>
      <c r="G420" s="513" t="s">
        <v>26</v>
      </c>
      <c r="H420" s="514">
        <v>36636</v>
      </c>
      <c r="I420" s="515" t="s">
        <v>6915</v>
      </c>
    </row>
    <row r="421" spans="2:9" ht="15" x14ac:dyDescent="0.35">
      <c r="B421" s="512" t="s">
        <v>6219</v>
      </c>
      <c r="C421" s="512" t="s">
        <v>6232</v>
      </c>
      <c r="D421" s="512" t="s">
        <v>6232</v>
      </c>
      <c r="E421" s="513">
        <v>3905</v>
      </c>
      <c r="F421" s="512" t="s">
        <v>444</v>
      </c>
      <c r="G421" s="513" t="s">
        <v>26</v>
      </c>
      <c r="H421" s="514">
        <v>98731</v>
      </c>
      <c r="I421" s="515" t="s">
        <v>6915</v>
      </c>
    </row>
    <row r="422" spans="2:9" ht="15" x14ac:dyDescent="0.35">
      <c r="B422" s="512" t="s">
        <v>6219</v>
      </c>
      <c r="C422" s="512" t="s">
        <v>6232</v>
      </c>
      <c r="D422" s="512" t="s">
        <v>6232</v>
      </c>
      <c r="E422" s="513">
        <v>3906</v>
      </c>
      <c r="F422" s="512" t="s">
        <v>445</v>
      </c>
      <c r="G422" s="513" t="s">
        <v>26</v>
      </c>
      <c r="H422" s="514">
        <v>1939728</v>
      </c>
      <c r="I422" s="515" t="s">
        <v>6915</v>
      </c>
    </row>
    <row r="423" spans="2:9" ht="15" x14ac:dyDescent="0.35">
      <c r="B423" s="512" t="s">
        <v>6219</v>
      </c>
      <c r="C423" s="512" t="s">
        <v>6232</v>
      </c>
      <c r="D423" s="512" t="s">
        <v>6232</v>
      </c>
      <c r="E423" s="513">
        <v>3907</v>
      </c>
      <c r="F423" s="512" t="s">
        <v>446</v>
      </c>
      <c r="G423" s="513" t="s">
        <v>26</v>
      </c>
      <c r="H423" s="514">
        <v>1975538</v>
      </c>
      <c r="I423" s="515" t="s">
        <v>6915</v>
      </c>
    </row>
    <row r="424" spans="2:9" ht="15" x14ac:dyDescent="0.35">
      <c r="B424" s="512" t="s">
        <v>6219</v>
      </c>
      <c r="C424" s="512" t="s">
        <v>6232</v>
      </c>
      <c r="D424" s="512" t="s">
        <v>6232</v>
      </c>
      <c r="E424" s="513">
        <v>3908</v>
      </c>
      <c r="F424" s="512" t="s">
        <v>447</v>
      </c>
      <c r="G424" s="513" t="s">
        <v>29</v>
      </c>
      <c r="H424" s="514">
        <v>4003972</v>
      </c>
      <c r="I424" s="515" t="s">
        <v>6915</v>
      </c>
    </row>
    <row r="425" spans="2:9" ht="15" x14ac:dyDescent="0.35">
      <c r="B425" s="512" t="s">
        <v>6219</v>
      </c>
      <c r="C425" s="512" t="s">
        <v>6232</v>
      </c>
      <c r="D425" s="512" t="s">
        <v>6232</v>
      </c>
      <c r="E425" s="513">
        <v>3909</v>
      </c>
      <c r="F425" s="512" t="s">
        <v>448</v>
      </c>
      <c r="G425" s="513" t="s">
        <v>29</v>
      </c>
      <c r="H425" s="514">
        <v>3971316</v>
      </c>
      <c r="I425" s="515" t="s">
        <v>6915</v>
      </c>
    </row>
    <row r="426" spans="2:9" ht="15" x14ac:dyDescent="0.35">
      <c r="B426" s="512" t="s">
        <v>6219</v>
      </c>
      <c r="C426" s="512" t="s">
        <v>6240</v>
      </c>
      <c r="D426" s="512" t="s">
        <v>6249</v>
      </c>
      <c r="E426" s="513">
        <v>3910</v>
      </c>
      <c r="F426" s="512" t="s">
        <v>449</v>
      </c>
      <c r="G426" s="513" t="s">
        <v>23</v>
      </c>
      <c r="H426" s="514">
        <v>795461</v>
      </c>
      <c r="I426" s="515" t="s">
        <v>6915</v>
      </c>
    </row>
    <row r="427" spans="2:9" ht="15" x14ac:dyDescent="0.35">
      <c r="B427" s="512" t="s">
        <v>6219</v>
      </c>
      <c r="C427" s="512" t="s">
        <v>6232</v>
      </c>
      <c r="D427" s="512" t="s">
        <v>6232</v>
      </c>
      <c r="E427" s="513">
        <v>3919</v>
      </c>
      <c r="F427" s="512" t="s">
        <v>450</v>
      </c>
      <c r="G427" s="513" t="s">
        <v>26</v>
      </c>
      <c r="H427" s="514">
        <v>732840</v>
      </c>
      <c r="I427" s="515" t="s">
        <v>6915</v>
      </c>
    </row>
    <row r="428" spans="2:9" ht="15" x14ac:dyDescent="0.35">
      <c r="B428" s="512" t="s">
        <v>6219</v>
      </c>
      <c r="C428" s="512" t="s">
        <v>6232</v>
      </c>
      <c r="D428" s="512" t="s">
        <v>6232</v>
      </c>
      <c r="E428" s="513">
        <v>3920</v>
      </c>
      <c r="F428" s="512" t="s">
        <v>451</v>
      </c>
      <c r="G428" s="513" t="s">
        <v>26</v>
      </c>
      <c r="H428" s="514">
        <v>874450</v>
      </c>
      <c r="I428" s="515" t="s">
        <v>6915</v>
      </c>
    </row>
    <row r="429" spans="2:9" ht="15" x14ac:dyDescent="0.35">
      <c r="B429" s="512" t="s">
        <v>6219</v>
      </c>
      <c r="C429" s="512" t="s">
        <v>6232</v>
      </c>
      <c r="D429" s="512" t="s">
        <v>6232</v>
      </c>
      <c r="E429" s="513">
        <v>3921</v>
      </c>
      <c r="F429" s="512" t="s">
        <v>452</v>
      </c>
      <c r="G429" s="513" t="s">
        <v>26</v>
      </c>
      <c r="H429" s="514">
        <v>1070516</v>
      </c>
      <c r="I429" s="515" t="s">
        <v>6915</v>
      </c>
    </row>
    <row r="430" spans="2:9" ht="15" x14ac:dyDescent="0.35">
      <c r="B430" s="512" t="s">
        <v>6219</v>
      </c>
      <c r="C430" s="512" t="s">
        <v>6232</v>
      </c>
      <c r="D430" s="512" t="s">
        <v>6232</v>
      </c>
      <c r="E430" s="513">
        <v>3922</v>
      </c>
      <c r="F430" s="512" t="s">
        <v>453</v>
      </c>
      <c r="G430" s="513" t="s">
        <v>26</v>
      </c>
      <c r="H430" s="516">
        <v>1464015</v>
      </c>
      <c r="I430" s="512" t="s">
        <v>6915</v>
      </c>
    </row>
    <row r="431" spans="2:9" ht="15" x14ac:dyDescent="0.35">
      <c r="B431" s="512" t="s">
        <v>6219</v>
      </c>
      <c r="C431" s="512" t="s">
        <v>6232</v>
      </c>
      <c r="D431" s="512" t="s">
        <v>6232</v>
      </c>
      <c r="E431" s="513">
        <v>3923</v>
      </c>
      <c r="F431" s="512" t="s">
        <v>454</v>
      </c>
      <c r="G431" s="513" t="s">
        <v>26</v>
      </c>
      <c r="H431" s="514">
        <v>1951205</v>
      </c>
      <c r="I431" s="515" t="s">
        <v>6915</v>
      </c>
    </row>
    <row r="432" spans="2:9" ht="15" x14ac:dyDescent="0.35">
      <c r="B432" s="512" t="s">
        <v>6219</v>
      </c>
      <c r="C432" s="512" t="s">
        <v>6232</v>
      </c>
      <c r="D432" s="512" t="s">
        <v>6232</v>
      </c>
      <c r="E432" s="513">
        <v>3924</v>
      </c>
      <c r="F432" s="512" t="s">
        <v>455</v>
      </c>
      <c r="G432" s="513" t="s">
        <v>26</v>
      </c>
      <c r="H432" s="514">
        <v>2590882</v>
      </c>
      <c r="I432" s="515" t="s">
        <v>6915</v>
      </c>
    </row>
    <row r="433" spans="2:9" ht="15" x14ac:dyDescent="0.35">
      <c r="B433" s="512" t="s">
        <v>6219</v>
      </c>
      <c r="C433" s="512" t="s">
        <v>6232</v>
      </c>
      <c r="D433" s="512" t="s">
        <v>6232</v>
      </c>
      <c r="E433" s="513">
        <v>3925</v>
      </c>
      <c r="F433" s="512" t="s">
        <v>456</v>
      </c>
      <c r="G433" s="513" t="s">
        <v>26</v>
      </c>
      <c r="H433" s="514">
        <v>3024036</v>
      </c>
      <c r="I433" s="515" t="s">
        <v>6915</v>
      </c>
    </row>
    <row r="434" spans="2:9" ht="15" x14ac:dyDescent="0.35">
      <c r="B434" s="512" t="s">
        <v>6219</v>
      </c>
      <c r="C434" s="512" t="s">
        <v>6232</v>
      </c>
      <c r="D434" s="512" t="s">
        <v>6232</v>
      </c>
      <c r="E434" s="513">
        <v>3932</v>
      </c>
      <c r="F434" s="512" t="s">
        <v>457</v>
      </c>
      <c r="G434" s="513" t="s">
        <v>26</v>
      </c>
      <c r="H434" s="514">
        <v>80737</v>
      </c>
      <c r="I434" s="515" t="s">
        <v>6915</v>
      </c>
    </row>
    <row r="435" spans="2:9" ht="15" x14ac:dyDescent="0.35">
      <c r="B435" s="512" t="s">
        <v>6219</v>
      </c>
      <c r="C435" s="512" t="s">
        <v>6232</v>
      </c>
      <c r="D435" s="512" t="s">
        <v>6232</v>
      </c>
      <c r="E435" s="513">
        <v>3933</v>
      </c>
      <c r="F435" s="512" t="s">
        <v>458</v>
      </c>
      <c r="G435" s="513" t="s">
        <v>26</v>
      </c>
      <c r="H435" s="514">
        <v>123237</v>
      </c>
      <c r="I435" s="515" t="s">
        <v>6915</v>
      </c>
    </row>
    <row r="436" spans="2:9" ht="15" x14ac:dyDescent="0.35">
      <c r="B436" s="512" t="s">
        <v>6219</v>
      </c>
      <c r="C436" s="512" t="s">
        <v>6232</v>
      </c>
      <c r="D436" s="512" t="s">
        <v>6232</v>
      </c>
      <c r="E436" s="513">
        <v>3934</v>
      </c>
      <c r="F436" s="512" t="s">
        <v>459</v>
      </c>
      <c r="G436" s="513" t="s">
        <v>26</v>
      </c>
      <c r="H436" s="514">
        <v>209263</v>
      </c>
      <c r="I436" s="515" t="s">
        <v>6915</v>
      </c>
    </row>
    <row r="437" spans="2:9" ht="15" x14ac:dyDescent="0.35">
      <c r="B437" s="512" t="s">
        <v>6219</v>
      </c>
      <c r="C437" s="512" t="s">
        <v>6232</v>
      </c>
      <c r="D437" s="512" t="s">
        <v>6232</v>
      </c>
      <c r="E437" s="513">
        <v>3935</v>
      </c>
      <c r="F437" s="512" t="s">
        <v>460</v>
      </c>
      <c r="G437" s="513" t="s">
        <v>26</v>
      </c>
      <c r="H437" s="514">
        <v>264640</v>
      </c>
      <c r="I437" s="515" t="s">
        <v>6915</v>
      </c>
    </row>
    <row r="438" spans="2:9" ht="15" x14ac:dyDescent="0.35">
      <c r="B438" s="512" t="s">
        <v>6219</v>
      </c>
      <c r="C438" s="512" t="s">
        <v>6232</v>
      </c>
      <c r="D438" s="512" t="s">
        <v>6232</v>
      </c>
      <c r="E438" s="513">
        <v>3936</v>
      </c>
      <c r="F438" s="512" t="s">
        <v>461</v>
      </c>
      <c r="G438" s="513" t="s">
        <v>26</v>
      </c>
      <c r="H438" s="516">
        <v>338622</v>
      </c>
      <c r="I438" s="512" t="s">
        <v>6915</v>
      </c>
    </row>
    <row r="439" spans="2:9" ht="15" x14ac:dyDescent="0.35">
      <c r="B439" s="512" t="s">
        <v>6219</v>
      </c>
      <c r="C439" s="512" t="s">
        <v>6232</v>
      </c>
      <c r="D439" s="512" t="s">
        <v>6232</v>
      </c>
      <c r="E439" s="513">
        <v>3937</v>
      </c>
      <c r="F439" s="512" t="s">
        <v>462</v>
      </c>
      <c r="G439" s="513" t="s">
        <v>26</v>
      </c>
      <c r="H439" s="516">
        <v>444300</v>
      </c>
      <c r="I439" s="512" t="s">
        <v>6915</v>
      </c>
    </row>
    <row r="440" spans="2:9" ht="15" x14ac:dyDescent="0.35">
      <c r="B440" s="512" t="s">
        <v>6219</v>
      </c>
      <c r="C440" s="512" t="s">
        <v>6232</v>
      </c>
      <c r="D440" s="512" t="s">
        <v>6232</v>
      </c>
      <c r="E440" s="513">
        <v>3938</v>
      </c>
      <c r="F440" s="512" t="s">
        <v>463</v>
      </c>
      <c r="G440" s="513" t="s">
        <v>26</v>
      </c>
      <c r="H440" s="516">
        <v>532858</v>
      </c>
      <c r="I440" s="512" t="s">
        <v>6915</v>
      </c>
    </row>
    <row r="441" spans="2:9" ht="15" x14ac:dyDescent="0.35">
      <c r="B441" s="512" t="s">
        <v>6219</v>
      </c>
      <c r="C441" s="512" t="s">
        <v>6232</v>
      </c>
      <c r="D441" s="512" t="s">
        <v>6232</v>
      </c>
      <c r="E441" s="513">
        <v>3939</v>
      </c>
      <c r="F441" s="512" t="s">
        <v>464</v>
      </c>
      <c r="G441" s="513" t="s">
        <v>26</v>
      </c>
      <c r="H441" s="516">
        <v>756671</v>
      </c>
      <c r="I441" s="512" t="s">
        <v>6915</v>
      </c>
    </row>
    <row r="442" spans="2:9" ht="15" x14ac:dyDescent="0.35">
      <c r="B442" s="512" t="s">
        <v>6219</v>
      </c>
      <c r="C442" s="512" t="s">
        <v>6232</v>
      </c>
      <c r="D442" s="512" t="s">
        <v>6232</v>
      </c>
      <c r="E442" s="513">
        <v>3944</v>
      </c>
      <c r="F442" s="512" t="s">
        <v>465</v>
      </c>
      <c r="G442" s="513" t="s">
        <v>26</v>
      </c>
      <c r="H442" s="516">
        <v>817846</v>
      </c>
      <c r="I442" s="512" t="s">
        <v>6915</v>
      </c>
    </row>
    <row r="443" spans="2:9" ht="15" x14ac:dyDescent="0.35">
      <c r="B443" s="512" t="s">
        <v>6219</v>
      </c>
      <c r="C443" s="512" t="s">
        <v>6232</v>
      </c>
      <c r="D443" s="512" t="s">
        <v>6232</v>
      </c>
      <c r="E443" s="513">
        <v>3945</v>
      </c>
      <c r="F443" s="512" t="s">
        <v>466</v>
      </c>
      <c r="G443" s="513" t="s">
        <v>26</v>
      </c>
      <c r="H443" s="516">
        <v>991864</v>
      </c>
      <c r="I443" s="512" t="s">
        <v>6915</v>
      </c>
    </row>
    <row r="444" spans="2:9" ht="15" x14ac:dyDescent="0.35">
      <c r="B444" s="512" t="s">
        <v>6219</v>
      </c>
      <c r="C444" s="512" t="s">
        <v>6232</v>
      </c>
      <c r="D444" s="512" t="s">
        <v>6232</v>
      </c>
      <c r="E444" s="513">
        <v>3946</v>
      </c>
      <c r="F444" s="512" t="s">
        <v>467</v>
      </c>
      <c r="G444" s="513" t="s">
        <v>26</v>
      </c>
      <c r="H444" s="516">
        <v>1203427</v>
      </c>
      <c r="I444" s="512" t="s">
        <v>6915</v>
      </c>
    </row>
    <row r="445" spans="2:9" ht="15" x14ac:dyDescent="0.35">
      <c r="B445" s="512" t="s">
        <v>6219</v>
      </c>
      <c r="C445" s="512" t="s">
        <v>6232</v>
      </c>
      <c r="D445" s="512" t="s">
        <v>6232</v>
      </c>
      <c r="E445" s="513">
        <v>3947</v>
      </c>
      <c r="F445" s="512" t="s">
        <v>468</v>
      </c>
      <c r="G445" s="513" t="s">
        <v>26</v>
      </c>
      <c r="H445" s="516">
        <v>1512469</v>
      </c>
      <c r="I445" s="512" t="s">
        <v>6915</v>
      </c>
    </row>
    <row r="446" spans="2:9" ht="15" x14ac:dyDescent="0.35">
      <c r="B446" s="512" t="s">
        <v>6219</v>
      </c>
      <c r="C446" s="512" t="s">
        <v>6232</v>
      </c>
      <c r="D446" s="512" t="s">
        <v>6232</v>
      </c>
      <c r="E446" s="513">
        <v>3948</v>
      </c>
      <c r="F446" s="512" t="s">
        <v>469</v>
      </c>
      <c r="G446" s="513" t="s">
        <v>26</v>
      </c>
      <c r="H446" s="516">
        <v>1874457</v>
      </c>
      <c r="I446" s="512" t="s">
        <v>6915</v>
      </c>
    </row>
    <row r="447" spans="2:9" ht="15" x14ac:dyDescent="0.35">
      <c r="B447" s="512" t="s">
        <v>6219</v>
      </c>
      <c r="C447" s="512" t="s">
        <v>6232</v>
      </c>
      <c r="D447" s="512" t="s">
        <v>6232</v>
      </c>
      <c r="E447" s="513">
        <v>3949</v>
      </c>
      <c r="F447" s="512" t="s">
        <v>470</v>
      </c>
      <c r="G447" s="513" t="s">
        <v>26</v>
      </c>
      <c r="H447" s="516">
        <v>2121420</v>
      </c>
      <c r="I447" s="512" t="s">
        <v>6915</v>
      </c>
    </row>
    <row r="448" spans="2:9" ht="15" x14ac:dyDescent="0.35">
      <c r="B448" s="512" t="s">
        <v>6219</v>
      </c>
      <c r="C448" s="512" t="s">
        <v>6232</v>
      </c>
      <c r="D448" s="512" t="s">
        <v>6232</v>
      </c>
      <c r="E448" s="513">
        <v>3950</v>
      </c>
      <c r="F448" s="512" t="s">
        <v>471</v>
      </c>
      <c r="G448" s="513" t="s">
        <v>26</v>
      </c>
      <c r="H448" s="516">
        <v>2515311</v>
      </c>
      <c r="I448" s="512" t="s">
        <v>6915</v>
      </c>
    </row>
    <row r="449" spans="2:9" ht="15" x14ac:dyDescent="0.35">
      <c r="B449" s="512" t="s">
        <v>6219</v>
      </c>
      <c r="C449" s="512" t="s">
        <v>6232</v>
      </c>
      <c r="D449" s="512" t="s">
        <v>6232</v>
      </c>
      <c r="E449" s="513">
        <v>3951</v>
      </c>
      <c r="F449" s="512" t="s">
        <v>472</v>
      </c>
      <c r="G449" s="513" t="s">
        <v>26</v>
      </c>
      <c r="H449" s="516">
        <v>2826050</v>
      </c>
      <c r="I449" s="512" t="s">
        <v>6915</v>
      </c>
    </row>
    <row r="450" spans="2:9" ht="15" x14ac:dyDescent="0.35">
      <c r="B450" s="512" t="s">
        <v>6219</v>
      </c>
      <c r="C450" s="512" t="s">
        <v>6232</v>
      </c>
      <c r="D450" s="512" t="s">
        <v>6232</v>
      </c>
      <c r="E450" s="513">
        <v>3952</v>
      </c>
      <c r="F450" s="512" t="s">
        <v>473</v>
      </c>
      <c r="G450" s="513" t="s">
        <v>26</v>
      </c>
      <c r="H450" s="516">
        <v>3199492</v>
      </c>
      <c r="I450" s="512" t="s">
        <v>6915</v>
      </c>
    </row>
    <row r="451" spans="2:9" ht="15" x14ac:dyDescent="0.35">
      <c r="B451" s="512" t="s">
        <v>6219</v>
      </c>
      <c r="C451" s="512" t="s">
        <v>6232</v>
      </c>
      <c r="D451" s="512" t="s">
        <v>6232</v>
      </c>
      <c r="E451" s="513">
        <v>3953</v>
      </c>
      <c r="F451" s="512" t="s">
        <v>474</v>
      </c>
      <c r="G451" s="513" t="s">
        <v>26</v>
      </c>
      <c r="H451" s="516">
        <v>3580389</v>
      </c>
      <c r="I451" s="512" t="s">
        <v>6915</v>
      </c>
    </row>
    <row r="452" spans="2:9" ht="15" x14ac:dyDescent="0.35">
      <c r="B452" s="512" t="s">
        <v>6219</v>
      </c>
      <c r="C452" s="512" t="s">
        <v>6232</v>
      </c>
      <c r="D452" s="512" t="s">
        <v>6232</v>
      </c>
      <c r="E452" s="513">
        <v>3954</v>
      </c>
      <c r="F452" s="512" t="s">
        <v>475</v>
      </c>
      <c r="G452" s="513" t="s">
        <v>26</v>
      </c>
      <c r="H452" s="516">
        <v>4007114</v>
      </c>
      <c r="I452" s="512" t="s">
        <v>6915</v>
      </c>
    </row>
    <row r="453" spans="2:9" ht="15" x14ac:dyDescent="0.35">
      <c r="B453" s="512" t="s">
        <v>6219</v>
      </c>
      <c r="C453" s="512" t="s">
        <v>6232</v>
      </c>
      <c r="D453" s="512" t="s">
        <v>6232</v>
      </c>
      <c r="E453" s="513">
        <v>3955</v>
      </c>
      <c r="F453" s="512" t="s">
        <v>476</v>
      </c>
      <c r="G453" s="513" t="s">
        <v>26</v>
      </c>
      <c r="H453" s="516">
        <v>4483069</v>
      </c>
      <c r="I453" s="512" t="s">
        <v>6915</v>
      </c>
    </row>
    <row r="454" spans="2:9" ht="15" x14ac:dyDescent="0.35">
      <c r="B454" s="512" t="s">
        <v>6219</v>
      </c>
      <c r="C454" s="512" t="s">
        <v>6232</v>
      </c>
      <c r="D454" s="512" t="s">
        <v>6232</v>
      </c>
      <c r="E454" s="513">
        <v>3956</v>
      </c>
      <c r="F454" s="512" t="s">
        <v>477</v>
      </c>
      <c r="G454" s="513" t="s">
        <v>26</v>
      </c>
      <c r="H454" s="516">
        <v>5014211</v>
      </c>
      <c r="I454" s="512" t="s">
        <v>6915</v>
      </c>
    </row>
    <row r="455" spans="2:9" ht="15" x14ac:dyDescent="0.35">
      <c r="B455" s="512" t="s">
        <v>6219</v>
      </c>
      <c r="C455" s="512" t="s">
        <v>6232</v>
      </c>
      <c r="D455" s="512" t="s">
        <v>6232</v>
      </c>
      <c r="E455" s="513">
        <v>3957</v>
      </c>
      <c r="F455" s="512" t="s">
        <v>478</v>
      </c>
      <c r="G455" s="513" t="s">
        <v>26</v>
      </c>
      <c r="H455" s="516">
        <v>6210364</v>
      </c>
      <c r="I455" s="512" t="s">
        <v>6915</v>
      </c>
    </row>
    <row r="456" spans="2:9" ht="15" x14ac:dyDescent="0.35">
      <c r="B456" s="512" t="s">
        <v>6219</v>
      </c>
      <c r="C456" s="512" t="s">
        <v>6232</v>
      </c>
      <c r="D456" s="512" t="s">
        <v>6232</v>
      </c>
      <c r="E456" s="513">
        <v>3958</v>
      </c>
      <c r="F456" s="512" t="s">
        <v>479</v>
      </c>
      <c r="G456" s="513" t="s">
        <v>26</v>
      </c>
      <c r="H456" s="516">
        <v>6969979</v>
      </c>
      <c r="I456" s="512" t="s">
        <v>6915</v>
      </c>
    </row>
    <row r="457" spans="2:9" ht="15" x14ac:dyDescent="0.35">
      <c r="B457" s="512" t="s">
        <v>6219</v>
      </c>
      <c r="C457" s="512" t="s">
        <v>6232</v>
      </c>
      <c r="D457" s="512" t="s">
        <v>6232</v>
      </c>
      <c r="E457" s="513">
        <v>3959</v>
      </c>
      <c r="F457" s="512" t="s">
        <v>480</v>
      </c>
      <c r="G457" s="513" t="s">
        <v>26</v>
      </c>
      <c r="H457" s="516">
        <v>7803527</v>
      </c>
      <c r="I457" s="512" t="s">
        <v>6915</v>
      </c>
    </row>
    <row r="458" spans="2:9" ht="15" x14ac:dyDescent="0.35">
      <c r="B458" s="512" t="s">
        <v>6219</v>
      </c>
      <c r="C458" s="512" t="s">
        <v>6232</v>
      </c>
      <c r="D458" s="512" t="s">
        <v>6232</v>
      </c>
      <c r="E458" s="513">
        <v>3960</v>
      </c>
      <c r="F458" s="512" t="s">
        <v>481</v>
      </c>
      <c r="G458" s="513" t="s">
        <v>26</v>
      </c>
      <c r="H458" s="516">
        <v>817846</v>
      </c>
      <c r="I458" s="512" t="s">
        <v>6915</v>
      </c>
    </row>
    <row r="459" spans="2:9" ht="15" x14ac:dyDescent="0.35">
      <c r="B459" s="512" t="s">
        <v>6219</v>
      </c>
      <c r="C459" s="512" t="s">
        <v>6232</v>
      </c>
      <c r="D459" s="512" t="s">
        <v>6232</v>
      </c>
      <c r="E459" s="513">
        <v>3961</v>
      </c>
      <c r="F459" s="512" t="s">
        <v>482</v>
      </c>
      <c r="G459" s="513" t="s">
        <v>26</v>
      </c>
      <c r="H459" s="516">
        <v>1018091</v>
      </c>
      <c r="I459" s="512" t="s">
        <v>6915</v>
      </c>
    </row>
    <row r="460" spans="2:9" ht="15" x14ac:dyDescent="0.35">
      <c r="B460" s="512" t="s">
        <v>6219</v>
      </c>
      <c r="C460" s="512" t="s">
        <v>6232</v>
      </c>
      <c r="D460" s="512" t="s">
        <v>6232</v>
      </c>
      <c r="E460" s="513">
        <v>3963</v>
      </c>
      <c r="F460" s="512" t="s">
        <v>483</v>
      </c>
      <c r="G460" s="513" t="s">
        <v>26</v>
      </c>
      <c r="H460" s="516">
        <v>1548931</v>
      </c>
      <c r="I460" s="512" t="s">
        <v>6915</v>
      </c>
    </row>
    <row r="461" spans="2:9" ht="15" x14ac:dyDescent="0.35">
      <c r="B461" s="512" t="s">
        <v>6219</v>
      </c>
      <c r="C461" s="512" t="s">
        <v>6232</v>
      </c>
      <c r="D461" s="512" t="s">
        <v>6232</v>
      </c>
      <c r="E461" s="513">
        <v>3964</v>
      </c>
      <c r="F461" s="512" t="s">
        <v>484</v>
      </c>
      <c r="G461" s="513" t="s">
        <v>26</v>
      </c>
      <c r="H461" s="516">
        <v>1920914</v>
      </c>
      <c r="I461" s="512" t="s">
        <v>6915</v>
      </c>
    </row>
    <row r="462" spans="2:9" ht="15" x14ac:dyDescent="0.35">
      <c r="B462" s="512" t="s">
        <v>6219</v>
      </c>
      <c r="C462" s="512" t="s">
        <v>6232</v>
      </c>
      <c r="D462" s="512" t="s">
        <v>6232</v>
      </c>
      <c r="E462" s="513">
        <v>3965</v>
      </c>
      <c r="F462" s="512" t="s">
        <v>485</v>
      </c>
      <c r="G462" s="513" t="s">
        <v>26</v>
      </c>
      <c r="H462" s="516">
        <v>2163974</v>
      </c>
      <c r="I462" s="512" t="s">
        <v>6915</v>
      </c>
    </row>
    <row r="463" spans="2:9" ht="15" x14ac:dyDescent="0.35">
      <c r="B463" s="512" t="s">
        <v>6219</v>
      </c>
      <c r="C463" s="512" t="s">
        <v>6232</v>
      </c>
      <c r="D463" s="512" t="s">
        <v>6232</v>
      </c>
      <c r="E463" s="513">
        <v>3966</v>
      </c>
      <c r="F463" s="512" t="s">
        <v>486</v>
      </c>
      <c r="G463" s="513" t="s">
        <v>26</v>
      </c>
      <c r="H463" s="516">
        <v>2576001</v>
      </c>
      <c r="I463" s="512" t="s">
        <v>6915</v>
      </c>
    </row>
    <row r="464" spans="2:9" ht="15" x14ac:dyDescent="0.35">
      <c r="B464" s="512" t="s">
        <v>6219</v>
      </c>
      <c r="C464" s="512" t="s">
        <v>6232</v>
      </c>
      <c r="D464" s="512" t="s">
        <v>6232</v>
      </c>
      <c r="E464" s="513">
        <v>3967</v>
      </c>
      <c r="F464" s="512" t="s">
        <v>487</v>
      </c>
      <c r="G464" s="513" t="s">
        <v>26</v>
      </c>
      <c r="H464" s="516">
        <v>2898831</v>
      </c>
      <c r="I464" s="512" t="s">
        <v>6915</v>
      </c>
    </row>
    <row r="465" spans="2:9" ht="15" x14ac:dyDescent="0.35">
      <c r="B465" s="512" t="s">
        <v>6219</v>
      </c>
      <c r="C465" s="512" t="s">
        <v>6232</v>
      </c>
      <c r="D465" s="512" t="s">
        <v>6232</v>
      </c>
      <c r="E465" s="513">
        <v>3968</v>
      </c>
      <c r="F465" s="512" t="s">
        <v>488</v>
      </c>
      <c r="G465" s="513" t="s">
        <v>26</v>
      </c>
      <c r="H465" s="516">
        <v>3242094</v>
      </c>
      <c r="I465" s="512" t="s">
        <v>6915</v>
      </c>
    </row>
    <row r="466" spans="2:9" ht="15" x14ac:dyDescent="0.35">
      <c r="B466" s="512" t="s">
        <v>6219</v>
      </c>
      <c r="C466" s="512" t="s">
        <v>6232</v>
      </c>
      <c r="D466" s="512" t="s">
        <v>6232</v>
      </c>
      <c r="E466" s="513">
        <v>3969</v>
      </c>
      <c r="F466" s="512" t="s">
        <v>489</v>
      </c>
      <c r="G466" s="513" t="s">
        <v>26</v>
      </c>
      <c r="H466" s="516">
        <v>4065956</v>
      </c>
      <c r="I466" s="512" t="s">
        <v>6915</v>
      </c>
    </row>
    <row r="467" spans="2:9" ht="15" x14ac:dyDescent="0.35">
      <c r="B467" s="512" t="s">
        <v>6219</v>
      </c>
      <c r="C467" s="512" t="s">
        <v>6232</v>
      </c>
      <c r="D467" s="512" t="s">
        <v>6232</v>
      </c>
      <c r="E467" s="513">
        <v>3970</v>
      </c>
      <c r="F467" s="512" t="s">
        <v>490</v>
      </c>
      <c r="G467" s="513" t="s">
        <v>26</v>
      </c>
      <c r="H467" s="516">
        <v>4100077</v>
      </c>
      <c r="I467" s="512" t="s">
        <v>6915</v>
      </c>
    </row>
    <row r="468" spans="2:9" ht="15" x14ac:dyDescent="0.35">
      <c r="B468" s="512" t="s">
        <v>6219</v>
      </c>
      <c r="C468" s="512" t="s">
        <v>6232</v>
      </c>
      <c r="D468" s="512" t="s">
        <v>6232</v>
      </c>
      <c r="E468" s="513">
        <v>3971</v>
      </c>
      <c r="F468" s="512" t="s">
        <v>491</v>
      </c>
      <c r="G468" s="513" t="s">
        <v>26</v>
      </c>
      <c r="H468" s="516">
        <v>4780378</v>
      </c>
      <c r="I468" s="512" t="s">
        <v>6915</v>
      </c>
    </row>
    <row r="469" spans="2:9" ht="15" x14ac:dyDescent="0.35">
      <c r="B469" s="512" t="s">
        <v>6219</v>
      </c>
      <c r="C469" s="512" t="s">
        <v>6232</v>
      </c>
      <c r="D469" s="512" t="s">
        <v>6232</v>
      </c>
      <c r="E469" s="513">
        <v>3972</v>
      </c>
      <c r="F469" s="512" t="s">
        <v>492</v>
      </c>
      <c r="G469" s="513" t="s">
        <v>26</v>
      </c>
      <c r="H469" s="516">
        <v>5036345</v>
      </c>
      <c r="I469" s="512" t="s">
        <v>6915</v>
      </c>
    </row>
    <row r="470" spans="2:9" ht="15" x14ac:dyDescent="0.35">
      <c r="B470" s="512" t="s">
        <v>6219</v>
      </c>
      <c r="C470" s="512" t="s">
        <v>6232</v>
      </c>
      <c r="D470" s="512" t="s">
        <v>6232</v>
      </c>
      <c r="E470" s="513">
        <v>3973</v>
      </c>
      <c r="F470" s="512" t="s">
        <v>493</v>
      </c>
      <c r="G470" s="513" t="s">
        <v>26</v>
      </c>
      <c r="H470" s="516">
        <v>6238639</v>
      </c>
      <c r="I470" s="512" t="s">
        <v>6915</v>
      </c>
    </row>
    <row r="471" spans="2:9" ht="15" x14ac:dyDescent="0.35">
      <c r="B471" s="512" t="s">
        <v>6219</v>
      </c>
      <c r="C471" s="512" t="s">
        <v>6232</v>
      </c>
      <c r="D471" s="512" t="s">
        <v>6232</v>
      </c>
      <c r="E471" s="513">
        <v>3974</v>
      </c>
      <c r="F471" s="512" t="s">
        <v>494</v>
      </c>
      <c r="G471" s="513" t="s">
        <v>26</v>
      </c>
      <c r="H471" s="516">
        <v>7079221</v>
      </c>
      <c r="I471" s="512" t="s">
        <v>6915</v>
      </c>
    </row>
    <row r="472" spans="2:9" ht="15" x14ac:dyDescent="0.35">
      <c r="B472" s="512" t="s">
        <v>6219</v>
      </c>
      <c r="C472" s="512" t="s">
        <v>6232</v>
      </c>
      <c r="D472" s="512" t="s">
        <v>6232</v>
      </c>
      <c r="E472" s="513">
        <v>3975</v>
      </c>
      <c r="F472" s="512" t="s">
        <v>495</v>
      </c>
      <c r="G472" s="513" t="s">
        <v>26</v>
      </c>
      <c r="H472" s="516">
        <v>817846</v>
      </c>
      <c r="I472" s="512" t="s">
        <v>6915</v>
      </c>
    </row>
    <row r="473" spans="2:9" ht="15" x14ac:dyDescent="0.35">
      <c r="B473" s="512" t="s">
        <v>6219</v>
      </c>
      <c r="C473" s="512" t="s">
        <v>6232</v>
      </c>
      <c r="D473" s="512" t="s">
        <v>6232</v>
      </c>
      <c r="E473" s="513">
        <v>3976</v>
      </c>
      <c r="F473" s="512" t="s">
        <v>496</v>
      </c>
      <c r="G473" s="513" t="s">
        <v>26</v>
      </c>
      <c r="H473" s="516">
        <v>1072926</v>
      </c>
      <c r="I473" s="512" t="s">
        <v>6915</v>
      </c>
    </row>
    <row r="474" spans="2:9" ht="15" x14ac:dyDescent="0.35">
      <c r="B474" s="512" t="s">
        <v>6219</v>
      </c>
      <c r="C474" s="512" t="s">
        <v>6232</v>
      </c>
      <c r="D474" s="512" t="s">
        <v>6232</v>
      </c>
      <c r="E474" s="513">
        <v>3978</v>
      </c>
      <c r="F474" s="512" t="s">
        <v>497</v>
      </c>
      <c r="G474" s="513" t="s">
        <v>26</v>
      </c>
      <c r="H474" s="516">
        <v>1631898</v>
      </c>
      <c r="I474" s="512" t="s">
        <v>6915</v>
      </c>
    </row>
    <row r="475" spans="2:9" ht="15" x14ac:dyDescent="0.35">
      <c r="B475" s="512" t="s">
        <v>6219</v>
      </c>
      <c r="C475" s="512" t="s">
        <v>6232</v>
      </c>
      <c r="D475" s="512" t="s">
        <v>6232</v>
      </c>
      <c r="E475" s="513">
        <v>3979</v>
      </c>
      <c r="F475" s="512" t="s">
        <v>498</v>
      </c>
      <c r="G475" s="513" t="s">
        <v>26</v>
      </c>
      <c r="H475" s="516">
        <v>2028062</v>
      </c>
      <c r="I475" s="512" t="s">
        <v>6915</v>
      </c>
    </row>
    <row r="476" spans="2:9" ht="15" x14ac:dyDescent="0.35">
      <c r="B476" s="512" t="s">
        <v>6219</v>
      </c>
      <c r="C476" s="512" t="s">
        <v>6232</v>
      </c>
      <c r="D476" s="512" t="s">
        <v>6232</v>
      </c>
      <c r="E476" s="513">
        <v>3980</v>
      </c>
      <c r="F476" s="512" t="s">
        <v>499</v>
      </c>
      <c r="G476" s="513" t="s">
        <v>26</v>
      </c>
      <c r="H476" s="516">
        <v>2281023</v>
      </c>
      <c r="I476" s="512" t="s">
        <v>6915</v>
      </c>
    </row>
    <row r="477" spans="2:9" ht="15" x14ac:dyDescent="0.35">
      <c r="B477" s="512" t="s">
        <v>6219</v>
      </c>
      <c r="C477" s="512" t="s">
        <v>6232</v>
      </c>
      <c r="D477" s="512" t="s">
        <v>6232</v>
      </c>
      <c r="E477" s="513">
        <v>3981</v>
      </c>
      <c r="F477" s="512" t="s">
        <v>500</v>
      </c>
      <c r="G477" s="513" t="s">
        <v>26</v>
      </c>
      <c r="H477" s="516">
        <v>2715707</v>
      </c>
      <c r="I477" s="512" t="s">
        <v>6915</v>
      </c>
    </row>
    <row r="478" spans="2:9" ht="15" x14ac:dyDescent="0.35">
      <c r="B478" s="512" t="s">
        <v>6219</v>
      </c>
      <c r="C478" s="512" t="s">
        <v>6232</v>
      </c>
      <c r="D478" s="512" t="s">
        <v>6232</v>
      </c>
      <c r="E478" s="513">
        <v>3982</v>
      </c>
      <c r="F478" s="512" t="s">
        <v>501</v>
      </c>
      <c r="G478" s="513" t="s">
        <v>26</v>
      </c>
      <c r="H478" s="516">
        <v>3052674</v>
      </c>
      <c r="I478" s="512" t="s">
        <v>6915</v>
      </c>
    </row>
    <row r="479" spans="2:9" ht="15" x14ac:dyDescent="0.35">
      <c r="B479" s="512" t="s">
        <v>6219</v>
      </c>
      <c r="C479" s="512" t="s">
        <v>6232</v>
      </c>
      <c r="D479" s="512" t="s">
        <v>6232</v>
      </c>
      <c r="E479" s="513">
        <v>3983</v>
      </c>
      <c r="F479" s="512" t="s">
        <v>502</v>
      </c>
      <c r="G479" s="513" t="s">
        <v>26</v>
      </c>
      <c r="H479" s="516">
        <v>3407980</v>
      </c>
      <c r="I479" s="512" t="s">
        <v>6915</v>
      </c>
    </row>
    <row r="480" spans="2:9" ht="15" x14ac:dyDescent="0.35">
      <c r="B480" s="512" t="s">
        <v>6219</v>
      </c>
      <c r="C480" s="512" t="s">
        <v>6232</v>
      </c>
      <c r="D480" s="512" t="s">
        <v>6232</v>
      </c>
      <c r="E480" s="513">
        <v>3984</v>
      </c>
      <c r="F480" s="512" t="s">
        <v>503</v>
      </c>
      <c r="G480" s="513" t="s">
        <v>26</v>
      </c>
      <c r="H480" s="516">
        <v>3647219</v>
      </c>
      <c r="I480" s="512" t="s">
        <v>6915</v>
      </c>
    </row>
    <row r="481" spans="2:9" ht="15" x14ac:dyDescent="0.35">
      <c r="B481" s="512" t="s">
        <v>6219</v>
      </c>
      <c r="C481" s="512" t="s">
        <v>6232</v>
      </c>
      <c r="D481" s="512" t="s">
        <v>6232</v>
      </c>
      <c r="E481" s="513">
        <v>3985</v>
      </c>
      <c r="F481" s="512" t="s">
        <v>504</v>
      </c>
      <c r="G481" s="513" t="s">
        <v>26</v>
      </c>
      <c r="H481" s="516">
        <v>4267962</v>
      </c>
      <c r="I481" s="512" t="s">
        <v>6915</v>
      </c>
    </row>
    <row r="482" spans="2:9" ht="15" x14ac:dyDescent="0.35">
      <c r="B482" s="512" t="s">
        <v>6219</v>
      </c>
      <c r="C482" s="512" t="s">
        <v>6232</v>
      </c>
      <c r="D482" s="512" t="s">
        <v>6232</v>
      </c>
      <c r="E482" s="513">
        <v>3986</v>
      </c>
      <c r="F482" s="512" t="s">
        <v>505</v>
      </c>
      <c r="G482" s="513" t="s">
        <v>26</v>
      </c>
      <c r="H482" s="516">
        <v>5523959</v>
      </c>
      <c r="I482" s="512" t="s">
        <v>6915</v>
      </c>
    </row>
    <row r="483" spans="2:9" ht="15" x14ac:dyDescent="0.35">
      <c r="B483" s="512" t="s">
        <v>6219</v>
      </c>
      <c r="C483" s="512" t="s">
        <v>6232</v>
      </c>
      <c r="D483" s="512" t="s">
        <v>6232</v>
      </c>
      <c r="E483" s="513">
        <v>3987</v>
      </c>
      <c r="F483" s="512" t="s">
        <v>506</v>
      </c>
      <c r="G483" s="513" t="s">
        <v>26</v>
      </c>
      <c r="H483" s="516">
        <v>4588169</v>
      </c>
      <c r="I483" s="512" t="s">
        <v>6915</v>
      </c>
    </row>
    <row r="484" spans="2:9" ht="15" x14ac:dyDescent="0.35">
      <c r="B484" s="512" t="s">
        <v>6219</v>
      </c>
      <c r="C484" s="512" t="s">
        <v>6232</v>
      </c>
      <c r="D484" s="512" t="s">
        <v>6232</v>
      </c>
      <c r="E484" s="513">
        <v>3988</v>
      </c>
      <c r="F484" s="512" t="s">
        <v>507</v>
      </c>
      <c r="G484" s="513" t="s">
        <v>26</v>
      </c>
      <c r="H484" s="516">
        <v>6495536</v>
      </c>
      <c r="I484" s="512" t="s">
        <v>6915</v>
      </c>
    </row>
    <row r="485" spans="2:9" ht="15" x14ac:dyDescent="0.35">
      <c r="B485" s="512" t="s">
        <v>6219</v>
      </c>
      <c r="C485" s="512" t="s">
        <v>6232</v>
      </c>
      <c r="D485" s="512" t="s">
        <v>6232</v>
      </c>
      <c r="E485" s="513">
        <v>3989</v>
      </c>
      <c r="F485" s="512" t="s">
        <v>508</v>
      </c>
      <c r="G485" s="513" t="s">
        <v>26</v>
      </c>
      <c r="H485" s="516">
        <v>7255199</v>
      </c>
      <c r="I485" s="512" t="s">
        <v>6915</v>
      </c>
    </row>
    <row r="486" spans="2:9" ht="15" x14ac:dyDescent="0.35">
      <c r="B486" s="512" t="s">
        <v>6219</v>
      </c>
      <c r="C486" s="512" t="s">
        <v>6232</v>
      </c>
      <c r="D486" s="512" t="s">
        <v>6232</v>
      </c>
      <c r="E486" s="513">
        <v>3990</v>
      </c>
      <c r="F486" s="512" t="s">
        <v>509</v>
      </c>
      <c r="G486" s="513" t="s">
        <v>26</v>
      </c>
      <c r="H486" s="516">
        <v>7925003</v>
      </c>
      <c r="I486" s="512" t="s">
        <v>6915</v>
      </c>
    </row>
    <row r="487" spans="2:9" ht="15" x14ac:dyDescent="0.35">
      <c r="B487" s="512" t="s">
        <v>6219</v>
      </c>
      <c r="C487" s="512" t="s">
        <v>6232</v>
      </c>
      <c r="D487" s="512" t="s">
        <v>6232</v>
      </c>
      <c r="E487" s="513">
        <v>3991</v>
      </c>
      <c r="F487" s="512" t="s">
        <v>510</v>
      </c>
      <c r="G487" s="513" t="s">
        <v>26</v>
      </c>
      <c r="H487" s="516">
        <v>8056426</v>
      </c>
      <c r="I487" s="512" t="s">
        <v>6915</v>
      </c>
    </row>
    <row r="488" spans="2:9" ht="15" x14ac:dyDescent="0.35">
      <c r="B488" s="512" t="s">
        <v>6219</v>
      </c>
      <c r="C488" s="512" t="s">
        <v>6232</v>
      </c>
      <c r="D488" s="512" t="s">
        <v>6232</v>
      </c>
      <c r="E488" s="513">
        <v>3992</v>
      </c>
      <c r="F488" s="512" t="s">
        <v>511</v>
      </c>
      <c r="G488" s="513" t="s">
        <v>26</v>
      </c>
      <c r="H488" s="516">
        <v>916949</v>
      </c>
      <c r="I488" s="512" t="s">
        <v>6915</v>
      </c>
    </row>
    <row r="489" spans="2:9" ht="15" x14ac:dyDescent="0.35">
      <c r="B489" s="512" t="s">
        <v>6219</v>
      </c>
      <c r="C489" s="512" t="s">
        <v>6232</v>
      </c>
      <c r="D489" s="512" t="s">
        <v>6232</v>
      </c>
      <c r="E489" s="513">
        <v>3993</v>
      </c>
      <c r="F489" s="512" t="s">
        <v>512</v>
      </c>
      <c r="G489" s="513" t="s">
        <v>26</v>
      </c>
      <c r="H489" s="516">
        <v>1208253</v>
      </c>
      <c r="I489" s="512" t="s">
        <v>6915</v>
      </c>
    </row>
    <row r="490" spans="2:9" ht="15" x14ac:dyDescent="0.35">
      <c r="B490" s="512" t="s">
        <v>6219</v>
      </c>
      <c r="C490" s="512" t="s">
        <v>6232</v>
      </c>
      <c r="D490" s="512" t="s">
        <v>6232</v>
      </c>
      <c r="E490" s="513">
        <v>3994</v>
      </c>
      <c r="F490" s="512" t="s">
        <v>513</v>
      </c>
      <c r="G490" s="513" t="s">
        <v>26</v>
      </c>
      <c r="H490" s="516">
        <v>1478460</v>
      </c>
      <c r="I490" s="512" t="s">
        <v>6915</v>
      </c>
    </row>
    <row r="491" spans="2:9" ht="15" x14ac:dyDescent="0.35">
      <c r="B491" s="512" t="s">
        <v>6219</v>
      </c>
      <c r="C491" s="512" t="s">
        <v>6232</v>
      </c>
      <c r="D491" s="512" t="s">
        <v>6232</v>
      </c>
      <c r="E491" s="513">
        <v>3995</v>
      </c>
      <c r="F491" s="512" t="s">
        <v>514</v>
      </c>
      <c r="G491" s="513" t="s">
        <v>26</v>
      </c>
      <c r="H491" s="516">
        <v>1852143</v>
      </c>
      <c r="I491" s="512" t="s">
        <v>6915</v>
      </c>
    </row>
    <row r="492" spans="2:9" ht="15" x14ac:dyDescent="0.35">
      <c r="B492" s="512" t="s">
        <v>6219</v>
      </c>
      <c r="C492" s="512" t="s">
        <v>6232</v>
      </c>
      <c r="D492" s="512" t="s">
        <v>6232</v>
      </c>
      <c r="E492" s="513">
        <v>3996</v>
      </c>
      <c r="F492" s="512" t="s">
        <v>515</v>
      </c>
      <c r="G492" s="513" t="s">
        <v>26</v>
      </c>
      <c r="H492" s="516">
        <v>2301238</v>
      </c>
      <c r="I492" s="512" t="s">
        <v>6915</v>
      </c>
    </row>
    <row r="493" spans="2:9" ht="15" x14ac:dyDescent="0.35">
      <c r="B493" s="512" t="s">
        <v>6219</v>
      </c>
      <c r="C493" s="512" t="s">
        <v>6232</v>
      </c>
      <c r="D493" s="512" t="s">
        <v>6232</v>
      </c>
      <c r="E493" s="513">
        <v>3997</v>
      </c>
      <c r="F493" s="512" t="s">
        <v>516</v>
      </c>
      <c r="G493" s="513" t="s">
        <v>26</v>
      </c>
      <c r="H493" s="516">
        <v>2588614</v>
      </c>
      <c r="I493" s="512" t="s">
        <v>6915</v>
      </c>
    </row>
    <row r="494" spans="2:9" ht="15" x14ac:dyDescent="0.35">
      <c r="B494" s="512" t="s">
        <v>6219</v>
      </c>
      <c r="C494" s="512" t="s">
        <v>6232</v>
      </c>
      <c r="D494" s="512" t="s">
        <v>6232</v>
      </c>
      <c r="E494" s="513">
        <v>3998</v>
      </c>
      <c r="F494" s="512" t="s">
        <v>517</v>
      </c>
      <c r="G494" s="513" t="s">
        <v>26</v>
      </c>
      <c r="H494" s="516">
        <v>3075991</v>
      </c>
      <c r="I494" s="512" t="s">
        <v>6915</v>
      </c>
    </row>
    <row r="495" spans="2:9" ht="15" x14ac:dyDescent="0.35">
      <c r="B495" s="512" t="s">
        <v>6219</v>
      </c>
      <c r="C495" s="512" t="s">
        <v>6232</v>
      </c>
      <c r="D495" s="512" t="s">
        <v>6232</v>
      </c>
      <c r="E495" s="513">
        <v>3999</v>
      </c>
      <c r="F495" s="512" t="s">
        <v>518</v>
      </c>
      <c r="G495" s="513" t="s">
        <v>26</v>
      </c>
      <c r="H495" s="516">
        <v>3477409</v>
      </c>
      <c r="I495" s="512" t="s">
        <v>6915</v>
      </c>
    </row>
    <row r="496" spans="2:9" ht="15" x14ac:dyDescent="0.35">
      <c r="B496" s="512" t="s">
        <v>6219</v>
      </c>
      <c r="C496" s="512" t="s">
        <v>6232</v>
      </c>
      <c r="D496" s="512" t="s">
        <v>6232</v>
      </c>
      <c r="E496" s="513">
        <v>4000</v>
      </c>
      <c r="F496" s="512" t="s">
        <v>519</v>
      </c>
      <c r="G496" s="513" t="s">
        <v>26</v>
      </c>
      <c r="H496" s="516">
        <v>3727519</v>
      </c>
      <c r="I496" s="512" t="s">
        <v>6915</v>
      </c>
    </row>
    <row r="497" spans="2:9" ht="15" x14ac:dyDescent="0.35">
      <c r="B497" s="512" t="s">
        <v>6219</v>
      </c>
      <c r="C497" s="512" t="s">
        <v>6232</v>
      </c>
      <c r="D497" s="512" t="s">
        <v>6232</v>
      </c>
      <c r="E497" s="513">
        <v>4001</v>
      </c>
      <c r="F497" s="512" t="s">
        <v>520</v>
      </c>
      <c r="G497" s="513" t="s">
        <v>26</v>
      </c>
      <c r="H497" s="516">
        <v>4286344</v>
      </c>
      <c r="I497" s="512" t="s">
        <v>6915</v>
      </c>
    </row>
    <row r="498" spans="2:9" ht="15" x14ac:dyDescent="0.35">
      <c r="B498" s="512" t="s">
        <v>6219</v>
      </c>
      <c r="C498" s="512" t="s">
        <v>6232</v>
      </c>
      <c r="D498" s="512" t="s">
        <v>6232</v>
      </c>
      <c r="E498" s="513">
        <v>4002</v>
      </c>
      <c r="F498" s="512" t="s">
        <v>521</v>
      </c>
      <c r="G498" s="513" t="s">
        <v>26</v>
      </c>
      <c r="H498" s="516">
        <v>4828309</v>
      </c>
      <c r="I498" s="512" t="s">
        <v>6915</v>
      </c>
    </row>
    <row r="499" spans="2:9" ht="15" x14ac:dyDescent="0.35">
      <c r="B499" s="512" t="s">
        <v>6219</v>
      </c>
      <c r="C499" s="512" t="s">
        <v>6232</v>
      </c>
      <c r="D499" s="512" t="s">
        <v>6232</v>
      </c>
      <c r="E499" s="513">
        <v>4004</v>
      </c>
      <c r="F499" s="512" t="s">
        <v>522</v>
      </c>
      <c r="G499" s="513" t="s">
        <v>26</v>
      </c>
      <c r="H499" s="516">
        <v>5417599</v>
      </c>
      <c r="I499" s="512" t="s">
        <v>6915</v>
      </c>
    </row>
    <row r="500" spans="2:9" ht="15" x14ac:dyDescent="0.35">
      <c r="B500" s="512" t="s">
        <v>6219</v>
      </c>
      <c r="C500" s="512" t="s">
        <v>6232</v>
      </c>
      <c r="D500" s="512" t="s">
        <v>6232</v>
      </c>
      <c r="E500" s="513">
        <v>4005</v>
      </c>
      <c r="F500" s="512" t="s">
        <v>523</v>
      </c>
      <c r="G500" s="513" t="s">
        <v>26</v>
      </c>
      <c r="H500" s="516">
        <v>6017714</v>
      </c>
      <c r="I500" s="512" t="s">
        <v>6915</v>
      </c>
    </row>
    <row r="501" spans="2:9" ht="15" x14ac:dyDescent="0.35">
      <c r="B501" s="512" t="s">
        <v>6219</v>
      </c>
      <c r="C501" s="512" t="s">
        <v>6232</v>
      </c>
      <c r="D501" s="512" t="s">
        <v>6232</v>
      </c>
      <c r="E501" s="513">
        <v>4006</v>
      </c>
      <c r="F501" s="512" t="s">
        <v>524</v>
      </c>
      <c r="G501" s="513" t="s">
        <v>26</v>
      </c>
      <c r="H501" s="516">
        <v>7373613</v>
      </c>
      <c r="I501" s="512" t="s">
        <v>6915</v>
      </c>
    </row>
    <row r="502" spans="2:9" ht="15" x14ac:dyDescent="0.35">
      <c r="B502" s="512" t="s">
        <v>6219</v>
      </c>
      <c r="C502" s="512" t="s">
        <v>6232</v>
      </c>
      <c r="D502" s="512" t="s">
        <v>6232</v>
      </c>
      <c r="E502" s="513">
        <v>4007</v>
      </c>
      <c r="F502" s="512" t="s">
        <v>525</v>
      </c>
      <c r="G502" s="513" t="s">
        <v>26</v>
      </c>
      <c r="H502" s="516">
        <v>8776352</v>
      </c>
      <c r="I502" s="512" t="s">
        <v>6915</v>
      </c>
    </row>
    <row r="503" spans="2:9" ht="15" x14ac:dyDescent="0.35">
      <c r="B503" s="512" t="s">
        <v>6219</v>
      </c>
      <c r="C503" s="512" t="s">
        <v>6232</v>
      </c>
      <c r="D503" s="512" t="s">
        <v>6232</v>
      </c>
      <c r="E503" s="513">
        <v>4008</v>
      </c>
      <c r="F503" s="512" t="s">
        <v>526</v>
      </c>
      <c r="G503" s="513" t="s">
        <v>26</v>
      </c>
      <c r="H503" s="516">
        <v>9561395</v>
      </c>
      <c r="I503" s="512" t="s">
        <v>6915</v>
      </c>
    </row>
    <row r="504" spans="2:9" ht="15" x14ac:dyDescent="0.35">
      <c r="B504" s="512" t="s">
        <v>6219</v>
      </c>
      <c r="C504" s="512" t="s">
        <v>6258</v>
      </c>
      <c r="D504" s="512" t="s">
        <v>6259</v>
      </c>
      <c r="E504" s="513">
        <v>4009</v>
      </c>
      <c r="F504" s="512" t="s">
        <v>527</v>
      </c>
      <c r="G504" s="513" t="s">
        <v>21</v>
      </c>
      <c r="H504" s="516">
        <v>14037</v>
      </c>
      <c r="I504" s="512" t="s">
        <v>6915</v>
      </c>
    </row>
    <row r="505" spans="2:9" ht="15" x14ac:dyDescent="0.35">
      <c r="B505" s="512" t="s">
        <v>6219</v>
      </c>
      <c r="C505" s="512" t="s">
        <v>6258</v>
      </c>
      <c r="D505" s="512" t="s">
        <v>6259</v>
      </c>
      <c r="E505" s="513">
        <v>4010</v>
      </c>
      <c r="F505" s="512" t="s">
        <v>528</v>
      </c>
      <c r="G505" s="513" t="s">
        <v>21</v>
      </c>
      <c r="H505" s="516">
        <v>22923</v>
      </c>
      <c r="I505" s="512" t="s">
        <v>6915</v>
      </c>
    </row>
    <row r="506" spans="2:9" ht="15" x14ac:dyDescent="0.35">
      <c r="B506" s="512" t="s">
        <v>6219</v>
      </c>
      <c r="C506" s="512" t="s">
        <v>6258</v>
      </c>
      <c r="D506" s="512" t="s">
        <v>6259</v>
      </c>
      <c r="E506" s="513">
        <v>4011</v>
      </c>
      <c r="F506" s="512" t="s">
        <v>529</v>
      </c>
      <c r="G506" s="513" t="s">
        <v>21</v>
      </c>
      <c r="H506" s="516">
        <v>27834</v>
      </c>
      <c r="I506" s="512" t="s">
        <v>6915</v>
      </c>
    </row>
    <row r="507" spans="2:9" ht="15" x14ac:dyDescent="0.35">
      <c r="B507" s="512" t="s">
        <v>6219</v>
      </c>
      <c r="C507" s="512" t="s">
        <v>6258</v>
      </c>
      <c r="D507" s="512" t="s">
        <v>6259</v>
      </c>
      <c r="E507" s="513">
        <v>4012</v>
      </c>
      <c r="F507" s="512" t="s">
        <v>530</v>
      </c>
      <c r="G507" s="513" t="s">
        <v>21</v>
      </c>
      <c r="H507" s="516">
        <v>31461</v>
      </c>
      <c r="I507" s="512" t="s">
        <v>6915</v>
      </c>
    </row>
    <row r="508" spans="2:9" ht="15" x14ac:dyDescent="0.35">
      <c r="B508" s="512" t="s">
        <v>6219</v>
      </c>
      <c r="C508" s="512" t="s">
        <v>6258</v>
      </c>
      <c r="D508" s="512" t="s">
        <v>6259</v>
      </c>
      <c r="E508" s="513">
        <v>4013</v>
      </c>
      <c r="F508" s="512" t="s">
        <v>531</v>
      </c>
      <c r="G508" s="513" t="s">
        <v>21</v>
      </c>
      <c r="H508" s="516">
        <v>38654</v>
      </c>
      <c r="I508" s="512" t="s">
        <v>6915</v>
      </c>
    </row>
    <row r="509" spans="2:9" ht="15" x14ac:dyDescent="0.35">
      <c r="B509" s="512" t="s">
        <v>6219</v>
      </c>
      <c r="C509" s="512" t="s">
        <v>6258</v>
      </c>
      <c r="D509" s="512" t="s">
        <v>6259</v>
      </c>
      <c r="E509" s="513">
        <v>4014</v>
      </c>
      <c r="F509" s="512" t="s">
        <v>532</v>
      </c>
      <c r="G509" s="513" t="s">
        <v>21</v>
      </c>
      <c r="H509" s="516">
        <v>14037</v>
      </c>
      <c r="I509" s="512" t="s">
        <v>6915</v>
      </c>
    </row>
    <row r="510" spans="2:9" ht="15" x14ac:dyDescent="0.35">
      <c r="B510" s="512" t="s">
        <v>6219</v>
      </c>
      <c r="C510" s="512" t="s">
        <v>6258</v>
      </c>
      <c r="D510" s="512" t="s">
        <v>6259</v>
      </c>
      <c r="E510" s="513">
        <v>4015</v>
      </c>
      <c r="F510" s="512" t="s">
        <v>533</v>
      </c>
      <c r="G510" s="513" t="s">
        <v>21</v>
      </c>
      <c r="H510" s="516">
        <v>22923</v>
      </c>
      <c r="I510" s="512" t="s">
        <v>6915</v>
      </c>
    </row>
    <row r="511" spans="2:9" ht="15" x14ac:dyDescent="0.35">
      <c r="B511" s="512" t="s">
        <v>6219</v>
      </c>
      <c r="C511" s="512" t="s">
        <v>6258</v>
      </c>
      <c r="D511" s="512" t="s">
        <v>6259</v>
      </c>
      <c r="E511" s="513">
        <v>4016</v>
      </c>
      <c r="F511" s="512" t="s">
        <v>534</v>
      </c>
      <c r="G511" s="513" t="s">
        <v>21</v>
      </c>
      <c r="H511" s="516">
        <v>27834</v>
      </c>
      <c r="I511" s="512" t="s">
        <v>6915</v>
      </c>
    </row>
    <row r="512" spans="2:9" ht="15" x14ac:dyDescent="0.35">
      <c r="B512" s="512" t="s">
        <v>6219</v>
      </c>
      <c r="C512" s="512" t="s">
        <v>6258</v>
      </c>
      <c r="D512" s="512" t="s">
        <v>6259</v>
      </c>
      <c r="E512" s="513">
        <v>4017</v>
      </c>
      <c r="F512" s="512" t="s">
        <v>535</v>
      </c>
      <c r="G512" s="513" t="s">
        <v>21</v>
      </c>
      <c r="H512" s="516">
        <v>31461</v>
      </c>
      <c r="I512" s="512" t="s">
        <v>6915</v>
      </c>
    </row>
    <row r="513" spans="2:9" ht="15" x14ac:dyDescent="0.35">
      <c r="B513" s="512" t="s">
        <v>6219</v>
      </c>
      <c r="C513" s="512" t="s">
        <v>6258</v>
      </c>
      <c r="D513" s="512" t="s">
        <v>6259</v>
      </c>
      <c r="E513" s="513">
        <v>4018</v>
      </c>
      <c r="F513" s="512" t="s">
        <v>536</v>
      </c>
      <c r="G513" s="513" t="s">
        <v>21</v>
      </c>
      <c r="H513" s="516">
        <v>38654</v>
      </c>
      <c r="I513" s="512" t="s">
        <v>6915</v>
      </c>
    </row>
    <row r="514" spans="2:9" ht="15" x14ac:dyDescent="0.35">
      <c r="B514" s="512" t="s">
        <v>6219</v>
      </c>
      <c r="C514" s="512" t="s">
        <v>6258</v>
      </c>
      <c r="D514" s="512" t="s">
        <v>6259</v>
      </c>
      <c r="E514" s="513">
        <v>4019</v>
      </c>
      <c r="F514" s="512" t="s">
        <v>537</v>
      </c>
      <c r="G514" s="513" t="s">
        <v>21</v>
      </c>
      <c r="H514" s="516">
        <v>11212</v>
      </c>
      <c r="I514" s="512" t="s">
        <v>6915</v>
      </c>
    </row>
    <row r="515" spans="2:9" ht="15" x14ac:dyDescent="0.35">
      <c r="B515" s="512" t="s">
        <v>6219</v>
      </c>
      <c r="C515" s="512" t="s">
        <v>6258</v>
      </c>
      <c r="D515" s="512" t="s">
        <v>6259</v>
      </c>
      <c r="E515" s="513">
        <v>4020</v>
      </c>
      <c r="F515" s="512" t="s">
        <v>538</v>
      </c>
      <c r="G515" s="513" t="s">
        <v>21</v>
      </c>
      <c r="H515" s="516">
        <v>12838</v>
      </c>
      <c r="I515" s="512" t="s">
        <v>6915</v>
      </c>
    </row>
    <row r="516" spans="2:9" ht="15" x14ac:dyDescent="0.35">
      <c r="B516" s="512" t="s">
        <v>6219</v>
      </c>
      <c r="C516" s="512" t="s">
        <v>6258</v>
      </c>
      <c r="D516" s="512" t="s">
        <v>6259</v>
      </c>
      <c r="E516" s="513">
        <v>4021</v>
      </c>
      <c r="F516" s="512" t="s">
        <v>539</v>
      </c>
      <c r="G516" s="513" t="s">
        <v>21</v>
      </c>
      <c r="H516" s="516">
        <v>22923</v>
      </c>
      <c r="I516" s="512" t="s">
        <v>6915</v>
      </c>
    </row>
    <row r="517" spans="2:9" ht="15" x14ac:dyDescent="0.35">
      <c r="B517" s="512" t="s">
        <v>6219</v>
      </c>
      <c r="C517" s="512" t="s">
        <v>6258</v>
      </c>
      <c r="D517" s="512" t="s">
        <v>6259</v>
      </c>
      <c r="E517" s="513">
        <v>4022</v>
      </c>
      <c r="F517" s="512" t="s">
        <v>540</v>
      </c>
      <c r="G517" s="513" t="s">
        <v>21</v>
      </c>
      <c r="H517" s="516">
        <v>27834</v>
      </c>
      <c r="I517" s="512" t="s">
        <v>6915</v>
      </c>
    </row>
    <row r="518" spans="2:9" ht="15" x14ac:dyDescent="0.35">
      <c r="B518" s="512" t="s">
        <v>6219</v>
      </c>
      <c r="C518" s="512" t="s">
        <v>6258</v>
      </c>
      <c r="D518" s="512" t="s">
        <v>6259</v>
      </c>
      <c r="E518" s="513">
        <v>4023</v>
      </c>
      <c r="F518" s="512" t="s">
        <v>541</v>
      </c>
      <c r="G518" s="513" t="s">
        <v>21</v>
      </c>
      <c r="H518" s="516">
        <v>31461</v>
      </c>
      <c r="I518" s="512" t="s">
        <v>6915</v>
      </c>
    </row>
    <row r="519" spans="2:9" ht="15" x14ac:dyDescent="0.35">
      <c r="B519" s="512" t="s">
        <v>6219</v>
      </c>
      <c r="C519" s="512" t="s">
        <v>6258</v>
      </c>
      <c r="D519" s="512" t="s">
        <v>6259</v>
      </c>
      <c r="E519" s="513">
        <v>4024</v>
      </c>
      <c r="F519" s="512" t="s">
        <v>542</v>
      </c>
      <c r="G519" s="513" t="s">
        <v>21</v>
      </c>
      <c r="H519" s="516">
        <v>38654</v>
      </c>
      <c r="I519" s="512" t="s">
        <v>6915</v>
      </c>
    </row>
    <row r="520" spans="2:9" ht="15" x14ac:dyDescent="0.35">
      <c r="B520" s="512" t="s">
        <v>6219</v>
      </c>
      <c r="C520" s="512" t="s">
        <v>6258</v>
      </c>
      <c r="D520" s="512" t="s">
        <v>6259</v>
      </c>
      <c r="E520" s="513">
        <v>4026</v>
      </c>
      <c r="F520" s="512" t="s">
        <v>543</v>
      </c>
      <c r="G520" s="513" t="s">
        <v>21</v>
      </c>
      <c r="H520" s="516">
        <v>12302</v>
      </c>
      <c r="I520" s="512" t="s">
        <v>6915</v>
      </c>
    </row>
    <row r="521" spans="2:9" ht="15" x14ac:dyDescent="0.35">
      <c r="B521" s="512" t="s">
        <v>6219</v>
      </c>
      <c r="C521" s="512" t="s">
        <v>6258</v>
      </c>
      <c r="D521" s="512" t="s">
        <v>6259</v>
      </c>
      <c r="E521" s="513">
        <v>4027</v>
      </c>
      <c r="F521" s="512" t="s">
        <v>544</v>
      </c>
      <c r="G521" s="513" t="s">
        <v>21</v>
      </c>
      <c r="H521" s="516">
        <v>15400</v>
      </c>
      <c r="I521" s="512" t="s">
        <v>6915</v>
      </c>
    </row>
    <row r="522" spans="2:9" ht="15" x14ac:dyDescent="0.35">
      <c r="B522" s="512" t="s">
        <v>6219</v>
      </c>
      <c r="C522" s="512" t="s">
        <v>6258</v>
      </c>
      <c r="D522" s="512" t="s">
        <v>6259</v>
      </c>
      <c r="E522" s="513">
        <v>4028</v>
      </c>
      <c r="F522" s="512" t="s">
        <v>545</v>
      </c>
      <c r="G522" s="513" t="s">
        <v>21</v>
      </c>
      <c r="H522" s="516">
        <v>25167</v>
      </c>
      <c r="I522" s="512" t="s">
        <v>6915</v>
      </c>
    </row>
    <row r="523" spans="2:9" ht="15" x14ac:dyDescent="0.35">
      <c r="B523" s="512" t="s">
        <v>6219</v>
      </c>
      <c r="C523" s="512" t="s">
        <v>6258</v>
      </c>
      <c r="D523" s="512" t="s">
        <v>6259</v>
      </c>
      <c r="E523" s="513">
        <v>4029</v>
      </c>
      <c r="F523" s="512" t="s">
        <v>546</v>
      </c>
      <c r="G523" s="513" t="s">
        <v>21</v>
      </c>
      <c r="H523" s="516">
        <v>33278</v>
      </c>
      <c r="I523" s="512" t="s">
        <v>6915</v>
      </c>
    </row>
    <row r="524" spans="2:9" ht="15" x14ac:dyDescent="0.35">
      <c r="B524" s="512" t="s">
        <v>6219</v>
      </c>
      <c r="C524" s="512" t="s">
        <v>6258</v>
      </c>
      <c r="D524" s="512" t="s">
        <v>6259</v>
      </c>
      <c r="E524" s="513">
        <v>4030</v>
      </c>
      <c r="F524" s="512" t="s">
        <v>547</v>
      </c>
      <c r="G524" s="513" t="s">
        <v>21</v>
      </c>
      <c r="H524" s="516">
        <v>12302</v>
      </c>
      <c r="I524" s="512" t="s">
        <v>6915</v>
      </c>
    </row>
    <row r="525" spans="2:9" ht="15" x14ac:dyDescent="0.35">
      <c r="B525" s="512" t="s">
        <v>6219</v>
      </c>
      <c r="C525" s="512" t="s">
        <v>6258</v>
      </c>
      <c r="D525" s="512" t="s">
        <v>6259</v>
      </c>
      <c r="E525" s="513">
        <v>4032</v>
      </c>
      <c r="F525" s="512" t="s">
        <v>548</v>
      </c>
      <c r="G525" s="513" t="s">
        <v>21</v>
      </c>
      <c r="H525" s="516">
        <v>15400</v>
      </c>
      <c r="I525" s="512" t="s">
        <v>6915</v>
      </c>
    </row>
    <row r="526" spans="2:9" ht="15" x14ac:dyDescent="0.35">
      <c r="B526" s="512" t="s">
        <v>6219</v>
      </c>
      <c r="C526" s="512" t="s">
        <v>6258</v>
      </c>
      <c r="D526" s="512" t="s">
        <v>6259</v>
      </c>
      <c r="E526" s="513">
        <v>4033</v>
      </c>
      <c r="F526" s="512" t="s">
        <v>549</v>
      </c>
      <c r="G526" s="513" t="s">
        <v>21</v>
      </c>
      <c r="H526" s="516">
        <v>25167</v>
      </c>
      <c r="I526" s="512" t="s">
        <v>6915</v>
      </c>
    </row>
    <row r="527" spans="2:9" ht="15" x14ac:dyDescent="0.35">
      <c r="B527" s="512" t="s">
        <v>6219</v>
      </c>
      <c r="C527" s="512" t="s">
        <v>6258</v>
      </c>
      <c r="D527" s="512" t="s">
        <v>6259</v>
      </c>
      <c r="E527" s="513">
        <v>4034</v>
      </c>
      <c r="F527" s="512" t="s">
        <v>550</v>
      </c>
      <c r="G527" s="513" t="s">
        <v>21</v>
      </c>
      <c r="H527" s="516">
        <v>33278</v>
      </c>
      <c r="I527" s="512" t="s">
        <v>6915</v>
      </c>
    </row>
    <row r="528" spans="2:9" ht="15" x14ac:dyDescent="0.35">
      <c r="B528" s="512" t="s">
        <v>6219</v>
      </c>
      <c r="C528" s="512" t="s">
        <v>6258</v>
      </c>
      <c r="D528" s="512" t="s">
        <v>6259</v>
      </c>
      <c r="E528" s="513">
        <v>4036</v>
      </c>
      <c r="F528" s="512" t="s">
        <v>551</v>
      </c>
      <c r="G528" s="513" t="s">
        <v>21</v>
      </c>
      <c r="H528" s="516">
        <v>15400</v>
      </c>
      <c r="I528" s="512" t="s">
        <v>6915</v>
      </c>
    </row>
    <row r="529" spans="2:9" ht="15" x14ac:dyDescent="0.35">
      <c r="B529" s="512" t="s">
        <v>6219</v>
      </c>
      <c r="C529" s="512" t="s">
        <v>6258</v>
      </c>
      <c r="D529" s="512" t="s">
        <v>6259</v>
      </c>
      <c r="E529" s="513">
        <v>4037</v>
      </c>
      <c r="F529" s="512" t="s">
        <v>552</v>
      </c>
      <c r="G529" s="513" t="s">
        <v>21</v>
      </c>
      <c r="H529" s="516">
        <v>25167</v>
      </c>
      <c r="I529" s="512" t="s">
        <v>6915</v>
      </c>
    </row>
    <row r="530" spans="2:9" ht="15" x14ac:dyDescent="0.35">
      <c r="B530" s="512" t="s">
        <v>6219</v>
      </c>
      <c r="C530" s="512" t="s">
        <v>6258</v>
      </c>
      <c r="D530" s="512" t="s">
        <v>6259</v>
      </c>
      <c r="E530" s="513">
        <v>4038</v>
      </c>
      <c r="F530" s="512" t="s">
        <v>553</v>
      </c>
      <c r="G530" s="513" t="s">
        <v>21</v>
      </c>
      <c r="H530" s="516">
        <v>33278</v>
      </c>
      <c r="I530" s="512" t="s">
        <v>6915</v>
      </c>
    </row>
    <row r="531" spans="2:9" ht="15" x14ac:dyDescent="0.35">
      <c r="B531" s="512" t="s">
        <v>6219</v>
      </c>
      <c r="C531" s="512" t="s">
        <v>6230</v>
      </c>
      <c r="D531" s="512" t="s">
        <v>6231</v>
      </c>
      <c r="E531" s="513">
        <v>4039</v>
      </c>
      <c r="F531" s="512" t="s">
        <v>554</v>
      </c>
      <c r="G531" s="513" t="s">
        <v>26</v>
      </c>
      <c r="H531" s="516">
        <v>35498</v>
      </c>
      <c r="I531" s="512" t="s">
        <v>6915</v>
      </c>
    </row>
    <row r="532" spans="2:9" ht="15" x14ac:dyDescent="0.35">
      <c r="B532" s="512" t="s">
        <v>6219</v>
      </c>
      <c r="C532" s="512" t="s">
        <v>6230</v>
      </c>
      <c r="D532" s="512" t="s">
        <v>6231</v>
      </c>
      <c r="E532" s="513">
        <v>4040</v>
      </c>
      <c r="F532" s="512" t="s">
        <v>555</v>
      </c>
      <c r="G532" s="513" t="s">
        <v>26</v>
      </c>
      <c r="H532" s="516">
        <v>40262</v>
      </c>
      <c r="I532" s="512" t="s">
        <v>6915</v>
      </c>
    </row>
    <row r="533" spans="2:9" ht="15" x14ac:dyDescent="0.35">
      <c r="B533" s="512" t="s">
        <v>6219</v>
      </c>
      <c r="C533" s="512" t="s">
        <v>6230</v>
      </c>
      <c r="D533" s="512" t="s">
        <v>6231</v>
      </c>
      <c r="E533" s="513">
        <v>4041</v>
      </c>
      <c r="F533" s="512" t="s">
        <v>556</v>
      </c>
      <c r="G533" s="513" t="s">
        <v>26</v>
      </c>
      <c r="H533" s="516">
        <v>54496</v>
      </c>
      <c r="I533" s="512" t="s">
        <v>6915</v>
      </c>
    </row>
    <row r="534" spans="2:9" ht="15" x14ac:dyDescent="0.35">
      <c r="B534" s="512" t="s">
        <v>6219</v>
      </c>
      <c r="C534" s="512" t="s">
        <v>6230</v>
      </c>
      <c r="D534" s="512" t="s">
        <v>6231</v>
      </c>
      <c r="E534" s="513">
        <v>4042</v>
      </c>
      <c r="F534" s="512" t="s">
        <v>557</v>
      </c>
      <c r="G534" s="513" t="s">
        <v>26</v>
      </c>
      <c r="H534" s="516">
        <v>43579</v>
      </c>
      <c r="I534" s="512" t="s">
        <v>6915</v>
      </c>
    </row>
    <row r="535" spans="2:9" ht="15" x14ac:dyDescent="0.35">
      <c r="B535" s="512" t="s">
        <v>6219</v>
      </c>
      <c r="C535" s="512" t="s">
        <v>6230</v>
      </c>
      <c r="D535" s="512" t="s">
        <v>6231</v>
      </c>
      <c r="E535" s="513">
        <v>4043</v>
      </c>
      <c r="F535" s="512" t="s">
        <v>558</v>
      </c>
      <c r="G535" s="513" t="s">
        <v>26</v>
      </c>
      <c r="H535" s="514">
        <v>45027</v>
      </c>
      <c r="I535" s="515" t="s">
        <v>6915</v>
      </c>
    </row>
    <row r="536" spans="2:9" ht="15" x14ac:dyDescent="0.35">
      <c r="B536" s="512" t="s">
        <v>6219</v>
      </c>
      <c r="C536" s="512" t="s">
        <v>6230</v>
      </c>
      <c r="D536" s="512" t="s">
        <v>6231</v>
      </c>
      <c r="E536" s="513">
        <v>4044</v>
      </c>
      <c r="F536" s="512" t="s">
        <v>559</v>
      </c>
      <c r="G536" s="513" t="s">
        <v>26</v>
      </c>
      <c r="H536" s="514">
        <v>475801</v>
      </c>
      <c r="I536" s="515" t="s">
        <v>6915</v>
      </c>
    </row>
    <row r="537" spans="2:9" ht="15" x14ac:dyDescent="0.35">
      <c r="B537" s="512" t="s">
        <v>6219</v>
      </c>
      <c r="C537" s="512" t="s">
        <v>6230</v>
      </c>
      <c r="D537" s="512" t="s">
        <v>6231</v>
      </c>
      <c r="E537" s="513">
        <v>4045</v>
      </c>
      <c r="F537" s="512" t="s">
        <v>560</v>
      </c>
      <c r="G537" s="513" t="s">
        <v>26</v>
      </c>
      <c r="H537" s="514">
        <v>368487</v>
      </c>
      <c r="I537" s="515" t="s">
        <v>6915</v>
      </c>
    </row>
    <row r="538" spans="2:9" ht="15" x14ac:dyDescent="0.35">
      <c r="B538" s="512" t="s">
        <v>6219</v>
      </c>
      <c r="C538" s="512" t="s">
        <v>6230</v>
      </c>
      <c r="D538" s="512" t="s">
        <v>6231</v>
      </c>
      <c r="E538" s="513">
        <v>4046</v>
      </c>
      <c r="F538" s="512" t="s">
        <v>561</v>
      </c>
      <c r="G538" s="513" t="s">
        <v>26</v>
      </c>
      <c r="H538" s="514">
        <v>467326</v>
      </c>
      <c r="I538" s="515" t="s">
        <v>6915</v>
      </c>
    </row>
    <row r="539" spans="2:9" ht="15" x14ac:dyDescent="0.35">
      <c r="B539" s="512" t="s">
        <v>6219</v>
      </c>
      <c r="C539" s="512" t="s">
        <v>6230</v>
      </c>
      <c r="D539" s="512" t="s">
        <v>6231</v>
      </c>
      <c r="E539" s="513">
        <v>4047</v>
      </c>
      <c r="F539" s="512" t="s">
        <v>562</v>
      </c>
      <c r="G539" s="513" t="s">
        <v>26</v>
      </c>
      <c r="H539" s="514">
        <v>80437</v>
      </c>
      <c r="I539" s="515" t="s">
        <v>6915</v>
      </c>
    </row>
    <row r="540" spans="2:9" ht="15" x14ac:dyDescent="0.35">
      <c r="B540" s="512" t="s">
        <v>6219</v>
      </c>
      <c r="C540" s="512" t="s">
        <v>6230</v>
      </c>
      <c r="D540" s="512" t="s">
        <v>6231</v>
      </c>
      <c r="E540" s="513">
        <v>4048</v>
      </c>
      <c r="F540" s="512" t="s">
        <v>563</v>
      </c>
      <c r="G540" s="513" t="s">
        <v>26</v>
      </c>
      <c r="H540" s="516">
        <v>77801</v>
      </c>
      <c r="I540" s="512" t="s">
        <v>6915</v>
      </c>
    </row>
    <row r="541" spans="2:9" ht="15" x14ac:dyDescent="0.35">
      <c r="B541" s="512" t="s">
        <v>6219</v>
      </c>
      <c r="C541" s="512" t="s">
        <v>6230</v>
      </c>
      <c r="D541" s="512" t="s">
        <v>6231</v>
      </c>
      <c r="E541" s="513">
        <v>4049</v>
      </c>
      <c r="F541" s="512" t="s">
        <v>564</v>
      </c>
      <c r="G541" s="513" t="s">
        <v>26</v>
      </c>
      <c r="H541" s="514">
        <v>91162</v>
      </c>
      <c r="I541" s="515" t="s">
        <v>6915</v>
      </c>
    </row>
    <row r="542" spans="2:9" ht="15" x14ac:dyDescent="0.35">
      <c r="B542" s="512" t="s">
        <v>6219</v>
      </c>
      <c r="C542" s="512" t="s">
        <v>6230</v>
      </c>
      <c r="D542" s="512" t="s">
        <v>6231</v>
      </c>
      <c r="E542" s="513">
        <v>4050</v>
      </c>
      <c r="F542" s="512" t="s">
        <v>565</v>
      </c>
      <c r="G542" s="513" t="s">
        <v>26</v>
      </c>
      <c r="H542" s="516">
        <v>83990</v>
      </c>
      <c r="I542" s="512" t="s">
        <v>6915</v>
      </c>
    </row>
    <row r="543" spans="2:9" ht="15" x14ac:dyDescent="0.35">
      <c r="B543" s="512" t="s">
        <v>6219</v>
      </c>
      <c r="C543" s="512" t="s">
        <v>6230</v>
      </c>
      <c r="D543" s="512" t="s">
        <v>6246</v>
      </c>
      <c r="E543" s="513">
        <v>4051</v>
      </c>
      <c r="F543" s="512" t="s">
        <v>566</v>
      </c>
      <c r="G543" s="513" t="s">
        <v>21</v>
      </c>
      <c r="H543" s="516">
        <v>89665</v>
      </c>
      <c r="I543" s="512" t="s">
        <v>6915</v>
      </c>
    </row>
    <row r="544" spans="2:9" ht="15" x14ac:dyDescent="0.35">
      <c r="B544" s="512" t="s">
        <v>6219</v>
      </c>
      <c r="C544" s="512" t="s">
        <v>6230</v>
      </c>
      <c r="D544" s="512" t="s">
        <v>6231</v>
      </c>
      <c r="E544" s="513">
        <v>4052</v>
      </c>
      <c r="F544" s="512" t="s">
        <v>567</v>
      </c>
      <c r="G544" s="513" t="s">
        <v>29</v>
      </c>
      <c r="H544" s="516">
        <v>71068</v>
      </c>
      <c r="I544" s="512" t="s">
        <v>6915</v>
      </c>
    </row>
    <row r="545" spans="2:9" ht="15" x14ac:dyDescent="0.35">
      <c r="B545" s="512" t="s">
        <v>6219</v>
      </c>
      <c r="C545" s="512" t="s">
        <v>6230</v>
      </c>
      <c r="D545" s="512" t="s">
        <v>6231</v>
      </c>
      <c r="E545" s="513">
        <v>4053</v>
      </c>
      <c r="F545" s="512" t="s">
        <v>568</v>
      </c>
      <c r="G545" s="513" t="s">
        <v>29</v>
      </c>
      <c r="H545" s="516">
        <v>68170</v>
      </c>
      <c r="I545" s="512" t="s">
        <v>6915</v>
      </c>
    </row>
    <row r="546" spans="2:9" ht="15" x14ac:dyDescent="0.35">
      <c r="B546" s="512" t="s">
        <v>6219</v>
      </c>
      <c r="C546" s="512" t="s">
        <v>6230</v>
      </c>
      <c r="D546" s="512" t="s">
        <v>6231</v>
      </c>
      <c r="E546" s="513">
        <v>4054</v>
      </c>
      <c r="F546" s="512" t="s">
        <v>569</v>
      </c>
      <c r="G546" s="513" t="s">
        <v>26</v>
      </c>
      <c r="H546" s="516">
        <v>92669</v>
      </c>
      <c r="I546" s="512" t="s">
        <v>6915</v>
      </c>
    </row>
    <row r="547" spans="2:9" ht="15" x14ac:dyDescent="0.35">
      <c r="B547" s="512" t="s">
        <v>6219</v>
      </c>
      <c r="C547" s="512" t="s">
        <v>6230</v>
      </c>
      <c r="D547" s="512" t="s">
        <v>6231</v>
      </c>
      <c r="E547" s="513">
        <v>4055</v>
      </c>
      <c r="F547" s="512" t="s">
        <v>570</v>
      </c>
      <c r="G547" s="513" t="s">
        <v>26</v>
      </c>
      <c r="H547" s="514">
        <v>87888</v>
      </c>
      <c r="I547" s="512" t="s">
        <v>6915</v>
      </c>
    </row>
    <row r="548" spans="2:9" ht="15" x14ac:dyDescent="0.35">
      <c r="B548" s="512" t="s">
        <v>6219</v>
      </c>
      <c r="C548" s="512" t="s">
        <v>6242</v>
      </c>
      <c r="D548" s="512" t="s">
        <v>6260</v>
      </c>
      <c r="E548" s="513">
        <v>4061</v>
      </c>
      <c r="F548" s="512" t="s">
        <v>571</v>
      </c>
      <c r="G548" s="513" t="s">
        <v>21</v>
      </c>
      <c r="H548" s="516">
        <v>101492</v>
      </c>
      <c r="I548" s="512" t="s">
        <v>6915</v>
      </c>
    </row>
    <row r="549" spans="2:9" ht="15" x14ac:dyDescent="0.35">
      <c r="B549" s="512" t="s">
        <v>6219</v>
      </c>
      <c r="C549" s="512" t="s">
        <v>6230</v>
      </c>
      <c r="D549" s="512" t="s">
        <v>6250</v>
      </c>
      <c r="E549" s="513">
        <v>4064</v>
      </c>
      <c r="F549" s="512" t="s">
        <v>572</v>
      </c>
      <c r="G549" s="513" t="s">
        <v>21</v>
      </c>
      <c r="H549" s="516">
        <v>85309</v>
      </c>
      <c r="I549" s="512" t="s">
        <v>6915</v>
      </c>
    </row>
    <row r="550" spans="2:9" ht="15" x14ac:dyDescent="0.35">
      <c r="B550" s="512" t="s">
        <v>6219</v>
      </c>
      <c r="C550" s="512" t="s">
        <v>6230</v>
      </c>
      <c r="D550" s="512" t="s">
        <v>6250</v>
      </c>
      <c r="E550" s="513">
        <v>4073</v>
      </c>
      <c r="F550" s="512" t="s">
        <v>573</v>
      </c>
      <c r="G550" s="513" t="s">
        <v>21</v>
      </c>
      <c r="H550" s="516">
        <v>146792</v>
      </c>
      <c r="I550" s="512" t="s">
        <v>6915</v>
      </c>
    </row>
    <row r="551" spans="2:9" ht="15" x14ac:dyDescent="0.35">
      <c r="B551" s="512" t="s">
        <v>6219</v>
      </c>
      <c r="C551" s="512" t="s">
        <v>6230</v>
      </c>
      <c r="D551" s="512" t="s">
        <v>6250</v>
      </c>
      <c r="E551" s="513">
        <v>4074</v>
      </c>
      <c r="F551" s="512" t="s">
        <v>574</v>
      </c>
      <c r="G551" s="513" t="s">
        <v>21</v>
      </c>
      <c r="H551" s="516">
        <v>122018</v>
      </c>
      <c r="I551" s="512" t="s">
        <v>6915</v>
      </c>
    </row>
    <row r="552" spans="2:9" ht="15" x14ac:dyDescent="0.35">
      <c r="B552" s="512" t="s">
        <v>6219</v>
      </c>
      <c r="C552" s="512" t="s">
        <v>6230</v>
      </c>
      <c r="D552" s="512" t="s">
        <v>6250</v>
      </c>
      <c r="E552" s="513">
        <v>4075</v>
      </c>
      <c r="F552" s="512" t="s">
        <v>575</v>
      </c>
      <c r="G552" s="513" t="s">
        <v>21</v>
      </c>
      <c r="H552" s="516">
        <v>133943</v>
      </c>
      <c r="I552" s="512" t="s">
        <v>6915</v>
      </c>
    </row>
    <row r="553" spans="2:9" ht="15" x14ac:dyDescent="0.35">
      <c r="B553" s="512" t="s">
        <v>6219</v>
      </c>
      <c r="C553" s="512" t="s">
        <v>6230</v>
      </c>
      <c r="D553" s="512" t="s">
        <v>6250</v>
      </c>
      <c r="E553" s="513">
        <v>4077</v>
      </c>
      <c r="F553" s="512" t="s">
        <v>576</v>
      </c>
      <c r="G553" s="513" t="s">
        <v>21</v>
      </c>
      <c r="H553" s="516">
        <v>137446</v>
      </c>
      <c r="I553" s="512" t="s">
        <v>6915</v>
      </c>
    </row>
    <row r="554" spans="2:9" ht="15" x14ac:dyDescent="0.35">
      <c r="B554" s="512" t="s">
        <v>6219</v>
      </c>
      <c r="C554" s="512" t="s">
        <v>6230</v>
      </c>
      <c r="D554" s="512" t="s">
        <v>6250</v>
      </c>
      <c r="E554" s="513">
        <v>4078</v>
      </c>
      <c r="F554" s="512" t="s">
        <v>577</v>
      </c>
      <c r="G554" s="513" t="s">
        <v>21</v>
      </c>
      <c r="H554" s="516">
        <v>148997</v>
      </c>
      <c r="I554" s="512" t="s">
        <v>6915</v>
      </c>
    </row>
    <row r="555" spans="2:9" ht="15" x14ac:dyDescent="0.35">
      <c r="B555" s="512" t="s">
        <v>6219</v>
      </c>
      <c r="C555" s="512" t="s">
        <v>6230</v>
      </c>
      <c r="D555" s="512" t="s">
        <v>6250</v>
      </c>
      <c r="E555" s="513">
        <v>4079</v>
      </c>
      <c r="F555" s="512" t="s">
        <v>578</v>
      </c>
      <c r="G555" s="513" t="s">
        <v>21</v>
      </c>
      <c r="H555" s="516">
        <v>163295</v>
      </c>
      <c r="I555" s="512" t="s">
        <v>6915</v>
      </c>
    </row>
    <row r="556" spans="2:9" ht="15" x14ac:dyDescent="0.35">
      <c r="B556" s="512" t="s">
        <v>6219</v>
      </c>
      <c r="C556" s="512" t="s">
        <v>6235</v>
      </c>
      <c r="D556" s="512" t="s">
        <v>6245</v>
      </c>
      <c r="E556" s="513">
        <v>4080</v>
      </c>
      <c r="F556" s="512" t="s">
        <v>579</v>
      </c>
      <c r="G556" s="513" t="s">
        <v>29</v>
      </c>
      <c r="H556" s="516">
        <v>241285</v>
      </c>
      <c r="I556" s="512" t="s">
        <v>6915</v>
      </c>
    </row>
    <row r="557" spans="2:9" ht="15" x14ac:dyDescent="0.35">
      <c r="B557" s="512" t="s">
        <v>6219</v>
      </c>
      <c r="C557" s="512" t="s">
        <v>6235</v>
      </c>
      <c r="D557" s="512" t="s">
        <v>6245</v>
      </c>
      <c r="E557" s="513">
        <v>4081</v>
      </c>
      <c r="F557" s="512" t="s">
        <v>580</v>
      </c>
      <c r="G557" s="513" t="s">
        <v>29</v>
      </c>
      <c r="H557" s="516">
        <v>211090</v>
      </c>
      <c r="I557" s="512" t="s">
        <v>6915</v>
      </c>
    </row>
    <row r="558" spans="2:9" ht="15" x14ac:dyDescent="0.35">
      <c r="B558" s="512" t="s">
        <v>6219</v>
      </c>
      <c r="C558" s="512" t="s">
        <v>6235</v>
      </c>
      <c r="D558" s="512" t="s">
        <v>6245</v>
      </c>
      <c r="E558" s="513">
        <v>4082</v>
      </c>
      <c r="F558" s="512" t="s">
        <v>581</v>
      </c>
      <c r="G558" s="513" t="s">
        <v>29</v>
      </c>
      <c r="H558" s="516">
        <v>293913</v>
      </c>
      <c r="I558" s="512" t="s">
        <v>6915</v>
      </c>
    </row>
    <row r="559" spans="2:9" ht="15" x14ac:dyDescent="0.35">
      <c r="B559" s="512" t="s">
        <v>6219</v>
      </c>
      <c r="C559" s="512" t="s">
        <v>6235</v>
      </c>
      <c r="D559" s="512" t="s">
        <v>6245</v>
      </c>
      <c r="E559" s="513">
        <v>4083</v>
      </c>
      <c r="F559" s="512" t="s">
        <v>582</v>
      </c>
      <c r="G559" s="513" t="s">
        <v>29</v>
      </c>
      <c r="H559" s="516">
        <v>296599</v>
      </c>
      <c r="I559" s="512" t="s">
        <v>6915</v>
      </c>
    </row>
    <row r="560" spans="2:9" ht="15" x14ac:dyDescent="0.35">
      <c r="B560" s="512" t="s">
        <v>6219</v>
      </c>
      <c r="C560" s="512" t="s">
        <v>6230</v>
      </c>
      <c r="D560" s="512" t="s">
        <v>6231</v>
      </c>
      <c r="E560" s="513">
        <v>4085</v>
      </c>
      <c r="F560" s="512" t="s">
        <v>583</v>
      </c>
      <c r="G560" s="513" t="s">
        <v>29</v>
      </c>
      <c r="H560" s="516">
        <v>110450</v>
      </c>
      <c r="I560" s="512" t="s">
        <v>6915</v>
      </c>
    </row>
    <row r="561" spans="2:9" ht="15" x14ac:dyDescent="0.35">
      <c r="B561" s="512" t="s">
        <v>6219</v>
      </c>
      <c r="C561" s="512" t="s">
        <v>6230</v>
      </c>
      <c r="D561" s="512" t="s">
        <v>6231</v>
      </c>
      <c r="E561" s="513">
        <v>4086</v>
      </c>
      <c r="F561" s="512" t="s">
        <v>584</v>
      </c>
      <c r="G561" s="513" t="s">
        <v>29</v>
      </c>
      <c r="H561" s="516">
        <v>102699</v>
      </c>
      <c r="I561" s="512" t="s">
        <v>6915</v>
      </c>
    </row>
    <row r="562" spans="2:9" ht="15" x14ac:dyDescent="0.35">
      <c r="B562" s="512" t="s">
        <v>6219</v>
      </c>
      <c r="C562" s="512" t="s">
        <v>6230</v>
      </c>
      <c r="D562" s="512" t="s">
        <v>6231</v>
      </c>
      <c r="E562" s="513">
        <v>4087</v>
      </c>
      <c r="F562" s="512" t="s">
        <v>585</v>
      </c>
      <c r="G562" s="513" t="s">
        <v>29</v>
      </c>
      <c r="H562" s="516">
        <v>106973</v>
      </c>
      <c r="I562" s="512" t="s">
        <v>6915</v>
      </c>
    </row>
    <row r="563" spans="2:9" ht="15" x14ac:dyDescent="0.35">
      <c r="B563" s="512" t="s">
        <v>6219</v>
      </c>
      <c r="C563" s="512" t="s">
        <v>6230</v>
      </c>
      <c r="D563" s="512" t="s">
        <v>6231</v>
      </c>
      <c r="E563" s="513">
        <v>4088</v>
      </c>
      <c r="F563" s="512" t="s">
        <v>586</v>
      </c>
      <c r="G563" s="513" t="s">
        <v>26</v>
      </c>
      <c r="H563" s="516">
        <v>74246</v>
      </c>
      <c r="I563" s="512" t="s">
        <v>6915</v>
      </c>
    </row>
    <row r="564" spans="2:9" ht="15" x14ac:dyDescent="0.35">
      <c r="B564" s="512" t="s">
        <v>6219</v>
      </c>
      <c r="C564" s="512" t="s">
        <v>6230</v>
      </c>
      <c r="D564" s="512" t="s">
        <v>6231</v>
      </c>
      <c r="E564" s="513">
        <v>4089</v>
      </c>
      <c r="F564" s="512" t="s">
        <v>587</v>
      </c>
      <c r="G564" s="513" t="s">
        <v>26</v>
      </c>
      <c r="H564" s="516">
        <v>72101</v>
      </c>
      <c r="I564" s="512" t="s">
        <v>6915</v>
      </c>
    </row>
    <row r="565" spans="2:9" ht="15" x14ac:dyDescent="0.35">
      <c r="B565" s="512" t="s">
        <v>6219</v>
      </c>
      <c r="C565" s="512" t="s">
        <v>6230</v>
      </c>
      <c r="D565" s="512" t="s">
        <v>6231</v>
      </c>
      <c r="E565" s="513">
        <v>4090</v>
      </c>
      <c r="F565" s="512" t="s">
        <v>588</v>
      </c>
      <c r="G565" s="513" t="s">
        <v>26</v>
      </c>
      <c r="H565" s="516">
        <v>69465</v>
      </c>
      <c r="I565" s="512" t="s">
        <v>6915</v>
      </c>
    </row>
    <row r="566" spans="2:9" ht="15" x14ac:dyDescent="0.35">
      <c r="B566" s="512" t="s">
        <v>6219</v>
      </c>
      <c r="C566" s="512" t="s">
        <v>6235</v>
      </c>
      <c r="D566" s="512" t="s">
        <v>6245</v>
      </c>
      <c r="E566" s="513">
        <v>4091</v>
      </c>
      <c r="F566" s="512" t="s">
        <v>589</v>
      </c>
      <c r="G566" s="513" t="s">
        <v>29</v>
      </c>
      <c r="H566" s="516">
        <v>1021794</v>
      </c>
      <c r="I566" s="512" t="s">
        <v>6915</v>
      </c>
    </row>
    <row r="567" spans="2:9" ht="15" x14ac:dyDescent="0.35">
      <c r="B567" s="512" t="s">
        <v>6219</v>
      </c>
      <c r="C567" s="512" t="s">
        <v>6224</v>
      </c>
      <c r="D567" s="512" t="s">
        <v>6244</v>
      </c>
      <c r="E567" s="513">
        <v>4102</v>
      </c>
      <c r="F567" s="512" t="s">
        <v>590</v>
      </c>
      <c r="G567" s="513" t="s">
        <v>26</v>
      </c>
      <c r="H567" s="516">
        <v>167278</v>
      </c>
      <c r="I567" s="512" t="s">
        <v>6915</v>
      </c>
    </row>
    <row r="568" spans="2:9" ht="15" x14ac:dyDescent="0.35">
      <c r="B568" s="512" t="s">
        <v>6219</v>
      </c>
      <c r="C568" s="512" t="s">
        <v>6224</v>
      </c>
      <c r="D568" s="512" t="s">
        <v>6244</v>
      </c>
      <c r="E568" s="513">
        <v>4103</v>
      </c>
      <c r="F568" s="512" t="s">
        <v>591</v>
      </c>
      <c r="G568" s="513" t="s">
        <v>26</v>
      </c>
      <c r="H568" s="516">
        <v>181028</v>
      </c>
      <c r="I568" s="512" t="s">
        <v>6915</v>
      </c>
    </row>
    <row r="569" spans="2:9" ht="15" x14ac:dyDescent="0.35">
      <c r="B569" s="512" t="s">
        <v>6219</v>
      </c>
      <c r="C569" s="512" t="s">
        <v>6224</v>
      </c>
      <c r="D569" s="512" t="s">
        <v>6244</v>
      </c>
      <c r="E569" s="513">
        <v>4104</v>
      </c>
      <c r="F569" s="512" t="s">
        <v>592</v>
      </c>
      <c r="G569" s="513" t="s">
        <v>29</v>
      </c>
      <c r="H569" s="516">
        <v>876144</v>
      </c>
      <c r="I569" s="512" t="s">
        <v>6915</v>
      </c>
    </row>
    <row r="570" spans="2:9" ht="15" x14ac:dyDescent="0.35">
      <c r="B570" s="512" t="s">
        <v>6219</v>
      </c>
      <c r="C570" s="512" t="s">
        <v>6224</v>
      </c>
      <c r="D570" s="512" t="s">
        <v>6244</v>
      </c>
      <c r="E570" s="513">
        <v>4105</v>
      </c>
      <c r="F570" s="512" t="s">
        <v>593</v>
      </c>
      <c r="G570" s="513" t="s">
        <v>29</v>
      </c>
      <c r="H570" s="516">
        <v>1342768</v>
      </c>
      <c r="I570" s="512" t="s">
        <v>6915</v>
      </c>
    </row>
    <row r="571" spans="2:9" ht="15" x14ac:dyDescent="0.35">
      <c r="B571" s="512" t="s">
        <v>6219</v>
      </c>
      <c r="C571" s="512" t="s">
        <v>6224</v>
      </c>
      <c r="D571" s="512" t="s">
        <v>6244</v>
      </c>
      <c r="E571" s="513">
        <v>4106</v>
      </c>
      <c r="F571" s="512" t="s">
        <v>594</v>
      </c>
      <c r="G571" s="513" t="s">
        <v>29</v>
      </c>
      <c r="H571" s="514">
        <v>1307054</v>
      </c>
      <c r="I571" s="515" t="s">
        <v>6915</v>
      </c>
    </row>
    <row r="572" spans="2:9" ht="15" x14ac:dyDescent="0.35">
      <c r="B572" s="512" t="s">
        <v>6219</v>
      </c>
      <c r="C572" s="512" t="s">
        <v>6224</v>
      </c>
      <c r="D572" s="512" t="s">
        <v>6244</v>
      </c>
      <c r="E572" s="513">
        <v>4107</v>
      </c>
      <c r="F572" s="512" t="s">
        <v>595</v>
      </c>
      <c r="G572" s="513" t="s">
        <v>29</v>
      </c>
      <c r="H572" s="514">
        <v>1857165</v>
      </c>
      <c r="I572" s="515" t="s">
        <v>6915</v>
      </c>
    </row>
    <row r="573" spans="2:9" ht="15" x14ac:dyDescent="0.35">
      <c r="B573" s="512" t="s">
        <v>6219</v>
      </c>
      <c r="C573" s="512" t="s">
        <v>6224</v>
      </c>
      <c r="D573" s="512" t="s">
        <v>6244</v>
      </c>
      <c r="E573" s="513">
        <v>4108</v>
      </c>
      <c r="F573" s="512" t="s">
        <v>596</v>
      </c>
      <c r="G573" s="513" t="s">
        <v>29</v>
      </c>
      <c r="H573" s="514">
        <v>1747734</v>
      </c>
      <c r="I573" s="515" t="s">
        <v>6915</v>
      </c>
    </row>
    <row r="574" spans="2:9" ht="15" x14ac:dyDescent="0.35">
      <c r="B574" s="512" t="s">
        <v>6219</v>
      </c>
      <c r="C574" s="512" t="s">
        <v>6224</v>
      </c>
      <c r="D574" s="512" t="s">
        <v>6244</v>
      </c>
      <c r="E574" s="513">
        <v>4110</v>
      </c>
      <c r="F574" s="512" t="s">
        <v>597</v>
      </c>
      <c r="G574" s="513" t="s">
        <v>29</v>
      </c>
      <c r="H574" s="514">
        <v>3309961</v>
      </c>
      <c r="I574" s="515" t="s">
        <v>6915</v>
      </c>
    </row>
    <row r="575" spans="2:9" ht="15" x14ac:dyDescent="0.35">
      <c r="B575" s="512" t="s">
        <v>6219</v>
      </c>
      <c r="C575" s="512" t="s">
        <v>6240</v>
      </c>
      <c r="D575" s="512" t="s">
        <v>6249</v>
      </c>
      <c r="E575" s="513">
        <v>4111</v>
      </c>
      <c r="F575" s="512" t="s">
        <v>598</v>
      </c>
      <c r="G575" s="513" t="s">
        <v>23</v>
      </c>
      <c r="H575" s="514">
        <v>725577</v>
      </c>
      <c r="I575" s="515" t="s">
        <v>6915</v>
      </c>
    </row>
    <row r="576" spans="2:9" ht="15" x14ac:dyDescent="0.35">
      <c r="B576" s="512" t="s">
        <v>6219</v>
      </c>
      <c r="C576" s="512" t="s">
        <v>6224</v>
      </c>
      <c r="D576" s="512" t="s">
        <v>6244</v>
      </c>
      <c r="E576" s="513">
        <v>4113</v>
      </c>
      <c r="F576" s="512" t="s">
        <v>599</v>
      </c>
      <c r="G576" s="513" t="s">
        <v>29</v>
      </c>
      <c r="H576" s="514">
        <v>513335</v>
      </c>
      <c r="I576" s="515" t="s">
        <v>6915</v>
      </c>
    </row>
    <row r="577" spans="2:9" ht="15" x14ac:dyDescent="0.35">
      <c r="B577" s="512" t="s">
        <v>6219</v>
      </c>
      <c r="C577" s="512" t="s">
        <v>6224</v>
      </c>
      <c r="D577" s="512" t="s">
        <v>6244</v>
      </c>
      <c r="E577" s="513">
        <v>4114</v>
      </c>
      <c r="F577" s="512" t="s">
        <v>600</v>
      </c>
      <c r="G577" s="513" t="s">
        <v>29</v>
      </c>
      <c r="H577" s="514">
        <v>414760</v>
      </c>
      <c r="I577" s="515" t="s">
        <v>6915</v>
      </c>
    </row>
    <row r="578" spans="2:9" ht="15" x14ac:dyDescent="0.35">
      <c r="B578" s="512" t="s">
        <v>6219</v>
      </c>
      <c r="C578" s="512" t="s">
        <v>6224</v>
      </c>
      <c r="D578" s="512" t="s">
        <v>6244</v>
      </c>
      <c r="E578" s="513">
        <v>4115</v>
      </c>
      <c r="F578" s="512" t="s">
        <v>601</v>
      </c>
      <c r="G578" s="513" t="s">
        <v>29</v>
      </c>
      <c r="H578" s="514">
        <v>452958</v>
      </c>
      <c r="I578" s="515" t="s">
        <v>6915</v>
      </c>
    </row>
    <row r="579" spans="2:9" ht="15" x14ac:dyDescent="0.35">
      <c r="B579" s="512" t="s">
        <v>6219</v>
      </c>
      <c r="C579" s="512" t="s">
        <v>6224</v>
      </c>
      <c r="D579" s="512" t="s">
        <v>6244</v>
      </c>
      <c r="E579" s="513">
        <v>4116</v>
      </c>
      <c r="F579" s="512" t="s">
        <v>602</v>
      </c>
      <c r="G579" s="513" t="s">
        <v>29</v>
      </c>
      <c r="H579" s="516">
        <v>531817</v>
      </c>
      <c r="I579" s="512" t="s">
        <v>6915</v>
      </c>
    </row>
    <row r="580" spans="2:9" ht="15" x14ac:dyDescent="0.35">
      <c r="B580" s="512" t="s">
        <v>6219</v>
      </c>
      <c r="C580" s="512" t="s">
        <v>6224</v>
      </c>
      <c r="D580" s="512" t="s">
        <v>6244</v>
      </c>
      <c r="E580" s="513">
        <v>4117</v>
      </c>
      <c r="F580" s="512" t="s">
        <v>603</v>
      </c>
      <c r="G580" s="513" t="s">
        <v>29</v>
      </c>
      <c r="H580" s="516">
        <v>571247</v>
      </c>
      <c r="I580" s="512" t="s">
        <v>6915</v>
      </c>
    </row>
    <row r="581" spans="2:9" ht="15" x14ac:dyDescent="0.35">
      <c r="B581" s="512" t="s">
        <v>6219</v>
      </c>
      <c r="C581" s="512" t="s">
        <v>6224</v>
      </c>
      <c r="D581" s="512" t="s">
        <v>6244</v>
      </c>
      <c r="E581" s="513">
        <v>4118</v>
      </c>
      <c r="F581" s="512" t="s">
        <v>604</v>
      </c>
      <c r="G581" s="513" t="s">
        <v>29</v>
      </c>
      <c r="H581" s="516">
        <v>462815</v>
      </c>
      <c r="I581" s="512" t="s">
        <v>6915</v>
      </c>
    </row>
    <row r="582" spans="2:9" ht="15" x14ac:dyDescent="0.35">
      <c r="B582" s="512" t="s">
        <v>6219</v>
      </c>
      <c r="C582" s="512" t="s">
        <v>6224</v>
      </c>
      <c r="D582" s="512" t="s">
        <v>6244</v>
      </c>
      <c r="E582" s="513">
        <v>4119</v>
      </c>
      <c r="F582" s="512" t="s">
        <v>605</v>
      </c>
      <c r="G582" s="513" t="s">
        <v>29</v>
      </c>
      <c r="H582" s="516">
        <v>551532</v>
      </c>
      <c r="I582" s="512" t="s">
        <v>6915</v>
      </c>
    </row>
    <row r="583" spans="2:9" ht="15" x14ac:dyDescent="0.35">
      <c r="B583" s="512" t="s">
        <v>6219</v>
      </c>
      <c r="C583" s="512" t="s">
        <v>6224</v>
      </c>
      <c r="D583" s="512" t="s">
        <v>6244</v>
      </c>
      <c r="E583" s="513">
        <v>4120</v>
      </c>
      <c r="F583" s="512" t="s">
        <v>606</v>
      </c>
      <c r="G583" s="513" t="s">
        <v>29</v>
      </c>
      <c r="H583" s="516">
        <v>594658</v>
      </c>
      <c r="I583" s="512" t="s">
        <v>6915</v>
      </c>
    </row>
    <row r="584" spans="2:9" ht="15" x14ac:dyDescent="0.35">
      <c r="B584" s="512" t="s">
        <v>6219</v>
      </c>
      <c r="C584" s="512" t="s">
        <v>6224</v>
      </c>
      <c r="D584" s="512" t="s">
        <v>6244</v>
      </c>
      <c r="E584" s="513">
        <v>4121</v>
      </c>
      <c r="F584" s="512" t="s">
        <v>607</v>
      </c>
      <c r="G584" s="513" t="s">
        <v>29</v>
      </c>
      <c r="H584" s="516">
        <v>440636</v>
      </c>
      <c r="I584" s="512" t="s">
        <v>6915</v>
      </c>
    </row>
    <row r="585" spans="2:9" ht="15" x14ac:dyDescent="0.35">
      <c r="B585" s="512" t="s">
        <v>6219</v>
      </c>
      <c r="C585" s="512" t="s">
        <v>6224</v>
      </c>
      <c r="D585" s="512" t="s">
        <v>6244</v>
      </c>
      <c r="E585" s="513">
        <v>4122</v>
      </c>
      <c r="F585" s="512" t="s">
        <v>608</v>
      </c>
      <c r="G585" s="513" t="s">
        <v>29</v>
      </c>
      <c r="H585" s="516">
        <v>408599</v>
      </c>
      <c r="I585" s="512" t="s">
        <v>6915</v>
      </c>
    </row>
    <row r="586" spans="2:9" ht="15" x14ac:dyDescent="0.35">
      <c r="B586" s="512" t="s">
        <v>6219</v>
      </c>
      <c r="C586" s="512" t="s">
        <v>6224</v>
      </c>
      <c r="D586" s="512" t="s">
        <v>6244</v>
      </c>
      <c r="E586" s="513">
        <v>4123</v>
      </c>
      <c r="F586" s="512" t="s">
        <v>609</v>
      </c>
      <c r="G586" s="513" t="s">
        <v>29</v>
      </c>
      <c r="H586" s="516">
        <v>429546</v>
      </c>
      <c r="I586" s="512" t="s">
        <v>6915</v>
      </c>
    </row>
    <row r="587" spans="2:9" ht="15" x14ac:dyDescent="0.35">
      <c r="B587" s="512" t="s">
        <v>6219</v>
      </c>
      <c r="C587" s="512" t="s">
        <v>6224</v>
      </c>
      <c r="D587" s="512" t="s">
        <v>6244</v>
      </c>
      <c r="E587" s="513">
        <v>4124</v>
      </c>
      <c r="F587" s="512" t="s">
        <v>610</v>
      </c>
      <c r="G587" s="513" t="s">
        <v>29</v>
      </c>
      <c r="H587" s="516">
        <v>493620</v>
      </c>
      <c r="I587" s="512" t="s">
        <v>6915</v>
      </c>
    </row>
    <row r="588" spans="2:9" ht="15" x14ac:dyDescent="0.35">
      <c r="B588" s="512" t="s">
        <v>6219</v>
      </c>
      <c r="C588" s="512" t="s">
        <v>6224</v>
      </c>
      <c r="D588" s="512" t="s">
        <v>6244</v>
      </c>
      <c r="E588" s="513">
        <v>4125</v>
      </c>
      <c r="F588" s="512" t="s">
        <v>611</v>
      </c>
      <c r="G588" s="513" t="s">
        <v>29</v>
      </c>
      <c r="H588" s="516">
        <v>374257</v>
      </c>
      <c r="I588" s="512" t="s">
        <v>6915</v>
      </c>
    </row>
    <row r="589" spans="2:9" ht="15" x14ac:dyDescent="0.35">
      <c r="B589" s="512" t="s">
        <v>6219</v>
      </c>
      <c r="C589" s="512" t="s">
        <v>6224</v>
      </c>
      <c r="D589" s="512" t="s">
        <v>6244</v>
      </c>
      <c r="E589" s="513">
        <v>4126</v>
      </c>
      <c r="F589" s="512" t="s">
        <v>612</v>
      </c>
      <c r="G589" s="513" t="s">
        <v>29</v>
      </c>
      <c r="H589" s="516">
        <v>336907</v>
      </c>
      <c r="I589" s="512" t="s">
        <v>6915</v>
      </c>
    </row>
    <row r="590" spans="2:9" ht="15" x14ac:dyDescent="0.35">
      <c r="B590" s="512" t="s">
        <v>6219</v>
      </c>
      <c r="C590" s="512" t="s">
        <v>6224</v>
      </c>
      <c r="D590" s="512" t="s">
        <v>6244</v>
      </c>
      <c r="E590" s="513">
        <v>4127</v>
      </c>
      <c r="F590" s="512" t="s">
        <v>613</v>
      </c>
      <c r="G590" s="513" t="s">
        <v>29</v>
      </c>
      <c r="H590" s="516">
        <v>492165</v>
      </c>
      <c r="I590" s="512" t="s">
        <v>6915</v>
      </c>
    </row>
    <row r="591" spans="2:9" ht="15" x14ac:dyDescent="0.35">
      <c r="B591" s="512" t="s">
        <v>6219</v>
      </c>
      <c r="C591" s="512" t="s">
        <v>6233</v>
      </c>
      <c r="D591" s="512" t="s">
        <v>6234</v>
      </c>
      <c r="E591" s="513">
        <v>4128</v>
      </c>
      <c r="F591" s="512" t="s">
        <v>614</v>
      </c>
      <c r="G591" s="513" t="s">
        <v>26</v>
      </c>
      <c r="H591" s="516">
        <v>122268</v>
      </c>
      <c r="I591" s="512" t="s">
        <v>6915</v>
      </c>
    </row>
    <row r="592" spans="2:9" ht="15" x14ac:dyDescent="0.35">
      <c r="B592" s="512" t="s">
        <v>6219</v>
      </c>
      <c r="C592" s="512" t="s">
        <v>6233</v>
      </c>
      <c r="D592" s="512" t="s">
        <v>6234</v>
      </c>
      <c r="E592" s="513">
        <v>4129</v>
      </c>
      <c r="F592" s="512" t="s">
        <v>615</v>
      </c>
      <c r="G592" s="513" t="s">
        <v>26</v>
      </c>
      <c r="H592" s="516">
        <v>248532</v>
      </c>
      <c r="I592" s="512" t="s">
        <v>6915</v>
      </c>
    </row>
    <row r="593" spans="2:9" ht="15" x14ac:dyDescent="0.35">
      <c r="B593" s="512" t="s">
        <v>6219</v>
      </c>
      <c r="C593" s="512" t="s">
        <v>6233</v>
      </c>
      <c r="D593" s="512" t="s">
        <v>6234</v>
      </c>
      <c r="E593" s="513">
        <v>4130</v>
      </c>
      <c r="F593" s="512" t="s">
        <v>616</v>
      </c>
      <c r="G593" s="513" t="s">
        <v>29</v>
      </c>
      <c r="H593" s="516">
        <v>889376</v>
      </c>
      <c r="I593" s="512" t="s">
        <v>6915</v>
      </c>
    </row>
    <row r="594" spans="2:9" ht="15" x14ac:dyDescent="0.35">
      <c r="B594" s="512" t="s">
        <v>6219</v>
      </c>
      <c r="C594" s="512" t="s">
        <v>6233</v>
      </c>
      <c r="D594" s="512" t="s">
        <v>6234</v>
      </c>
      <c r="E594" s="513">
        <v>4131</v>
      </c>
      <c r="F594" s="512" t="s">
        <v>617</v>
      </c>
      <c r="G594" s="513" t="s">
        <v>29</v>
      </c>
      <c r="H594" s="516">
        <v>1403821</v>
      </c>
      <c r="I594" s="512" t="s">
        <v>6915</v>
      </c>
    </row>
    <row r="595" spans="2:9" ht="15" x14ac:dyDescent="0.35">
      <c r="B595" s="512" t="s">
        <v>6219</v>
      </c>
      <c r="C595" s="512" t="s">
        <v>6233</v>
      </c>
      <c r="D595" s="512" t="s">
        <v>6234</v>
      </c>
      <c r="E595" s="513">
        <v>4132</v>
      </c>
      <c r="F595" s="512" t="s">
        <v>618</v>
      </c>
      <c r="G595" s="513" t="s">
        <v>29</v>
      </c>
      <c r="H595" s="514">
        <v>2291728</v>
      </c>
      <c r="I595" s="515" t="s">
        <v>6915</v>
      </c>
    </row>
    <row r="596" spans="2:9" ht="15" x14ac:dyDescent="0.35">
      <c r="B596" s="512" t="s">
        <v>6219</v>
      </c>
      <c r="C596" s="512" t="s">
        <v>6233</v>
      </c>
      <c r="D596" s="512" t="s">
        <v>6234</v>
      </c>
      <c r="E596" s="513">
        <v>4133</v>
      </c>
      <c r="F596" s="512" t="s">
        <v>619</v>
      </c>
      <c r="G596" s="513" t="s">
        <v>29</v>
      </c>
      <c r="H596" s="514">
        <v>3347324</v>
      </c>
      <c r="I596" s="515" t="s">
        <v>6915</v>
      </c>
    </row>
    <row r="597" spans="2:9" ht="15" x14ac:dyDescent="0.35">
      <c r="B597" s="512" t="s">
        <v>6219</v>
      </c>
      <c r="C597" s="512" t="s">
        <v>6240</v>
      </c>
      <c r="D597" s="512" t="s">
        <v>6241</v>
      </c>
      <c r="E597" s="513">
        <v>4134</v>
      </c>
      <c r="F597" s="512" t="s">
        <v>620</v>
      </c>
      <c r="G597" s="513" t="s">
        <v>23</v>
      </c>
      <c r="H597" s="514">
        <v>695765</v>
      </c>
      <c r="I597" s="512" t="s">
        <v>6915</v>
      </c>
    </row>
    <row r="598" spans="2:9" ht="15" x14ac:dyDescent="0.35">
      <c r="B598" s="512" t="s">
        <v>6219</v>
      </c>
      <c r="C598" s="512" t="s">
        <v>6240</v>
      </c>
      <c r="D598" s="512" t="s">
        <v>6241</v>
      </c>
      <c r="E598" s="513">
        <v>4135</v>
      </c>
      <c r="F598" s="512" t="s">
        <v>621</v>
      </c>
      <c r="G598" s="513" t="s">
        <v>23</v>
      </c>
      <c r="H598" s="514">
        <v>705345</v>
      </c>
      <c r="I598" s="512" t="s">
        <v>6915</v>
      </c>
    </row>
    <row r="599" spans="2:9" ht="15" x14ac:dyDescent="0.35">
      <c r="B599" s="512" t="s">
        <v>6219</v>
      </c>
      <c r="C599" s="512" t="s">
        <v>6239</v>
      </c>
      <c r="D599" s="512" t="s">
        <v>6239</v>
      </c>
      <c r="E599" s="513">
        <v>4136</v>
      </c>
      <c r="F599" s="512" t="s">
        <v>622</v>
      </c>
      <c r="G599" s="513" t="s">
        <v>29</v>
      </c>
      <c r="H599" s="514">
        <v>7440</v>
      </c>
      <c r="I599" s="515" t="s">
        <v>6915</v>
      </c>
    </row>
    <row r="600" spans="2:9" ht="15" x14ac:dyDescent="0.35">
      <c r="B600" s="512" t="s">
        <v>6219</v>
      </c>
      <c r="C600" s="512" t="s">
        <v>6242</v>
      </c>
      <c r="D600" s="512" t="s">
        <v>6260</v>
      </c>
      <c r="E600" s="513">
        <v>4137</v>
      </c>
      <c r="F600" s="512" t="s">
        <v>623</v>
      </c>
      <c r="G600" s="513" t="s">
        <v>21</v>
      </c>
      <c r="H600" s="514">
        <v>155936</v>
      </c>
      <c r="I600" s="515" t="s">
        <v>6915</v>
      </c>
    </row>
    <row r="601" spans="2:9" ht="15" x14ac:dyDescent="0.35">
      <c r="B601" s="512" t="s">
        <v>6219</v>
      </c>
      <c r="C601" s="512" t="s">
        <v>6239</v>
      </c>
      <c r="D601" s="512" t="s">
        <v>6239</v>
      </c>
      <c r="E601" s="513">
        <v>4138</v>
      </c>
      <c r="F601" s="512" t="s">
        <v>624</v>
      </c>
      <c r="G601" s="513" t="s">
        <v>29</v>
      </c>
      <c r="H601" s="516">
        <v>199666</v>
      </c>
      <c r="I601" s="512" t="s">
        <v>6915</v>
      </c>
    </row>
    <row r="602" spans="2:9" ht="15" x14ac:dyDescent="0.35">
      <c r="B602" s="512" t="s">
        <v>6219</v>
      </c>
      <c r="C602" s="512" t="s">
        <v>6227</v>
      </c>
      <c r="D602" s="512" t="s">
        <v>6248</v>
      </c>
      <c r="E602" s="513">
        <v>4140</v>
      </c>
      <c r="F602" s="512" t="s">
        <v>625</v>
      </c>
      <c r="G602" s="513" t="s">
        <v>23</v>
      </c>
      <c r="H602" s="516">
        <v>262698</v>
      </c>
      <c r="I602" s="512" t="s">
        <v>6915</v>
      </c>
    </row>
    <row r="603" spans="2:9" ht="15" x14ac:dyDescent="0.35">
      <c r="B603" s="512" t="s">
        <v>6219</v>
      </c>
      <c r="C603" s="512" t="s">
        <v>6227</v>
      </c>
      <c r="D603" s="512" t="s">
        <v>6248</v>
      </c>
      <c r="E603" s="513">
        <v>4142</v>
      </c>
      <c r="F603" s="512" t="s">
        <v>626</v>
      </c>
      <c r="G603" s="513" t="s">
        <v>23</v>
      </c>
      <c r="H603" s="514">
        <v>221997</v>
      </c>
      <c r="I603" s="515" t="s">
        <v>6915</v>
      </c>
    </row>
    <row r="604" spans="2:9" ht="15" x14ac:dyDescent="0.35">
      <c r="B604" s="512" t="s">
        <v>6219</v>
      </c>
      <c r="C604" s="512" t="s">
        <v>6232</v>
      </c>
      <c r="D604" s="512" t="s">
        <v>6232</v>
      </c>
      <c r="E604" s="513">
        <v>4143</v>
      </c>
      <c r="F604" s="512" t="s">
        <v>627</v>
      </c>
      <c r="G604" s="513" t="s">
        <v>26</v>
      </c>
      <c r="H604" s="516">
        <v>46152</v>
      </c>
      <c r="I604" s="512" t="s">
        <v>6915</v>
      </c>
    </row>
    <row r="605" spans="2:9" ht="15" x14ac:dyDescent="0.35">
      <c r="B605" s="512" t="s">
        <v>6219</v>
      </c>
      <c r="C605" s="512" t="s">
        <v>6232</v>
      </c>
      <c r="D605" s="512" t="s">
        <v>6232</v>
      </c>
      <c r="E605" s="513">
        <v>4144</v>
      </c>
      <c r="F605" s="512" t="s">
        <v>628</v>
      </c>
      <c r="G605" s="513" t="s">
        <v>26</v>
      </c>
      <c r="H605" s="514">
        <v>93174</v>
      </c>
      <c r="I605" s="515" t="s">
        <v>6915</v>
      </c>
    </row>
    <row r="606" spans="2:9" ht="15" x14ac:dyDescent="0.35">
      <c r="B606" s="512" t="s">
        <v>6219</v>
      </c>
      <c r="C606" s="512" t="s">
        <v>6220</v>
      </c>
      <c r="D606" s="512" t="s">
        <v>6221</v>
      </c>
      <c r="E606" s="513">
        <v>4154</v>
      </c>
      <c r="F606" s="512" t="s">
        <v>629</v>
      </c>
      <c r="G606" s="513" t="s">
        <v>21</v>
      </c>
      <c r="H606" s="514">
        <v>1021</v>
      </c>
      <c r="I606" s="515" t="s">
        <v>6915</v>
      </c>
    </row>
    <row r="607" spans="2:9" ht="15" x14ac:dyDescent="0.35">
      <c r="B607" s="512" t="s">
        <v>6219</v>
      </c>
      <c r="C607" s="512" t="s">
        <v>6220</v>
      </c>
      <c r="D607" s="512" t="s">
        <v>6221</v>
      </c>
      <c r="E607" s="513">
        <v>4155</v>
      </c>
      <c r="F607" s="512" t="s">
        <v>630</v>
      </c>
      <c r="G607" s="513" t="s">
        <v>23</v>
      </c>
      <c r="H607" s="514">
        <v>94540</v>
      </c>
      <c r="I607" s="515" t="s">
        <v>6915</v>
      </c>
    </row>
    <row r="608" spans="2:9" ht="15" x14ac:dyDescent="0.35">
      <c r="B608" s="512" t="s">
        <v>6219</v>
      </c>
      <c r="C608" s="512" t="s">
        <v>6227</v>
      </c>
      <c r="D608" s="512" t="s">
        <v>6248</v>
      </c>
      <c r="E608" s="513">
        <v>4156</v>
      </c>
      <c r="F608" s="512" t="s">
        <v>631</v>
      </c>
      <c r="G608" s="513" t="s">
        <v>23</v>
      </c>
      <c r="H608" s="514">
        <v>216652</v>
      </c>
      <c r="I608" s="515" t="s">
        <v>6915</v>
      </c>
    </row>
    <row r="609" spans="2:9" ht="15" x14ac:dyDescent="0.35">
      <c r="B609" s="512" t="s">
        <v>6219</v>
      </c>
      <c r="C609" s="512" t="s">
        <v>6227</v>
      </c>
      <c r="D609" s="512" t="s">
        <v>6248</v>
      </c>
      <c r="E609" s="513">
        <v>4157</v>
      </c>
      <c r="F609" s="512" t="s">
        <v>632</v>
      </c>
      <c r="G609" s="513" t="s">
        <v>23</v>
      </c>
      <c r="H609" s="514">
        <v>233666</v>
      </c>
      <c r="I609" s="515" t="s">
        <v>6915</v>
      </c>
    </row>
    <row r="610" spans="2:9" ht="15" x14ac:dyDescent="0.35">
      <c r="B610" s="512" t="s">
        <v>6219</v>
      </c>
      <c r="C610" s="512" t="s">
        <v>6227</v>
      </c>
      <c r="D610" s="512" t="s">
        <v>6248</v>
      </c>
      <c r="E610" s="513">
        <v>4158</v>
      </c>
      <c r="F610" s="512" t="s">
        <v>633</v>
      </c>
      <c r="G610" s="513" t="s">
        <v>23</v>
      </c>
      <c r="H610" s="516">
        <v>244495</v>
      </c>
      <c r="I610" s="512" t="s">
        <v>6915</v>
      </c>
    </row>
    <row r="611" spans="2:9" ht="15" x14ac:dyDescent="0.35">
      <c r="B611" s="512" t="s">
        <v>6219</v>
      </c>
      <c r="C611" s="512" t="s">
        <v>6227</v>
      </c>
      <c r="D611" s="512" t="s">
        <v>6248</v>
      </c>
      <c r="E611" s="513">
        <v>4159</v>
      </c>
      <c r="F611" s="512" t="s">
        <v>634</v>
      </c>
      <c r="G611" s="513" t="s">
        <v>23</v>
      </c>
      <c r="H611" s="516">
        <v>193444</v>
      </c>
      <c r="I611" s="512" t="s">
        <v>6915</v>
      </c>
    </row>
    <row r="612" spans="2:9" ht="15" x14ac:dyDescent="0.35">
      <c r="B612" s="512" t="s">
        <v>6219</v>
      </c>
      <c r="C612" s="512" t="s">
        <v>6227</v>
      </c>
      <c r="D612" s="512" t="s">
        <v>6248</v>
      </c>
      <c r="E612" s="513">
        <v>4160</v>
      </c>
      <c r="F612" s="512" t="s">
        <v>635</v>
      </c>
      <c r="G612" s="513" t="s">
        <v>23</v>
      </c>
      <c r="H612" s="514">
        <v>205820</v>
      </c>
      <c r="I612" s="515" t="s">
        <v>6915</v>
      </c>
    </row>
    <row r="613" spans="2:9" ht="15" x14ac:dyDescent="0.35">
      <c r="B613" s="512" t="s">
        <v>6219</v>
      </c>
      <c r="C613" s="512" t="s">
        <v>6227</v>
      </c>
      <c r="D613" s="512" t="s">
        <v>6248</v>
      </c>
      <c r="E613" s="513">
        <v>4161</v>
      </c>
      <c r="F613" s="512" t="s">
        <v>636</v>
      </c>
      <c r="G613" s="513" t="s">
        <v>23</v>
      </c>
      <c r="H613" s="516">
        <v>208914</v>
      </c>
      <c r="I613" s="512" t="s">
        <v>6915</v>
      </c>
    </row>
    <row r="614" spans="2:9" ht="15" x14ac:dyDescent="0.35">
      <c r="B614" s="512" t="s">
        <v>6219</v>
      </c>
      <c r="C614" s="512" t="s">
        <v>6242</v>
      </c>
      <c r="D614" s="512" t="s">
        <v>6257</v>
      </c>
      <c r="E614" s="513">
        <v>4195</v>
      </c>
      <c r="F614" s="512" t="s">
        <v>637</v>
      </c>
      <c r="G614" s="513" t="s">
        <v>21</v>
      </c>
      <c r="H614" s="514">
        <v>599</v>
      </c>
      <c r="I614" s="515" t="s">
        <v>6915</v>
      </c>
    </row>
    <row r="615" spans="2:9" ht="15" x14ac:dyDescent="0.35">
      <c r="B615" s="512" t="s">
        <v>6219</v>
      </c>
      <c r="C615" s="512" t="s">
        <v>6242</v>
      </c>
      <c r="D615" s="512" t="s">
        <v>6257</v>
      </c>
      <c r="E615" s="513">
        <v>4197</v>
      </c>
      <c r="F615" s="512" t="s">
        <v>638</v>
      </c>
      <c r="G615" s="513" t="s">
        <v>21</v>
      </c>
      <c r="H615" s="514">
        <v>4910</v>
      </c>
      <c r="I615" s="512" t="s">
        <v>6915</v>
      </c>
    </row>
    <row r="616" spans="2:9" ht="15" x14ac:dyDescent="0.35">
      <c r="B616" s="512" t="s">
        <v>6219</v>
      </c>
      <c r="C616" s="512" t="s">
        <v>6242</v>
      </c>
      <c r="D616" s="512" t="s">
        <v>6257</v>
      </c>
      <c r="E616" s="513">
        <v>4198</v>
      </c>
      <c r="F616" s="512" t="s">
        <v>639</v>
      </c>
      <c r="G616" s="513" t="s">
        <v>21</v>
      </c>
      <c r="H616" s="516">
        <v>5144</v>
      </c>
      <c r="I616" s="512" t="s">
        <v>6915</v>
      </c>
    </row>
    <row r="617" spans="2:9" ht="15" x14ac:dyDescent="0.35">
      <c r="B617" s="512" t="s">
        <v>6219</v>
      </c>
      <c r="C617" s="512" t="s">
        <v>6242</v>
      </c>
      <c r="D617" s="512" t="s">
        <v>6257</v>
      </c>
      <c r="E617" s="513">
        <v>4200</v>
      </c>
      <c r="F617" s="512" t="s">
        <v>640</v>
      </c>
      <c r="G617" s="513" t="s">
        <v>23</v>
      </c>
      <c r="H617" s="514">
        <v>1189120</v>
      </c>
      <c r="I617" s="515" t="s">
        <v>6915</v>
      </c>
    </row>
    <row r="618" spans="2:9" ht="15" x14ac:dyDescent="0.35">
      <c r="B618" s="512" t="s">
        <v>6219</v>
      </c>
      <c r="C618" s="512" t="s">
        <v>6242</v>
      </c>
      <c r="D618" s="512" t="s">
        <v>6257</v>
      </c>
      <c r="E618" s="513">
        <v>4203</v>
      </c>
      <c r="F618" s="512" t="s">
        <v>641</v>
      </c>
      <c r="G618" s="513" t="s">
        <v>23</v>
      </c>
      <c r="H618" s="516">
        <v>1422675</v>
      </c>
      <c r="I618" s="512" t="s">
        <v>6915</v>
      </c>
    </row>
    <row r="619" spans="2:9" ht="15" x14ac:dyDescent="0.35">
      <c r="B619" s="512" t="s">
        <v>6219</v>
      </c>
      <c r="C619" s="512" t="s">
        <v>6242</v>
      </c>
      <c r="D619" s="512" t="s">
        <v>6257</v>
      </c>
      <c r="E619" s="513">
        <v>4207</v>
      </c>
      <c r="F619" s="512" t="s">
        <v>642</v>
      </c>
      <c r="G619" s="513" t="s">
        <v>23</v>
      </c>
      <c r="H619" s="516">
        <v>1552868</v>
      </c>
      <c r="I619" s="512" t="s">
        <v>6915</v>
      </c>
    </row>
    <row r="620" spans="2:9" ht="15" x14ac:dyDescent="0.35">
      <c r="B620" s="512" t="s">
        <v>6219</v>
      </c>
      <c r="C620" s="512" t="s">
        <v>6242</v>
      </c>
      <c r="D620" s="512" t="s">
        <v>6243</v>
      </c>
      <c r="E620" s="513">
        <v>4229</v>
      </c>
      <c r="F620" s="512" t="s">
        <v>643</v>
      </c>
      <c r="G620" s="513" t="s">
        <v>23</v>
      </c>
      <c r="H620" s="516">
        <v>835414</v>
      </c>
      <c r="I620" s="512" t="s">
        <v>6915</v>
      </c>
    </row>
    <row r="621" spans="2:9" ht="15" x14ac:dyDescent="0.35">
      <c r="B621" s="512" t="s">
        <v>6219</v>
      </c>
      <c r="C621" s="512" t="s">
        <v>6242</v>
      </c>
      <c r="D621" s="512" t="s">
        <v>6243</v>
      </c>
      <c r="E621" s="513">
        <v>4230</v>
      </c>
      <c r="F621" s="512" t="s">
        <v>644</v>
      </c>
      <c r="G621" s="513" t="s">
        <v>23</v>
      </c>
      <c r="H621" s="516">
        <v>803891</v>
      </c>
      <c r="I621" s="512" t="s">
        <v>6915</v>
      </c>
    </row>
    <row r="622" spans="2:9" ht="15" x14ac:dyDescent="0.35">
      <c r="B622" s="512" t="s">
        <v>6219</v>
      </c>
      <c r="C622" s="512" t="s">
        <v>6251</v>
      </c>
      <c r="D622" s="512" t="s">
        <v>6251</v>
      </c>
      <c r="E622" s="513">
        <v>4232</v>
      </c>
      <c r="F622" s="512" t="s">
        <v>645</v>
      </c>
      <c r="G622" s="513" t="s">
        <v>367</v>
      </c>
      <c r="H622" s="516">
        <v>7569</v>
      </c>
      <c r="I622" s="512" t="s">
        <v>6915</v>
      </c>
    </row>
    <row r="623" spans="2:9" ht="15" x14ac:dyDescent="0.35">
      <c r="B623" s="512" t="s">
        <v>6219</v>
      </c>
      <c r="C623" s="512" t="s">
        <v>6251</v>
      </c>
      <c r="D623" s="512" t="s">
        <v>6251</v>
      </c>
      <c r="E623" s="513">
        <v>4233</v>
      </c>
      <c r="F623" s="512" t="s">
        <v>646</v>
      </c>
      <c r="G623" s="513" t="s">
        <v>367</v>
      </c>
      <c r="H623" s="516">
        <v>7569</v>
      </c>
      <c r="I623" s="512" t="s">
        <v>6915</v>
      </c>
    </row>
    <row r="624" spans="2:9" ht="15" x14ac:dyDescent="0.35">
      <c r="B624" s="512" t="s">
        <v>6219</v>
      </c>
      <c r="C624" s="512" t="s">
        <v>6251</v>
      </c>
      <c r="D624" s="512" t="s">
        <v>6251</v>
      </c>
      <c r="E624" s="513">
        <v>4234</v>
      </c>
      <c r="F624" s="512" t="s">
        <v>647</v>
      </c>
      <c r="G624" s="513" t="s">
        <v>367</v>
      </c>
      <c r="H624" s="514">
        <v>7569</v>
      </c>
      <c r="I624" s="512" t="s">
        <v>6915</v>
      </c>
    </row>
    <row r="625" spans="2:9" ht="15" x14ac:dyDescent="0.35">
      <c r="B625" s="512" t="s">
        <v>6219</v>
      </c>
      <c r="C625" s="512" t="s">
        <v>6251</v>
      </c>
      <c r="D625" s="512" t="s">
        <v>6251</v>
      </c>
      <c r="E625" s="513">
        <v>4235</v>
      </c>
      <c r="F625" s="512" t="s">
        <v>648</v>
      </c>
      <c r="G625" s="513" t="s">
        <v>367</v>
      </c>
      <c r="H625" s="514">
        <v>7569</v>
      </c>
      <c r="I625" s="512" t="s">
        <v>6915</v>
      </c>
    </row>
    <row r="626" spans="2:9" ht="15" x14ac:dyDescent="0.35">
      <c r="B626" s="512" t="s">
        <v>6219</v>
      </c>
      <c r="C626" s="512" t="s">
        <v>6251</v>
      </c>
      <c r="D626" s="512" t="s">
        <v>6251</v>
      </c>
      <c r="E626" s="513">
        <v>4236</v>
      </c>
      <c r="F626" s="512" t="s">
        <v>649</v>
      </c>
      <c r="G626" s="513" t="s">
        <v>367</v>
      </c>
      <c r="H626" s="516">
        <v>7569</v>
      </c>
      <c r="I626" s="512" t="s">
        <v>6915</v>
      </c>
    </row>
    <row r="627" spans="2:9" ht="15" x14ac:dyDescent="0.35">
      <c r="B627" s="512" t="s">
        <v>6219</v>
      </c>
      <c r="C627" s="512" t="s">
        <v>6251</v>
      </c>
      <c r="D627" s="512" t="s">
        <v>6251</v>
      </c>
      <c r="E627" s="513">
        <v>4237</v>
      </c>
      <c r="F627" s="512" t="s">
        <v>650</v>
      </c>
      <c r="G627" s="513" t="s">
        <v>367</v>
      </c>
      <c r="H627" s="516">
        <v>7569</v>
      </c>
      <c r="I627" s="512" t="s">
        <v>6915</v>
      </c>
    </row>
    <row r="628" spans="2:9" ht="15" x14ac:dyDescent="0.35">
      <c r="B628" s="512" t="s">
        <v>6219</v>
      </c>
      <c r="C628" s="512" t="s">
        <v>6251</v>
      </c>
      <c r="D628" s="512" t="s">
        <v>6251</v>
      </c>
      <c r="E628" s="513">
        <v>4238</v>
      </c>
      <c r="F628" s="512" t="s">
        <v>651</v>
      </c>
      <c r="G628" s="513" t="s">
        <v>367</v>
      </c>
      <c r="H628" s="516">
        <v>7569</v>
      </c>
      <c r="I628" s="512" t="s">
        <v>6915</v>
      </c>
    </row>
    <row r="629" spans="2:9" ht="15" x14ac:dyDescent="0.35">
      <c r="B629" s="512" t="s">
        <v>6219</v>
      </c>
      <c r="C629" s="512" t="s">
        <v>6242</v>
      </c>
      <c r="D629" s="512" t="s">
        <v>6255</v>
      </c>
      <c r="E629" s="513">
        <v>4239</v>
      </c>
      <c r="F629" s="512" t="s">
        <v>652</v>
      </c>
      <c r="G629" s="513" t="s">
        <v>26</v>
      </c>
      <c r="H629" s="516">
        <v>7983</v>
      </c>
      <c r="I629" s="512" t="s">
        <v>6915</v>
      </c>
    </row>
    <row r="630" spans="2:9" ht="15" x14ac:dyDescent="0.35">
      <c r="B630" s="512" t="s">
        <v>6219</v>
      </c>
      <c r="C630" s="512" t="s">
        <v>6237</v>
      </c>
      <c r="D630" s="512" t="s">
        <v>6238</v>
      </c>
      <c r="E630" s="513">
        <v>4240</v>
      </c>
      <c r="F630" s="512" t="s">
        <v>653</v>
      </c>
      <c r="G630" s="513" t="s">
        <v>26</v>
      </c>
      <c r="H630" s="516">
        <v>20621</v>
      </c>
      <c r="I630" s="515" t="s">
        <v>6915</v>
      </c>
    </row>
    <row r="631" spans="2:9" ht="15" x14ac:dyDescent="0.35">
      <c r="B631" s="512" t="s">
        <v>6219</v>
      </c>
      <c r="C631" s="512" t="s">
        <v>6237</v>
      </c>
      <c r="D631" s="512" t="s">
        <v>6238</v>
      </c>
      <c r="E631" s="513">
        <v>4241</v>
      </c>
      <c r="F631" s="512" t="s">
        <v>654</v>
      </c>
      <c r="G631" s="513" t="s">
        <v>26</v>
      </c>
      <c r="H631" s="516">
        <v>20621</v>
      </c>
      <c r="I631" s="515" t="s">
        <v>6915</v>
      </c>
    </row>
    <row r="632" spans="2:9" ht="15" x14ac:dyDescent="0.35">
      <c r="B632" s="512" t="s">
        <v>6219</v>
      </c>
      <c r="C632" s="512" t="s">
        <v>6237</v>
      </c>
      <c r="D632" s="512" t="s">
        <v>6238</v>
      </c>
      <c r="E632" s="513">
        <v>4242</v>
      </c>
      <c r="F632" s="512" t="s">
        <v>655</v>
      </c>
      <c r="G632" s="513" t="s">
        <v>26</v>
      </c>
      <c r="H632" s="516">
        <v>25776</v>
      </c>
      <c r="I632" s="515" t="s">
        <v>6915</v>
      </c>
    </row>
    <row r="633" spans="2:9" ht="15" x14ac:dyDescent="0.35">
      <c r="B633" s="512" t="s">
        <v>6219</v>
      </c>
      <c r="C633" s="512" t="s">
        <v>6237</v>
      </c>
      <c r="D633" s="512" t="s">
        <v>6238</v>
      </c>
      <c r="E633" s="513">
        <v>4243</v>
      </c>
      <c r="F633" s="512" t="s">
        <v>656</v>
      </c>
      <c r="G633" s="513" t="s">
        <v>26</v>
      </c>
      <c r="H633" s="514">
        <v>25776</v>
      </c>
      <c r="I633" s="515" t="s">
        <v>6915</v>
      </c>
    </row>
    <row r="634" spans="2:9" ht="15" x14ac:dyDescent="0.35">
      <c r="B634" s="512" t="s">
        <v>6219</v>
      </c>
      <c r="C634" s="512" t="s">
        <v>6237</v>
      </c>
      <c r="D634" s="512" t="s">
        <v>6238</v>
      </c>
      <c r="E634" s="513">
        <v>4244</v>
      </c>
      <c r="F634" s="512" t="s">
        <v>657</v>
      </c>
      <c r="G634" s="513" t="s">
        <v>29</v>
      </c>
      <c r="H634" s="514">
        <v>259474</v>
      </c>
      <c r="I634" s="515" t="s">
        <v>6915</v>
      </c>
    </row>
    <row r="635" spans="2:9" ht="15" x14ac:dyDescent="0.35">
      <c r="B635" s="512" t="s">
        <v>6219</v>
      </c>
      <c r="C635" s="512" t="s">
        <v>6237</v>
      </c>
      <c r="D635" s="512" t="s">
        <v>6238</v>
      </c>
      <c r="E635" s="513">
        <v>4245</v>
      </c>
      <c r="F635" s="512" t="s">
        <v>658</v>
      </c>
      <c r="G635" s="513" t="s">
        <v>29</v>
      </c>
      <c r="H635" s="514">
        <v>374605</v>
      </c>
      <c r="I635" s="515" t="s">
        <v>6915</v>
      </c>
    </row>
    <row r="636" spans="2:9" ht="15" x14ac:dyDescent="0.35">
      <c r="B636" s="512" t="s">
        <v>6219</v>
      </c>
      <c r="C636" s="512" t="s">
        <v>6237</v>
      </c>
      <c r="D636" s="512" t="s">
        <v>6238</v>
      </c>
      <c r="E636" s="513">
        <v>4246</v>
      </c>
      <c r="F636" s="512" t="s">
        <v>659</v>
      </c>
      <c r="G636" s="513" t="s">
        <v>29</v>
      </c>
      <c r="H636" s="514">
        <v>206205</v>
      </c>
      <c r="I636" s="515" t="s">
        <v>6915</v>
      </c>
    </row>
    <row r="637" spans="2:9" ht="15" x14ac:dyDescent="0.35">
      <c r="B637" s="512" t="s">
        <v>6219</v>
      </c>
      <c r="C637" s="512" t="s">
        <v>6237</v>
      </c>
      <c r="D637" s="512" t="s">
        <v>6238</v>
      </c>
      <c r="E637" s="513">
        <v>4247</v>
      </c>
      <c r="F637" s="512" t="s">
        <v>660</v>
      </c>
      <c r="G637" s="513" t="s">
        <v>21</v>
      </c>
      <c r="H637" s="514">
        <v>171837</v>
      </c>
      <c r="I637" s="515" t="s">
        <v>6915</v>
      </c>
    </row>
    <row r="638" spans="2:9" ht="15" x14ac:dyDescent="0.35">
      <c r="B638" s="512" t="s">
        <v>6219</v>
      </c>
      <c r="C638" s="512" t="s">
        <v>6237</v>
      </c>
      <c r="D638" s="512" t="s">
        <v>6238</v>
      </c>
      <c r="E638" s="513">
        <v>4248</v>
      </c>
      <c r="F638" s="512" t="s">
        <v>661</v>
      </c>
      <c r="G638" s="513" t="s">
        <v>21</v>
      </c>
      <c r="H638" s="514">
        <v>171837</v>
      </c>
      <c r="I638" s="515" t="s">
        <v>6915</v>
      </c>
    </row>
    <row r="639" spans="2:9" ht="15" x14ac:dyDescent="0.35">
      <c r="B639" s="512" t="s">
        <v>6219</v>
      </c>
      <c r="C639" s="512" t="s">
        <v>6237</v>
      </c>
      <c r="D639" s="512" t="s">
        <v>6238</v>
      </c>
      <c r="E639" s="513">
        <v>4249</v>
      </c>
      <c r="F639" s="512" t="s">
        <v>662</v>
      </c>
      <c r="G639" s="513" t="s">
        <v>26</v>
      </c>
      <c r="H639" s="514">
        <v>25776</v>
      </c>
      <c r="I639" s="515" t="s">
        <v>6915</v>
      </c>
    </row>
    <row r="640" spans="2:9" ht="15" x14ac:dyDescent="0.35">
      <c r="B640" s="512" t="s">
        <v>6219</v>
      </c>
      <c r="C640" s="512" t="s">
        <v>6232</v>
      </c>
      <c r="D640" s="512" t="s">
        <v>6232</v>
      </c>
      <c r="E640" s="513">
        <v>4252</v>
      </c>
      <c r="F640" s="512" t="s">
        <v>663</v>
      </c>
      <c r="G640" s="513" t="s">
        <v>29</v>
      </c>
      <c r="H640" s="514">
        <v>2482674</v>
      </c>
      <c r="I640" s="512" t="s">
        <v>6915</v>
      </c>
    </row>
    <row r="641" spans="2:9" ht="15" x14ac:dyDescent="0.35">
      <c r="B641" s="512" t="s">
        <v>6219</v>
      </c>
      <c r="C641" s="512" t="s">
        <v>6232</v>
      </c>
      <c r="D641" s="512" t="s">
        <v>6232</v>
      </c>
      <c r="E641" s="513">
        <v>4253</v>
      </c>
      <c r="F641" s="512" t="s">
        <v>664</v>
      </c>
      <c r="G641" s="513" t="s">
        <v>29</v>
      </c>
      <c r="H641" s="514">
        <v>971671</v>
      </c>
      <c r="I641" s="515" t="s">
        <v>6915</v>
      </c>
    </row>
    <row r="642" spans="2:9" ht="15" x14ac:dyDescent="0.35">
      <c r="B642" s="512" t="s">
        <v>6219</v>
      </c>
      <c r="C642" s="512" t="s">
        <v>6240</v>
      </c>
      <c r="D642" s="512" t="s">
        <v>6249</v>
      </c>
      <c r="E642" s="513">
        <v>4261</v>
      </c>
      <c r="F642" s="512" t="s">
        <v>665</v>
      </c>
      <c r="G642" s="513" t="s">
        <v>23</v>
      </c>
      <c r="H642" s="514">
        <v>844312</v>
      </c>
      <c r="I642" s="515" t="s">
        <v>6915</v>
      </c>
    </row>
    <row r="643" spans="2:9" ht="15" x14ac:dyDescent="0.35">
      <c r="B643" s="512" t="s">
        <v>6219</v>
      </c>
      <c r="C643" s="512" t="s">
        <v>6220</v>
      </c>
      <c r="D643" s="512" t="s">
        <v>6222</v>
      </c>
      <c r="E643" s="513">
        <v>4262</v>
      </c>
      <c r="F643" s="512" t="s">
        <v>666</v>
      </c>
      <c r="G643" s="513" t="s">
        <v>23</v>
      </c>
      <c r="H643" s="514">
        <v>5998</v>
      </c>
      <c r="I643" s="515" t="s">
        <v>6915</v>
      </c>
    </row>
    <row r="644" spans="2:9" ht="15" x14ac:dyDescent="0.35">
      <c r="B644" s="512" t="s">
        <v>6219</v>
      </c>
      <c r="C644" s="512" t="s">
        <v>6232</v>
      </c>
      <c r="D644" s="512" t="s">
        <v>6232</v>
      </c>
      <c r="E644" s="513">
        <v>4264</v>
      </c>
      <c r="F644" s="512" t="s">
        <v>667</v>
      </c>
      <c r="G644" s="513" t="s">
        <v>26</v>
      </c>
      <c r="H644" s="514">
        <v>69980</v>
      </c>
      <c r="I644" s="515" t="s">
        <v>6915</v>
      </c>
    </row>
    <row r="645" spans="2:9" ht="15" x14ac:dyDescent="0.35">
      <c r="B645" s="512" t="s">
        <v>6219</v>
      </c>
      <c r="C645" s="512" t="s">
        <v>6232</v>
      </c>
      <c r="D645" s="512" t="s">
        <v>6232</v>
      </c>
      <c r="E645" s="513">
        <v>4265</v>
      </c>
      <c r="F645" s="512" t="s">
        <v>668</v>
      </c>
      <c r="G645" s="513" t="s">
        <v>26</v>
      </c>
      <c r="H645" s="514">
        <v>154949</v>
      </c>
      <c r="I645" s="515" t="s">
        <v>6915</v>
      </c>
    </row>
    <row r="646" spans="2:9" ht="15" x14ac:dyDescent="0.35">
      <c r="B646" s="512" t="s">
        <v>6219</v>
      </c>
      <c r="C646" s="512" t="s">
        <v>6220</v>
      </c>
      <c r="D646" s="512" t="s">
        <v>6222</v>
      </c>
      <c r="E646" s="513">
        <v>4266</v>
      </c>
      <c r="F646" s="512" t="s">
        <v>669</v>
      </c>
      <c r="G646" s="513" t="s">
        <v>23</v>
      </c>
      <c r="H646" s="516">
        <v>75962</v>
      </c>
      <c r="I646" s="512" t="s">
        <v>6915</v>
      </c>
    </row>
    <row r="647" spans="2:9" ht="15" x14ac:dyDescent="0.35">
      <c r="B647" s="512" t="s">
        <v>6219</v>
      </c>
      <c r="C647" s="512" t="s">
        <v>6253</v>
      </c>
      <c r="D647" s="512" t="s">
        <v>6254</v>
      </c>
      <c r="E647" s="513">
        <v>4273</v>
      </c>
      <c r="F647" s="512" t="s">
        <v>670</v>
      </c>
      <c r="G647" s="513" t="s">
        <v>389</v>
      </c>
      <c r="H647" s="516">
        <v>218626</v>
      </c>
      <c r="I647" s="512" t="s">
        <v>5686</v>
      </c>
    </row>
    <row r="648" spans="2:9" ht="15" x14ac:dyDescent="0.35">
      <c r="B648" s="512" t="s">
        <v>6219</v>
      </c>
      <c r="C648" s="512" t="s">
        <v>6253</v>
      </c>
      <c r="D648" s="512" t="s">
        <v>6254</v>
      </c>
      <c r="E648" s="513">
        <v>4274</v>
      </c>
      <c r="F648" s="512" t="s">
        <v>671</v>
      </c>
      <c r="G648" s="513" t="s">
        <v>389</v>
      </c>
      <c r="H648" s="516">
        <v>316040</v>
      </c>
      <c r="I648" s="512" t="s">
        <v>5686</v>
      </c>
    </row>
    <row r="649" spans="2:9" ht="15" x14ac:dyDescent="0.35">
      <c r="B649" s="512" t="s">
        <v>6219</v>
      </c>
      <c r="C649" s="512" t="s">
        <v>6253</v>
      </c>
      <c r="D649" s="512" t="s">
        <v>6254</v>
      </c>
      <c r="E649" s="513">
        <v>4275</v>
      </c>
      <c r="F649" s="512" t="s">
        <v>672</v>
      </c>
      <c r="G649" s="513" t="s">
        <v>389</v>
      </c>
      <c r="H649" s="516">
        <v>236676</v>
      </c>
      <c r="I649" s="512" t="s">
        <v>5686</v>
      </c>
    </row>
    <row r="650" spans="2:9" ht="15" x14ac:dyDescent="0.35">
      <c r="B650" s="512" t="s">
        <v>6219</v>
      </c>
      <c r="C650" s="512" t="s">
        <v>6253</v>
      </c>
      <c r="D650" s="512" t="s">
        <v>6254</v>
      </c>
      <c r="E650" s="513">
        <v>4276</v>
      </c>
      <c r="F650" s="512" t="s">
        <v>673</v>
      </c>
      <c r="G650" s="513" t="s">
        <v>389</v>
      </c>
      <c r="H650" s="516">
        <v>334090</v>
      </c>
      <c r="I650" s="512" t="s">
        <v>5686</v>
      </c>
    </row>
    <row r="651" spans="2:9" ht="15" x14ac:dyDescent="0.35">
      <c r="B651" s="512" t="s">
        <v>6219</v>
      </c>
      <c r="C651" s="512" t="s">
        <v>6253</v>
      </c>
      <c r="D651" s="512" t="s">
        <v>6254</v>
      </c>
      <c r="E651" s="513">
        <v>4277</v>
      </c>
      <c r="F651" s="512" t="s">
        <v>674</v>
      </c>
      <c r="G651" s="513" t="s">
        <v>389</v>
      </c>
      <c r="H651" s="516">
        <v>236676</v>
      </c>
      <c r="I651" s="512" t="s">
        <v>5686</v>
      </c>
    </row>
    <row r="652" spans="2:9" ht="15" x14ac:dyDescent="0.35">
      <c r="B652" s="512" t="s">
        <v>6219</v>
      </c>
      <c r="C652" s="512" t="s">
        <v>6253</v>
      </c>
      <c r="D652" s="512" t="s">
        <v>6254</v>
      </c>
      <c r="E652" s="513">
        <v>4278</v>
      </c>
      <c r="F652" s="512" t="s">
        <v>675</v>
      </c>
      <c r="G652" s="513" t="s">
        <v>676</v>
      </c>
      <c r="H652" s="516">
        <v>31234</v>
      </c>
      <c r="I652" s="512" t="s">
        <v>6915</v>
      </c>
    </row>
    <row r="653" spans="2:9" ht="15" x14ac:dyDescent="0.35">
      <c r="B653" s="512" t="s">
        <v>6219</v>
      </c>
      <c r="C653" s="512" t="s">
        <v>6253</v>
      </c>
      <c r="D653" s="512" t="s">
        <v>6254</v>
      </c>
      <c r="E653" s="513">
        <v>4279</v>
      </c>
      <c r="F653" s="512" t="s">
        <v>677</v>
      </c>
      <c r="G653" s="513" t="s">
        <v>676</v>
      </c>
      <c r="H653" s="516">
        <v>45151</v>
      </c>
      <c r="I653" s="512" t="s">
        <v>6915</v>
      </c>
    </row>
    <row r="654" spans="2:9" ht="15" x14ac:dyDescent="0.35">
      <c r="B654" s="512" t="s">
        <v>6219</v>
      </c>
      <c r="C654" s="512" t="s">
        <v>6253</v>
      </c>
      <c r="D654" s="512" t="s">
        <v>6254</v>
      </c>
      <c r="E654" s="513">
        <v>4280</v>
      </c>
      <c r="F654" s="512" t="s">
        <v>678</v>
      </c>
      <c r="G654" s="513" t="s">
        <v>676</v>
      </c>
      <c r="H654" s="516">
        <v>33812</v>
      </c>
      <c r="I654" s="512" t="s">
        <v>6915</v>
      </c>
    </row>
    <row r="655" spans="2:9" ht="15" x14ac:dyDescent="0.35">
      <c r="B655" s="512" t="s">
        <v>6219</v>
      </c>
      <c r="C655" s="512" t="s">
        <v>6253</v>
      </c>
      <c r="D655" s="512" t="s">
        <v>6254</v>
      </c>
      <c r="E655" s="513">
        <v>4281</v>
      </c>
      <c r="F655" s="512" t="s">
        <v>679</v>
      </c>
      <c r="G655" s="513" t="s">
        <v>676</v>
      </c>
      <c r="H655" s="516">
        <v>47729</v>
      </c>
      <c r="I655" s="512" t="s">
        <v>6915</v>
      </c>
    </row>
    <row r="656" spans="2:9" ht="15" x14ac:dyDescent="0.35">
      <c r="B656" s="512" t="s">
        <v>6219</v>
      </c>
      <c r="C656" s="512" t="s">
        <v>6253</v>
      </c>
      <c r="D656" s="512" t="s">
        <v>6254</v>
      </c>
      <c r="E656" s="513">
        <v>4282</v>
      </c>
      <c r="F656" s="512" t="s">
        <v>680</v>
      </c>
      <c r="G656" s="513" t="s">
        <v>676</v>
      </c>
      <c r="H656" s="516">
        <v>33812</v>
      </c>
      <c r="I656" s="512" t="s">
        <v>6915</v>
      </c>
    </row>
    <row r="657" spans="2:9" ht="15" x14ac:dyDescent="0.35">
      <c r="B657" s="512" t="s">
        <v>6219</v>
      </c>
      <c r="C657" s="512" t="s">
        <v>6253</v>
      </c>
      <c r="D657" s="512" t="s">
        <v>6254</v>
      </c>
      <c r="E657" s="513">
        <v>4283</v>
      </c>
      <c r="F657" s="512" t="s">
        <v>681</v>
      </c>
      <c r="G657" s="513" t="s">
        <v>389</v>
      </c>
      <c r="H657" s="516">
        <v>334090</v>
      </c>
      <c r="I657" s="512" t="s">
        <v>5686</v>
      </c>
    </row>
    <row r="658" spans="2:9" ht="15" x14ac:dyDescent="0.35">
      <c r="B658" s="512" t="s">
        <v>6219</v>
      </c>
      <c r="C658" s="512" t="s">
        <v>6253</v>
      </c>
      <c r="D658" s="512" t="s">
        <v>6254</v>
      </c>
      <c r="E658" s="513">
        <v>4284</v>
      </c>
      <c r="F658" s="512" t="s">
        <v>682</v>
      </c>
      <c r="G658" s="513" t="s">
        <v>676</v>
      </c>
      <c r="H658" s="516">
        <v>72981</v>
      </c>
      <c r="I658" s="512" t="s">
        <v>6915</v>
      </c>
    </row>
    <row r="659" spans="2:9" ht="15" x14ac:dyDescent="0.35">
      <c r="B659" s="512" t="s">
        <v>6219</v>
      </c>
      <c r="C659" s="512" t="s">
        <v>6253</v>
      </c>
      <c r="D659" s="512" t="s">
        <v>6254</v>
      </c>
      <c r="E659" s="513">
        <v>4285</v>
      </c>
      <c r="F659" s="512" t="s">
        <v>683</v>
      </c>
      <c r="G659" s="513" t="s">
        <v>389</v>
      </c>
      <c r="H659" s="516">
        <v>510868</v>
      </c>
      <c r="I659" s="512" t="s">
        <v>5686</v>
      </c>
    </row>
    <row r="660" spans="2:9" ht="15" x14ac:dyDescent="0.35">
      <c r="B660" s="512" t="s">
        <v>6219</v>
      </c>
      <c r="C660" s="512" t="s">
        <v>6253</v>
      </c>
      <c r="D660" s="512" t="s">
        <v>6254</v>
      </c>
      <c r="E660" s="513">
        <v>4286</v>
      </c>
      <c r="F660" s="512" t="s">
        <v>684</v>
      </c>
      <c r="G660" s="513" t="s">
        <v>389</v>
      </c>
      <c r="H660" s="516">
        <v>948117</v>
      </c>
      <c r="I660" s="512" t="s">
        <v>5686</v>
      </c>
    </row>
    <row r="661" spans="2:9" ht="15" x14ac:dyDescent="0.35">
      <c r="B661" s="512" t="s">
        <v>6219</v>
      </c>
      <c r="C661" s="512" t="s">
        <v>6253</v>
      </c>
      <c r="D661" s="512" t="s">
        <v>6254</v>
      </c>
      <c r="E661" s="513">
        <v>4287</v>
      </c>
      <c r="F661" s="512" t="s">
        <v>685</v>
      </c>
      <c r="G661" s="513" t="s">
        <v>676</v>
      </c>
      <c r="H661" s="516">
        <v>59068</v>
      </c>
      <c r="I661" s="512" t="s">
        <v>6915</v>
      </c>
    </row>
    <row r="662" spans="2:9" ht="15" x14ac:dyDescent="0.35">
      <c r="B662" s="512" t="s">
        <v>6219</v>
      </c>
      <c r="C662" s="512" t="s">
        <v>6253</v>
      </c>
      <c r="D662" s="512" t="s">
        <v>6254</v>
      </c>
      <c r="E662" s="513">
        <v>4288</v>
      </c>
      <c r="F662" s="512" t="s">
        <v>686</v>
      </c>
      <c r="G662" s="513" t="s">
        <v>389</v>
      </c>
      <c r="H662" s="516">
        <v>413454</v>
      </c>
      <c r="I662" s="512" t="s">
        <v>5686</v>
      </c>
    </row>
    <row r="663" spans="2:9" ht="15" x14ac:dyDescent="0.35">
      <c r="B663" s="512" t="s">
        <v>6219</v>
      </c>
      <c r="C663" s="512" t="s">
        <v>6223</v>
      </c>
      <c r="D663" s="512" t="s">
        <v>6223</v>
      </c>
      <c r="E663" s="513">
        <v>4289</v>
      </c>
      <c r="F663" s="512" t="s">
        <v>687</v>
      </c>
      <c r="G663" s="513" t="s">
        <v>21</v>
      </c>
      <c r="H663" s="516">
        <v>36963</v>
      </c>
      <c r="I663" s="512" t="s">
        <v>6915</v>
      </c>
    </row>
    <row r="664" spans="2:9" ht="15" x14ac:dyDescent="0.35">
      <c r="B664" s="512" t="s">
        <v>6219</v>
      </c>
      <c r="C664" s="512" t="s">
        <v>6223</v>
      </c>
      <c r="D664" s="512" t="s">
        <v>6223</v>
      </c>
      <c r="E664" s="513">
        <v>4290</v>
      </c>
      <c r="F664" s="512" t="s">
        <v>688</v>
      </c>
      <c r="G664" s="513" t="s">
        <v>21</v>
      </c>
      <c r="H664" s="516">
        <v>52391</v>
      </c>
      <c r="I664" s="512" t="s">
        <v>6915</v>
      </c>
    </row>
    <row r="665" spans="2:9" ht="15" x14ac:dyDescent="0.35">
      <c r="B665" s="512" t="s">
        <v>6219</v>
      </c>
      <c r="C665" s="512" t="s">
        <v>6233</v>
      </c>
      <c r="D665" s="512" t="s">
        <v>6261</v>
      </c>
      <c r="E665" s="513">
        <v>4305</v>
      </c>
      <c r="F665" s="512" t="s">
        <v>689</v>
      </c>
      <c r="G665" s="513" t="s">
        <v>29</v>
      </c>
      <c r="H665" s="516">
        <v>498834</v>
      </c>
      <c r="I665" s="512" t="s">
        <v>6915</v>
      </c>
    </row>
    <row r="666" spans="2:9" ht="15" x14ac:dyDescent="0.35">
      <c r="B666" s="512" t="s">
        <v>6219</v>
      </c>
      <c r="C666" s="512" t="s">
        <v>6233</v>
      </c>
      <c r="D666" s="512" t="s">
        <v>6261</v>
      </c>
      <c r="E666" s="513">
        <v>4306</v>
      </c>
      <c r="F666" s="512" t="s">
        <v>690</v>
      </c>
      <c r="G666" s="513" t="s">
        <v>29</v>
      </c>
      <c r="H666" s="516">
        <v>1122033</v>
      </c>
      <c r="I666" s="512" t="s">
        <v>6915</v>
      </c>
    </row>
    <row r="667" spans="2:9" ht="15" x14ac:dyDescent="0.35">
      <c r="B667" s="512" t="s">
        <v>6219</v>
      </c>
      <c r="C667" s="512" t="s">
        <v>6233</v>
      </c>
      <c r="D667" s="512" t="s">
        <v>6261</v>
      </c>
      <c r="E667" s="513">
        <v>4307</v>
      </c>
      <c r="F667" s="512" t="s">
        <v>691</v>
      </c>
      <c r="G667" s="513" t="s">
        <v>29</v>
      </c>
      <c r="H667" s="516">
        <v>689537</v>
      </c>
      <c r="I667" s="512" t="s">
        <v>6915</v>
      </c>
    </row>
    <row r="668" spans="2:9" ht="15" x14ac:dyDescent="0.35">
      <c r="B668" s="512" t="s">
        <v>6219</v>
      </c>
      <c r="C668" s="512" t="s">
        <v>6233</v>
      </c>
      <c r="D668" s="512" t="s">
        <v>6261</v>
      </c>
      <c r="E668" s="513">
        <v>4308</v>
      </c>
      <c r="F668" s="512" t="s">
        <v>692</v>
      </c>
      <c r="G668" s="513" t="s">
        <v>29</v>
      </c>
      <c r="H668" s="516">
        <v>6296870</v>
      </c>
      <c r="I668" s="512" t="s">
        <v>6915</v>
      </c>
    </row>
    <row r="669" spans="2:9" ht="15" x14ac:dyDescent="0.35">
      <c r="B669" s="512" t="s">
        <v>6219</v>
      </c>
      <c r="C669" s="512" t="s">
        <v>6233</v>
      </c>
      <c r="D669" s="512" t="s">
        <v>6261</v>
      </c>
      <c r="E669" s="513">
        <v>4309</v>
      </c>
      <c r="F669" s="512" t="s">
        <v>693</v>
      </c>
      <c r="G669" s="513" t="s">
        <v>29</v>
      </c>
      <c r="H669" s="516">
        <v>6296870</v>
      </c>
      <c r="I669" s="512" t="s">
        <v>6915</v>
      </c>
    </row>
    <row r="670" spans="2:9" ht="15" x14ac:dyDescent="0.35">
      <c r="B670" s="512" t="s">
        <v>6219</v>
      </c>
      <c r="C670" s="512" t="s">
        <v>6233</v>
      </c>
      <c r="D670" s="512" t="s">
        <v>6261</v>
      </c>
      <c r="E670" s="513">
        <v>4310</v>
      </c>
      <c r="F670" s="512" t="s">
        <v>694</v>
      </c>
      <c r="G670" s="513" t="s">
        <v>29</v>
      </c>
      <c r="H670" s="516">
        <v>6954860</v>
      </c>
      <c r="I670" s="512" t="s">
        <v>6915</v>
      </c>
    </row>
    <row r="671" spans="2:9" ht="15" x14ac:dyDescent="0.35">
      <c r="B671" s="512" t="s">
        <v>6219</v>
      </c>
      <c r="C671" s="512" t="s">
        <v>6233</v>
      </c>
      <c r="D671" s="512" t="s">
        <v>6261</v>
      </c>
      <c r="E671" s="513">
        <v>4311</v>
      </c>
      <c r="F671" s="512" t="s">
        <v>695</v>
      </c>
      <c r="G671" s="513" t="s">
        <v>29</v>
      </c>
      <c r="H671" s="516">
        <v>6292902</v>
      </c>
      <c r="I671" s="512" t="s">
        <v>6915</v>
      </c>
    </row>
    <row r="672" spans="2:9" ht="15" x14ac:dyDescent="0.35">
      <c r="B672" s="512" t="s">
        <v>6219</v>
      </c>
      <c r="C672" s="512" t="s">
        <v>6233</v>
      </c>
      <c r="D672" s="512" t="s">
        <v>6261</v>
      </c>
      <c r="E672" s="513">
        <v>4312</v>
      </c>
      <c r="F672" s="512" t="s">
        <v>696</v>
      </c>
      <c r="G672" s="513" t="s">
        <v>29</v>
      </c>
      <c r="H672" s="516">
        <v>6292902</v>
      </c>
      <c r="I672" s="512" t="s">
        <v>6915</v>
      </c>
    </row>
    <row r="673" spans="2:9" ht="15" x14ac:dyDescent="0.35">
      <c r="B673" s="512" t="s">
        <v>6219</v>
      </c>
      <c r="C673" s="512" t="s">
        <v>6233</v>
      </c>
      <c r="D673" s="512" t="s">
        <v>6261</v>
      </c>
      <c r="E673" s="513">
        <v>4313</v>
      </c>
      <c r="F673" s="512" t="s">
        <v>697</v>
      </c>
      <c r="G673" s="513" t="s">
        <v>29</v>
      </c>
      <c r="H673" s="516">
        <v>6288934</v>
      </c>
      <c r="I673" s="512" t="s">
        <v>6915</v>
      </c>
    </row>
    <row r="674" spans="2:9" ht="15" x14ac:dyDescent="0.35">
      <c r="B674" s="512" t="s">
        <v>6219</v>
      </c>
      <c r="C674" s="512" t="s">
        <v>6233</v>
      </c>
      <c r="D674" s="512" t="s">
        <v>6261</v>
      </c>
      <c r="E674" s="513">
        <v>4314</v>
      </c>
      <c r="F674" s="512" t="s">
        <v>698</v>
      </c>
      <c r="G674" s="513" t="s">
        <v>29</v>
      </c>
      <c r="H674" s="516">
        <v>5743238</v>
      </c>
      <c r="I674" s="512" t="s">
        <v>6915</v>
      </c>
    </row>
    <row r="675" spans="2:9" ht="15" x14ac:dyDescent="0.35">
      <c r="B675" s="512" t="s">
        <v>6219</v>
      </c>
      <c r="C675" s="512" t="s">
        <v>6233</v>
      </c>
      <c r="D675" s="512" t="s">
        <v>6261</v>
      </c>
      <c r="E675" s="513">
        <v>4315</v>
      </c>
      <c r="F675" s="512" t="s">
        <v>699</v>
      </c>
      <c r="G675" s="513" t="s">
        <v>29</v>
      </c>
      <c r="H675" s="516">
        <v>5743238</v>
      </c>
      <c r="I675" s="512" t="s">
        <v>6915</v>
      </c>
    </row>
    <row r="676" spans="2:9" ht="15" x14ac:dyDescent="0.35">
      <c r="B676" s="512" t="s">
        <v>6219</v>
      </c>
      <c r="C676" s="512" t="s">
        <v>6233</v>
      </c>
      <c r="D676" s="512" t="s">
        <v>6261</v>
      </c>
      <c r="E676" s="513">
        <v>4316</v>
      </c>
      <c r="F676" s="512" t="s">
        <v>700</v>
      </c>
      <c r="G676" s="513" t="s">
        <v>29</v>
      </c>
      <c r="H676" s="516">
        <v>6443308</v>
      </c>
      <c r="I676" s="512" t="s">
        <v>6915</v>
      </c>
    </row>
    <row r="677" spans="2:9" ht="15" x14ac:dyDescent="0.35">
      <c r="B677" s="512" t="s">
        <v>6219</v>
      </c>
      <c r="C677" s="512" t="s">
        <v>6233</v>
      </c>
      <c r="D677" s="512" t="s">
        <v>6261</v>
      </c>
      <c r="E677" s="513">
        <v>4317</v>
      </c>
      <c r="F677" s="512" t="s">
        <v>701</v>
      </c>
      <c r="G677" s="513" t="s">
        <v>29</v>
      </c>
      <c r="H677" s="514">
        <v>5726459</v>
      </c>
      <c r="I677" s="515" t="s">
        <v>6915</v>
      </c>
    </row>
    <row r="678" spans="2:9" ht="15" x14ac:dyDescent="0.35">
      <c r="B678" s="512" t="s">
        <v>6219</v>
      </c>
      <c r="C678" s="512" t="s">
        <v>6233</v>
      </c>
      <c r="D678" s="512" t="s">
        <v>6261</v>
      </c>
      <c r="E678" s="513">
        <v>4318</v>
      </c>
      <c r="F678" s="512" t="s">
        <v>702</v>
      </c>
      <c r="G678" s="513" t="s">
        <v>29</v>
      </c>
      <c r="H678" s="514">
        <v>5726459</v>
      </c>
      <c r="I678" s="515" t="s">
        <v>6915</v>
      </c>
    </row>
    <row r="679" spans="2:9" ht="15" x14ac:dyDescent="0.35">
      <c r="B679" s="512" t="s">
        <v>6219</v>
      </c>
      <c r="C679" s="512" t="s">
        <v>6233</v>
      </c>
      <c r="D679" s="512" t="s">
        <v>6261</v>
      </c>
      <c r="E679" s="513">
        <v>4319</v>
      </c>
      <c r="F679" s="512" t="s">
        <v>703</v>
      </c>
      <c r="G679" s="513" t="s">
        <v>29</v>
      </c>
      <c r="H679" s="514">
        <v>5720377</v>
      </c>
      <c r="I679" s="515" t="s">
        <v>6915</v>
      </c>
    </row>
    <row r="680" spans="2:9" ht="15" x14ac:dyDescent="0.35">
      <c r="B680" s="512" t="s">
        <v>6219</v>
      </c>
      <c r="C680" s="512" t="s">
        <v>6233</v>
      </c>
      <c r="D680" s="512" t="s">
        <v>6261</v>
      </c>
      <c r="E680" s="513">
        <v>4320</v>
      </c>
      <c r="F680" s="512" t="s">
        <v>704</v>
      </c>
      <c r="G680" s="513" t="s">
        <v>29</v>
      </c>
      <c r="H680" s="514">
        <v>4858391</v>
      </c>
      <c r="I680" s="515" t="s">
        <v>6915</v>
      </c>
    </row>
    <row r="681" spans="2:9" ht="15" x14ac:dyDescent="0.35">
      <c r="B681" s="512" t="s">
        <v>6219</v>
      </c>
      <c r="C681" s="512" t="s">
        <v>6233</v>
      </c>
      <c r="D681" s="512" t="s">
        <v>6261</v>
      </c>
      <c r="E681" s="513">
        <v>4321</v>
      </c>
      <c r="F681" s="512" t="s">
        <v>705</v>
      </c>
      <c r="G681" s="513" t="s">
        <v>29</v>
      </c>
      <c r="H681" s="514">
        <v>4858391</v>
      </c>
      <c r="I681" s="515" t="s">
        <v>6915</v>
      </c>
    </row>
    <row r="682" spans="2:9" ht="15" x14ac:dyDescent="0.35">
      <c r="B682" s="512" t="s">
        <v>6219</v>
      </c>
      <c r="C682" s="512" t="s">
        <v>6233</v>
      </c>
      <c r="D682" s="512" t="s">
        <v>6261</v>
      </c>
      <c r="E682" s="513">
        <v>4322</v>
      </c>
      <c r="F682" s="512" t="s">
        <v>706</v>
      </c>
      <c r="G682" s="513" t="s">
        <v>29</v>
      </c>
      <c r="H682" s="514">
        <v>4858391</v>
      </c>
      <c r="I682" s="515" t="s">
        <v>6915</v>
      </c>
    </row>
    <row r="683" spans="2:9" ht="15" x14ac:dyDescent="0.35">
      <c r="B683" s="512" t="s">
        <v>6219</v>
      </c>
      <c r="C683" s="512" t="s">
        <v>6233</v>
      </c>
      <c r="D683" s="512" t="s">
        <v>6261</v>
      </c>
      <c r="E683" s="513">
        <v>4323</v>
      </c>
      <c r="F683" s="512" t="s">
        <v>707</v>
      </c>
      <c r="G683" s="513" t="s">
        <v>29</v>
      </c>
      <c r="H683" s="514">
        <v>4835581</v>
      </c>
      <c r="I683" s="515" t="s">
        <v>6915</v>
      </c>
    </row>
    <row r="684" spans="2:9" ht="15" x14ac:dyDescent="0.35">
      <c r="B684" s="512" t="s">
        <v>6219</v>
      </c>
      <c r="C684" s="512" t="s">
        <v>6233</v>
      </c>
      <c r="D684" s="512" t="s">
        <v>6261</v>
      </c>
      <c r="E684" s="513">
        <v>4324</v>
      </c>
      <c r="F684" s="512" t="s">
        <v>708</v>
      </c>
      <c r="G684" s="513" t="s">
        <v>29</v>
      </c>
      <c r="H684" s="514">
        <v>4835581</v>
      </c>
      <c r="I684" s="515" t="s">
        <v>6915</v>
      </c>
    </row>
    <row r="685" spans="2:9" ht="15" x14ac:dyDescent="0.35">
      <c r="B685" s="512" t="s">
        <v>6219</v>
      </c>
      <c r="C685" s="512" t="s">
        <v>6233</v>
      </c>
      <c r="D685" s="512" t="s">
        <v>6261</v>
      </c>
      <c r="E685" s="513">
        <v>4325</v>
      </c>
      <c r="F685" s="512" t="s">
        <v>709</v>
      </c>
      <c r="G685" s="513" t="s">
        <v>29</v>
      </c>
      <c r="H685" s="514">
        <v>4829498</v>
      </c>
      <c r="I685" s="515" t="s">
        <v>6915</v>
      </c>
    </row>
    <row r="686" spans="2:9" ht="15" x14ac:dyDescent="0.35">
      <c r="B686" s="512" t="s">
        <v>6219</v>
      </c>
      <c r="C686" s="512" t="s">
        <v>6233</v>
      </c>
      <c r="D686" s="512" t="s">
        <v>6261</v>
      </c>
      <c r="E686" s="513">
        <v>4326</v>
      </c>
      <c r="F686" s="512" t="s">
        <v>710</v>
      </c>
      <c r="G686" s="513" t="s">
        <v>29</v>
      </c>
      <c r="H686" s="514">
        <v>7938339</v>
      </c>
      <c r="I686" s="515" t="s">
        <v>6915</v>
      </c>
    </row>
    <row r="687" spans="2:9" ht="15" x14ac:dyDescent="0.35">
      <c r="B687" s="512" t="s">
        <v>6219</v>
      </c>
      <c r="C687" s="512" t="s">
        <v>6233</v>
      </c>
      <c r="D687" s="512" t="s">
        <v>6261</v>
      </c>
      <c r="E687" s="513">
        <v>4327</v>
      </c>
      <c r="F687" s="512" t="s">
        <v>711</v>
      </c>
      <c r="G687" s="513" t="s">
        <v>29</v>
      </c>
      <c r="H687" s="514">
        <v>7883367</v>
      </c>
      <c r="I687" s="515" t="s">
        <v>6915</v>
      </c>
    </row>
    <row r="688" spans="2:9" ht="15" x14ac:dyDescent="0.35">
      <c r="B688" s="512" t="s">
        <v>6219</v>
      </c>
      <c r="C688" s="512" t="s">
        <v>6233</v>
      </c>
      <c r="D688" s="512" t="s">
        <v>6261</v>
      </c>
      <c r="E688" s="513">
        <v>4328</v>
      </c>
      <c r="F688" s="512" t="s">
        <v>712</v>
      </c>
      <c r="G688" s="513" t="s">
        <v>29</v>
      </c>
      <c r="H688" s="514">
        <v>4447483</v>
      </c>
      <c r="I688" s="515" t="s">
        <v>6915</v>
      </c>
    </row>
    <row r="689" spans="2:9" ht="15" x14ac:dyDescent="0.35">
      <c r="B689" s="512" t="s">
        <v>6219</v>
      </c>
      <c r="C689" s="512" t="s">
        <v>6233</v>
      </c>
      <c r="D689" s="512" t="s">
        <v>6261</v>
      </c>
      <c r="E689" s="513">
        <v>4329</v>
      </c>
      <c r="F689" s="512" t="s">
        <v>713</v>
      </c>
      <c r="G689" s="513" t="s">
        <v>29</v>
      </c>
      <c r="H689" s="514">
        <v>906054</v>
      </c>
      <c r="I689" s="515" t="s">
        <v>6915</v>
      </c>
    </row>
    <row r="690" spans="2:9" ht="15" x14ac:dyDescent="0.35">
      <c r="B690" s="512" t="s">
        <v>6219</v>
      </c>
      <c r="C690" s="512" t="s">
        <v>6233</v>
      </c>
      <c r="D690" s="512" t="s">
        <v>6261</v>
      </c>
      <c r="E690" s="513">
        <v>4330</v>
      </c>
      <c r="F690" s="512" t="s">
        <v>714</v>
      </c>
      <c r="G690" s="513" t="s">
        <v>29</v>
      </c>
      <c r="H690" s="514">
        <v>1187961</v>
      </c>
      <c r="I690" s="515" t="s">
        <v>6915</v>
      </c>
    </row>
    <row r="691" spans="2:9" ht="15" x14ac:dyDescent="0.35">
      <c r="B691" s="512" t="s">
        <v>6219</v>
      </c>
      <c r="C691" s="512" t="s">
        <v>6233</v>
      </c>
      <c r="D691" s="512" t="s">
        <v>6261</v>
      </c>
      <c r="E691" s="513">
        <v>4331</v>
      </c>
      <c r="F691" s="512" t="s">
        <v>715</v>
      </c>
      <c r="G691" s="513" t="s">
        <v>29</v>
      </c>
      <c r="H691" s="514">
        <v>1234620</v>
      </c>
      <c r="I691" s="515" t="s">
        <v>6915</v>
      </c>
    </row>
    <row r="692" spans="2:9" ht="15" x14ac:dyDescent="0.35">
      <c r="B692" s="512" t="s">
        <v>6219</v>
      </c>
      <c r="C692" s="512" t="s">
        <v>6233</v>
      </c>
      <c r="D692" s="512" t="s">
        <v>6261</v>
      </c>
      <c r="E692" s="513">
        <v>4332</v>
      </c>
      <c r="F692" s="512" t="s">
        <v>716</v>
      </c>
      <c r="G692" s="513" t="s">
        <v>29</v>
      </c>
      <c r="H692" s="514">
        <v>4215545</v>
      </c>
      <c r="I692" s="515" t="s">
        <v>6915</v>
      </c>
    </row>
    <row r="693" spans="2:9" ht="15" x14ac:dyDescent="0.35">
      <c r="B693" s="512" t="s">
        <v>6219</v>
      </c>
      <c r="C693" s="512" t="s">
        <v>6233</v>
      </c>
      <c r="D693" s="512" t="s">
        <v>6261</v>
      </c>
      <c r="E693" s="513">
        <v>4333</v>
      </c>
      <c r="F693" s="512" t="s">
        <v>717</v>
      </c>
      <c r="G693" s="513" t="s">
        <v>29</v>
      </c>
      <c r="H693" s="514">
        <v>4196885</v>
      </c>
      <c r="I693" s="515" t="s">
        <v>6915</v>
      </c>
    </row>
    <row r="694" spans="2:9" ht="15" x14ac:dyDescent="0.35">
      <c r="B694" s="512" t="s">
        <v>6219</v>
      </c>
      <c r="C694" s="512" t="s">
        <v>6233</v>
      </c>
      <c r="D694" s="512" t="s">
        <v>6261</v>
      </c>
      <c r="E694" s="513">
        <v>4334</v>
      </c>
      <c r="F694" s="512" t="s">
        <v>718</v>
      </c>
      <c r="G694" s="513" t="s">
        <v>29</v>
      </c>
      <c r="H694" s="514">
        <v>4216242</v>
      </c>
      <c r="I694" s="515" t="s">
        <v>6915</v>
      </c>
    </row>
    <row r="695" spans="2:9" ht="15" x14ac:dyDescent="0.35">
      <c r="B695" s="512" t="s">
        <v>6219</v>
      </c>
      <c r="C695" s="512" t="s">
        <v>6233</v>
      </c>
      <c r="D695" s="512" t="s">
        <v>6261</v>
      </c>
      <c r="E695" s="513">
        <v>4335</v>
      </c>
      <c r="F695" s="512" t="s">
        <v>719</v>
      </c>
      <c r="G695" s="513" t="s">
        <v>29</v>
      </c>
      <c r="H695" s="514">
        <v>4204231</v>
      </c>
      <c r="I695" s="515" t="s">
        <v>6915</v>
      </c>
    </row>
    <row r="696" spans="2:9" ht="15" x14ac:dyDescent="0.35">
      <c r="B696" s="512" t="s">
        <v>6219</v>
      </c>
      <c r="C696" s="512" t="s">
        <v>6233</v>
      </c>
      <c r="D696" s="512" t="s">
        <v>6261</v>
      </c>
      <c r="E696" s="513">
        <v>4336</v>
      </c>
      <c r="F696" s="512" t="s">
        <v>720</v>
      </c>
      <c r="G696" s="513" t="s">
        <v>29</v>
      </c>
      <c r="H696" s="514">
        <v>2753380</v>
      </c>
      <c r="I696" s="515" t="s">
        <v>6915</v>
      </c>
    </row>
    <row r="697" spans="2:9" ht="15" x14ac:dyDescent="0.35">
      <c r="B697" s="512" t="s">
        <v>6219</v>
      </c>
      <c r="C697" s="512" t="s">
        <v>6233</v>
      </c>
      <c r="D697" s="512" t="s">
        <v>6261</v>
      </c>
      <c r="E697" s="513">
        <v>4337</v>
      </c>
      <c r="F697" s="512" t="s">
        <v>721</v>
      </c>
      <c r="G697" s="513" t="s">
        <v>29</v>
      </c>
      <c r="H697" s="514">
        <v>474410</v>
      </c>
      <c r="I697" s="515" t="s">
        <v>6915</v>
      </c>
    </row>
    <row r="698" spans="2:9" ht="15" x14ac:dyDescent="0.35">
      <c r="B698" s="512" t="s">
        <v>6219</v>
      </c>
      <c r="C698" s="512" t="s">
        <v>6233</v>
      </c>
      <c r="D698" s="512" t="s">
        <v>6261</v>
      </c>
      <c r="E698" s="513">
        <v>4338</v>
      </c>
      <c r="F698" s="512" t="s">
        <v>722</v>
      </c>
      <c r="G698" s="513" t="s">
        <v>29</v>
      </c>
      <c r="H698" s="514">
        <v>4196885</v>
      </c>
      <c r="I698" s="515" t="s">
        <v>6915</v>
      </c>
    </row>
    <row r="699" spans="2:9" ht="15" x14ac:dyDescent="0.35">
      <c r="B699" s="512" t="s">
        <v>6219</v>
      </c>
      <c r="C699" s="512" t="s">
        <v>6233</v>
      </c>
      <c r="D699" s="512" t="s">
        <v>6234</v>
      </c>
      <c r="E699" s="513">
        <v>4340</v>
      </c>
      <c r="F699" s="512" t="s">
        <v>723</v>
      </c>
      <c r="G699" s="513" t="s">
        <v>26</v>
      </c>
      <c r="H699" s="514">
        <v>4992</v>
      </c>
      <c r="I699" s="515" t="s">
        <v>6915</v>
      </c>
    </row>
    <row r="700" spans="2:9" ht="15" x14ac:dyDescent="0.35">
      <c r="B700" s="512" t="s">
        <v>6219</v>
      </c>
      <c r="C700" s="512" t="s">
        <v>6224</v>
      </c>
      <c r="D700" s="512" t="s">
        <v>6262</v>
      </c>
      <c r="E700" s="513">
        <v>4341</v>
      </c>
      <c r="F700" s="512" t="s">
        <v>724</v>
      </c>
      <c r="G700" s="513" t="s">
        <v>26</v>
      </c>
      <c r="H700" s="514">
        <v>275793</v>
      </c>
      <c r="I700" s="515" t="s">
        <v>6915</v>
      </c>
    </row>
    <row r="701" spans="2:9" ht="15" x14ac:dyDescent="0.35">
      <c r="B701" s="512" t="s">
        <v>6219</v>
      </c>
      <c r="C701" s="512" t="s">
        <v>6224</v>
      </c>
      <c r="D701" s="512" t="s">
        <v>6262</v>
      </c>
      <c r="E701" s="513">
        <v>4342</v>
      </c>
      <c r="F701" s="512" t="s">
        <v>725</v>
      </c>
      <c r="G701" s="513" t="s">
        <v>26</v>
      </c>
      <c r="H701" s="514">
        <v>359510</v>
      </c>
      <c r="I701" s="515" t="s">
        <v>6915</v>
      </c>
    </row>
    <row r="702" spans="2:9" ht="15" x14ac:dyDescent="0.35">
      <c r="B702" s="512" t="s">
        <v>6219</v>
      </c>
      <c r="C702" s="512" t="s">
        <v>6224</v>
      </c>
      <c r="D702" s="512" t="s">
        <v>6262</v>
      </c>
      <c r="E702" s="513">
        <v>4343</v>
      </c>
      <c r="F702" s="512" t="s">
        <v>726</v>
      </c>
      <c r="G702" s="513" t="s">
        <v>26</v>
      </c>
      <c r="H702" s="514">
        <v>594498</v>
      </c>
      <c r="I702" s="515" t="s">
        <v>6915</v>
      </c>
    </row>
    <row r="703" spans="2:9" ht="15" x14ac:dyDescent="0.35">
      <c r="B703" s="512" t="s">
        <v>6219</v>
      </c>
      <c r="C703" s="512" t="s">
        <v>6224</v>
      </c>
      <c r="D703" s="512" t="s">
        <v>6262</v>
      </c>
      <c r="E703" s="513">
        <v>4344</v>
      </c>
      <c r="F703" s="512" t="s">
        <v>727</v>
      </c>
      <c r="G703" s="513" t="s">
        <v>26</v>
      </c>
      <c r="H703" s="514">
        <v>662195</v>
      </c>
      <c r="I703" s="515" t="s">
        <v>6915</v>
      </c>
    </row>
    <row r="704" spans="2:9" ht="15" x14ac:dyDescent="0.35">
      <c r="B704" s="512" t="s">
        <v>6219</v>
      </c>
      <c r="C704" s="512" t="s">
        <v>6224</v>
      </c>
      <c r="D704" s="512" t="s">
        <v>6262</v>
      </c>
      <c r="E704" s="513">
        <v>4345</v>
      </c>
      <c r="F704" s="512" t="s">
        <v>728</v>
      </c>
      <c r="G704" s="513" t="s">
        <v>26</v>
      </c>
      <c r="H704" s="514">
        <v>689139</v>
      </c>
      <c r="I704" s="515" t="s">
        <v>6915</v>
      </c>
    </row>
    <row r="705" spans="2:9" ht="15" x14ac:dyDescent="0.35">
      <c r="B705" s="512" t="s">
        <v>6219</v>
      </c>
      <c r="C705" s="512" t="s">
        <v>6224</v>
      </c>
      <c r="D705" s="512" t="s">
        <v>6262</v>
      </c>
      <c r="E705" s="513">
        <v>4346</v>
      </c>
      <c r="F705" s="512" t="s">
        <v>729</v>
      </c>
      <c r="G705" s="513" t="s">
        <v>26</v>
      </c>
      <c r="H705" s="514">
        <v>936610</v>
      </c>
      <c r="I705" s="515" t="s">
        <v>6915</v>
      </c>
    </row>
    <row r="706" spans="2:9" ht="15" x14ac:dyDescent="0.35">
      <c r="B706" s="512" t="s">
        <v>6219</v>
      </c>
      <c r="C706" s="512" t="s">
        <v>6224</v>
      </c>
      <c r="D706" s="512" t="s">
        <v>6262</v>
      </c>
      <c r="E706" s="513">
        <v>4347</v>
      </c>
      <c r="F706" s="512" t="s">
        <v>730</v>
      </c>
      <c r="G706" s="513" t="s">
        <v>26</v>
      </c>
      <c r="H706" s="514">
        <v>1222265</v>
      </c>
      <c r="I706" s="515" t="s">
        <v>6915</v>
      </c>
    </row>
    <row r="707" spans="2:9" ht="15" x14ac:dyDescent="0.35">
      <c r="B707" s="512" t="s">
        <v>6219</v>
      </c>
      <c r="C707" s="512" t="s">
        <v>6224</v>
      </c>
      <c r="D707" s="512" t="s">
        <v>6262</v>
      </c>
      <c r="E707" s="513">
        <v>4348</v>
      </c>
      <c r="F707" s="512" t="s">
        <v>731</v>
      </c>
      <c r="G707" s="513" t="s">
        <v>26</v>
      </c>
      <c r="H707" s="514">
        <v>1291820</v>
      </c>
      <c r="I707" s="515" t="s">
        <v>6915</v>
      </c>
    </row>
    <row r="708" spans="2:9" ht="15" x14ac:dyDescent="0.35">
      <c r="B708" s="512" t="s">
        <v>6219</v>
      </c>
      <c r="C708" s="512" t="s">
        <v>6224</v>
      </c>
      <c r="D708" s="512" t="s">
        <v>6262</v>
      </c>
      <c r="E708" s="513">
        <v>4349</v>
      </c>
      <c r="F708" s="512" t="s">
        <v>732</v>
      </c>
      <c r="G708" s="513" t="s">
        <v>26</v>
      </c>
      <c r="H708" s="516">
        <v>1500221</v>
      </c>
      <c r="I708" s="512" t="s">
        <v>6915</v>
      </c>
    </row>
    <row r="709" spans="2:9" ht="15" x14ac:dyDescent="0.35">
      <c r="B709" s="512" t="s">
        <v>6219</v>
      </c>
      <c r="C709" s="512" t="s">
        <v>6224</v>
      </c>
      <c r="D709" s="512" t="s">
        <v>6262</v>
      </c>
      <c r="E709" s="513">
        <v>4350</v>
      </c>
      <c r="F709" s="512" t="s">
        <v>733</v>
      </c>
      <c r="G709" s="513" t="s">
        <v>26</v>
      </c>
      <c r="H709" s="514">
        <v>2158765</v>
      </c>
      <c r="I709" s="515" t="s">
        <v>6915</v>
      </c>
    </row>
    <row r="710" spans="2:9" ht="15" x14ac:dyDescent="0.35">
      <c r="B710" s="512" t="s">
        <v>6219</v>
      </c>
      <c r="C710" s="512" t="s">
        <v>6224</v>
      </c>
      <c r="D710" s="512" t="s">
        <v>6262</v>
      </c>
      <c r="E710" s="513">
        <v>4351</v>
      </c>
      <c r="F710" s="512" t="s">
        <v>734</v>
      </c>
      <c r="G710" s="513" t="s">
        <v>26</v>
      </c>
      <c r="H710" s="514">
        <v>388762</v>
      </c>
      <c r="I710" s="515" t="s">
        <v>6915</v>
      </c>
    </row>
    <row r="711" spans="2:9" ht="15" x14ac:dyDescent="0.35">
      <c r="B711" s="512" t="s">
        <v>6219</v>
      </c>
      <c r="C711" s="512" t="s">
        <v>6224</v>
      </c>
      <c r="D711" s="512" t="s">
        <v>6262</v>
      </c>
      <c r="E711" s="513">
        <v>4352</v>
      </c>
      <c r="F711" s="512" t="s">
        <v>735</v>
      </c>
      <c r="G711" s="513" t="s">
        <v>26</v>
      </c>
      <c r="H711" s="514">
        <v>415259</v>
      </c>
      <c r="I711" s="515" t="s">
        <v>6915</v>
      </c>
    </row>
    <row r="712" spans="2:9" ht="15" x14ac:dyDescent="0.35">
      <c r="B712" s="512" t="s">
        <v>6219</v>
      </c>
      <c r="C712" s="512" t="s">
        <v>6224</v>
      </c>
      <c r="D712" s="512" t="s">
        <v>6262</v>
      </c>
      <c r="E712" s="513">
        <v>4353</v>
      </c>
      <c r="F712" s="512" t="s">
        <v>736</v>
      </c>
      <c r="G712" s="513" t="s">
        <v>26</v>
      </c>
      <c r="H712" s="514">
        <v>572942</v>
      </c>
      <c r="I712" s="515" t="s">
        <v>6915</v>
      </c>
    </row>
    <row r="713" spans="2:9" ht="15" x14ac:dyDescent="0.35">
      <c r="B713" s="512" t="s">
        <v>6219</v>
      </c>
      <c r="C713" s="512" t="s">
        <v>6224</v>
      </c>
      <c r="D713" s="512" t="s">
        <v>6262</v>
      </c>
      <c r="E713" s="513">
        <v>4354</v>
      </c>
      <c r="F713" s="512" t="s">
        <v>737</v>
      </c>
      <c r="G713" s="513" t="s">
        <v>26</v>
      </c>
      <c r="H713" s="514">
        <v>758408</v>
      </c>
      <c r="I713" s="515" t="s">
        <v>6915</v>
      </c>
    </row>
    <row r="714" spans="2:9" ht="15" x14ac:dyDescent="0.35">
      <c r="B714" s="512" t="s">
        <v>6219</v>
      </c>
      <c r="C714" s="512" t="s">
        <v>6224</v>
      </c>
      <c r="D714" s="512" t="s">
        <v>6262</v>
      </c>
      <c r="E714" s="513">
        <v>4355</v>
      </c>
      <c r="F714" s="512" t="s">
        <v>738</v>
      </c>
      <c r="G714" s="513" t="s">
        <v>26</v>
      </c>
      <c r="H714" s="514">
        <v>727698</v>
      </c>
      <c r="I714" s="515" t="s">
        <v>6915</v>
      </c>
    </row>
    <row r="715" spans="2:9" ht="15" x14ac:dyDescent="0.35">
      <c r="B715" s="512" t="s">
        <v>6219</v>
      </c>
      <c r="C715" s="512" t="s">
        <v>6224</v>
      </c>
      <c r="D715" s="512" t="s">
        <v>6262</v>
      </c>
      <c r="E715" s="513">
        <v>4356</v>
      </c>
      <c r="F715" s="512" t="s">
        <v>739</v>
      </c>
      <c r="G715" s="513" t="s">
        <v>26</v>
      </c>
      <c r="H715" s="514">
        <v>955917</v>
      </c>
      <c r="I715" s="515" t="s">
        <v>6915</v>
      </c>
    </row>
    <row r="716" spans="2:9" ht="15" x14ac:dyDescent="0.35">
      <c r="B716" s="512" t="s">
        <v>6219</v>
      </c>
      <c r="C716" s="512" t="s">
        <v>6224</v>
      </c>
      <c r="D716" s="512" t="s">
        <v>6262</v>
      </c>
      <c r="E716" s="513">
        <v>4357</v>
      </c>
      <c r="F716" s="512" t="s">
        <v>740</v>
      </c>
      <c r="G716" s="513" t="s">
        <v>26</v>
      </c>
      <c r="H716" s="514">
        <v>545529</v>
      </c>
      <c r="I716" s="515" t="s">
        <v>6915</v>
      </c>
    </row>
    <row r="717" spans="2:9" ht="15" x14ac:dyDescent="0.35">
      <c r="B717" s="512" t="s">
        <v>6219</v>
      </c>
      <c r="C717" s="512" t="s">
        <v>6224</v>
      </c>
      <c r="D717" s="512" t="s">
        <v>6262</v>
      </c>
      <c r="E717" s="513">
        <v>4358</v>
      </c>
      <c r="F717" s="512" t="s">
        <v>741</v>
      </c>
      <c r="G717" s="513" t="s">
        <v>26</v>
      </c>
      <c r="H717" s="514">
        <v>730868</v>
      </c>
      <c r="I717" s="515" t="s">
        <v>6915</v>
      </c>
    </row>
    <row r="718" spans="2:9" ht="15" x14ac:dyDescent="0.35">
      <c r="B718" s="512" t="s">
        <v>6219</v>
      </c>
      <c r="C718" s="512" t="s">
        <v>6224</v>
      </c>
      <c r="D718" s="512" t="s">
        <v>6262</v>
      </c>
      <c r="E718" s="513">
        <v>4359</v>
      </c>
      <c r="F718" s="512" t="s">
        <v>742</v>
      </c>
      <c r="G718" s="513" t="s">
        <v>26</v>
      </c>
      <c r="H718" s="514">
        <v>566710</v>
      </c>
      <c r="I718" s="515" t="s">
        <v>6915</v>
      </c>
    </row>
    <row r="719" spans="2:9" ht="15" x14ac:dyDescent="0.35">
      <c r="B719" s="512" t="s">
        <v>6219</v>
      </c>
      <c r="C719" s="512" t="s">
        <v>6224</v>
      </c>
      <c r="D719" s="512" t="s">
        <v>6262</v>
      </c>
      <c r="E719" s="513">
        <v>4360</v>
      </c>
      <c r="F719" s="512" t="s">
        <v>743</v>
      </c>
      <c r="G719" s="513" t="s">
        <v>26</v>
      </c>
      <c r="H719" s="514">
        <v>826096</v>
      </c>
      <c r="I719" s="515" t="s">
        <v>6915</v>
      </c>
    </row>
    <row r="720" spans="2:9" ht="15" x14ac:dyDescent="0.35">
      <c r="B720" s="512" t="s">
        <v>6219</v>
      </c>
      <c r="C720" s="512" t="s">
        <v>6224</v>
      </c>
      <c r="D720" s="512" t="s">
        <v>6262</v>
      </c>
      <c r="E720" s="513">
        <v>4361</v>
      </c>
      <c r="F720" s="512" t="s">
        <v>744</v>
      </c>
      <c r="G720" s="513" t="s">
        <v>26</v>
      </c>
      <c r="H720" s="514">
        <v>852621</v>
      </c>
      <c r="I720" s="515" t="s">
        <v>6915</v>
      </c>
    </row>
    <row r="721" spans="2:9" ht="15" x14ac:dyDescent="0.35">
      <c r="B721" s="512" t="s">
        <v>6219</v>
      </c>
      <c r="C721" s="512" t="s">
        <v>6224</v>
      </c>
      <c r="D721" s="512" t="s">
        <v>6262</v>
      </c>
      <c r="E721" s="513">
        <v>4362</v>
      </c>
      <c r="F721" s="512" t="s">
        <v>745</v>
      </c>
      <c r="G721" s="513" t="s">
        <v>26</v>
      </c>
      <c r="H721" s="514">
        <v>1095120</v>
      </c>
      <c r="I721" s="515" t="s">
        <v>6915</v>
      </c>
    </row>
    <row r="722" spans="2:9" ht="15" x14ac:dyDescent="0.35">
      <c r="B722" s="512" t="s">
        <v>6219</v>
      </c>
      <c r="C722" s="512" t="s">
        <v>6224</v>
      </c>
      <c r="D722" s="512" t="s">
        <v>6262</v>
      </c>
      <c r="E722" s="513">
        <v>4363</v>
      </c>
      <c r="F722" s="512" t="s">
        <v>746</v>
      </c>
      <c r="G722" s="513" t="s">
        <v>26</v>
      </c>
      <c r="H722" s="514">
        <v>884007</v>
      </c>
      <c r="I722" s="515" t="s">
        <v>6915</v>
      </c>
    </row>
    <row r="723" spans="2:9" ht="15" x14ac:dyDescent="0.35">
      <c r="B723" s="512" t="s">
        <v>6219</v>
      </c>
      <c r="C723" s="512" t="s">
        <v>6239</v>
      </c>
      <c r="D723" s="512" t="s">
        <v>6239</v>
      </c>
      <c r="E723" s="513">
        <v>4384</v>
      </c>
      <c r="F723" s="512" t="s">
        <v>747</v>
      </c>
      <c r="G723" s="513" t="s">
        <v>29</v>
      </c>
      <c r="H723" s="514">
        <v>239492</v>
      </c>
      <c r="I723" s="515" t="s">
        <v>6915</v>
      </c>
    </row>
    <row r="724" spans="2:9" ht="15" x14ac:dyDescent="0.35">
      <c r="B724" s="512" t="s">
        <v>6219</v>
      </c>
      <c r="C724" s="512" t="s">
        <v>6239</v>
      </c>
      <c r="D724" s="512" t="s">
        <v>6239</v>
      </c>
      <c r="E724" s="513">
        <v>4385</v>
      </c>
      <c r="F724" s="512" t="s">
        <v>748</v>
      </c>
      <c r="G724" s="513" t="s">
        <v>29</v>
      </c>
      <c r="H724" s="514">
        <v>254962</v>
      </c>
      <c r="I724" s="515" t="s">
        <v>6915</v>
      </c>
    </row>
    <row r="725" spans="2:9" ht="15" x14ac:dyDescent="0.35">
      <c r="B725" s="512" t="s">
        <v>6219</v>
      </c>
      <c r="C725" s="512" t="s">
        <v>6239</v>
      </c>
      <c r="D725" s="512" t="s">
        <v>6239</v>
      </c>
      <c r="E725" s="513">
        <v>4386</v>
      </c>
      <c r="F725" s="512" t="s">
        <v>749</v>
      </c>
      <c r="G725" s="513" t="s">
        <v>29</v>
      </c>
      <c r="H725" s="514">
        <v>469408</v>
      </c>
      <c r="I725" s="515" t="s">
        <v>6915</v>
      </c>
    </row>
    <row r="726" spans="2:9" ht="15" x14ac:dyDescent="0.35">
      <c r="B726" s="512" t="s">
        <v>6219</v>
      </c>
      <c r="C726" s="512" t="s">
        <v>6239</v>
      </c>
      <c r="D726" s="512" t="s">
        <v>6239</v>
      </c>
      <c r="E726" s="513">
        <v>4387</v>
      </c>
      <c r="F726" s="512" t="s">
        <v>750</v>
      </c>
      <c r="G726" s="513" t="s">
        <v>29</v>
      </c>
      <c r="H726" s="514">
        <v>662434</v>
      </c>
      <c r="I726" s="515" t="s">
        <v>6915</v>
      </c>
    </row>
    <row r="727" spans="2:9" ht="15" x14ac:dyDescent="0.35">
      <c r="B727" s="512" t="s">
        <v>6219</v>
      </c>
      <c r="C727" s="512" t="s">
        <v>6239</v>
      </c>
      <c r="D727" s="512" t="s">
        <v>6239</v>
      </c>
      <c r="E727" s="513">
        <v>4388</v>
      </c>
      <c r="F727" s="512" t="s">
        <v>751</v>
      </c>
      <c r="G727" s="513" t="s">
        <v>29</v>
      </c>
      <c r="H727" s="514">
        <v>928074</v>
      </c>
      <c r="I727" s="515" t="s">
        <v>6915</v>
      </c>
    </row>
    <row r="728" spans="2:9" ht="15" x14ac:dyDescent="0.35">
      <c r="B728" s="512" t="s">
        <v>6219</v>
      </c>
      <c r="C728" s="512" t="s">
        <v>6239</v>
      </c>
      <c r="D728" s="512" t="s">
        <v>6239</v>
      </c>
      <c r="E728" s="513">
        <v>4389</v>
      </c>
      <c r="F728" s="512" t="s">
        <v>752</v>
      </c>
      <c r="G728" s="513" t="s">
        <v>29</v>
      </c>
      <c r="H728" s="514">
        <v>1338695</v>
      </c>
      <c r="I728" s="515" t="s">
        <v>6915</v>
      </c>
    </row>
    <row r="729" spans="2:9" ht="15" x14ac:dyDescent="0.35">
      <c r="B729" s="512" t="s">
        <v>6219</v>
      </c>
      <c r="C729" s="512" t="s">
        <v>6220</v>
      </c>
      <c r="D729" s="512" t="s">
        <v>6221</v>
      </c>
      <c r="E729" s="513">
        <v>4390</v>
      </c>
      <c r="F729" s="512" t="s">
        <v>753</v>
      </c>
      <c r="G729" s="513" t="s">
        <v>23</v>
      </c>
      <c r="H729" s="514">
        <v>117926</v>
      </c>
      <c r="I729" s="515" t="s">
        <v>6915</v>
      </c>
    </row>
    <row r="730" spans="2:9" ht="15" x14ac:dyDescent="0.35">
      <c r="B730" s="512" t="s">
        <v>6219</v>
      </c>
      <c r="C730" s="512" t="s">
        <v>6227</v>
      </c>
      <c r="D730" s="512" t="s">
        <v>6248</v>
      </c>
      <c r="E730" s="513">
        <v>4391</v>
      </c>
      <c r="F730" s="512" t="s">
        <v>754</v>
      </c>
      <c r="G730" s="513" t="s">
        <v>23</v>
      </c>
      <c r="H730" s="514">
        <v>161195</v>
      </c>
      <c r="I730" s="515" t="s">
        <v>6915</v>
      </c>
    </row>
    <row r="731" spans="2:9" ht="15" x14ac:dyDescent="0.35">
      <c r="B731" s="512" t="s">
        <v>6219</v>
      </c>
      <c r="C731" s="512" t="s">
        <v>6253</v>
      </c>
      <c r="D731" s="512" t="s">
        <v>6254</v>
      </c>
      <c r="E731" s="513">
        <v>4392</v>
      </c>
      <c r="F731" s="512" t="s">
        <v>755</v>
      </c>
      <c r="G731" s="513" t="s">
        <v>676</v>
      </c>
      <c r="H731" s="514">
        <v>100813</v>
      </c>
      <c r="I731" s="515" t="s">
        <v>6915</v>
      </c>
    </row>
    <row r="732" spans="2:9" ht="15" x14ac:dyDescent="0.35">
      <c r="B732" s="512" t="s">
        <v>6219</v>
      </c>
      <c r="C732" s="512" t="s">
        <v>6253</v>
      </c>
      <c r="D732" s="512" t="s">
        <v>6254</v>
      </c>
      <c r="E732" s="513">
        <v>4393</v>
      </c>
      <c r="F732" s="512" t="s">
        <v>756</v>
      </c>
      <c r="G732" s="513" t="s">
        <v>676</v>
      </c>
      <c r="H732" s="514">
        <v>135449</v>
      </c>
      <c r="I732" s="515" t="s">
        <v>6915</v>
      </c>
    </row>
    <row r="733" spans="2:9" ht="15" x14ac:dyDescent="0.35">
      <c r="B733" s="512" t="s">
        <v>6219</v>
      </c>
      <c r="C733" s="512" t="s">
        <v>6242</v>
      </c>
      <c r="D733" s="512" t="s">
        <v>6260</v>
      </c>
      <c r="E733" s="513">
        <v>4394</v>
      </c>
      <c r="F733" s="512" t="s">
        <v>757</v>
      </c>
      <c r="G733" s="513" t="s">
        <v>21</v>
      </c>
      <c r="H733" s="514">
        <v>151672</v>
      </c>
      <c r="I733" s="515" t="s">
        <v>6915</v>
      </c>
    </row>
    <row r="734" spans="2:9" ht="15" x14ac:dyDescent="0.35">
      <c r="B734" s="512" t="s">
        <v>6219</v>
      </c>
      <c r="C734" s="512" t="s">
        <v>6242</v>
      </c>
      <c r="D734" s="512" t="s">
        <v>6260</v>
      </c>
      <c r="E734" s="513">
        <v>4395</v>
      </c>
      <c r="F734" s="512" t="s">
        <v>758</v>
      </c>
      <c r="G734" s="513" t="s">
        <v>21</v>
      </c>
      <c r="H734" s="514">
        <v>125152</v>
      </c>
      <c r="I734" s="515" t="s">
        <v>6915</v>
      </c>
    </row>
    <row r="735" spans="2:9" ht="15" x14ac:dyDescent="0.35">
      <c r="B735" s="512" t="s">
        <v>6219</v>
      </c>
      <c r="C735" s="512" t="s">
        <v>6242</v>
      </c>
      <c r="D735" s="512" t="s">
        <v>6260</v>
      </c>
      <c r="E735" s="513">
        <v>4396</v>
      </c>
      <c r="F735" s="512" t="s">
        <v>759</v>
      </c>
      <c r="G735" s="513" t="s">
        <v>21</v>
      </c>
      <c r="H735" s="514">
        <v>86412</v>
      </c>
      <c r="I735" s="515" t="s">
        <v>6915</v>
      </c>
    </row>
    <row r="736" spans="2:9" ht="15" x14ac:dyDescent="0.35">
      <c r="B736" s="512" t="s">
        <v>6219</v>
      </c>
      <c r="C736" s="512" t="s">
        <v>6239</v>
      </c>
      <c r="D736" s="512" t="s">
        <v>6239</v>
      </c>
      <c r="E736" s="513">
        <v>4402</v>
      </c>
      <c r="F736" s="512" t="s">
        <v>760</v>
      </c>
      <c r="G736" s="513" t="s">
        <v>29</v>
      </c>
      <c r="H736" s="514">
        <v>1190850</v>
      </c>
      <c r="I736" s="515" t="s">
        <v>6915</v>
      </c>
    </row>
    <row r="737" spans="2:9" ht="15" x14ac:dyDescent="0.35">
      <c r="B737" s="512" t="s">
        <v>6219</v>
      </c>
      <c r="C737" s="512" t="s">
        <v>6239</v>
      </c>
      <c r="D737" s="512" t="s">
        <v>6239</v>
      </c>
      <c r="E737" s="513">
        <v>4403</v>
      </c>
      <c r="F737" s="512" t="s">
        <v>761</v>
      </c>
      <c r="G737" s="513" t="s">
        <v>29</v>
      </c>
      <c r="H737" s="514">
        <v>7593696</v>
      </c>
      <c r="I737" s="515" t="s">
        <v>6915</v>
      </c>
    </row>
    <row r="738" spans="2:9" ht="15" x14ac:dyDescent="0.35">
      <c r="B738" s="512" t="s">
        <v>6219</v>
      </c>
      <c r="C738" s="512" t="s">
        <v>6239</v>
      </c>
      <c r="D738" s="512" t="s">
        <v>6239</v>
      </c>
      <c r="E738" s="513">
        <v>4404</v>
      </c>
      <c r="F738" s="512" t="s">
        <v>762</v>
      </c>
      <c r="G738" s="513" t="s">
        <v>29</v>
      </c>
      <c r="H738" s="516">
        <v>165083</v>
      </c>
      <c r="I738" s="512" t="s">
        <v>6915</v>
      </c>
    </row>
    <row r="739" spans="2:9" ht="15" x14ac:dyDescent="0.35">
      <c r="B739" s="512" t="s">
        <v>6219</v>
      </c>
      <c r="C739" s="512" t="s">
        <v>6239</v>
      </c>
      <c r="D739" s="512" t="s">
        <v>6239</v>
      </c>
      <c r="E739" s="513">
        <v>4405</v>
      </c>
      <c r="F739" s="512" t="s">
        <v>763</v>
      </c>
      <c r="G739" s="513" t="s">
        <v>29</v>
      </c>
      <c r="H739" s="516">
        <v>259138</v>
      </c>
      <c r="I739" s="512" t="s">
        <v>6915</v>
      </c>
    </row>
    <row r="740" spans="2:9" ht="15" x14ac:dyDescent="0.35">
      <c r="B740" s="512" t="s">
        <v>6219</v>
      </c>
      <c r="C740" s="512" t="s">
        <v>6239</v>
      </c>
      <c r="D740" s="512" t="s">
        <v>6239</v>
      </c>
      <c r="E740" s="513">
        <v>4406</v>
      </c>
      <c r="F740" s="512" t="s">
        <v>764</v>
      </c>
      <c r="G740" s="513" t="s">
        <v>29</v>
      </c>
      <c r="H740" s="516">
        <v>669284</v>
      </c>
      <c r="I740" s="512" t="s">
        <v>6915</v>
      </c>
    </row>
    <row r="741" spans="2:9" ht="15" x14ac:dyDescent="0.35">
      <c r="B741" s="512" t="s">
        <v>6219</v>
      </c>
      <c r="C741" s="512" t="s">
        <v>6239</v>
      </c>
      <c r="D741" s="512" t="s">
        <v>6239</v>
      </c>
      <c r="E741" s="513">
        <v>4407</v>
      </c>
      <c r="F741" s="512" t="s">
        <v>765</v>
      </c>
      <c r="G741" s="513" t="s">
        <v>29</v>
      </c>
      <c r="H741" s="516">
        <v>353519</v>
      </c>
      <c r="I741" s="512" t="s">
        <v>6915</v>
      </c>
    </row>
    <row r="742" spans="2:9" ht="15" x14ac:dyDescent="0.35">
      <c r="B742" s="512" t="s">
        <v>6219</v>
      </c>
      <c r="C742" s="512" t="s">
        <v>6239</v>
      </c>
      <c r="D742" s="512" t="s">
        <v>6239</v>
      </c>
      <c r="E742" s="513">
        <v>4408</v>
      </c>
      <c r="F742" s="512" t="s">
        <v>766</v>
      </c>
      <c r="G742" s="513" t="s">
        <v>29</v>
      </c>
      <c r="H742" s="516">
        <v>988827</v>
      </c>
      <c r="I742" s="512" t="s">
        <v>6915</v>
      </c>
    </row>
    <row r="743" spans="2:9" ht="15" x14ac:dyDescent="0.35">
      <c r="B743" s="512" t="s">
        <v>6219</v>
      </c>
      <c r="C743" s="512" t="s">
        <v>6239</v>
      </c>
      <c r="D743" s="512" t="s">
        <v>6239</v>
      </c>
      <c r="E743" s="513">
        <v>4409</v>
      </c>
      <c r="F743" s="512" t="s">
        <v>767</v>
      </c>
      <c r="G743" s="513" t="s">
        <v>29</v>
      </c>
      <c r="H743" s="516">
        <v>140883</v>
      </c>
      <c r="I743" s="512" t="s">
        <v>6915</v>
      </c>
    </row>
    <row r="744" spans="2:9" ht="15" x14ac:dyDescent="0.35">
      <c r="B744" s="512" t="s">
        <v>6219</v>
      </c>
      <c r="C744" s="512" t="s">
        <v>6239</v>
      </c>
      <c r="D744" s="512" t="s">
        <v>6239</v>
      </c>
      <c r="E744" s="513">
        <v>4410</v>
      </c>
      <c r="F744" s="512" t="s">
        <v>768</v>
      </c>
      <c r="G744" s="513" t="s">
        <v>29</v>
      </c>
      <c r="H744" s="516">
        <v>148144</v>
      </c>
      <c r="I744" s="512" t="s">
        <v>6915</v>
      </c>
    </row>
    <row r="745" spans="2:9" ht="15" x14ac:dyDescent="0.35">
      <c r="B745" s="512" t="s">
        <v>6219</v>
      </c>
      <c r="C745" s="512" t="s">
        <v>6239</v>
      </c>
      <c r="D745" s="512" t="s">
        <v>6239</v>
      </c>
      <c r="E745" s="513">
        <v>4412</v>
      </c>
      <c r="F745" s="512" t="s">
        <v>769</v>
      </c>
      <c r="G745" s="513" t="s">
        <v>29</v>
      </c>
      <c r="H745" s="514">
        <v>536004</v>
      </c>
      <c r="I745" s="515" t="s">
        <v>6915</v>
      </c>
    </row>
    <row r="746" spans="2:9" ht="15" x14ac:dyDescent="0.35">
      <c r="B746" s="512" t="s">
        <v>6219</v>
      </c>
      <c r="C746" s="512" t="s">
        <v>6239</v>
      </c>
      <c r="D746" s="512" t="s">
        <v>6239</v>
      </c>
      <c r="E746" s="513">
        <v>4413</v>
      </c>
      <c r="F746" s="512" t="s">
        <v>770</v>
      </c>
      <c r="G746" s="513" t="s">
        <v>29</v>
      </c>
      <c r="H746" s="514">
        <v>1748855</v>
      </c>
      <c r="I746" s="515" t="s">
        <v>6915</v>
      </c>
    </row>
    <row r="747" spans="2:9" ht="15" x14ac:dyDescent="0.35">
      <c r="B747" s="512" t="s">
        <v>6219</v>
      </c>
      <c r="C747" s="512" t="s">
        <v>6239</v>
      </c>
      <c r="D747" s="512" t="s">
        <v>6239</v>
      </c>
      <c r="E747" s="513">
        <v>4414</v>
      </c>
      <c r="F747" s="512" t="s">
        <v>771</v>
      </c>
      <c r="G747" s="513" t="s">
        <v>29</v>
      </c>
      <c r="H747" s="514">
        <v>2084435</v>
      </c>
      <c r="I747" s="515" t="s">
        <v>6915</v>
      </c>
    </row>
    <row r="748" spans="2:9" ht="15" x14ac:dyDescent="0.35">
      <c r="B748" s="512" t="s">
        <v>6219</v>
      </c>
      <c r="C748" s="512" t="s">
        <v>6239</v>
      </c>
      <c r="D748" s="512" t="s">
        <v>6239</v>
      </c>
      <c r="E748" s="513">
        <v>4415</v>
      </c>
      <c r="F748" s="512" t="s">
        <v>772</v>
      </c>
      <c r="G748" s="513" t="s">
        <v>29</v>
      </c>
      <c r="H748" s="514">
        <v>85764</v>
      </c>
      <c r="I748" s="515" t="s">
        <v>6915</v>
      </c>
    </row>
    <row r="749" spans="2:9" ht="15" x14ac:dyDescent="0.35">
      <c r="B749" s="512" t="s">
        <v>6219</v>
      </c>
      <c r="C749" s="512" t="s">
        <v>6239</v>
      </c>
      <c r="D749" s="512" t="s">
        <v>6239</v>
      </c>
      <c r="E749" s="513">
        <v>4416</v>
      </c>
      <c r="F749" s="512" t="s">
        <v>773</v>
      </c>
      <c r="G749" s="513" t="s">
        <v>29</v>
      </c>
      <c r="H749" s="514">
        <v>109473</v>
      </c>
      <c r="I749" s="515" t="s">
        <v>6915</v>
      </c>
    </row>
    <row r="750" spans="2:9" ht="15" x14ac:dyDescent="0.35">
      <c r="B750" s="512" t="s">
        <v>6219</v>
      </c>
      <c r="C750" s="512" t="s">
        <v>6239</v>
      </c>
      <c r="D750" s="512" t="s">
        <v>6239</v>
      </c>
      <c r="E750" s="513">
        <v>4417</v>
      </c>
      <c r="F750" s="512" t="s">
        <v>774</v>
      </c>
      <c r="G750" s="513" t="s">
        <v>29</v>
      </c>
      <c r="H750" s="514">
        <v>243337</v>
      </c>
      <c r="I750" s="515" t="s">
        <v>6915</v>
      </c>
    </row>
    <row r="751" spans="2:9" ht="15" x14ac:dyDescent="0.35">
      <c r="B751" s="512" t="s">
        <v>6219</v>
      </c>
      <c r="C751" s="512" t="s">
        <v>6239</v>
      </c>
      <c r="D751" s="512" t="s">
        <v>6239</v>
      </c>
      <c r="E751" s="513">
        <v>4418</v>
      </c>
      <c r="F751" s="512" t="s">
        <v>775</v>
      </c>
      <c r="G751" s="513" t="s">
        <v>29</v>
      </c>
      <c r="H751" s="514">
        <v>53993</v>
      </c>
      <c r="I751" s="515" t="s">
        <v>6915</v>
      </c>
    </row>
    <row r="752" spans="2:9" ht="15" x14ac:dyDescent="0.35">
      <c r="B752" s="512" t="s">
        <v>6219</v>
      </c>
      <c r="C752" s="512" t="s">
        <v>6239</v>
      </c>
      <c r="D752" s="512" t="s">
        <v>6239</v>
      </c>
      <c r="E752" s="513">
        <v>4419</v>
      </c>
      <c r="F752" s="512" t="s">
        <v>776</v>
      </c>
      <c r="G752" s="513" t="s">
        <v>29</v>
      </c>
      <c r="H752" s="514">
        <v>82521</v>
      </c>
      <c r="I752" s="515" t="s">
        <v>6915</v>
      </c>
    </row>
    <row r="753" spans="2:9" ht="15" x14ac:dyDescent="0.35">
      <c r="B753" s="512" t="s">
        <v>6219</v>
      </c>
      <c r="C753" s="512" t="s">
        <v>6239</v>
      </c>
      <c r="D753" s="512" t="s">
        <v>6239</v>
      </c>
      <c r="E753" s="513">
        <v>4420</v>
      </c>
      <c r="F753" s="512" t="s">
        <v>777</v>
      </c>
      <c r="G753" s="513" t="s">
        <v>29</v>
      </c>
      <c r="H753" s="514">
        <v>125267</v>
      </c>
      <c r="I753" s="515" t="s">
        <v>6915</v>
      </c>
    </row>
    <row r="754" spans="2:9" ht="15" x14ac:dyDescent="0.35">
      <c r="B754" s="512" t="s">
        <v>6219</v>
      </c>
      <c r="C754" s="512" t="s">
        <v>6239</v>
      </c>
      <c r="D754" s="512" t="s">
        <v>6239</v>
      </c>
      <c r="E754" s="513">
        <v>4421</v>
      </c>
      <c r="F754" s="512" t="s">
        <v>778</v>
      </c>
      <c r="G754" s="513" t="s">
        <v>29</v>
      </c>
      <c r="H754" s="514">
        <v>216077</v>
      </c>
      <c r="I754" s="515" t="s">
        <v>6915</v>
      </c>
    </row>
    <row r="755" spans="2:9" ht="15" x14ac:dyDescent="0.35">
      <c r="B755" s="512" t="s">
        <v>6219</v>
      </c>
      <c r="C755" s="512" t="s">
        <v>6239</v>
      </c>
      <c r="D755" s="512" t="s">
        <v>6239</v>
      </c>
      <c r="E755" s="513">
        <v>4422</v>
      </c>
      <c r="F755" s="512" t="s">
        <v>779</v>
      </c>
      <c r="G755" s="513" t="s">
        <v>29</v>
      </c>
      <c r="H755" s="514">
        <v>239813</v>
      </c>
      <c r="I755" s="515" t="s">
        <v>6915</v>
      </c>
    </row>
    <row r="756" spans="2:9" ht="15" x14ac:dyDescent="0.35">
      <c r="B756" s="512" t="s">
        <v>6219</v>
      </c>
      <c r="C756" s="512" t="s">
        <v>6239</v>
      </c>
      <c r="D756" s="512" t="s">
        <v>6239</v>
      </c>
      <c r="E756" s="513">
        <v>4423</v>
      </c>
      <c r="F756" s="512" t="s">
        <v>780</v>
      </c>
      <c r="G756" s="513" t="s">
        <v>29</v>
      </c>
      <c r="H756" s="514">
        <v>489023</v>
      </c>
      <c r="I756" s="515" t="s">
        <v>6915</v>
      </c>
    </row>
    <row r="757" spans="2:9" ht="15" x14ac:dyDescent="0.35">
      <c r="B757" s="512" t="s">
        <v>6219</v>
      </c>
      <c r="C757" s="512" t="s">
        <v>6239</v>
      </c>
      <c r="D757" s="512" t="s">
        <v>6239</v>
      </c>
      <c r="E757" s="513">
        <v>4424</v>
      </c>
      <c r="F757" s="512" t="s">
        <v>781</v>
      </c>
      <c r="G757" s="513" t="s">
        <v>29</v>
      </c>
      <c r="H757" s="514">
        <v>722700</v>
      </c>
      <c r="I757" s="515" t="s">
        <v>6915</v>
      </c>
    </row>
    <row r="758" spans="2:9" ht="15" x14ac:dyDescent="0.35">
      <c r="B758" s="512" t="s">
        <v>6219</v>
      </c>
      <c r="C758" s="512" t="s">
        <v>6239</v>
      </c>
      <c r="D758" s="512" t="s">
        <v>6239</v>
      </c>
      <c r="E758" s="513">
        <v>4425</v>
      </c>
      <c r="F758" s="512" t="s">
        <v>782</v>
      </c>
      <c r="G758" s="513" t="s">
        <v>29</v>
      </c>
      <c r="H758" s="514">
        <v>1180354</v>
      </c>
      <c r="I758" s="515" t="s">
        <v>6915</v>
      </c>
    </row>
    <row r="759" spans="2:9" ht="15" x14ac:dyDescent="0.35">
      <c r="B759" s="512" t="s">
        <v>6219</v>
      </c>
      <c r="C759" s="512" t="s">
        <v>6239</v>
      </c>
      <c r="D759" s="512" t="s">
        <v>6239</v>
      </c>
      <c r="E759" s="513">
        <v>4426</v>
      </c>
      <c r="F759" s="512" t="s">
        <v>783</v>
      </c>
      <c r="G759" s="513" t="s">
        <v>29</v>
      </c>
      <c r="H759" s="514">
        <v>1363400</v>
      </c>
      <c r="I759" s="515" t="s">
        <v>6915</v>
      </c>
    </row>
    <row r="760" spans="2:9" ht="15" x14ac:dyDescent="0.35">
      <c r="B760" s="512" t="s">
        <v>6219</v>
      </c>
      <c r="C760" s="512" t="s">
        <v>6240</v>
      </c>
      <c r="D760" s="512" t="s">
        <v>6241</v>
      </c>
      <c r="E760" s="513">
        <v>4428</v>
      </c>
      <c r="F760" s="512" t="s">
        <v>784</v>
      </c>
      <c r="G760" s="513" t="s">
        <v>26</v>
      </c>
      <c r="H760" s="514">
        <v>54645</v>
      </c>
      <c r="I760" s="515" t="s">
        <v>6915</v>
      </c>
    </row>
    <row r="761" spans="2:9" ht="15" x14ac:dyDescent="0.35">
      <c r="B761" s="512" t="s">
        <v>6219</v>
      </c>
      <c r="C761" s="512" t="s">
        <v>6240</v>
      </c>
      <c r="D761" s="512" t="s">
        <v>6241</v>
      </c>
      <c r="E761" s="513">
        <v>4429</v>
      </c>
      <c r="F761" s="512" t="s">
        <v>785</v>
      </c>
      <c r="G761" s="513" t="s">
        <v>26</v>
      </c>
      <c r="H761" s="514">
        <v>65123</v>
      </c>
      <c r="I761" s="515" t="s">
        <v>6915</v>
      </c>
    </row>
    <row r="762" spans="2:9" ht="15" x14ac:dyDescent="0.35">
      <c r="B762" s="512" t="s">
        <v>6219</v>
      </c>
      <c r="C762" s="512" t="s">
        <v>6240</v>
      </c>
      <c r="D762" s="512" t="s">
        <v>6249</v>
      </c>
      <c r="E762" s="513">
        <v>4431</v>
      </c>
      <c r="F762" s="512" t="s">
        <v>786</v>
      </c>
      <c r="G762" s="513" t="s">
        <v>21</v>
      </c>
      <c r="H762" s="514">
        <v>35842</v>
      </c>
      <c r="I762" s="515" t="s">
        <v>6915</v>
      </c>
    </row>
    <row r="763" spans="2:9" ht="15" x14ac:dyDescent="0.35">
      <c r="B763" s="512" t="s">
        <v>6219</v>
      </c>
      <c r="C763" s="512" t="s">
        <v>6224</v>
      </c>
      <c r="D763" s="512" t="s">
        <v>6262</v>
      </c>
      <c r="E763" s="513">
        <v>4433</v>
      </c>
      <c r="F763" s="512" t="s">
        <v>787</v>
      </c>
      <c r="G763" s="513" t="s">
        <v>26</v>
      </c>
      <c r="H763" s="514">
        <v>1079970</v>
      </c>
      <c r="I763" s="515" t="s">
        <v>6915</v>
      </c>
    </row>
    <row r="764" spans="2:9" ht="15" x14ac:dyDescent="0.35">
      <c r="B764" s="512" t="s">
        <v>6219</v>
      </c>
      <c r="C764" s="512" t="s">
        <v>6224</v>
      </c>
      <c r="D764" s="512" t="s">
        <v>6262</v>
      </c>
      <c r="E764" s="513">
        <v>4434</v>
      </c>
      <c r="F764" s="512" t="s">
        <v>788</v>
      </c>
      <c r="G764" s="513" t="s">
        <v>26</v>
      </c>
      <c r="H764" s="514">
        <v>1083732</v>
      </c>
      <c r="I764" s="515" t="s">
        <v>6915</v>
      </c>
    </row>
    <row r="765" spans="2:9" ht="15" x14ac:dyDescent="0.35">
      <c r="B765" s="512" t="s">
        <v>6219</v>
      </c>
      <c r="C765" s="512" t="s">
        <v>6224</v>
      </c>
      <c r="D765" s="512" t="s">
        <v>6262</v>
      </c>
      <c r="E765" s="513">
        <v>4435</v>
      </c>
      <c r="F765" s="512" t="s">
        <v>789</v>
      </c>
      <c r="G765" s="513" t="s">
        <v>26</v>
      </c>
      <c r="H765" s="514">
        <v>1385370</v>
      </c>
      <c r="I765" s="515" t="s">
        <v>6915</v>
      </c>
    </row>
    <row r="766" spans="2:9" ht="15" x14ac:dyDescent="0.35">
      <c r="B766" s="512" t="s">
        <v>6219</v>
      </c>
      <c r="C766" s="512" t="s">
        <v>6224</v>
      </c>
      <c r="D766" s="512" t="s">
        <v>6262</v>
      </c>
      <c r="E766" s="513">
        <v>4436</v>
      </c>
      <c r="F766" s="512" t="s">
        <v>790</v>
      </c>
      <c r="G766" s="513" t="s">
        <v>26</v>
      </c>
      <c r="H766" s="514">
        <v>1202862</v>
      </c>
      <c r="I766" s="515" t="s">
        <v>6915</v>
      </c>
    </row>
    <row r="767" spans="2:9" ht="15" x14ac:dyDescent="0.35">
      <c r="B767" s="512" t="s">
        <v>6219</v>
      </c>
      <c r="C767" s="512" t="s">
        <v>6224</v>
      </c>
      <c r="D767" s="512" t="s">
        <v>6262</v>
      </c>
      <c r="E767" s="513">
        <v>4437</v>
      </c>
      <c r="F767" s="512" t="s">
        <v>791</v>
      </c>
      <c r="G767" s="513" t="s">
        <v>26</v>
      </c>
      <c r="H767" s="514">
        <v>1458018</v>
      </c>
      <c r="I767" s="515" t="s">
        <v>6915</v>
      </c>
    </row>
    <row r="768" spans="2:9" ht="15" x14ac:dyDescent="0.35">
      <c r="B768" s="512" t="s">
        <v>6219</v>
      </c>
      <c r="C768" s="512" t="s">
        <v>6224</v>
      </c>
      <c r="D768" s="512" t="s">
        <v>6262</v>
      </c>
      <c r="E768" s="513">
        <v>4438</v>
      </c>
      <c r="F768" s="512" t="s">
        <v>792</v>
      </c>
      <c r="G768" s="513" t="s">
        <v>26</v>
      </c>
      <c r="H768" s="516">
        <v>1544292</v>
      </c>
      <c r="I768" s="512" t="s">
        <v>6915</v>
      </c>
    </row>
    <row r="769" spans="2:9" ht="15" x14ac:dyDescent="0.35">
      <c r="B769" s="512" t="s">
        <v>6219</v>
      </c>
      <c r="C769" s="512" t="s">
        <v>6224</v>
      </c>
      <c r="D769" s="512" t="s">
        <v>6262</v>
      </c>
      <c r="E769" s="513">
        <v>4439</v>
      </c>
      <c r="F769" s="512" t="s">
        <v>793</v>
      </c>
      <c r="G769" s="513" t="s">
        <v>26</v>
      </c>
      <c r="H769" s="514">
        <v>1862323</v>
      </c>
      <c r="I769" s="515" t="s">
        <v>6915</v>
      </c>
    </row>
    <row r="770" spans="2:9" ht="15" x14ac:dyDescent="0.35">
      <c r="B770" s="512" t="s">
        <v>6219</v>
      </c>
      <c r="C770" s="512" t="s">
        <v>6224</v>
      </c>
      <c r="D770" s="512" t="s">
        <v>6262</v>
      </c>
      <c r="E770" s="513">
        <v>4440</v>
      </c>
      <c r="F770" s="512" t="s">
        <v>794</v>
      </c>
      <c r="G770" s="513" t="s">
        <v>26</v>
      </c>
      <c r="H770" s="516">
        <v>1551813</v>
      </c>
      <c r="I770" s="512" t="s">
        <v>6915</v>
      </c>
    </row>
    <row r="771" spans="2:9" ht="15" x14ac:dyDescent="0.35">
      <c r="B771" s="512" t="s">
        <v>6219</v>
      </c>
      <c r="C771" s="512" t="s">
        <v>6224</v>
      </c>
      <c r="D771" s="512" t="s">
        <v>6262</v>
      </c>
      <c r="E771" s="513">
        <v>4441</v>
      </c>
      <c r="F771" s="512" t="s">
        <v>795</v>
      </c>
      <c r="G771" s="513" t="s">
        <v>26</v>
      </c>
      <c r="H771" s="516">
        <v>2003130</v>
      </c>
      <c r="I771" s="512" t="s">
        <v>6915</v>
      </c>
    </row>
    <row r="772" spans="2:9" ht="15" x14ac:dyDescent="0.35">
      <c r="B772" s="512" t="s">
        <v>6219</v>
      </c>
      <c r="C772" s="512" t="s">
        <v>6224</v>
      </c>
      <c r="D772" s="512" t="s">
        <v>6262</v>
      </c>
      <c r="E772" s="513">
        <v>4442</v>
      </c>
      <c r="F772" s="512" t="s">
        <v>796</v>
      </c>
      <c r="G772" s="513" t="s">
        <v>26</v>
      </c>
      <c r="H772" s="516">
        <v>488491</v>
      </c>
      <c r="I772" s="512" t="s">
        <v>6915</v>
      </c>
    </row>
    <row r="773" spans="2:9" ht="15" x14ac:dyDescent="0.35">
      <c r="B773" s="512" t="s">
        <v>6219</v>
      </c>
      <c r="C773" s="512" t="s">
        <v>6224</v>
      </c>
      <c r="D773" s="512" t="s">
        <v>6262</v>
      </c>
      <c r="E773" s="513">
        <v>4447</v>
      </c>
      <c r="F773" s="512" t="s">
        <v>797</v>
      </c>
      <c r="G773" s="513" t="s">
        <v>26</v>
      </c>
      <c r="H773" s="516">
        <v>688932</v>
      </c>
      <c r="I773" s="512" t="s">
        <v>6915</v>
      </c>
    </row>
    <row r="774" spans="2:9" ht="15" x14ac:dyDescent="0.35">
      <c r="B774" s="512" t="s">
        <v>6219</v>
      </c>
      <c r="C774" s="512" t="s">
        <v>6224</v>
      </c>
      <c r="D774" s="512" t="s">
        <v>6262</v>
      </c>
      <c r="E774" s="513">
        <v>4461</v>
      </c>
      <c r="F774" s="512" t="s">
        <v>798</v>
      </c>
      <c r="G774" s="513" t="s">
        <v>26</v>
      </c>
      <c r="H774" s="514">
        <v>578328</v>
      </c>
      <c r="I774" s="515" t="s">
        <v>6915</v>
      </c>
    </row>
    <row r="775" spans="2:9" ht="15" x14ac:dyDescent="0.35">
      <c r="B775" s="512" t="s">
        <v>6219</v>
      </c>
      <c r="C775" s="512" t="s">
        <v>6227</v>
      </c>
      <c r="D775" s="512" t="s">
        <v>6248</v>
      </c>
      <c r="E775" s="513">
        <v>4477</v>
      </c>
      <c r="F775" s="512" t="s">
        <v>799</v>
      </c>
      <c r="G775" s="513" t="s">
        <v>23</v>
      </c>
      <c r="H775" s="514">
        <v>111453</v>
      </c>
      <c r="I775" s="515" t="s">
        <v>6915</v>
      </c>
    </row>
    <row r="776" spans="2:9" ht="15" x14ac:dyDescent="0.35">
      <c r="B776" s="512" t="s">
        <v>6219</v>
      </c>
      <c r="C776" s="512" t="s">
        <v>6253</v>
      </c>
      <c r="D776" s="512" t="s">
        <v>6254</v>
      </c>
      <c r="E776" s="513">
        <v>4478</v>
      </c>
      <c r="F776" s="512" t="s">
        <v>800</v>
      </c>
      <c r="G776" s="513" t="s">
        <v>389</v>
      </c>
      <c r="H776" s="514">
        <v>194828</v>
      </c>
      <c r="I776" s="515" t="s">
        <v>5686</v>
      </c>
    </row>
    <row r="777" spans="2:9" ht="15" x14ac:dyDescent="0.35">
      <c r="B777" s="512" t="s">
        <v>6219</v>
      </c>
      <c r="C777" s="512" t="s">
        <v>6253</v>
      </c>
      <c r="D777" s="512" t="s">
        <v>6254</v>
      </c>
      <c r="E777" s="513">
        <v>4479</v>
      </c>
      <c r="F777" s="512" t="s">
        <v>801</v>
      </c>
      <c r="G777" s="513" t="s">
        <v>676</v>
      </c>
      <c r="H777" s="514">
        <v>27834</v>
      </c>
      <c r="I777" s="515" t="s">
        <v>6915</v>
      </c>
    </row>
    <row r="778" spans="2:9" ht="15" x14ac:dyDescent="0.35">
      <c r="B778" s="512" t="s">
        <v>6219</v>
      </c>
      <c r="C778" s="512" t="s">
        <v>6242</v>
      </c>
      <c r="D778" s="512" t="s">
        <v>6257</v>
      </c>
      <c r="E778" s="513">
        <v>4485</v>
      </c>
      <c r="F778" s="512" t="s">
        <v>802</v>
      </c>
      <c r="G778" s="513" t="s">
        <v>23</v>
      </c>
      <c r="H778" s="514">
        <v>1479217</v>
      </c>
      <c r="I778" s="515" t="s">
        <v>6915</v>
      </c>
    </row>
    <row r="779" spans="2:9" ht="15" x14ac:dyDescent="0.35">
      <c r="B779" s="512" t="s">
        <v>6219</v>
      </c>
      <c r="C779" s="512" t="s">
        <v>6242</v>
      </c>
      <c r="D779" s="512" t="s">
        <v>6257</v>
      </c>
      <c r="E779" s="513">
        <v>4486</v>
      </c>
      <c r="F779" s="512" t="s">
        <v>803</v>
      </c>
      <c r="G779" s="513" t="s">
        <v>23</v>
      </c>
      <c r="H779" s="514">
        <v>1581435</v>
      </c>
      <c r="I779" s="515" t="s">
        <v>6915</v>
      </c>
    </row>
    <row r="780" spans="2:9" ht="15" x14ac:dyDescent="0.35">
      <c r="B780" s="512" t="s">
        <v>6219</v>
      </c>
      <c r="C780" s="512" t="s">
        <v>6227</v>
      </c>
      <c r="D780" s="512" t="s">
        <v>6248</v>
      </c>
      <c r="E780" s="513">
        <v>4487</v>
      </c>
      <c r="F780" s="512" t="s">
        <v>804</v>
      </c>
      <c r="G780" s="513" t="s">
        <v>23</v>
      </c>
      <c r="H780" s="514">
        <v>255369</v>
      </c>
      <c r="I780" s="515" t="s">
        <v>6915</v>
      </c>
    </row>
    <row r="781" spans="2:9" ht="15" x14ac:dyDescent="0.35">
      <c r="B781" s="512" t="s">
        <v>6219</v>
      </c>
      <c r="C781" s="512" t="s">
        <v>6227</v>
      </c>
      <c r="D781" s="512" t="s">
        <v>6248</v>
      </c>
      <c r="E781" s="513">
        <v>4488</v>
      </c>
      <c r="F781" s="512" t="s">
        <v>805</v>
      </c>
      <c r="G781" s="513" t="s">
        <v>23</v>
      </c>
      <c r="H781" s="514">
        <v>244540</v>
      </c>
      <c r="I781" s="515" t="s">
        <v>6915</v>
      </c>
    </row>
    <row r="782" spans="2:9" ht="15" x14ac:dyDescent="0.35">
      <c r="B782" s="512" t="s">
        <v>6219</v>
      </c>
      <c r="C782" s="512" t="s">
        <v>6227</v>
      </c>
      <c r="D782" s="512" t="s">
        <v>6248</v>
      </c>
      <c r="E782" s="513">
        <v>4489</v>
      </c>
      <c r="F782" s="512" t="s">
        <v>806</v>
      </c>
      <c r="G782" s="513" t="s">
        <v>23</v>
      </c>
      <c r="H782" s="514">
        <v>216694</v>
      </c>
      <c r="I782" s="515" t="s">
        <v>6915</v>
      </c>
    </row>
    <row r="783" spans="2:9" ht="15" x14ac:dyDescent="0.35">
      <c r="B783" s="512" t="s">
        <v>6219</v>
      </c>
      <c r="C783" s="512" t="s">
        <v>6252</v>
      </c>
      <c r="D783" s="512" t="s">
        <v>6252</v>
      </c>
      <c r="E783" s="513">
        <v>4490</v>
      </c>
      <c r="F783" s="512" t="s">
        <v>807</v>
      </c>
      <c r="G783" s="513" t="s">
        <v>21</v>
      </c>
      <c r="H783" s="514">
        <v>290929</v>
      </c>
      <c r="I783" s="515" t="s">
        <v>6915</v>
      </c>
    </row>
    <row r="784" spans="2:9" ht="15" x14ac:dyDescent="0.35">
      <c r="B784" s="512" t="s">
        <v>6263</v>
      </c>
      <c r="C784" s="512" t="s">
        <v>6252</v>
      </c>
      <c r="D784" s="512" t="s">
        <v>6252</v>
      </c>
      <c r="E784" s="513">
        <v>4491</v>
      </c>
      <c r="F784" s="512" t="s">
        <v>808</v>
      </c>
      <c r="G784" s="513" t="s">
        <v>21</v>
      </c>
      <c r="H784" s="514">
        <v>351451</v>
      </c>
      <c r="I784" s="515" t="s">
        <v>6915</v>
      </c>
    </row>
    <row r="785" spans="2:9" ht="15" x14ac:dyDescent="0.35">
      <c r="B785" s="512" t="s">
        <v>6219</v>
      </c>
      <c r="C785" s="512" t="s">
        <v>6252</v>
      </c>
      <c r="D785" s="512" t="s">
        <v>6252</v>
      </c>
      <c r="E785" s="513">
        <v>4501</v>
      </c>
      <c r="F785" s="512" t="s">
        <v>809</v>
      </c>
      <c r="G785" s="513" t="s">
        <v>21</v>
      </c>
      <c r="H785" s="514">
        <v>188913</v>
      </c>
      <c r="I785" s="515" t="s">
        <v>6915</v>
      </c>
    </row>
    <row r="786" spans="2:9" ht="15" x14ac:dyDescent="0.35">
      <c r="B786" s="512" t="s">
        <v>6219</v>
      </c>
      <c r="C786" s="512" t="s">
        <v>6252</v>
      </c>
      <c r="D786" s="512" t="s">
        <v>6252</v>
      </c>
      <c r="E786" s="513">
        <v>4502</v>
      </c>
      <c r="F786" s="512" t="s">
        <v>810</v>
      </c>
      <c r="G786" s="513" t="s">
        <v>21</v>
      </c>
      <c r="H786" s="516">
        <v>321984</v>
      </c>
      <c r="I786" s="512" t="s">
        <v>6915</v>
      </c>
    </row>
    <row r="787" spans="2:9" ht="15" x14ac:dyDescent="0.35">
      <c r="B787" s="512" t="s">
        <v>6263</v>
      </c>
      <c r="C787" s="512" t="s">
        <v>6252</v>
      </c>
      <c r="D787" s="512" t="s">
        <v>6252</v>
      </c>
      <c r="E787" s="513">
        <v>4503</v>
      </c>
      <c r="F787" s="512" t="s">
        <v>811</v>
      </c>
      <c r="G787" s="513" t="s">
        <v>21</v>
      </c>
      <c r="H787" s="516">
        <v>357264</v>
      </c>
      <c r="I787" s="512" t="s">
        <v>6915</v>
      </c>
    </row>
    <row r="788" spans="2:9" ht="15" x14ac:dyDescent="0.35">
      <c r="B788" s="512" t="s">
        <v>6263</v>
      </c>
      <c r="C788" s="512" t="s">
        <v>6252</v>
      </c>
      <c r="D788" s="512" t="s">
        <v>6252</v>
      </c>
      <c r="E788" s="513">
        <v>4504</v>
      </c>
      <c r="F788" s="512" t="s">
        <v>812</v>
      </c>
      <c r="G788" s="513" t="s">
        <v>21</v>
      </c>
      <c r="H788" s="516">
        <v>413824</v>
      </c>
      <c r="I788" s="512" t="s">
        <v>6915</v>
      </c>
    </row>
    <row r="789" spans="2:9" ht="15" x14ac:dyDescent="0.35">
      <c r="B789" s="512" t="s">
        <v>6219</v>
      </c>
      <c r="C789" s="512" t="s">
        <v>6252</v>
      </c>
      <c r="D789" s="512" t="s">
        <v>6252</v>
      </c>
      <c r="E789" s="513">
        <v>4505</v>
      </c>
      <c r="F789" s="512" t="s">
        <v>813</v>
      </c>
      <c r="G789" s="513" t="s">
        <v>21</v>
      </c>
      <c r="H789" s="516">
        <v>184077</v>
      </c>
      <c r="I789" s="512" t="s">
        <v>6915</v>
      </c>
    </row>
    <row r="790" spans="2:9" ht="15" x14ac:dyDescent="0.35">
      <c r="B790" s="512" t="s">
        <v>6219</v>
      </c>
      <c r="C790" s="512" t="s">
        <v>6252</v>
      </c>
      <c r="D790" s="512" t="s">
        <v>6252</v>
      </c>
      <c r="E790" s="513">
        <v>4506</v>
      </c>
      <c r="F790" s="512" t="s">
        <v>814</v>
      </c>
      <c r="G790" s="513" t="s">
        <v>21</v>
      </c>
      <c r="H790" s="516">
        <v>271095</v>
      </c>
      <c r="I790" s="512" t="s">
        <v>6915</v>
      </c>
    </row>
    <row r="791" spans="2:9" ht="15" x14ac:dyDescent="0.35">
      <c r="B791" s="512" t="s">
        <v>6263</v>
      </c>
      <c r="C791" s="512" t="s">
        <v>6252</v>
      </c>
      <c r="D791" s="512" t="s">
        <v>6252</v>
      </c>
      <c r="E791" s="513">
        <v>4507</v>
      </c>
      <c r="F791" s="512" t="s">
        <v>815</v>
      </c>
      <c r="G791" s="513" t="s">
        <v>21</v>
      </c>
      <c r="H791" s="516">
        <v>313937</v>
      </c>
      <c r="I791" s="512" t="s">
        <v>6915</v>
      </c>
    </row>
    <row r="792" spans="2:9" ht="15" x14ac:dyDescent="0.35">
      <c r="B792" s="512" t="s">
        <v>6263</v>
      </c>
      <c r="C792" s="512" t="s">
        <v>6252</v>
      </c>
      <c r="D792" s="512" t="s">
        <v>6252</v>
      </c>
      <c r="E792" s="513">
        <v>4508</v>
      </c>
      <c r="F792" s="512" t="s">
        <v>816</v>
      </c>
      <c r="G792" s="513" t="s">
        <v>21</v>
      </c>
      <c r="H792" s="514">
        <v>305652</v>
      </c>
      <c r="I792" s="515" t="s">
        <v>6915</v>
      </c>
    </row>
    <row r="793" spans="2:9" ht="15" x14ac:dyDescent="0.35">
      <c r="B793" s="512" t="s">
        <v>6263</v>
      </c>
      <c r="C793" s="512" t="s">
        <v>6252</v>
      </c>
      <c r="D793" s="512" t="s">
        <v>6252</v>
      </c>
      <c r="E793" s="513">
        <v>4509</v>
      </c>
      <c r="F793" s="512" t="s">
        <v>817</v>
      </c>
      <c r="G793" s="513" t="s">
        <v>21</v>
      </c>
      <c r="H793" s="516">
        <v>372091</v>
      </c>
      <c r="I793" s="512" t="s">
        <v>6915</v>
      </c>
    </row>
    <row r="794" spans="2:9" ht="15" x14ac:dyDescent="0.35">
      <c r="B794" s="512" t="s">
        <v>6219</v>
      </c>
      <c r="C794" s="512" t="s">
        <v>6252</v>
      </c>
      <c r="D794" s="512" t="s">
        <v>6252</v>
      </c>
      <c r="E794" s="513">
        <v>4510</v>
      </c>
      <c r="F794" s="512" t="s">
        <v>818</v>
      </c>
      <c r="G794" s="513" t="s">
        <v>21</v>
      </c>
      <c r="H794" s="516">
        <v>161235</v>
      </c>
      <c r="I794" s="512" t="s">
        <v>6915</v>
      </c>
    </row>
    <row r="795" spans="2:9" ht="15" x14ac:dyDescent="0.35">
      <c r="B795" s="512" t="s">
        <v>6263</v>
      </c>
      <c r="C795" s="512" t="s">
        <v>6252</v>
      </c>
      <c r="D795" s="512" t="s">
        <v>6252</v>
      </c>
      <c r="E795" s="513">
        <v>4511</v>
      </c>
      <c r="F795" s="512" t="s">
        <v>819</v>
      </c>
      <c r="G795" s="513" t="s">
        <v>21</v>
      </c>
      <c r="H795" s="514">
        <v>377397</v>
      </c>
      <c r="I795" s="515" t="s">
        <v>6915</v>
      </c>
    </row>
    <row r="796" spans="2:9" ht="15" x14ac:dyDescent="0.35">
      <c r="B796" s="512" t="s">
        <v>6263</v>
      </c>
      <c r="C796" s="512" t="s">
        <v>6252</v>
      </c>
      <c r="D796" s="512" t="s">
        <v>6252</v>
      </c>
      <c r="E796" s="513">
        <v>4512</v>
      </c>
      <c r="F796" s="512" t="s">
        <v>820</v>
      </c>
      <c r="G796" s="513" t="s">
        <v>21</v>
      </c>
      <c r="H796" s="514">
        <v>416572</v>
      </c>
      <c r="I796" s="515" t="s">
        <v>6915</v>
      </c>
    </row>
    <row r="797" spans="2:9" ht="15" x14ac:dyDescent="0.35">
      <c r="B797" s="512" t="s">
        <v>6219</v>
      </c>
      <c r="C797" s="512" t="s">
        <v>6227</v>
      </c>
      <c r="D797" s="512" t="s">
        <v>6248</v>
      </c>
      <c r="E797" s="513">
        <v>4513</v>
      </c>
      <c r="F797" s="512" t="s">
        <v>821</v>
      </c>
      <c r="G797" s="513" t="s">
        <v>23</v>
      </c>
      <c r="H797" s="514">
        <v>227523</v>
      </c>
      <c r="I797" s="515" t="s">
        <v>6915</v>
      </c>
    </row>
    <row r="798" spans="2:9" ht="15" x14ac:dyDescent="0.35">
      <c r="B798" s="512" t="s">
        <v>6219</v>
      </c>
      <c r="C798" s="512" t="s">
        <v>6252</v>
      </c>
      <c r="D798" s="512" t="s">
        <v>6252</v>
      </c>
      <c r="E798" s="513">
        <v>4514</v>
      </c>
      <c r="F798" s="512" t="s">
        <v>822</v>
      </c>
      <c r="G798" s="513" t="s">
        <v>21</v>
      </c>
      <c r="H798" s="514">
        <v>245623</v>
      </c>
      <c r="I798" s="515" t="s">
        <v>6915</v>
      </c>
    </row>
    <row r="799" spans="2:9" ht="15" x14ac:dyDescent="0.35">
      <c r="B799" s="512" t="s">
        <v>6219</v>
      </c>
      <c r="C799" s="512" t="s">
        <v>6252</v>
      </c>
      <c r="D799" s="512" t="s">
        <v>6252</v>
      </c>
      <c r="E799" s="513">
        <v>4515</v>
      </c>
      <c r="F799" s="512" t="s">
        <v>823</v>
      </c>
      <c r="G799" s="513" t="s">
        <v>21</v>
      </c>
      <c r="H799" s="514">
        <v>323911</v>
      </c>
      <c r="I799" s="515" t="s">
        <v>6915</v>
      </c>
    </row>
    <row r="800" spans="2:9" ht="15" x14ac:dyDescent="0.35">
      <c r="B800" s="512" t="s">
        <v>6219</v>
      </c>
      <c r="C800" s="512" t="s">
        <v>6252</v>
      </c>
      <c r="D800" s="512" t="s">
        <v>6252</v>
      </c>
      <c r="E800" s="513">
        <v>4516</v>
      </c>
      <c r="F800" s="512" t="s">
        <v>824</v>
      </c>
      <c r="G800" s="513" t="s">
        <v>21</v>
      </c>
      <c r="H800" s="514">
        <v>216594</v>
      </c>
      <c r="I800" s="515" t="s">
        <v>6915</v>
      </c>
    </row>
    <row r="801" spans="2:9" ht="15" x14ac:dyDescent="0.35">
      <c r="B801" s="512" t="s">
        <v>6263</v>
      </c>
      <c r="C801" s="512" t="s">
        <v>6252</v>
      </c>
      <c r="D801" s="512" t="s">
        <v>6252</v>
      </c>
      <c r="E801" s="513">
        <v>4517</v>
      </c>
      <c r="F801" s="512" t="s">
        <v>825</v>
      </c>
      <c r="G801" s="513" t="s">
        <v>21</v>
      </c>
      <c r="H801" s="514">
        <v>347026</v>
      </c>
      <c r="I801" s="515" t="s">
        <v>6915</v>
      </c>
    </row>
    <row r="802" spans="2:9" ht="15" x14ac:dyDescent="0.35">
      <c r="B802" s="512" t="s">
        <v>6219</v>
      </c>
      <c r="C802" s="512" t="s">
        <v>6252</v>
      </c>
      <c r="D802" s="512" t="s">
        <v>6252</v>
      </c>
      <c r="E802" s="513">
        <v>4518</v>
      </c>
      <c r="F802" s="512" t="s">
        <v>826</v>
      </c>
      <c r="G802" s="513" t="s">
        <v>21</v>
      </c>
      <c r="H802" s="514">
        <v>67016</v>
      </c>
      <c r="I802" s="515" t="s">
        <v>6915</v>
      </c>
    </row>
    <row r="803" spans="2:9" ht="15" x14ac:dyDescent="0.35">
      <c r="B803" s="512" t="s">
        <v>6219</v>
      </c>
      <c r="C803" s="512" t="s">
        <v>6252</v>
      </c>
      <c r="D803" s="512" t="s">
        <v>6252</v>
      </c>
      <c r="E803" s="513">
        <v>4519</v>
      </c>
      <c r="F803" s="512" t="s">
        <v>827</v>
      </c>
      <c r="G803" s="513" t="s">
        <v>21</v>
      </c>
      <c r="H803" s="514">
        <v>90262</v>
      </c>
      <c r="I803" s="515" t="s">
        <v>6915</v>
      </c>
    </row>
    <row r="804" spans="2:9" ht="15" x14ac:dyDescent="0.35">
      <c r="B804" s="512" t="s">
        <v>6219</v>
      </c>
      <c r="C804" s="512" t="s">
        <v>6252</v>
      </c>
      <c r="D804" s="512" t="s">
        <v>6252</v>
      </c>
      <c r="E804" s="513">
        <v>4520</v>
      </c>
      <c r="F804" s="512" t="s">
        <v>828</v>
      </c>
      <c r="G804" s="513" t="s">
        <v>21</v>
      </c>
      <c r="H804" s="514">
        <v>100031</v>
      </c>
      <c r="I804" s="515" t="s">
        <v>6915</v>
      </c>
    </row>
    <row r="805" spans="2:9" ht="15" x14ac:dyDescent="0.35">
      <c r="B805" s="512" t="s">
        <v>6219</v>
      </c>
      <c r="C805" s="512" t="s">
        <v>6252</v>
      </c>
      <c r="D805" s="512" t="s">
        <v>6252</v>
      </c>
      <c r="E805" s="513">
        <v>4522</v>
      </c>
      <c r="F805" s="512" t="s">
        <v>829</v>
      </c>
      <c r="G805" s="513" t="s">
        <v>21</v>
      </c>
      <c r="H805" s="514">
        <v>293410</v>
      </c>
      <c r="I805" s="515" t="s">
        <v>6915</v>
      </c>
    </row>
    <row r="806" spans="2:9" ht="15" x14ac:dyDescent="0.35">
      <c r="B806" s="512" t="s">
        <v>6263</v>
      </c>
      <c r="C806" s="512" t="s">
        <v>6252</v>
      </c>
      <c r="D806" s="512" t="s">
        <v>6252</v>
      </c>
      <c r="E806" s="513">
        <v>4523</v>
      </c>
      <c r="F806" s="512" t="s">
        <v>830</v>
      </c>
      <c r="G806" s="513" t="s">
        <v>21</v>
      </c>
      <c r="H806" s="514">
        <v>283147</v>
      </c>
      <c r="I806" s="515" t="s">
        <v>6915</v>
      </c>
    </row>
    <row r="807" spans="2:9" ht="15" x14ac:dyDescent="0.35">
      <c r="B807" s="512" t="s">
        <v>6263</v>
      </c>
      <c r="C807" s="512" t="s">
        <v>6252</v>
      </c>
      <c r="D807" s="512" t="s">
        <v>6252</v>
      </c>
      <c r="E807" s="513">
        <v>4524</v>
      </c>
      <c r="F807" s="512" t="s">
        <v>831</v>
      </c>
      <c r="G807" s="513" t="s">
        <v>21</v>
      </c>
      <c r="H807" s="514">
        <v>298347</v>
      </c>
      <c r="I807" s="515" t="s">
        <v>6915</v>
      </c>
    </row>
    <row r="808" spans="2:9" ht="15" x14ac:dyDescent="0.35">
      <c r="B808" s="512" t="s">
        <v>6219</v>
      </c>
      <c r="C808" s="512" t="s">
        <v>6242</v>
      </c>
      <c r="D808" s="512" t="s">
        <v>6255</v>
      </c>
      <c r="E808" s="513">
        <v>4525</v>
      </c>
      <c r="F808" s="512" t="s">
        <v>832</v>
      </c>
      <c r="G808" s="513" t="s">
        <v>26</v>
      </c>
      <c r="H808" s="514">
        <v>7477</v>
      </c>
      <c r="I808" s="515" t="s">
        <v>6915</v>
      </c>
    </row>
    <row r="809" spans="2:9" ht="15" x14ac:dyDescent="0.35">
      <c r="B809" s="512" t="s">
        <v>6219</v>
      </c>
      <c r="C809" s="512" t="s">
        <v>6252</v>
      </c>
      <c r="D809" s="512" t="s">
        <v>6252</v>
      </c>
      <c r="E809" s="513">
        <v>4541</v>
      </c>
      <c r="F809" s="512" t="s">
        <v>833</v>
      </c>
      <c r="G809" s="513" t="s">
        <v>23</v>
      </c>
      <c r="H809" s="514">
        <v>1672459</v>
      </c>
      <c r="I809" s="515" t="s">
        <v>6915</v>
      </c>
    </row>
    <row r="810" spans="2:9" ht="15" x14ac:dyDescent="0.35">
      <c r="B810" s="512" t="s">
        <v>6219</v>
      </c>
      <c r="C810" s="512" t="s">
        <v>6252</v>
      </c>
      <c r="D810" s="512" t="s">
        <v>6252</v>
      </c>
      <c r="E810" s="513">
        <v>4542</v>
      </c>
      <c r="F810" s="512" t="s">
        <v>834</v>
      </c>
      <c r="G810" s="513" t="s">
        <v>23</v>
      </c>
      <c r="H810" s="514">
        <v>1672445</v>
      </c>
      <c r="I810" s="515" t="s">
        <v>6915</v>
      </c>
    </row>
    <row r="811" spans="2:9" ht="15" x14ac:dyDescent="0.35">
      <c r="B811" s="512" t="s">
        <v>6219</v>
      </c>
      <c r="C811" s="512" t="s">
        <v>6230</v>
      </c>
      <c r="D811" s="512" t="s">
        <v>6231</v>
      </c>
      <c r="E811" s="513">
        <v>4543</v>
      </c>
      <c r="F811" s="512" t="s">
        <v>835</v>
      </c>
      <c r="G811" s="513" t="s">
        <v>26</v>
      </c>
      <c r="H811" s="514">
        <v>68580</v>
      </c>
      <c r="I811" s="515" t="s">
        <v>6915</v>
      </c>
    </row>
    <row r="812" spans="2:9" ht="15" x14ac:dyDescent="0.35">
      <c r="B812" s="512" t="s">
        <v>6219</v>
      </c>
      <c r="C812" s="512" t="s">
        <v>6230</v>
      </c>
      <c r="D812" s="512" t="s">
        <v>6231</v>
      </c>
      <c r="E812" s="513">
        <v>4544</v>
      </c>
      <c r="F812" s="512" t="s">
        <v>836</v>
      </c>
      <c r="G812" s="513" t="s">
        <v>26</v>
      </c>
      <c r="H812" s="514">
        <v>70725</v>
      </c>
      <c r="I812" s="515" t="s">
        <v>6915</v>
      </c>
    </row>
    <row r="813" spans="2:9" ht="15" x14ac:dyDescent="0.35">
      <c r="B813" s="512" t="s">
        <v>6219</v>
      </c>
      <c r="C813" s="512" t="s">
        <v>6230</v>
      </c>
      <c r="D813" s="512" t="s">
        <v>6231</v>
      </c>
      <c r="E813" s="513">
        <v>4545</v>
      </c>
      <c r="F813" s="512" t="s">
        <v>837</v>
      </c>
      <c r="G813" s="513" t="s">
        <v>26</v>
      </c>
      <c r="H813" s="514">
        <v>65944</v>
      </c>
      <c r="I813" s="512" t="s">
        <v>6915</v>
      </c>
    </row>
    <row r="814" spans="2:9" ht="15" x14ac:dyDescent="0.35">
      <c r="B814" s="512" t="s">
        <v>6219</v>
      </c>
      <c r="C814" s="512" t="s">
        <v>6232</v>
      </c>
      <c r="D814" s="512" t="s">
        <v>6232</v>
      </c>
      <c r="E814" s="513">
        <v>4549</v>
      </c>
      <c r="F814" s="512" t="s">
        <v>838</v>
      </c>
      <c r="G814" s="513" t="s">
        <v>29</v>
      </c>
      <c r="H814" s="514">
        <v>8078382</v>
      </c>
      <c r="I814" s="515" t="s">
        <v>6915</v>
      </c>
    </row>
    <row r="815" spans="2:9" ht="15" x14ac:dyDescent="0.35">
      <c r="B815" s="512" t="s">
        <v>6219</v>
      </c>
      <c r="C815" s="512" t="s">
        <v>6232</v>
      </c>
      <c r="D815" s="512" t="s">
        <v>6232</v>
      </c>
      <c r="E815" s="513">
        <v>4550</v>
      </c>
      <c r="F815" s="512" t="s">
        <v>839</v>
      </c>
      <c r="G815" s="513" t="s">
        <v>29</v>
      </c>
      <c r="H815" s="514">
        <v>5786100</v>
      </c>
      <c r="I815" s="515" t="s">
        <v>6915</v>
      </c>
    </row>
    <row r="816" spans="2:9" ht="15" x14ac:dyDescent="0.35">
      <c r="B816" s="512" t="s">
        <v>6219</v>
      </c>
      <c r="C816" s="512" t="s">
        <v>6232</v>
      </c>
      <c r="D816" s="512" t="s">
        <v>6232</v>
      </c>
      <c r="E816" s="513">
        <v>4551</v>
      </c>
      <c r="F816" s="512" t="s">
        <v>840</v>
      </c>
      <c r="G816" s="513" t="s">
        <v>29</v>
      </c>
      <c r="H816" s="514">
        <v>6369371</v>
      </c>
      <c r="I816" s="515" t="s">
        <v>6915</v>
      </c>
    </row>
    <row r="817" spans="2:9" ht="15" x14ac:dyDescent="0.35">
      <c r="B817" s="512" t="s">
        <v>6219</v>
      </c>
      <c r="C817" s="512" t="s">
        <v>6232</v>
      </c>
      <c r="D817" s="512" t="s">
        <v>6232</v>
      </c>
      <c r="E817" s="513">
        <v>4553</v>
      </c>
      <c r="F817" s="512" t="s">
        <v>841</v>
      </c>
      <c r="G817" s="513" t="s">
        <v>29</v>
      </c>
      <c r="H817" s="514">
        <v>4518654</v>
      </c>
      <c r="I817" s="515" t="s">
        <v>6915</v>
      </c>
    </row>
    <row r="818" spans="2:9" ht="15" x14ac:dyDescent="0.35">
      <c r="B818" s="512" t="s">
        <v>6219</v>
      </c>
      <c r="C818" s="512" t="s">
        <v>6242</v>
      </c>
      <c r="D818" s="512" t="s">
        <v>6243</v>
      </c>
      <c r="E818" s="513">
        <v>4555</v>
      </c>
      <c r="F818" s="512" t="s">
        <v>842</v>
      </c>
      <c r="G818" s="513" t="s">
        <v>23</v>
      </c>
      <c r="H818" s="514">
        <v>1107899</v>
      </c>
      <c r="I818" s="515" t="s">
        <v>6915</v>
      </c>
    </row>
    <row r="819" spans="2:9" ht="15" x14ac:dyDescent="0.35">
      <c r="B819" s="512" t="s">
        <v>6219</v>
      </c>
      <c r="C819" s="512" t="s">
        <v>6227</v>
      </c>
      <c r="D819" s="512" t="s">
        <v>6248</v>
      </c>
      <c r="E819" s="513">
        <v>4556</v>
      </c>
      <c r="F819" s="512" t="s">
        <v>843</v>
      </c>
      <c r="G819" s="513" t="s">
        <v>23</v>
      </c>
      <c r="H819" s="514">
        <v>219788</v>
      </c>
      <c r="I819" s="515" t="s">
        <v>6915</v>
      </c>
    </row>
    <row r="820" spans="2:9" ht="15" x14ac:dyDescent="0.35">
      <c r="B820" s="512" t="s">
        <v>6219</v>
      </c>
      <c r="C820" s="512" t="s">
        <v>6227</v>
      </c>
      <c r="D820" s="512" t="s">
        <v>6248</v>
      </c>
      <c r="E820" s="513">
        <v>4557</v>
      </c>
      <c r="F820" s="512" t="s">
        <v>844</v>
      </c>
      <c r="G820" s="513" t="s">
        <v>23</v>
      </c>
      <c r="H820" s="516">
        <v>204318</v>
      </c>
      <c r="I820" s="512" t="s">
        <v>6915</v>
      </c>
    </row>
    <row r="821" spans="2:9" ht="15" x14ac:dyDescent="0.35">
      <c r="B821" s="512" t="s">
        <v>6219</v>
      </c>
      <c r="C821" s="512" t="s">
        <v>6232</v>
      </c>
      <c r="D821" s="512" t="s">
        <v>6232</v>
      </c>
      <c r="E821" s="513">
        <v>4558</v>
      </c>
      <c r="F821" s="512" t="s">
        <v>845</v>
      </c>
      <c r="G821" s="513" t="s">
        <v>29</v>
      </c>
      <c r="H821" s="514">
        <v>8015596</v>
      </c>
      <c r="I821" s="515" t="s">
        <v>6915</v>
      </c>
    </row>
    <row r="822" spans="2:9" ht="15" x14ac:dyDescent="0.35">
      <c r="B822" s="512" t="s">
        <v>6219</v>
      </c>
      <c r="C822" s="512" t="s">
        <v>6240</v>
      </c>
      <c r="D822" s="512" t="s">
        <v>6249</v>
      </c>
      <c r="E822" s="513">
        <v>4559</v>
      </c>
      <c r="F822" s="512" t="s">
        <v>846</v>
      </c>
      <c r="G822" s="513" t="s">
        <v>23</v>
      </c>
      <c r="H822" s="514">
        <v>455726</v>
      </c>
      <c r="I822" s="515" t="s">
        <v>6915</v>
      </c>
    </row>
    <row r="823" spans="2:9" ht="15" x14ac:dyDescent="0.35">
      <c r="B823" s="512" t="s">
        <v>6219</v>
      </c>
      <c r="C823" s="512" t="s">
        <v>6240</v>
      </c>
      <c r="D823" s="512" t="s">
        <v>6249</v>
      </c>
      <c r="E823" s="513">
        <v>4560</v>
      </c>
      <c r="F823" s="512" t="s">
        <v>847</v>
      </c>
      <c r="G823" s="513" t="s">
        <v>23</v>
      </c>
      <c r="H823" s="516">
        <v>494643</v>
      </c>
      <c r="I823" s="512" t="s">
        <v>6915</v>
      </c>
    </row>
    <row r="824" spans="2:9" ht="15" x14ac:dyDescent="0.35">
      <c r="B824" s="512" t="s">
        <v>6219</v>
      </c>
      <c r="C824" s="512" t="s">
        <v>6240</v>
      </c>
      <c r="D824" s="512" t="s">
        <v>6249</v>
      </c>
      <c r="E824" s="513">
        <v>4561</v>
      </c>
      <c r="F824" s="512" t="s">
        <v>848</v>
      </c>
      <c r="G824" s="513" t="s">
        <v>23</v>
      </c>
      <c r="H824" s="516">
        <v>572505</v>
      </c>
      <c r="I824" s="512" t="s">
        <v>6915</v>
      </c>
    </row>
    <row r="825" spans="2:9" ht="15" x14ac:dyDescent="0.35">
      <c r="B825" s="512" t="s">
        <v>6219</v>
      </c>
      <c r="C825" s="512" t="s">
        <v>6227</v>
      </c>
      <c r="D825" s="512" t="s">
        <v>6229</v>
      </c>
      <c r="E825" s="513">
        <v>4562</v>
      </c>
      <c r="F825" s="512" t="s">
        <v>849</v>
      </c>
      <c r="G825" s="513" t="s">
        <v>23</v>
      </c>
      <c r="H825" s="516">
        <v>157908</v>
      </c>
      <c r="I825" s="512" t="s">
        <v>6915</v>
      </c>
    </row>
    <row r="826" spans="2:9" ht="15" x14ac:dyDescent="0.35">
      <c r="B826" s="512" t="s">
        <v>6219</v>
      </c>
      <c r="C826" s="512" t="s">
        <v>6227</v>
      </c>
      <c r="D826" s="512" t="s">
        <v>6229</v>
      </c>
      <c r="E826" s="513">
        <v>4563</v>
      </c>
      <c r="F826" s="512" t="s">
        <v>850</v>
      </c>
      <c r="G826" s="513" t="s">
        <v>23</v>
      </c>
      <c r="H826" s="514">
        <v>111498</v>
      </c>
      <c r="I826" s="515" t="s">
        <v>6915</v>
      </c>
    </row>
    <row r="827" spans="2:9" ht="15" x14ac:dyDescent="0.35">
      <c r="B827" s="512" t="s">
        <v>6219</v>
      </c>
      <c r="C827" s="512" t="s">
        <v>6240</v>
      </c>
      <c r="D827" s="512" t="s">
        <v>6249</v>
      </c>
      <c r="E827" s="513">
        <v>4564</v>
      </c>
      <c r="F827" s="512" t="s">
        <v>851</v>
      </c>
      <c r="G827" s="513" t="s">
        <v>23</v>
      </c>
      <c r="H827" s="514">
        <v>503160</v>
      </c>
      <c r="I827" s="515" t="s">
        <v>6915</v>
      </c>
    </row>
    <row r="828" spans="2:9" ht="15" x14ac:dyDescent="0.35">
      <c r="B828" s="512" t="s">
        <v>6219</v>
      </c>
      <c r="C828" s="512" t="s">
        <v>6240</v>
      </c>
      <c r="D828" s="512" t="s">
        <v>6249</v>
      </c>
      <c r="E828" s="513">
        <v>4565</v>
      </c>
      <c r="F828" s="512" t="s">
        <v>852</v>
      </c>
      <c r="G828" s="513" t="s">
        <v>23</v>
      </c>
      <c r="H828" s="514">
        <v>572208</v>
      </c>
      <c r="I828" s="515" t="s">
        <v>6915</v>
      </c>
    </row>
    <row r="829" spans="2:9" ht="15" x14ac:dyDescent="0.35">
      <c r="B829" s="512" t="s">
        <v>6219</v>
      </c>
      <c r="C829" s="512" t="s">
        <v>6240</v>
      </c>
      <c r="D829" s="512" t="s">
        <v>6249</v>
      </c>
      <c r="E829" s="513">
        <v>4566</v>
      </c>
      <c r="F829" s="512" t="s">
        <v>853</v>
      </c>
      <c r="G829" s="513" t="s">
        <v>23</v>
      </c>
      <c r="H829" s="514">
        <v>588749</v>
      </c>
      <c r="I829" s="515" t="s">
        <v>6915</v>
      </c>
    </row>
    <row r="830" spans="2:9" ht="15" x14ac:dyDescent="0.35">
      <c r="B830" s="512" t="s">
        <v>6219</v>
      </c>
      <c r="C830" s="512" t="s">
        <v>6242</v>
      </c>
      <c r="D830" s="512" t="s">
        <v>6257</v>
      </c>
      <c r="E830" s="513">
        <v>4567</v>
      </c>
      <c r="F830" s="512" t="s">
        <v>854</v>
      </c>
      <c r="G830" s="513" t="s">
        <v>23</v>
      </c>
      <c r="H830" s="514">
        <v>1490737</v>
      </c>
      <c r="I830" s="515" t="s">
        <v>6915</v>
      </c>
    </row>
    <row r="831" spans="2:9" ht="15" x14ac:dyDescent="0.35">
      <c r="B831" s="512" t="s">
        <v>6219</v>
      </c>
      <c r="C831" s="512" t="s">
        <v>6242</v>
      </c>
      <c r="D831" s="512" t="s">
        <v>6257</v>
      </c>
      <c r="E831" s="513">
        <v>4568</v>
      </c>
      <c r="F831" s="512" t="s">
        <v>855</v>
      </c>
      <c r="G831" s="513" t="s">
        <v>23</v>
      </c>
      <c r="H831" s="514">
        <v>1490737</v>
      </c>
      <c r="I831" s="515" t="s">
        <v>6915</v>
      </c>
    </row>
    <row r="832" spans="2:9" ht="15" x14ac:dyDescent="0.35">
      <c r="B832" s="512" t="s">
        <v>6219</v>
      </c>
      <c r="C832" s="512" t="s">
        <v>6237</v>
      </c>
      <c r="D832" s="512" t="s">
        <v>6238</v>
      </c>
      <c r="E832" s="513">
        <v>4569</v>
      </c>
      <c r="F832" s="512" t="s">
        <v>856</v>
      </c>
      <c r="G832" s="513" t="s">
        <v>29</v>
      </c>
      <c r="H832" s="514">
        <v>13435</v>
      </c>
      <c r="I832" s="515" t="s">
        <v>6915</v>
      </c>
    </row>
    <row r="833" spans="2:9" ht="15" x14ac:dyDescent="0.35">
      <c r="B833" s="512" t="s">
        <v>6263</v>
      </c>
      <c r="C833" s="512" t="s">
        <v>6252</v>
      </c>
      <c r="D833" s="512" t="s">
        <v>6252</v>
      </c>
      <c r="E833" s="513">
        <v>4577</v>
      </c>
      <c r="F833" s="512" t="s">
        <v>857</v>
      </c>
      <c r="G833" s="513" t="s">
        <v>21</v>
      </c>
      <c r="H833" s="514">
        <v>211613</v>
      </c>
      <c r="I833" s="515" t="s">
        <v>6915</v>
      </c>
    </row>
    <row r="834" spans="2:9" ht="15" x14ac:dyDescent="0.35">
      <c r="B834" s="512" t="s">
        <v>6219</v>
      </c>
      <c r="C834" s="512" t="s">
        <v>6230</v>
      </c>
      <c r="D834" s="512" t="s">
        <v>6231</v>
      </c>
      <c r="E834" s="513">
        <v>4578</v>
      </c>
      <c r="F834" s="512" t="s">
        <v>858</v>
      </c>
      <c r="G834" s="513" t="s">
        <v>26</v>
      </c>
      <c r="H834" s="516">
        <v>113491</v>
      </c>
      <c r="I834" s="512" t="s">
        <v>6915</v>
      </c>
    </row>
    <row r="835" spans="2:9" ht="15" x14ac:dyDescent="0.35">
      <c r="B835" s="512" t="s">
        <v>6219</v>
      </c>
      <c r="C835" s="512" t="s">
        <v>6230</v>
      </c>
      <c r="D835" s="512" t="s">
        <v>6250</v>
      </c>
      <c r="E835" s="513">
        <v>4581</v>
      </c>
      <c r="F835" s="512" t="s">
        <v>859</v>
      </c>
      <c r="G835" s="513" t="s">
        <v>21</v>
      </c>
      <c r="H835" s="516">
        <v>3613</v>
      </c>
      <c r="I835" s="512" t="s">
        <v>6915</v>
      </c>
    </row>
    <row r="836" spans="2:9" ht="15" x14ac:dyDescent="0.35">
      <c r="B836" s="512" t="s">
        <v>6263</v>
      </c>
      <c r="C836" s="512" t="s">
        <v>6252</v>
      </c>
      <c r="D836" s="512" t="s">
        <v>6252</v>
      </c>
      <c r="E836" s="513">
        <v>4585</v>
      </c>
      <c r="F836" s="512" t="s">
        <v>860</v>
      </c>
      <c r="G836" s="513" t="s">
        <v>21</v>
      </c>
      <c r="H836" s="516">
        <v>286310</v>
      </c>
      <c r="I836" s="512" t="s">
        <v>6915</v>
      </c>
    </row>
    <row r="837" spans="2:9" ht="15" x14ac:dyDescent="0.35">
      <c r="B837" s="512" t="s">
        <v>6263</v>
      </c>
      <c r="C837" s="512" t="s">
        <v>6252</v>
      </c>
      <c r="D837" s="512" t="s">
        <v>6252</v>
      </c>
      <c r="E837" s="513">
        <v>4586</v>
      </c>
      <c r="F837" s="512" t="s">
        <v>861</v>
      </c>
      <c r="G837" s="513" t="s">
        <v>21</v>
      </c>
      <c r="H837" s="516">
        <v>149444</v>
      </c>
      <c r="I837" s="512" t="s">
        <v>6915</v>
      </c>
    </row>
    <row r="838" spans="2:9" ht="15" x14ac:dyDescent="0.35">
      <c r="B838" s="512" t="s">
        <v>6219</v>
      </c>
      <c r="C838" s="512" t="s">
        <v>6240</v>
      </c>
      <c r="D838" s="512" t="s">
        <v>6240</v>
      </c>
      <c r="E838" s="513">
        <v>4588</v>
      </c>
      <c r="F838" s="512" t="s">
        <v>862</v>
      </c>
      <c r="G838" s="513" t="s">
        <v>21</v>
      </c>
      <c r="H838" s="516">
        <v>481892</v>
      </c>
      <c r="I838" s="512" t="s">
        <v>6915</v>
      </c>
    </row>
    <row r="839" spans="2:9" ht="15" x14ac:dyDescent="0.35">
      <c r="B839" s="512" t="s">
        <v>6219</v>
      </c>
      <c r="C839" s="512" t="s">
        <v>6230</v>
      </c>
      <c r="D839" s="512" t="s">
        <v>6250</v>
      </c>
      <c r="E839" s="513">
        <v>4592</v>
      </c>
      <c r="F839" s="512" t="s">
        <v>863</v>
      </c>
      <c r="G839" s="513" t="s">
        <v>21</v>
      </c>
      <c r="H839" s="516">
        <v>2105</v>
      </c>
      <c r="I839" s="512" t="s">
        <v>6915</v>
      </c>
    </row>
    <row r="840" spans="2:9" ht="15" x14ac:dyDescent="0.35">
      <c r="B840" s="512" t="s">
        <v>6219</v>
      </c>
      <c r="C840" s="512" t="s">
        <v>6242</v>
      </c>
      <c r="D840" s="512" t="s">
        <v>6260</v>
      </c>
      <c r="E840" s="513">
        <v>4593</v>
      </c>
      <c r="F840" s="512" t="s">
        <v>864</v>
      </c>
      <c r="G840" s="513" t="s">
        <v>21</v>
      </c>
      <c r="H840" s="516">
        <v>118101</v>
      </c>
      <c r="I840" s="512" t="s">
        <v>6915</v>
      </c>
    </row>
    <row r="841" spans="2:9" ht="15" x14ac:dyDescent="0.35">
      <c r="B841" s="512" t="s">
        <v>6219</v>
      </c>
      <c r="C841" s="512" t="s">
        <v>6252</v>
      </c>
      <c r="D841" s="512" t="s">
        <v>6252</v>
      </c>
      <c r="E841" s="513">
        <v>4598</v>
      </c>
      <c r="F841" s="512" t="s">
        <v>865</v>
      </c>
      <c r="G841" s="513" t="s">
        <v>26</v>
      </c>
      <c r="H841" s="516">
        <v>12196</v>
      </c>
      <c r="I841" s="512" t="s">
        <v>6915</v>
      </c>
    </row>
    <row r="842" spans="2:9" ht="15" x14ac:dyDescent="0.35">
      <c r="B842" s="512" t="s">
        <v>6219</v>
      </c>
      <c r="C842" s="512" t="s">
        <v>6252</v>
      </c>
      <c r="D842" s="512" t="s">
        <v>6252</v>
      </c>
      <c r="E842" s="513">
        <v>4599</v>
      </c>
      <c r="F842" s="512" t="s">
        <v>866</v>
      </c>
      <c r="G842" s="513" t="s">
        <v>21</v>
      </c>
      <c r="H842" s="516">
        <v>64088</v>
      </c>
      <c r="I842" s="512" t="s">
        <v>6915</v>
      </c>
    </row>
    <row r="843" spans="2:9" ht="15" x14ac:dyDescent="0.35">
      <c r="B843" s="512" t="s">
        <v>6219</v>
      </c>
      <c r="C843" s="512" t="s">
        <v>6252</v>
      </c>
      <c r="D843" s="512" t="s">
        <v>6252</v>
      </c>
      <c r="E843" s="513">
        <v>4600</v>
      </c>
      <c r="F843" s="512" t="s">
        <v>867</v>
      </c>
      <c r="G843" s="513" t="s">
        <v>21</v>
      </c>
      <c r="H843" s="516">
        <v>137906</v>
      </c>
      <c r="I843" s="512" t="s">
        <v>6915</v>
      </c>
    </row>
    <row r="844" spans="2:9" ht="15" x14ac:dyDescent="0.35">
      <c r="B844" s="512" t="s">
        <v>6219</v>
      </c>
      <c r="C844" s="512" t="s">
        <v>6252</v>
      </c>
      <c r="D844" s="512" t="s">
        <v>6252</v>
      </c>
      <c r="E844" s="513">
        <v>4601</v>
      </c>
      <c r="F844" s="512" t="s">
        <v>868</v>
      </c>
      <c r="G844" s="513" t="s">
        <v>21</v>
      </c>
      <c r="H844" s="514">
        <v>76035</v>
      </c>
      <c r="I844" s="515" t="s">
        <v>6915</v>
      </c>
    </row>
    <row r="845" spans="2:9" ht="15" x14ac:dyDescent="0.35">
      <c r="B845" s="512" t="s">
        <v>6219</v>
      </c>
      <c r="C845" s="512" t="s">
        <v>6252</v>
      </c>
      <c r="D845" s="512" t="s">
        <v>6252</v>
      </c>
      <c r="E845" s="513">
        <v>4602</v>
      </c>
      <c r="F845" s="512" t="s">
        <v>869</v>
      </c>
      <c r="G845" s="513" t="s">
        <v>21</v>
      </c>
      <c r="H845" s="516">
        <v>162662</v>
      </c>
      <c r="I845" s="512" t="s">
        <v>6915</v>
      </c>
    </row>
    <row r="846" spans="2:9" ht="15" x14ac:dyDescent="0.35">
      <c r="B846" s="512" t="s">
        <v>6263</v>
      </c>
      <c r="C846" s="512" t="s">
        <v>6252</v>
      </c>
      <c r="D846" s="512" t="s">
        <v>6252</v>
      </c>
      <c r="E846" s="513">
        <v>4603</v>
      </c>
      <c r="F846" s="512" t="s">
        <v>870</v>
      </c>
      <c r="G846" s="513" t="s">
        <v>21</v>
      </c>
      <c r="H846" s="514">
        <v>1919</v>
      </c>
      <c r="I846" s="515" t="s">
        <v>6915</v>
      </c>
    </row>
    <row r="847" spans="2:9" ht="15" x14ac:dyDescent="0.35">
      <c r="B847" s="512" t="s">
        <v>6219</v>
      </c>
      <c r="C847" s="512" t="s">
        <v>6220</v>
      </c>
      <c r="D847" s="512" t="s">
        <v>6221</v>
      </c>
      <c r="E847" s="513">
        <v>4604</v>
      </c>
      <c r="F847" s="512" t="s">
        <v>871</v>
      </c>
      <c r="G847" s="513" t="s">
        <v>21</v>
      </c>
      <c r="H847" s="516">
        <v>6967</v>
      </c>
      <c r="I847" s="512" t="s">
        <v>6915</v>
      </c>
    </row>
    <row r="848" spans="2:9" ht="15" x14ac:dyDescent="0.35">
      <c r="B848" s="512" t="s">
        <v>6263</v>
      </c>
      <c r="C848" s="512" t="s">
        <v>6252</v>
      </c>
      <c r="D848" s="512" t="s">
        <v>6252</v>
      </c>
      <c r="E848" s="513">
        <v>4605</v>
      </c>
      <c r="F848" s="512" t="s">
        <v>872</v>
      </c>
      <c r="G848" s="513" t="s">
        <v>21</v>
      </c>
      <c r="H848" s="516">
        <v>334514</v>
      </c>
      <c r="I848" s="512" t="s">
        <v>6915</v>
      </c>
    </row>
    <row r="849" spans="2:9" ht="15" x14ac:dyDescent="0.35">
      <c r="B849" s="512" t="s">
        <v>6219</v>
      </c>
      <c r="C849" s="512" t="s">
        <v>6227</v>
      </c>
      <c r="D849" s="512" t="s">
        <v>6229</v>
      </c>
      <c r="E849" s="513">
        <v>4606</v>
      </c>
      <c r="F849" s="512" t="s">
        <v>873</v>
      </c>
      <c r="G849" s="513" t="s">
        <v>21</v>
      </c>
      <c r="H849" s="516">
        <v>31842</v>
      </c>
      <c r="I849" s="512" t="s">
        <v>6915</v>
      </c>
    </row>
    <row r="850" spans="2:9" ht="15" x14ac:dyDescent="0.35">
      <c r="B850" s="512" t="s">
        <v>6263</v>
      </c>
      <c r="C850" s="512" t="s">
        <v>6252</v>
      </c>
      <c r="D850" s="512" t="s">
        <v>6252</v>
      </c>
      <c r="E850" s="513">
        <v>4607</v>
      </c>
      <c r="F850" s="512" t="s">
        <v>874</v>
      </c>
      <c r="G850" s="513" t="s">
        <v>21</v>
      </c>
      <c r="H850" s="516">
        <v>77671</v>
      </c>
      <c r="I850" s="512" t="s">
        <v>6915</v>
      </c>
    </row>
    <row r="851" spans="2:9" ht="15" x14ac:dyDescent="0.35">
      <c r="B851" s="512" t="s">
        <v>6263</v>
      </c>
      <c r="C851" s="512" t="s">
        <v>6252</v>
      </c>
      <c r="D851" s="512" t="s">
        <v>6252</v>
      </c>
      <c r="E851" s="513">
        <v>4608</v>
      </c>
      <c r="F851" s="512" t="s">
        <v>875</v>
      </c>
      <c r="G851" s="513" t="s">
        <v>21</v>
      </c>
      <c r="H851" s="514">
        <v>38836</v>
      </c>
      <c r="I851" s="515" t="s">
        <v>6915</v>
      </c>
    </row>
    <row r="852" spans="2:9" ht="15" x14ac:dyDescent="0.35">
      <c r="B852" s="512" t="s">
        <v>6263</v>
      </c>
      <c r="C852" s="512" t="s">
        <v>6252</v>
      </c>
      <c r="D852" s="512" t="s">
        <v>6252</v>
      </c>
      <c r="E852" s="513">
        <v>4609</v>
      </c>
      <c r="F852" s="512" t="s">
        <v>876</v>
      </c>
      <c r="G852" s="513" t="s">
        <v>21</v>
      </c>
      <c r="H852" s="514">
        <v>143068</v>
      </c>
      <c r="I852" s="515" t="s">
        <v>6915</v>
      </c>
    </row>
    <row r="853" spans="2:9" ht="15" x14ac:dyDescent="0.35">
      <c r="B853" s="512" t="s">
        <v>6263</v>
      </c>
      <c r="C853" s="512" t="s">
        <v>6252</v>
      </c>
      <c r="D853" s="512" t="s">
        <v>6252</v>
      </c>
      <c r="E853" s="513">
        <v>4610</v>
      </c>
      <c r="F853" s="512" t="s">
        <v>877</v>
      </c>
      <c r="G853" s="513" t="s">
        <v>21</v>
      </c>
      <c r="H853" s="516">
        <v>78233</v>
      </c>
      <c r="I853" s="512" t="s">
        <v>6915</v>
      </c>
    </row>
    <row r="854" spans="2:9" ht="15" x14ac:dyDescent="0.35">
      <c r="B854" s="512" t="s">
        <v>6219</v>
      </c>
      <c r="C854" s="512" t="s">
        <v>6239</v>
      </c>
      <c r="D854" s="512" t="s">
        <v>6239</v>
      </c>
      <c r="E854" s="513">
        <v>4611</v>
      </c>
      <c r="F854" s="512" t="s">
        <v>878</v>
      </c>
      <c r="G854" s="513" t="s">
        <v>26</v>
      </c>
      <c r="H854" s="514">
        <v>254780</v>
      </c>
      <c r="I854" s="515" t="s">
        <v>6915</v>
      </c>
    </row>
    <row r="855" spans="2:9" ht="15" x14ac:dyDescent="0.35">
      <c r="B855" s="512" t="s">
        <v>6219</v>
      </c>
      <c r="C855" s="512" t="s">
        <v>6239</v>
      </c>
      <c r="D855" s="512" t="s">
        <v>6239</v>
      </c>
      <c r="E855" s="513">
        <v>4612</v>
      </c>
      <c r="F855" s="512" t="s">
        <v>879</v>
      </c>
      <c r="G855" s="513" t="s">
        <v>26</v>
      </c>
      <c r="H855" s="514">
        <v>254780</v>
      </c>
      <c r="I855" s="515" t="s">
        <v>6915</v>
      </c>
    </row>
    <row r="856" spans="2:9" ht="15" x14ac:dyDescent="0.35">
      <c r="B856" s="512" t="s">
        <v>6219</v>
      </c>
      <c r="C856" s="512" t="s">
        <v>6226</v>
      </c>
      <c r="D856" s="512" t="s">
        <v>6226</v>
      </c>
      <c r="E856" s="513">
        <v>4613</v>
      </c>
      <c r="F856" s="512" t="s">
        <v>6426</v>
      </c>
      <c r="G856" s="513" t="s">
        <v>23</v>
      </c>
      <c r="H856" s="514">
        <v>58334</v>
      </c>
      <c r="I856" s="515" t="s">
        <v>6425</v>
      </c>
    </row>
    <row r="857" spans="2:9" ht="15" x14ac:dyDescent="0.35">
      <c r="B857" s="512" t="s">
        <v>6219</v>
      </c>
      <c r="C857" s="512" t="s">
        <v>6239</v>
      </c>
      <c r="D857" s="512" t="s">
        <v>6239</v>
      </c>
      <c r="E857" s="513">
        <v>4614</v>
      </c>
      <c r="F857" s="512" t="s">
        <v>880</v>
      </c>
      <c r="G857" s="513" t="s">
        <v>26</v>
      </c>
      <c r="H857" s="516">
        <v>257166</v>
      </c>
      <c r="I857" s="512" t="s">
        <v>6915</v>
      </c>
    </row>
    <row r="858" spans="2:9" ht="15" x14ac:dyDescent="0.35">
      <c r="B858" s="512" t="s">
        <v>6219</v>
      </c>
      <c r="C858" s="512" t="s">
        <v>6239</v>
      </c>
      <c r="D858" s="512" t="s">
        <v>6239</v>
      </c>
      <c r="E858" s="513">
        <v>4615</v>
      </c>
      <c r="F858" s="512" t="s">
        <v>881</v>
      </c>
      <c r="G858" s="513" t="s">
        <v>26</v>
      </c>
      <c r="H858" s="516">
        <v>322170</v>
      </c>
      <c r="I858" s="512" t="s">
        <v>6915</v>
      </c>
    </row>
    <row r="859" spans="2:9" ht="15" x14ac:dyDescent="0.35">
      <c r="B859" s="512" t="s">
        <v>6219</v>
      </c>
      <c r="C859" s="512" t="s">
        <v>6239</v>
      </c>
      <c r="D859" s="512" t="s">
        <v>6239</v>
      </c>
      <c r="E859" s="513">
        <v>4616</v>
      </c>
      <c r="F859" s="512" t="s">
        <v>882</v>
      </c>
      <c r="G859" s="513" t="s">
        <v>26</v>
      </c>
      <c r="H859" s="516">
        <v>322170</v>
      </c>
      <c r="I859" s="512" t="s">
        <v>6915</v>
      </c>
    </row>
    <row r="860" spans="2:9" ht="15" x14ac:dyDescent="0.35">
      <c r="B860" s="512" t="s">
        <v>6219</v>
      </c>
      <c r="C860" s="512" t="s">
        <v>6239</v>
      </c>
      <c r="D860" s="512" t="s">
        <v>6239</v>
      </c>
      <c r="E860" s="513">
        <v>4617</v>
      </c>
      <c r="F860" s="512" t="s">
        <v>883</v>
      </c>
      <c r="G860" s="513" t="s">
        <v>26</v>
      </c>
      <c r="H860" s="516">
        <v>334008</v>
      </c>
      <c r="I860" s="512" t="s">
        <v>6915</v>
      </c>
    </row>
    <row r="861" spans="2:9" ht="15" x14ac:dyDescent="0.35">
      <c r="B861" s="512" t="s">
        <v>6219</v>
      </c>
      <c r="C861" s="512" t="s">
        <v>6239</v>
      </c>
      <c r="D861" s="512" t="s">
        <v>6239</v>
      </c>
      <c r="E861" s="513">
        <v>4618</v>
      </c>
      <c r="F861" s="512" t="s">
        <v>884</v>
      </c>
      <c r="G861" s="513" t="s">
        <v>26</v>
      </c>
      <c r="H861" s="516">
        <v>397082</v>
      </c>
      <c r="I861" s="512" t="s">
        <v>6915</v>
      </c>
    </row>
    <row r="862" spans="2:9" ht="15" x14ac:dyDescent="0.35">
      <c r="B862" s="512" t="s">
        <v>6219</v>
      </c>
      <c r="C862" s="512" t="s">
        <v>6239</v>
      </c>
      <c r="D862" s="512" t="s">
        <v>6239</v>
      </c>
      <c r="E862" s="513">
        <v>4619</v>
      </c>
      <c r="F862" s="512" t="s">
        <v>885</v>
      </c>
      <c r="G862" s="513" t="s">
        <v>26</v>
      </c>
      <c r="H862" s="516">
        <v>440397</v>
      </c>
      <c r="I862" s="512" t="s">
        <v>6915</v>
      </c>
    </row>
    <row r="863" spans="2:9" ht="15" x14ac:dyDescent="0.35">
      <c r="B863" s="512" t="s">
        <v>6219</v>
      </c>
      <c r="C863" s="512" t="s">
        <v>6239</v>
      </c>
      <c r="D863" s="512" t="s">
        <v>6239</v>
      </c>
      <c r="E863" s="513">
        <v>4620</v>
      </c>
      <c r="F863" s="512" t="s">
        <v>886</v>
      </c>
      <c r="G863" s="513" t="s">
        <v>26</v>
      </c>
      <c r="H863" s="516">
        <v>508251</v>
      </c>
      <c r="I863" s="512" t="s">
        <v>6915</v>
      </c>
    </row>
    <row r="864" spans="2:9" ht="15" x14ac:dyDescent="0.35">
      <c r="B864" s="512" t="s">
        <v>6219</v>
      </c>
      <c r="C864" s="512" t="s">
        <v>6239</v>
      </c>
      <c r="D864" s="512" t="s">
        <v>6239</v>
      </c>
      <c r="E864" s="513">
        <v>4621</v>
      </c>
      <c r="F864" s="512" t="s">
        <v>887</v>
      </c>
      <c r="G864" s="513" t="s">
        <v>26</v>
      </c>
      <c r="H864" s="514">
        <v>449017</v>
      </c>
      <c r="I864" s="515" t="s">
        <v>6915</v>
      </c>
    </row>
    <row r="865" spans="2:9" ht="15" x14ac:dyDescent="0.35">
      <c r="B865" s="512" t="s">
        <v>6219</v>
      </c>
      <c r="C865" s="512" t="s">
        <v>6239</v>
      </c>
      <c r="D865" s="512" t="s">
        <v>6239</v>
      </c>
      <c r="E865" s="513">
        <v>4622</v>
      </c>
      <c r="F865" s="512" t="s">
        <v>888</v>
      </c>
      <c r="G865" s="513" t="s">
        <v>26</v>
      </c>
      <c r="H865" s="516">
        <v>564306</v>
      </c>
      <c r="I865" s="512" t="s">
        <v>6915</v>
      </c>
    </row>
    <row r="866" spans="2:9" ht="15" x14ac:dyDescent="0.35">
      <c r="B866" s="512" t="s">
        <v>6219</v>
      </c>
      <c r="C866" s="512" t="s">
        <v>6239</v>
      </c>
      <c r="D866" s="512" t="s">
        <v>6239</v>
      </c>
      <c r="E866" s="513">
        <v>4624</v>
      </c>
      <c r="F866" s="512" t="s">
        <v>889</v>
      </c>
      <c r="G866" s="513" t="s">
        <v>26</v>
      </c>
      <c r="H866" s="516">
        <v>438466</v>
      </c>
      <c r="I866" s="512" t="s">
        <v>6915</v>
      </c>
    </row>
    <row r="867" spans="2:9" ht="15" x14ac:dyDescent="0.35">
      <c r="B867" s="512" t="s">
        <v>6219</v>
      </c>
      <c r="C867" s="512" t="s">
        <v>6239</v>
      </c>
      <c r="D867" s="512" t="s">
        <v>6239</v>
      </c>
      <c r="E867" s="513">
        <v>4625</v>
      </c>
      <c r="F867" s="512" t="s">
        <v>890</v>
      </c>
      <c r="G867" s="513" t="s">
        <v>26</v>
      </c>
      <c r="H867" s="514">
        <v>549031</v>
      </c>
      <c r="I867" s="515" t="s">
        <v>6915</v>
      </c>
    </row>
    <row r="868" spans="2:9" ht="15" x14ac:dyDescent="0.35">
      <c r="B868" s="512" t="s">
        <v>6219</v>
      </c>
      <c r="C868" s="512" t="s">
        <v>6239</v>
      </c>
      <c r="D868" s="512" t="s">
        <v>6239</v>
      </c>
      <c r="E868" s="513">
        <v>4626</v>
      </c>
      <c r="F868" s="512" t="s">
        <v>891</v>
      </c>
      <c r="G868" s="513" t="s">
        <v>26</v>
      </c>
      <c r="H868" s="516">
        <v>687098</v>
      </c>
      <c r="I868" s="512" t="s">
        <v>6915</v>
      </c>
    </row>
    <row r="869" spans="2:9" ht="15" x14ac:dyDescent="0.35">
      <c r="B869" s="512" t="s">
        <v>6219</v>
      </c>
      <c r="C869" s="512" t="s">
        <v>6239</v>
      </c>
      <c r="D869" s="512" t="s">
        <v>6239</v>
      </c>
      <c r="E869" s="513">
        <v>4627</v>
      </c>
      <c r="F869" s="512" t="s">
        <v>892</v>
      </c>
      <c r="G869" s="513" t="s">
        <v>26</v>
      </c>
      <c r="H869" s="516">
        <v>741878</v>
      </c>
      <c r="I869" s="512" t="s">
        <v>6915</v>
      </c>
    </row>
    <row r="870" spans="2:9" ht="15" x14ac:dyDescent="0.35">
      <c r="B870" s="512" t="s">
        <v>6219</v>
      </c>
      <c r="C870" s="512" t="s">
        <v>6239</v>
      </c>
      <c r="D870" s="512" t="s">
        <v>6239</v>
      </c>
      <c r="E870" s="513">
        <v>4628</v>
      </c>
      <c r="F870" s="512" t="s">
        <v>893</v>
      </c>
      <c r="G870" s="513" t="s">
        <v>26</v>
      </c>
      <c r="H870" s="516">
        <v>923854</v>
      </c>
      <c r="I870" s="512" t="s">
        <v>6915</v>
      </c>
    </row>
    <row r="871" spans="2:9" ht="15" x14ac:dyDescent="0.35">
      <c r="B871" s="512" t="s">
        <v>6219</v>
      </c>
      <c r="C871" s="512" t="s">
        <v>6239</v>
      </c>
      <c r="D871" s="512" t="s">
        <v>6239</v>
      </c>
      <c r="E871" s="513">
        <v>4629</v>
      </c>
      <c r="F871" s="512" t="s">
        <v>894</v>
      </c>
      <c r="G871" s="513" t="s">
        <v>26</v>
      </c>
      <c r="H871" s="514">
        <v>1076775</v>
      </c>
      <c r="I871" s="515" t="s">
        <v>6915</v>
      </c>
    </row>
    <row r="872" spans="2:9" ht="15" x14ac:dyDescent="0.35">
      <c r="B872" s="512" t="s">
        <v>6219</v>
      </c>
      <c r="C872" s="512" t="s">
        <v>6239</v>
      </c>
      <c r="D872" s="512" t="s">
        <v>6239</v>
      </c>
      <c r="E872" s="513">
        <v>4630</v>
      </c>
      <c r="F872" s="512" t="s">
        <v>895</v>
      </c>
      <c r="G872" s="513" t="s">
        <v>26</v>
      </c>
      <c r="H872" s="516">
        <v>1336143</v>
      </c>
      <c r="I872" s="512" t="s">
        <v>6915</v>
      </c>
    </row>
    <row r="873" spans="2:9" ht="15" x14ac:dyDescent="0.35">
      <c r="B873" s="512" t="s">
        <v>6219</v>
      </c>
      <c r="C873" s="512" t="s">
        <v>6239</v>
      </c>
      <c r="D873" s="512" t="s">
        <v>6239</v>
      </c>
      <c r="E873" s="513">
        <v>4631</v>
      </c>
      <c r="F873" s="512" t="s">
        <v>896</v>
      </c>
      <c r="G873" s="513" t="s">
        <v>26</v>
      </c>
      <c r="H873" s="514">
        <v>1666503</v>
      </c>
      <c r="I873" s="515" t="s">
        <v>6915</v>
      </c>
    </row>
    <row r="874" spans="2:9" ht="15" x14ac:dyDescent="0.35">
      <c r="B874" s="512" t="s">
        <v>6219</v>
      </c>
      <c r="C874" s="512" t="s">
        <v>6239</v>
      </c>
      <c r="D874" s="512" t="s">
        <v>6239</v>
      </c>
      <c r="E874" s="513">
        <v>4632</v>
      </c>
      <c r="F874" s="512" t="s">
        <v>897</v>
      </c>
      <c r="G874" s="513" t="s">
        <v>26</v>
      </c>
      <c r="H874" s="514">
        <v>1887483</v>
      </c>
      <c r="I874" s="515" t="s">
        <v>6915</v>
      </c>
    </row>
    <row r="875" spans="2:9" ht="15" x14ac:dyDescent="0.35">
      <c r="B875" s="512" t="s">
        <v>6219</v>
      </c>
      <c r="C875" s="512" t="s">
        <v>6239</v>
      </c>
      <c r="D875" s="512" t="s">
        <v>6239</v>
      </c>
      <c r="E875" s="513">
        <v>4633</v>
      </c>
      <c r="F875" s="512" t="s">
        <v>898</v>
      </c>
      <c r="G875" s="513" t="s">
        <v>26</v>
      </c>
      <c r="H875" s="514">
        <v>2070876</v>
      </c>
      <c r="I875" s="515" t="s">
        <v>6915</v>
      </c>
    </row>
    <row r="876" spans="2:9" ht="15" x14ac:dyDescent="0.35">
      <c r="B876" s="512" t="s">
        <v>6219</v>
      </c>
      <c r="C876" s="512" t="s">
        <v>6239</v>
      </c>
      <c r="D876" s="512" t="s">
        <v>6239</v>
      </c>
      <c r="E876" s="513">
        <v>4634</v>
      </c>
      <c r="F876" s="512" t="s">
        <v>899</v>
      </c>
      <c r="G876" s="513" t="s">
        <v>26</v>
      </c>
      <c r="H876" s="514">
        <v>2324943</v>
      </c>
      <c r="I876" s="515" t="s">
        <v>6915</v>
      </c>
    </row>
    <row r="877" spans="2:9" ht="15" x14ac:dyDescent="0.35">
      <c r="B877" s="512" t="s">
        <v>6219</v>
      </c>
      <c r="C877" s="512" t="s">
        <v>6239</v>
      </c>
      <c r="D877" s="512" t="s">
        <v>6239</v>
      </c>
      <c r="E877" s="513">
        <v>4635</v>
      </c>
      <c r="F877" s="512" t="s">
        <v>900</v>
      </c>
      <c r="G877" s="513" t="s">
        <v>26</v>
      </c>
      <c r="H877" s="514">
        <v>2941613</v>
      </c>
      <c r="I877" s="515" t="s">
        <v>6915</v>
      </c>
    </row>
    <row r="878" spans="2:9" ht="15" x14ac:dyDescent="0.35">
      <c r="B878" s="512" t="s">
        <v>6219</v>
      </c>
      <c r="C878" s="512" t="s">
        <v>6239</v>
      </c>
      <c r="D878" s="512" t="s">
        <v>6239</v>
      </c>
      <c r="E878" s="513">
        <v>4636</v>
      </c>
      <c r="F878" s="512" t="s">
        <v>901</v>
      </c>
      <c r="G878" s="513" t="s">
        <v>26</v>
      </c>
      <c r="H878" s="514">
        <v>3260289</v>
      </c>
      <c r="I878" s="515" t="s">
        <v>6915</v>
      </c>
    </row>
    <row r="879" spans="2:9" ht="15" x14ac:dyDescent="0.35">
      <c r="B879" s="512" t="s">
        <v>6219</v>
      </c>
      <c r="C879" s="512" t="s">
        <v>6239</v>
      </c>
      <c r="D879" s="512" t="s">
        <v>6239</v>
      </c>
      <c r="E879" s="513">
        <v>4637</v>
      </c>
      <c r="F879" s="512" t="s">
        <v>902</v>
      </c>
      <c r="G879" s="513" t="s">
        <v>26</v>
      </c>
      <c r="H879" s="516">
        <v>3594076</v>
      </c>
      <c r="I879" s="512" t="s">
        <v>6915</v>
      </c>
    </row>
    <row r="880" spans="2:9" ht="15" x14ac:dyDescent="0.35">
      <c r="B880" s="512" t="s">
        <v>6219</v>
      </c>
      <c r="C880" s="512" t="s">
        <v>6239</v>
      </c>
      <c r="D880" s="512" t="s">
        <v>6239</v>
      </c>
      <c r="E880" s="513">
        <v>4638</v>
      </c>
      <c r="F880" s="512" t="s">
        <v>903</v>
      </c>
      <c r="G880" s="513" t="s">
        <v>26</v>
      </c>
      <c r="H880" s="514">
        <v>3941436</v>
      </c>
      <c r="I880" s="515" t="s">
        <v>6915</v>
      </c>
    </row>
    <row r="881" spans="2:9" ht="15" x14ac:dyDescent="0.35">
      <c r="B881" s="512" t="s">
        <v>6219</v>
      </c>
      <c r="C881" s="512" t="s">
        <v>6252</v>
      </c>
      <c r="D881" s="512" t="s">
        <v>6252</v>
      </c>
      <c r="E881" s="513">
        <v>4639</v>
      </c>
      <c r="F881" s="512" t="s">
        <v>904</v>
      </c>
      <c r="G881" s="513" t="s">
        <v>21</v>
      </c>
      <c r="H881" s="514">
        <v>520211</v>
      </c>
      <c r="I881" s="515" t="s">
        <v>6915</v>
      </c>
    </row>
    <row r="882" spans="2:9" ht="15" x14ac:dyDescent="0.35">
      <c r="B882" s="512" t="s">
        <v>6219</v>
      </c>
      <c r="C882" s="512" t="s">
        <v>6252</v>
      </c>
      <c r="D882" s="512" t="s">
        <v>6252</v>
      </c>
      <c r="E882" s="513">
        <v>4640</v>
      </c>
      <c r="F882" s="512" t="s">
        <v>905</v>
      </c>
      <c r="G882" s="513" t="s">
        <v>21</v>
      </c>
      <c r="H882" s="514">
        <v>487400</v>
      </c>
      <c r="I882" s="515" t="s">
        <v>6915</v>
      </c>
    </row>
    <row r="883" spans="2:9" ht="15" x14ac:dyDescent="0.35">
      <c r="B883" s="512" t="s">
        <v>6219</v>
      </c>
      <c r="C883" s="512" t="s">
        <v>6239</v>
      </c>
      <c r="D883" s="512" t="s">
        <v>6239</v>
      </c>
      <c r="E883" s="513">
        <v>4641</v>
      </c>
      <c r="F883" s="512" t="s">
        <v>906</v>
      </c>
      <c r="G883" s="513" t="s">
        <v>29</v>
      </c>
      <c r="H883" s="514">
        <v>630112</v>
      </c>
      <c r="I883" s="515" t="s">
        <v>6915</v>
      </c>
    </row>
    <row r="884" spans="2:9" ht="15" x14ac:dyDescent="0.35">
      <c r="B884" s="512" t="s">
        <v>6219</v>
      </c>
      <c r="C884" s="512" t="s">
        <v>6239</v>
      </c>
      <c r="D884" s="512" t="s">
        <v>6239</v>
      </c>
      <c r="E884" s="513">
        <v>4642</v>
      </c>
      <c r="F884" s="512" t="s">
        <v>907</v>
      </c>
      <c r="G884" s="513" t="s">
        <v>29</v>
      </c>
      <c r="H884" s="514">
        <v>654113</v>
      </c>
      <c r="I884" s="515" t="s">
        <v>6915</v>
      </c>
    </row>
    <row r="885" spans="2:9" ht="15" x14ac:dyDescent="0.35">
      <c r="B885" s="512" t="s">
        <v>6219</v>
      </c>
      <c r="C885" s="512" t="s">
        <v>6239</v>
      </c>
      <c r="D885" s="512" t="s">
        <v>6239</v>
      </c>
      <c r="E885" s="513">
        <v>4643</v>
      </c>
      <c r="F885" s="512" t="s">
        <v>908</v>
      </c>
      <c r="G885" s="513" t="s">
        <v>29</v>
      </c>
      <c r="H885" s="514">
        <v>677126</v>
      </c>
      <c r="I885" s="515" t="s">
        <v>6915</v>
      </c>
    </row>
    <row r="886" spans="2:9" ht="15" x14ac:dyDescent="0.35">
      <c r="B886" s="512" t="s">
        <v>6219</v>
      </c>
      <c r="C886" s="512" t="s">
        <v>6239</v>
      </c>
      <c r="D886" s="512" t="s">
        <v>6239</v>
      </c>
      <c r="E886" s="513">
        <v>4644</v>
      </c>
      <c r="F886" s="512" t="s">
        <v>909</v>
      </c>
      <c r="G886" s="513" t="s">
        <v>29</v>
      </c>
      <c r="H886" s="514">
        <v>714480</v>
      </c>
      <c r="I886" s="515" t="s">
        <v>6915</v>
      </c>
    </row>
    <row r="887" spans="2:9" ht="15" x14ac:dyDescent="0.35">
      <c r="B887" s="512" t="s">
        <v>6219</v>
      </c>
      <c r="C887" s="512" t="s">
        <v>6239</v>
      </c>
      <c r="D887" s="512" t="s">
        <v>6239</v>
      </c>
      <c r="E887" s="513">
        <v>4645</v>
      </c>
      <c r="F887" s="512" t="s">
        <v>910</v>
      </c>
      <c r="G887" s="513" t="s">
        <v>29</v>
      </c>
      <c r="H887" s="514">
        <v>916265</v>
      </c>
      <c r="I887" s="515" t="s">
        <v>6915</v>
      </c>
    </row>
    <row r="888" spans="2:9" ht="15" x14ac:dyDescent="0.35">
      <c r="B888" s="512" t="s">
        <v>6219</v>
      </c>
      <c r="C888" s="512" t="s">
        <v>6239</v>
      </c>
      <c r="D888" s="512" t="s">
        <v>6239</v>
      </c>
      <c r="E888" s="513">
        <v>4646</v>
      </c>
      <c r="F888" s="512" t="s">
        <v>911</v>
      </c>
      <c r="G888" s="513" t="s">
        <v>29</v>
      </c>
      <c r="H888" s="514">
        <v>979339</v>
      </c>
      <c r="I888" s="515" t="s">
        <v>6915</v>
      </c>
    </row>
    <row r="889" spans="2:9" ht="15" x14ac:dyDescent="0.35">
      <c r="B889" s="512" t="s">
        <v>6219</v>
      </c>
      <c r="C889" s="512" t="s">
        <v>6239</v>
      </c>
      <c r="D889" s="512" t="s">
        <v>6239</v>
      </c>
      <c r="E889" s="513">
        <v>4647</v>
      </c>
      <c r="F889" s="512" t="s">
        <v>912</v>
      </c>
      <c r="G889" s="513" t="s">
        <v>29</v>
      </c>
      <c r="H889" s="516">
        <v>1057497</v>
      </c>
      <c r="I889" s="512" t="s">
        <v>6915</v>
      </c>
    </row>
    <row r="890" spans="2:9" ht="15" x14ac:dyDescent="0.35">
      <c r="B890" s="512" t="s">
        <v>6219</v>
      </c>
      <c r="C890" s="512" t="s">
        <v>6239</v>
      </c>
      <c r="D890" s="512" t="s">
        <v>6239</v>
      </c>
      <c r="E890" s="513">
        <v>4648</v>
      </c>
      <c r="F890" s="512" t="s">
        <v>913</v>
      </c>
      <c r="G890" s="513" t="s">
        <v>29</v>
      </c>
      <c r="H890" s="516">
        <v>1137588</v>
      </c>
      <c r="I890" s="512" t="s">
        <v>6915</v>
      </c>
    </row>
    <row r="891" spans="2:9" ht="15" x14ac:dyDescent="0.35">
      <c r="B891" s="512" t="s">
        <v>6219</v>
      </c>
      <c r="C891" s="512" t="s">
        <v>6239</v>
      </c>
      <c r="D891" s="512" t="s">
        <v>6239</v>
      </c>
      <c r="E891" s="513">
        <v>4649</v>
      </c>
      <c r="F891" s="512" t="s">
        <v>914</v>
      </c>
      <c r="G891" s="513" t="s">
        <v>29</v>
      </c>
      <c r="H891" s="516">
        <v>1194312</v>
      </c>
      <c r="I891" s="512" t="s">
        <v>6915</v>
      </c>
    </row>
    <row r="892" spans="2:9" ht="15" x14ac:dyDescent="0.35">
      <c r="B892" s="512" t="s">
        <v>6219</v>
      </c>
      <c r="C892" s="512" t="s">
        <v>6239</v>
      </c>
      <c r="D892" s="512" t="s">
        <v>6239</v>
      </c>
      <c r="E892" s="513">
        <v>4650</v>
      </c>
      <c r="F892" s="512" t="s">
        <v>915</v>
      </c>
      <c r="G892" s="513" t="s">
        <v>29</v>
      </c>
      <c r="H892" s="516">
        <v>1254232</v>
      </c>
      <c r="I892" s="512" t="s">
        <v>6915</v>
      </c>
    </row>
    <row r="893" spans="2:9" ht="15" x14ac:dyDescent="0.35">
      <c r="B893" s="512" t="s">
        <v>6219</v>
      </c>
      <c r="C893" s="512" t="s">
        <v>6239</v>
      </c>
      <c r="D893" s="512" t="s">
        <v>6239</v>
      </c>
      <c r="E893" s="513">
        <v>4651</v>
      </c>
      <c r="F893" s="512" t="s">
        <v>916</v>
      </c>
      <c r="G893" s="513" t="s">
        <v>29</v>
      </c>
      <c r="H893" s="516">
        <v>1317871</v>
      </c>
      <c r="I893" s="512" t="s">
        <v>6915</v>
      </c>
    </row>
    <row r="894" spans="2:9" ht="15" x14ac:dyDescent="0.35">
      <c r="B894" s="512" t="s">
        <v>6219</v>
      </c>
      <c r="C894" s="512" t="s">
        <v>6239</v>
      </c>
      <c r="D894" s="512" t="s">
        <v>6239</v>
      </c>
      <c r="E894" s="513">
        <v>4652</v>
      </c>
      <c r="F894" s="512" t="s">
        <v>917</v>
      </c>
      <c r="G894" s="513" t="s">
        <v>29</v>
      </c>
      <c r="H894" s="516">
        <v>1383855</v>
      </c>
      <c r="I894" s="512" t="s">
        <v>6915</v>
      </c>
    </row>
    <row r="895" spans="2:9" ht="15" x14ac:dyDescent="0.35">
      <c r="B895" s="512" t="s">
        <v>6219</v>
      </c>
      <c r="C895" s="512" t="s">
        <v>6239</v>
      </c>
      <c r="D895" s="512" t="s">
        <v>6239</v>
      </c>
      <c r="E895" s="513">
        <v>4653</v>
      </c>
      <c r="F895" s="512" t="s">
        <v>918</v>
      </c>
      <c r="G895" s="513" t="s">
        <v>29</v>
      </c>
      <c r="H895" s="516">
        <v>1453479</v>
      </c>
      <c r="I895" s="512" t="s">
        <v>6915</v>
      </c>
    </row>
    <row r="896" spans="2:9" ht="15" x14ac:dyDescent="0.35">
      <c r="B896" s="512" t="s">
        <v>6219</v>
      </c>
      <c r="C896" s="512" t="s">
        <v>6239</v>
      </c>
      <c r="D896" s="512" t="s">
        <v>6239</v>
      </c>
      <c r="E896" s="513">
        <v>4654</v>
      </c>
      <c r="F896" s="512" t="s">
        <v>919</v>
      </c>
      <c r="G896" s="513" t="s">
        <v>29</v>
      </c>
      <c r="H896" s="516">
        <v>1527290</v>
      </c>
      <c r="I896" s="512" t="s">
        <v>6915</v>
      </c>
    </row>
    <row r="897" spans="2:9" ht="15" x14ac:dyDescent="0.35">
      <c r="B897" s="512" t="s">
        <v>6219</v>
      </c>
      <c r="C897" s="512" t="s">
        <v>6239</v>
      </c>
      <c r="D897" s="512" t="s">
        <v>6239</v>
      </c>
      <c r="E897" s="513">
        <v>4655</v>
      </c>
      <c r="F897" s="512" t="s">
        <v>920</v>
      </c>
      <c r="G897" s="513" t="s">
        <v>29</v>
      </c>
      <c r="H897" s="516">
        <v>1661862</v>
      </c>
      <c r="I897" s="512" t="s">
        <v>6915</v>
      </c>
    </row>
    <row r="898" spans="2:9" ht="15" x14ac:dyDescent="0.35">
      <c r="B898" s="512" t="s">
        <v>6219</v>
      </c>
      <c r="C898" s="512" t="s">
        <v>6239</v>
      </c>
      <c r="D898" s="512" t="s">
        <v>6239</v>
      </c>
      <c r="E898" s="513">
        <v>4656</v>
      </c>
      <c r="F898" s="512" t="s">
        <v>921</v>
      </c>
      <c r="G898" s="513" t="s">
        <v>29</v>
      </c>
      <c r="H898" s="516">
        <v>1722968</v>
      </c>
      <c r="I898" s="512" t="s">
        <v>6915</v>
      </c>
    </row>
    <row r="899" spans="2:9" ht="15" x14ac:dyDescent="0.35">
      <c r="B899" s="512" t="s">
        <v>6219</v>
      </c>
      <c r="C899" s="512" t="s">
        <v>6239</v>
      </c>
      <c r="D899" s="512" t="s">
        <v>6239</v>
      </c>
      <c r="E899" s="513">
        <v>4657</v>
      </c>
      <c r="F899" s="512" t="s">
        <v>922</v>
      </c>
      <c r="G899" s="513" t="s">
        <v>29</v>
      </c>
      <c r="H899" s="516">
        <v>1997374</v>
      </c>
      <c r="I899" s="512" t="s">
        <v>6915</v>
      </c>
    </row>
    <row r="900" spans="2:9" ht="15" x14ac:dyDescent="0.35">
      <c r="B900" s="512" t="s">
        <v>6219</v>
      </c>
      <c r="C900" s="512" t="s">
        <v>6239</v>
      </c>
      <c r="D900" s="512" t="s">
        <v>6239</v>
      </c>
      <c r="E900" s="513">
        <v>4658</v>
      </c>
      <c r="F900" s="512" t="s">
        <v>923</v>
      </c>
      <c r="G900" s="513" t="s">
        <v>29</v>
      </c>
      <c r="H900" s="516">
        <v>2125405</v>
      </c>
      <c r="I900" s="512" t="s">
        <v>6915</v>
      </c>
    </row>
    <row r="901" spans="2:9" ht="15" x14ac:dyDescent="0.35">
      <c r="B901" s="512" t="s">
        <v>6219</v>
      </c>
      <c r="C901" s="512" t="s">
        <v>6239</v>
      </c>
      <c r="D901" s="512" t="s">
        <v>6239</v>
      </c>
      <c r="E901" s="513">
        <v>4659</v>
      </c>
      <c r="F901" s="512" t="s">
        <v>924</v>
      </c>
      <c r="G901" s="513" t="s">
        <v>26</v>
      </c>
      <c r="H901" s="516">
        <v>4331802</v>
      </c>
      <c r="I901" s="512" t="s">
        <v>6915</v>
      </c>
    </row>
    <row r="902" spans="2:9" ht="15" x14ac:dyDescent="0.35">
      <c r="B902" s="512" t="s">
        <v>6219</v>
      </c>
      <c r="C902" s="512" t="s">
        <v>6239</v>
      </c>
      <c r="D902" s="512" t="s">
        <v>6239</v>
      </c>
      <c r="E902" s="513">
        <v>4660</v>
      </c>
      <c r="F902" s="512" t="s">
        <v>925</v>
      </c>
      <c r="G902" s="513" t="s">
        <v>26</v>
      </c>
      <c r="H902" s="516">
        <v>5099808</v>
      </c>
      <c r="I902" s="512" t="s">
        <v>6915</v>
      </c>
    </row>
    <row r="903" spans="2:9" ht="15" x14ac:dyDescent="0.35">
      <c r="B903" s="512" t="s">
        <v>6219</v>
      </c>
      <c r="C903" s="512" t="s">
        <v>6239</v>
      </c>
      <c r="D903" s="512" t="s">
        <v>6239</v>
      </c>
      <c r="E903" s="513">
        <v>4661</v>
      </c>
      <c r="F903" s="512" t="s">
        <v>926</v>
      </c>
      <c r="G903" s="513" t="s">
        <v>26</v>
      </c>
      <c r="H903" s="516">
        <v>6887268</v>
      </c>
      <c r="I903" s="512" t="s">
        <v>6915</v>
      </c>
    </row>
    <row r="904" spans="2:9" ht="15" x14ac:dyDescent="0.35">
      <c r="B904" s="512" t="s">
        <v>6219</v>
      </c>
      <c r="C904" s="512" t="s">
        <v>6239</v>
      </c>
      <c r="D904" s="512" t="s">
        <v>6239</v>
      </c>
      <c r="E904" s="513">
        <v>4662</v>
      </c>
      <c r="F904" s="512" t="s">
        <v>927</v>
      </c>
      <c r="G904" s="513" t="s">
        <v>29</v>
      </c>
      <c r="H904" s="514">
        <v>2447258</v>
      </c>
      <c r="I904" s="515" t="s">
        <v>6915</v>
      </c>
    </row>
    <row r="905" spans="2:9" ht="15" x14ac:dyDescent="0.35">
      <c r="B905" s="512" t="s">
        <v>6219</v>
      </c>
      <c r="C905" s="512" t="s">
        <v>6252</v>
      </c>
      <c r="D905" s="512" t="s">
        <v>6252</v>
      </c>
      <c r="E905" s="513">
        <v>4663</v>
      </c>
      <c r="F905" s="512" t="s">
        <v>928</v>
      </c>
      <c r="G905" s="513" t="s">
        <v>21</v>
      </c>
      <c r="H905" s="514">
        <v>214850</v>
      </c>
      <c r="I905" s="515" t="s">
        <v>6915</v>
      </c>
    </row>
    <row r="906" spans="2:9" ht="15" x14ac:dyDescent="0.35">
      <c r="B906" s="512" t="s">
        <v>6263</v>
      </c>
      <c r="C906" s="512" t="s">
        <v>6252</v>
      </c>
      <c r="D906" s="512" t="s">
        <v>6252</v>
      </c>
      <c r="E906" s="513">
        <v>4664</v>
      </c>
      <c r="F906" s="512" t="s">
        <v>929</v>
      </c>
      <c r="G906" s="513" t="s">
        <v>21</v>
      </c>
      <c r="H906" s="516">
        <v>420925</v>
      </c>
      <c r="I906" s="512" t="s">
        <v>6915</v>
      </c>
    </row>
    <row r="907" spans="2:9" ht="15" x14ac:dyDescent="0.35">
      <c r="B907" s="512" t="s">
        <v>6263</v>
      </c>
      <c r="C907" s="512" t="s">
        <v>6252</v>
      </c>
      <c r="D907" s="512" t="s">
        <v>6252</v>
      </c>
      <c r="E907" s="513">
        <v>4665</v>
      </c>
      <c r="F907" s="512" t="s">
        <v>930</v>
      </c>
      <c r="G907" s="513" t="s">
        <v>21</v>
      </c>
      <c r="H907" s="516">
        <v>469123</v>
      </c>
      <c r="I907" s="512" t="s">
        <v>6915</v>
      </c>
    </row>
    <row r="908" spans="2:9" ht="15" x14ac:dyDescent="0.35">
      <c r="B908" s="512" t="s">
        <v>6263</v>
      </c>
      <c r="C908" s="512" t="s">
        <v>6252</v>
      </c>
      <c r="D908" s="512" t="s">
        <v>6252</v>
      </c>
      <c r="E908" s="513">
        <v>4666</v>
      </c>
      <c r="F908" s="512" t="s">
        <v>931</v>
      </c>
      <c r="G908" s="513" t="s">
        <v>21</v>
      </c>
      <c r="H908" s="516">
        <v>365346</v>
      </c>
      <c r="I908" s="512" t="s">
        <v>6915</v>
      </c>
    </row>
    <row r="909" spans="2:9" ht="15" x14ac:dyDescent="0.35">
      <c r="B909" s="512" t="s">
        <v>6263</v>
      </c>
      <c r="C909" s="512" t="s">
        <v>6252</v>
      </c>
      <c r="D909" s="512" t="s">
        <v>6252</v>
      </c>
      <c r="E909" s="513">
        <v>4667</v>
      </c>
      <c r="F909" s="512" t="s">
        <v>932</v>
      </c>
      <c r="G909" s="513" t="s">
        <v>21</v>
      </c>
      <c r="H909" s="516">
        <v>434307</v>
      </c>
      <c r="I909" s="512" t="s">
        <v>6915</v>
      </c>
    </row>
    <row r="910" spans="2:9" ht="15" x14ac:dyDescent="0.35">
      <c r="B910" s="512" t="s">
        <v>6219</v>
      </c>
      <c r="C910" s="512" t="s">
        <v>6258</v>
      </c>
      <c r="D910" s="512" t="s">
        <v>6259</v>
      </c>
      <c r="E910" s="513">
        <v>4671</v>
      </c>
      <c r="F910" s="512" t="s">
        <v>933</v>
      </c>
      <c r="G910" s="513" t="s">
        <v>21</v>
      </c>
      <c r="H910" s="516">
        <v>12267</v>
      </c>
      <c r="I910" s="512" t="s">
        <v>6915</v>
      </c>
    </row>
    <row r="911" spans="2:9" ht="15" x14ac:dyDescent="0.35">
      <c r="B911" s="512" t="s">
        <v>6219</v>
      </c>
      <c r="C911" s="512" t="s">
        <v>6258</v>
      </c>
      <c r="D911" s="512" t="s">
        <v>6259</v>
      </c>
      <c r="E911" s="513">
        <v>4672</v>
      </c>
      <c r="F911" s="512" t="s">
        <v>934</v>
      </c>
      <c r="G911" s="513" t="s">
        <v>21</v>
      </c>
      <c r="H911" s="516">
        <v>8700</v>
      </c>
      <c r="I911" s="512" t="s">
        <v>6915</v>
      </c>
    </row>
    <row r="912" spans="2:9" ht="15" x14ac:dyDescent="0.35">
      <c r="B912" s="512" t="s">
        <v>6219</v>
      </c>
      <c r="C912" s="512" t="s">
        <v>6258</v>
      </c>
      <c r="D912" s="512" t="s">
        <v>6259</v>
      </c>
      <c r="E912" s="513">
        <v>4674</v>
      </c>
      <c r="F912" s="512" t="s">
        <v>935</v>
      </c>
      <c r="G912" s="513" t="s">
        <v>21</v>
      </c>
      <c r="H912" s="516">
        <v>11270</v>
      </c>
      <c r="I912" s="512" t="s">
        <v>6915</v>
      </c>
    </row>
    <row r="913" spans="2:9" ht="15" x14ac:dyDescent="0.35">
      <c r="B913" s="512" t="s">
        <v>6219</v>
      </c>
      <c r="C913" s="512" t="s">
        <v>6235</v>
      </c>
      <c r="D913" s="512" t="s">
        <v>6245</v>
      </c>
      <c r="E913" s="513">
        <v>4675</v>
      </c>
      <c r="F913" s="512" t="s">
        <v>936</v>
      </c>
      <c r="G913" s="513" t="s">
        <v>29</v>
      </c>
      <c r="H913" s="516">
        <v>489749</v>
      </c>
      <c r="I913" s="512" t="s">
        <v>6915</v>
      </c>
    </row>
    <row r="914" spans="2:9" ht="15" x14ac:dyDescent="0.35">
      <c r="B914" s="512" t="s">
        <v>6219</v>
      </c>
      <c r="C914" s="512" t="s">
        <v>6258</v>
      </c>
      <c r="D914" s="512" t="s">
        <v>6259</v>
      </c>
      <c r="E914" s="513">
        <v>4676</v>
      </c>
      <c r="F914" s="512" t="s">
        <v>937</v>
      </c>
      <c r="G914" s="513" t="s">
        <v>21</v>
      </c>
      <c r="H914" s="516">
        <v>12267</v>
      </c>
      <c r="I914" s="512" t="s">
        <v>6915</v>
      </c>
    </row>
    <row r="915" spans="2:9" ht="15" x14ac:dyDescent="0.35">
      <c r="B915" s="512" t="s">
        <v>6219</v>
      </c>
      <c r="C915" s="512" t="s">
        <v>6242</v>
      </c>
      <c r="D915" s="512" t="s">
        <v>6260</v>
      </c>
      <c r="E915" s="513">
        <v>4678</v>
      </c>
      <c r="F915" s="512" t="s">
        <v>938</v>
      </c>
      <c r="G915" s="513" t="s">
        <v>21</v>
      </c>
      <c r="H915" s="516">
        <v>133181</v>
      </c>
      <c r="I915" s="512" t="s">
        <v>6915</v>
      </c>
    </row>
    <row r="916" spans="2:9" ht="15" x14ac:dyDescent="0.35">
      <c r="B916" s="512" t="s">
        <v>6219</v>
      </c>
      <c r="C916" s="512" t="s">
        <v>6235</v>
      </c>
      <c r="D916" s="512" t="s">
        <v>6245</v>
      </c>
      <c r="E916" s="513">
        <v>4686</v>
      </c>
      <c r="F916" s="512" t="s">
        <v>939</v>
      </c>
      <c r="G916" s="513" t="s">
        <v>29</v>
      </c>
      <c r="H916" s="516">
        <v>317995</v>
      </c>
      <c r="I916" s="512" t="s">
        <v>6915</v>
      </c>
    </row>
    <row r="917" spans="2:9" ht="15" x14ac:dyDescent="0.35">
      <c r="B917" s="512" t="s">
        <v>6219</v>
      </c>
      <c r="C917" s="512" t="s">
        <v>6235</v>
      </c>
      <c r="D917" s="512" t="s">
        <v>6245</v>
      </c>
      <c r="E917" s="513">
        <v>4687</v>
      </c>
      <c r="F917" s="512" t="s">
        <v>940</v>
      </c>
      <c r="G917" s="513" t="s">
        <v>29</v>
      </c>
      <c r="H917" s="516">
        <v>172402</v>
      </c>
      <c r="I917" s="512" t="s">
        <v>6915</v>
      </c>
    </row>
    <row r="918" spans="2:9" ht="15" x14ac:dyDescent="0.35">
      <c r="B918" s="512" t="s">
        <v>6219</v>
      </c>
      <c r="C918" s="512" t="s">
        <v>6235</v>
      </c>
      <c r="D918" s="512" t="s">
        <v>6245</v>
      </c>
      <c r="E918" s="513">
        <v>4688</v>
      </c>
      <c r="F918" s="512" t="s">
        <v>941</v>
      </c>
      <c r="G918" s="513" t="s">
        <v>29</v>
      </c>
      <c r="H918" s="516">
        <v>279234</v>
      </c>
      <c r="I918" s="512" t="s">
        <v>6915</v>
      </c>
    </row>
    <row r="919" spans="2:9" ht="15" x14ac:dyDescent="0.35">
      <c r="B919" s="512" t="s">
        <v>6219</v>
      </c>
      <c r="C919" s="512" t="s">
        <v>6235</v>
      </c>
      <c r="D919" s="512" t="s">
        <v>6245</v>
      </c>
      <c r="E919" s="513">
        <v>4689</v>
      </c>
      <c r="F919" s="512" t="s">
        <v>942</v>
      </c>
      <c r="G919" s="513" t="s">
        <v>29</v>
      </c>
      <c r="H919" s="516">
        <v>250114</v>
      </c>
      <c r="I919" s="512" t="s">
        <v>6915</v>
      </c>
    </row>
    <row r="920" spans="2:9" ht="15" x14ac:dyDescent="0.35">
      <c r="B920" s="512" t="s">
        <v>6219</v>
      </c>
      <c r="C920" s="512" t="s">
        <v>6235</v>
      </c>
      <c r="D920" s="512" t="s">
        <v>6245</v>
      </c>
      <c r="E920" s="513">
        <v>4690</v>
      </c>
      <c r="F920" s="512" t="s">
        <v>943</v>
      </c>
      <c r="G920" s="513" t="s">
        <v>29</v>
      </c>
      <c r="H920" s="516">
        <v>252428</v>
      </c>
      <c r="I920" s="512" t="s">
        <v>6915</v>
      </c>
    </row>
    <row r="921" spans="2:9" ht="15" x14ac:dyDescent="0.35">
      <c r="B921" s="512" t="s">
        <v>6219</v>
      </c>
      <c r="C921" s="512" t="s">
        <v>6235</v>
      </c>
      <c r="D921" s="512" t="s">
        <v>6245</v>
      </c>
      <c r="E921" s="513">
        <v>4691</v>
      </c>
      <c r="F921" s="512" t="s">
        <v>944</v>
      </c>
      <c r="G921" s="513" t="s">
        <v>29</v>
      </c>
      <c r="H921" s="516">
        <v>197462</v>
      </c>
      <c r="I921" s="512" t="s">
        <v>6915</v>
      </c>
    </row>
    <row r="922" spans="2:9" ht="15" x14ac:dyDescent="0.35">
      <c r="B922" s="512" t="s">
        <v>6219</v>
      </c>
      <c r="C922" s="512" t="s">
        <v>6235</v>
      </c>
      <c r="D922" s="512" t="s">
        <v>6245</v>
      </c>
      <c r="E922" s="513">
        <v>4692</v>
      </c>
      <c r="F922" s="512" t="s">
        <v>945</v>
      </c>
      <c r="G922" s="513" t="s">
        <v>29</v>
      </c>
      <c r="H922" s="516">
        <v>219919</v>
      </c>
      <c r="I922" s="512" t="s">
        <v>6915</v>
      </c>
    </row>
    <row r="923" spans="2:9" ht="15" x14ac:dyDescent="0.35">
      <c r="B923" s="512" t="s">
        <v>6219</v>
      </c>
      <c r="C923" s="512" t="s">
        <v>6235</v>
      </c>
      <c r="D923" s="512" t="s">
        <v>6245</v>
      </c>
      <c r="E923" s="513">
        <v>4693</v>
      </c>
      <c r="F923" s="512" t="s">
        <v>946</v>
      </c>
      <c r="G923" s="513" t="s">
        <v>29</v>
      </c>
      <c r="H923" s="516">
        <v>222233</v>
      </c>
      <c r="I923" s="512" t="s">
        <v>6915</v>
      </c>
    </row>
    <row r="924" spans="2:9" ht="15" x14ac:dyDescent="0.35">
      <c r="B924" s="512" t="s">
        <v>6219</v>
      </c>
      <c r="C924" s="512" t="s">
        <v>6235</v>
      </c>
      <c r="D924" s="512" t="s">
        <v>6245</v>
      </c>
      <c r="E924" s="513">
        <v>4694</v>
      </c>
      <c r="F924" s="512" t="s">
        <v>947</v>
      </c>
      <c r="G924" s="513" t="s">
        <v>29</v>
      </c>
      <c r="H924" s="516">
        <v>176637</v>
      </c>
      <c r="I924" s="512" t="s">
        <v>6915</v>
      </c>
    </row>
    <row r="925" spans="2:9" ht="15" x14ac:dyDescent="0.35">
      <c r="B925" s="512" t="s">
        <v>6219</v>
      </c>
      <c r="C925" s="512" t="s">
        <v>6240</v>
      </c>
      <c r="D925" s="512" t="s">
        <v>6256</v>
      </c>
      <c r="E925" s="513">
        <v>4695</v>
      </c>
      <c r="F925" s="512" t="s">
        <v>948</v>
      </c>
      <c r="G925" s="513" t="s">
        <v>367</v>
      </c>
      <c r="H925" s="516">
        <v>3587</v>
      </c>
      <c r="I925" s="512" t="s">
        <v>6915</v>
      </c>
    </row>
    <row r="926" spans="2:9" ht="15" x14ac:dyDescent="0.35">
      <c r="B926" s="512" t="s">
        <v>6219</v>
      </c>
      <c r="C926" s="512" t="s">
        <v>6240</v>
      </c>
      <c r="D926" s="512" t="s">
        <v>6256</v>
      </c>
      <c r="E926" s="513">
        <v>4696</v>
      </c>
      <c r="F926" s="512" t="s">
        <v>949</v>
      </c>
      <c r="G926" s="513" t="s">
        <v>367</v>
      </c>
      <c r="H926" s="516">
        <v>3986</v>
      </c>
      <c r="I926" s="512" t="s">
        <v>6915</v>
      </c>
    </row>
    <row r="927" spans="2:9" ht="15" x14ac:dyDescent="0.35">
      <c r="B927" s="512" t="s">
        <v>6219</v>
      </c>
      <c r="C927" s="512" t="s">
        <v>6235</v>
      </c>
      <c r="D927" s="512" t="s">
        <v>6245</v>
      </c>
      <c r="E927" s="513">
        <v>4697</v>
      </c>
      <c r="F927" s="512" t="s">
        <v>950</v>
      </c>
      <c r="G927" s="513" t="s">
        <v>29</v>
      </c>
      <c r="H927" s="516">
        <v>296389</v>
      </c>
      <c r="I927" s="512" t="s">
        <v>6915</v>
      </c>
    </row>
    <row r="928" spans="2:9" ht="15" x14ac:dyDescent="0.35">
      <c r="B928" s="512" t="s">
        <v>6219</v>
      </c>
      <c r="C928" s="512" t="s">
        <v>6235</v>
      </c>
      <c r="D928" s="512" t="s">
        <v>6245</v>
      </c>
      <c r="E928" s="513">
        <v>4698</v>
      </c>
      <c r="F928" s="512" t="s">
        <v>951</v>
      </c>
      <c r="G928" s="513" t="s">
        <v>29</v>
      </c>
      <c r="H928" s="514">
        <v>295875</v>
      </c>
      <c r="I928" s="515" t="s">
        <v>6915</v>
      </c>
    </row>
    <row r="929" spans="2:9" ht="15" x14ac:dyDescent="0.35">
      <c r="B929" s="512" t="s">
        <v>6219</v>
      </c>
      <c r="C929" s="512" t="s">
        <v>6235</v>
      </c>
      <c r="D929" s="512" t="s">
        <v>6245</v>
      </c>
      <c r="E929" s="513">
        <v>4699</v>
      </c>
      <c r="F929" s="512" t="s">
        <v>952</v>
      </c>
      <c r="G929" s="513" t="s">
        <v>29</v>
      </c>
      <c r="H929" s="514">
        <v>303807</v>
      </c>
      <c r="I929" s="515" t="s">
        <v>6915</v>
      </c>
    </row>
    <row r="930" spans="2:9" ht="15" x14ac:dyDescent="0.35">
      <c r="B930" s="512" t="s">
        <v>6219</v>
      </c>
      <c r="C930" s="512" t="s">
        <v>6235</v>
      </c>
      <c r="D930" s="512" t="s">
        <v>6245</v>
      </c>
      <c r="E930" s="513">
        <v>4700</v>
      </c>
      <c r="F930" s="512" t="s">
        <v>953</v>
      </c>
      <c r="G930" s="513" t="s">
        <v>29</v>
      </c>
      <c r="H930" s="514">
        <v>297077</v>
      </c>
      <c r="I930" s="515" t="s">
        <v>6915</v>
      </c>
    </row>
    <row r="931" spans="2:9" ht="15" x14ac:dyDescent="0.35">
      <c r="B931" s="512" t="s">
        <v>6263</v>
      </c>
      <c r="C931" s="512" t="s">
        <v>6252</v>
      </c>
      <c r="D931" s="512" t="s">
        <v>6252</v>
      </c>
      <c r="E931" s="513">
        <v>4702</v>
      </c>
      <c r="F931" s="512" t="s">
        <v>954</v>
      </c>
      <c r="G931" s="513" t="s">
        <v>21</v>
      </c>
      <c r="H931" s="514">
        <v>3671</v>
      </c>
      <c r="I931" s="512" t="s">
        <v>6915</v>
      </c>
    </row>
    <row r="932" spans="2:9" ht="15" x14ac:dyDescent="0.35">
      <c r="B932" s="512" t="s">
        <v>6219</v>
      </c>
      <c r="C932" s="512" t="s">
        <v>6230</v>
      </c>
      <c r="D932" s="512" t="s">
        <v>6250</v>
      </c>
      <c r="E932" s="513">
        <v>4703</v>
      </c>
      <c r="F932" s="512" t="s">
        <v>955</v>
      </c>
      <c r="G932" s="513" t="s">
        <v>21</v>
      </c>
      <c r="H932" s="514">
        <v>2646</v>
      </c>
      <c r="I932" s="515" t="s">
        <v>6915</v>
      </c>
    </row>
    <row r="933" spans="2:9" ht="15" x14ac:dyDescent="0.35">
      <c r="B933" s="512" t="s">
        <v>6219</v>
      </c>
      <c r="C933" s="512" t="s">
        <v>6230</v>
      </c>
      <c r="D933" s="512" t="s">
        <v>6250</v>
      </c>
      <c r="E933" s="513">
        <v>4704</v>
      </c>
      <c r="F933" s="512" t="s">
        <v>956</v>
      </c>
      <c r="G933" s="513" t="s">
        <v>21</v>
      </c>
      <c r="H933" s="516">
        <v>2904</v>
      </c>
      <c r="I933" s="512" t="s">
        <v>6915</v>
      </c>
    </row>
    <row r="934" spans="2:9" ht="15" x14ac:dyDescent="0.35">
      <c r="B934" s="512" t="s">
        <v>6263</v>
      </c>
      <c r="C934" s="512" t="s">
        <v>6252</v>
      </c>
      <c r="D934" s="512" t="s">
        <v>6252</v>
      </c>
      <c r="E934" s="513">
        <v>4708</v>
      </c>
      <c r="F934" s="512" t="s">
        <v>957</v>
      </c>
      <c r="G934" s="513" t="s">
        <v>21</v>
      </c>
      <c r="H934" s="516">
        <v>579699</v>
      </c>
      <c r="I934" s="512" t="s">
        <v>6915</v>
      </c>
    </row>
    <row r="935" spans="2:9" ht="15" x14ac:dyDescent="0.35">
      <c r="B935" s="512" t="s">
        <v>6219</v>
      </c>
      <c r="C935" s="512" t="s">
        <v>6252</v>
      </c>
      <c r="D935" s="512" t="s">
        <v>6252</v>
      </c>
      <c r="E935" s="513">
        <v>4709</v>
      </c>
      <c r="F935" s="512" t="s">
        <v>958</v>
      </c>
      <c r="G935" s="513" t="s">
        <v>21</v>
      </c>
      <c r="H935" s="516">
        <v>180947</v>
      </c>
      <c r="I935" s="512" t="s">
        <v>6915</v>
      </c>
    </row>
    <row r="936" spans="2:9" ht="15" x14ac:dyDescent="0.35">
      <c r="B936" s="512" t="s">
        <v>6219</v>
      </c>
      <c r="C936" s="512" t="s">
        <v>6237</v>
      </c>
      <c r="D936" s="512" t="s">
        <v>6238</v>
      </c>
      <c r="E936" s="513">
        <v>4710</v>
      </c>
      <c r="F936" s="512" t="s">
        <v>959</v>
      </c>
      <c r="G936" s="513" t="s">
        <v>26</v>
      </c>
      <c r="H936" s="516">
        <v>17184</v>
      </c>
      <c r="I936" s="512" t="s">
        <v>6915</v>
      </c>
    </row>
    <row r="937" spans="2:9" ht="15" x14ac:dyDescent="0.35">
      <c r="B937" s="512" t="s">
        <v>6219</v>
      </c>
      <c r="C937" s="512" t="s">
        <v>6237</v>
      </c>
      <c r="D937" s="512" t="s">
        <v>6238</v>
      </c>
      <c r="E937" s="513">
        <v>4711</v>
      </c>
      <c r="F937" s="512" t="s">
        <v>960</v>
      </c>
      <c r="G937" s="513" t="s">
        <v>29</v>
      </c>
      <c r="H937" s="516">
        <v>50521</v>
      </c>
      <c r="I937" s="515" t="s">
        <v>6915</v>
      </c>
    </row>
    <row r="938" spans="2:9" ht="15" x14ac:dyDescent="0.35">
      <c r="B938" s="512" t="s">
        <v>6219</v>
      </c>
      <c r="C938" s="512" t="s">
        <v>6242</v>
      </c>
      <c r="D938" s="512" t="s">
        <v>6257</v>
      </c>
      <c r="E938" s="513">
        <v>4712</v>
      </c>
      <c r="F938" s="512" t="s">
        <v>961</v>
      </c>
      <c r="G938" s="513" t="s">
        <v>23</v>
      </c>
      <c r="H938" s="516">
        <v>1658667</v>
      </c>
      <c r="I938" s="515" t="s">
        <v>6915</v>
      </c>
    </row>
    <row r="939" spans="2:9" ht="15" x14ac:dyDescent="0.35">
      <c r="B939" s="512" t="s">
        <v>6219</v>
      </c>
      <c r="C939" s="512" t="s">
        <v>6240</v>
      </c>
      <c r="D939" s="512" t="s">
        <v>6241</v>
      </c>
      <c r="E939" s="513">
        <v>4737</v>
      </c>
      <c r="F939" s="512" t="s">
        <v>962</v>
      </c>
      <c r="G939" s="513" t="s">
        <v>26</v>
      </c>
      <c r="H939" s="516">
        <v>1098979</v>
      </c>
      <c r="I939" s="512" t="s">
        <v>6915</v>
      </c>
    </row>
    <row r="940" spans="2:9" ht="15" x14ac:dyDescent="0.35">
      <c r="B940" s="512" t="s">
        <v>6219</v>
      </c>
      <c r="C940" s="512" t="s">
        <v>6240</v>
      </c>
      <c r="D940" s="512" t="s">
        <v>6241</v>
      </c>
      <c r="E940" s="513">
        <v>4738</v>
      </c>
      <c r="F940" s="512" t="s">
        <v>963</v>
      </c>
      <c r="G940" s="513" t="s">
        <v>26</v>
      </c>
      <c r="H940" s="516">
        <v>915729</v>
      </c>
      <c r="I940" s="512" t="s">
        <v>6915</v>
      </c>
    </row>
    <row r="941" spans="2:9" ht="15" x14ac:dyDescent="0.35">
      <c r="B941" s="512" t="s">
        <v>6219</v>
      </c>
      <c r="C941" s="512" t="s">
        <v>6240</v>
      </c>
      <c r="D941" s="512" t="s">
        <v>6241</v>
      </c>
      <c r="E941" s="513">
        <v>4739</v>
      </c>
      <c r="F941" s="512" t="s">
        <v>964</v>
      </c>
      <c r="G941" s="513" t="s">
        <v>26</v>
      </c>
      <c r="H941" s="516">
        <v>1409785</v>
      </c>
      <c r="I941" s="512" t="s">
        <v>6915</v>
      </c>
    </row>
    <row r="942" spans="2:9" ht="15" x14ac:dyDescent="0.35">
      <c r="B942" s="512" t="s">
        <v>6219</v>
      </c>
      <c r="C942" s="512" t="s">
        <v>6240</v>
      </c>
      <c r="D942" s="512" t="s">
        <v>6241</v>
      </c>
      <c r="E942" s="513">
        <v>4740</v>
      </c>
      <c r="F942" s="512" t="s">
        <v>965</v>
      </c>
      <c r="G942" s="513" t="s">
        <v>26</v>
      </c>
      <c r="H942" s="516">
        <v>1504460</v>
      </c>
      <c r="I942" s="512" t="s">
        <v>6915</v>
      </c>
    </row>
    <row r="943" spans="2:9" ht="15" x14ac:dyDescent="0.35">
      <c r="B943" s="512" t="s">
        <v>6219</v>
      </c>
      <c r="C943" s="512" t="s">
        <v>6240</v>
      </c>
      <c r="D943" s="512" t="s">
        <v>6241</v>
      </c>
      <c r="E943" s="513">
        <v>4741</v>
      </c>
      <c r="F943" s="512" t="s">
        <v>966</v>
      </c>
      <c r="G943" s="513" t="s">
        <v>26</v>
      </c>
      <c r="H943" s="516">
        <v>1726690</v>
      </c>
      <c r="I943" s="512" t="s">
        <v>6915</v>
      </c>
    </row>
    <row r="944" spans="2:9" ht="15" x14ac:dyDescent="0.35">
      <c r="B944" s="512" t="s">
        <v>6219</v>
      </c>
      <c r="C944" s="512" t="s">
        <v>6240</v>
      </c>
      <c r="D944" s="512" t="s">
        <v>6241</v>
      </c>
      <c r="E944" s="513">
        <v>4742</v>
      </c>
      <c r="F944" s="512" t="s">
        <v>967</v>
      </c>
      <c r="G944" s="513" t="s">
        <v>26</v>
      </c>
      <c r="H944" s="516">
        <v>1961913</v>
      </c>
      <c r="I944" s="512" t="s">
        <v>6915</v>
      </c>
    </row>
    <row r="945" spans="2:9" ht="15" x14ac:dyDescent="0.35">
      <c r="B945" s="512" t="s">
        <v>6219</v>
      </c>
      <c r="C945" s="512" t="s">
        <v>6227</v>
      </c>
      <c r="D945" s="512" t="s">
        <v>6248</v>
      </c>
      <c r="E945" s="513">
        <v>4743</v>
      </c>
      <c r="F945" s="512" t="s">
        <v>968</v>
      </c>
      <c r="G945" s="513" t="s">
        <v>23</v>
      </c>
      <c r="H945" s="516">
        <v>179874</v>
      </c>
      <c r="I945" s="512" t="s">
        <v>6915</v>
      </c>
    </row>
    <row r="946" spans="2:9" ht="15" x14ac:dyDescent="0.35">
      <c r="B946" s="512" t="s">
        <v>6219</v>
      </c>
      <c r="C946" s="512" t="s">
        <v>6227</v>
      </c>
      <c r="D946" s="512" t="s">
        <v>6248</v>
      </c>
      <c r="E946" s="513">
        <v>4744</v>
      </c>
      <c r="F946" s="512" t="s">
        <v>969</v>
      </c>
      <c r="G946" s="513" t="s">
        <v>23</v>
      </c>
      <c r="H946" s="516">
        <v>197073</v>
      </c>
      <c r="I946" s="512" t="s">
        <v>6915</v>
      </c>
    </row>
    <row r="947" spans="2:9" ht="15" x14ac:dyDescent="0.35">
      <c r="B947" s="512" t="s">
        <v>6219</v>
      </c>
      <c r="C947" s="512" t="s">
        <v>6227</v>
      </c>
      <c r="D947" s="512" t="s">
        <v>6248</v>
      </c>
      <c r="E947" s="513">
        <v>4745</v>
      </c>
      <c r="F947" s="512" t="s">
        <v>970</v>
      </c>
      <c r="G947" s="513" t="s">
        <v>23</v>
      </c>
      <c r="H947" s="516">
        <v>171734</v>
      </c>
      <c r="I947" s="512" t="s">
        <v>6915</v>
      </c>
    </row>
    <row r="948" spans="2:9" ht="15" x14ac:dyDescent="0.35">
      <c r="B948" s="512" t="s">
        <v>6219</v>
      </c>
      <c r="C948" s="512" t="s">
        <v>6227</v>
      </c>
      <c r="D948" s="512" t="s">
        <v>6248</v>
      </c>
      <c r="E948" s="513">
        <v>4746</v>
      </c>
      <c r="F948" s="512" t="s">
        <v>971</v>
      </c>
      <c r="G948" s="513" t="s">
        <v>23</v>
      </c>
      <c r="H948" s="516">
        <v>170083</v>
      </c>
      <c r="I948" s="512" t="s">
        <v>6915</v>
      </c>
    </row>
    <row r="949" spans="2:9" ht="15" x14ac:dyDescent="0.35">
      <c r="B949" s="512" t="s">
        <v>6219</v>
      </c>
      <c r="C949" s="512" t="s">
        <v>6227</v>
      </c>
      <c r="D949" s="512" t="s">
        <v>6248</v>
      </c>
      <c r="E949" s="513">
        <v>4747</v>
      </c>
      <c r="F949" s="512" t="s">
        <v>972</v>
      </c>
      <c r="G949" s="513" t="s">
        <v>23</v>
      </c>
      <c r="H949" s="516">
        <v>167179</v>
      </c>
      <c r="I949" s="512" t="s">
        <v>6915</v>
      </c>
    </row>
    <row r="950" spans="2:9" ht="15" x14ac:dyDescent="0.35">
      <c r="B950" s="512" t="s">
        <v>6219</v>
      </c>
      <c r="C950" s="512" t="s">
        <v>6227</v>
      </c>
      <c r="D950" s="512" t="s">
        <v>6248</v>
      </c>
      <c r="E950" s="513">
        <v>4748</v>
      </c>
      <c r="F950" s="512" t="s">
        <v>973</v>
      </c>
      <c r="G950" s="513" t="s">
        <v>23</v>
      </c>
      <c r="H950" s="516">
        <v>159313</v>
      </c>
      <c r="I950" s="512" t="s">
        <v>6915</v>
      </c>
    </row>
    <row r="951" spans="2:9" ht="15" x14ac:dyDescent="0.35">
      <c r="B951" s="512" t="s">
        <v>6219</v>
      </c>
      <c r="C951" s="512" t="s">
        <v>6227</v>
      </c>
      <c r="D951" s="512" t="s">
        <v>6248</v>
      </c>
      <c r="E951" s="513">
        <v>4749</v>
      </c>
      <c r="F951" s="512" t="s">
        <v>974</v>
      </c>
      <c r="G951" s="513" t="s">
        <v>23</v>
      </c>
      <c r="H951" s="516">
        <v>198443</v>
      </c>
      <c r="I951" s="512" t="s">
        <v>6915</v>
      </c>
    </row>
    <row r="952" spans="2:9" ht="15" x14ac:dyDescent="0.35">
      <c r="B952" s="512" t="s">
        <v>6263</v>
      </c>
      <c r="C952" s="512" t="s">
        <v>6252</v>
      </c>
      <c r="D952" s="512" t="s">
        <v>6252</v>
      </c>
      <c r="E952" s="513">
        <v>4750</v>
      </c>
      <c r="F952" s="512" t="s">
        <v>975</v>
      </c>
      <c r="G952" s="513" t="s">
        <v>23</v>
      </c>
      <c r="H952" s="516">
        <v>585799</v>
      </c>
      <c r="I952" s="512" t="s">
        <v>6915</v>
      </c>
    </row>
    <row r="953" spans="2:9" ht="15" x14ac:dyDescent="0.35">
      <c r="B953" s="512" t="s">
        <v>6219</v>
      </c>
      <c r="C953" s="512" t="s">
        <v>6230</v>
      </c>
      <c r="D953" s="512" t="s">
        <v>6246</v>
      </c>
      <c r="E953" s="513">
        <v>4751</v>
      </c>
      <c r="F953" s="512" t="s">
        <v>976</v>
      </c>
      <c r="G953" s="513" t="s">
        <v>26</v>
      </c>
      <c r="H953" s="516">
        <v>16528</v>
      </c>
      <c r="I953" s="512" t="s">
        <v>6915</v>
      </c>
    </row>
    <row r="954" spans="2:9" ht="15" x14ac:dyDescent="0.35">
      <c r="B954" s="512" t="s">
        <v>6219</v>
      </c>
      <c r="C954" s="512" t="s">
        <v>6227</v>
      </c>
      <c r="D954" s="512" t="s">
        <v>6248</v>
      </c>
      <c r="E954" s="513">
        <v>4753</v>
      </c>
      <c r="F954" s="512" t="s">
        <v>977</v>
      </c>
      <c r="G954" s="513" t="s">
        <v>23</v>
      </c>
      <c r="H954" s="516">
        <v>180957</v>
      </c>
      <c r="I954" s="512" t="s">
        <v>6915</v>
      </c>
    </row>
    <row r="955" spans="2:9" ht="15" x14ac:dyDescent="0.35">
      <c r="B955" s="512" t="s">
        <v>6219</v>
      </c>
      <c r="C955" s="512" t="s">
        <v>6227</v>
      </c>
      <c r="D955" s="512" t="s">
        <v>6248</v>
      </c>
      <c r="E955" s="513">
        <v>4754</v>
      </c>
      <c r="F955" s="512" t="s">
        <v>978</v>
      </c>
      <c r="G955" s="513" t="s">
        <v>23</v>
      </c>
      <c r="H955" s="516">
        <v>178053</v>
      </c>
      <c r="I955" s="512" t="s">
        <v>6915</v>
      </c>
    </row>
    <row r="956" spans="2:9" ht="15" x14ac:dyDescent="0.35">
      <c r="B956" s="512" t="s">
        <v>6219</v>
      </c>
      <c r="C956" s="512" t="s">
        <v>6227</v>
      </c>
      <c r="D956" s="512" t="s">
        <v>6248</v>
      </c>
      <c r="E956" s="513">
        <v>4755</v>
      </c>
      <c r="F956" s="512" t="s">
        <v>979</v>
      </c>
      <c r="G956" s="513" t="s">
        <v>23</v>
      </c>
      <c r="H956" s="516">
        <v>170187</v>
      </c>
      <c r="I956" s="512" t="s">
        <v>6915</v>
      </c>
    </row>
    <row r="957" spans="2:9" ht="15" x14ac:dyDescent="0.35">
      <c r="B957" s="512" t="s">
        <v>6219</v>
      </c>
      <c r="C957" s="512" t="s">
        <v>6252</v>
      </c>
      <c r="D957" s="512" t="s">
        <v>6252</v>
      </c>
      <c r="E957" s="513">
        <v>4758</v>
      </c>
      <c r="F957" s="512" t="s">
        <v>980</v>
      </c>
      <c r="G957" s="513" t="s">
        <v>26</v>
      </c>
      <c r="H957" s="516">
        <v>10600</v>
      </c>
      <c r="I957" s="512" t="s">
        <v>6915</v>
      </c>
    </row>
    <row r="958" spans="2:9" ht="15" x14ac:dyDescent="0.35">
      <c r="B958" s="512" t="s">
        <v>6219</v>
      </c>
      <c r="C958" s="512" t="s">
        <v>6264</v>
      </c>
      <c r="D958" s="512" t="s">
        <v>6265</v>
      </c>
      <c r="E958" s="513">
        <v>4759</v>
      </c>
      <c r="F958" s="512" t="s">
        <v>981</v>
      </c>
      <c r="G958" s="513" t="s">
        <v>26</v>
      </c>
      <c r="H958" s="516">
        <v>65459</v>
      </c>
      <c r="I958" s="512" t="s">
        <v>6915</v>
      </c>
    </row>
    <row r="959" spans="2:9" ht="15" x14ac:dyDescent="0.35">
      <c r="B959" s="512" t="s">
        <v>6219</v>
      </c>
      <c r="C959" s="512" t="s">
        <v>6264</v>
      </c>
      <c r="D959" s="512" t="s">
        <v>6265</v>
      </c>
      <c r="E959" s="513">
        <v>4762</v>
      </c>
      <c r="F959" s="512" t="s">
        <v>982</v>
      </c>
      <c r="G959" s="513" t="s">
        <v>26</v>
      </c>
      <c r="H959" s="516">
        <v>60133</v>
      </c>
      <c r="I959" s="512" t="s">
        <v>6915</v>
      </c>
    </row>
    <row r="960" spans="2:9" ht="15" x14ac:dyDescent="0.35">
      <c r="B960" s="512" t="s">
        <v>6219</v>
      </c>
      <c r="C960" s="512" t="s">
        <v>6264</v>
      </c>
      <c r="D960" s="512" t="s">
        <v>6265</v>
      </c>
      <c r="E960" s="513">
        <v>4764</v>
      </c>
      <c r="F960" s="512" t="s">
        <v>983</v>
      </c>
      <c r="G960" s="513" t="s">
        <v>29</v>
      </c>
      <c r="H960" s="514">
        <v>2489</v>
      </c>
      <c r="I960" s="515" t="s">
        <v>6915</v>
      </c>
    </row>
    <row r="961" spans="2:9" ht="15" x14ac:dyDescent="0.35">
      <c r="B961" s="512" t="s">
        <v>6219</v>
      </c>
      <c r="C961" s="512" t="s">
        <v>6264</v>
      </c>
      <c r="D961" s="512" t="s">
        <v>6265</v>
      </c>
      <c r="E961" s="513">
        <v>4765</v>
      </c>
      <c r="F961" s="512" t="s">
        <v>984</v>
      </c>
      <c r="G961" s="513" t="s">
        <v>29</v>
      </c>
      <c r="H961" s="514">
        <v>2957</v>
      </c>
      <c r="I961" s="512" t="s">
        <v>6915</v>
      </c>
    </row>
    <row r="962" spans="2:9" ht="15" x14ac:dyDescent="0.35">
      <c r="B962" s="512" t="s">
        <v>6219</v>
      </c>
      <c r="C962" s="512" t="s">
        <v>6266</v>
      </c>
      <c r="D962" s="512" t="s">
        <v>6267</v>
      </c>
      <c r="E962" s="513">
        <v>4776</v>
      </c>
      <c r="F962" s="512" t="s">
        <v>985</v>
      </c>
      <c r="G962" s="513" t="s">
        <v>21</v>
      </c>
      <c r="H962" s="516">
        <v>3227</v>
      </c>
      <c r="I962" s="512" t="s">
        <v>6915</v>
      </c>
    </row>
    <row r="963" spans="2:9" ht="15" x14ac:dyDescent="0.35">
      <c r="B963" s="512" t="s">
        <v>6219</v>
      </c>
      <c r="C963" s="512" t="s">
        <v>6266</v>
      </c>
      <c r="D963" s="512" t="s">
        <v>6267</v>
      </c>
      <c r="E963" s="513">
        <v>4777</v>
      </c>
      <c r="F963" s="512" t="s">
        <v>986</v>
      </c>
      <c r="G963" s="513" t="s">
        <v>21</v>
      </c>
      <c r="H963" s="516">
        <v>11577</v>
      </c>
      <c r="I963" s="512" t="s">
        <v>6915</v>
      </c>
    </row>
    <row r="964" spans="2:9" ht="15" x14ac:dyDescent="0.35">
      <c r="B964" s="512" t="s">
        <v>6219</v>
      </c>
      <c r="C964" s="512" t="s">
        <v>6266</v>
      </c>
      <c r="D964" s="512" t="s">
        <v>6267</v>
      </c>
      <c r="E964" s="513">
        <v>4778</v>
      </c>
      <c r="F964" s="512" t="s">
        <v>987</v>
      </c>
      <c r="G964" s="513" t="s">
        <v>29</v>
      </c>
      <c r="H964" s="516">
        <v>98413</v>
      </c>
      <c r="I964" s="512" t="s">
        <v>6915</v>
      </c>
    </row>
    <row r="965" spans="2:9" ht="15" x14ac:dyDescent="0.35">
      <c r="B965" s="512" t="s">
        <v>6219</v>
      </c>
      <c r="C965" s="512" t="s">
        <v>6266</v>
      </c>
      <c r="D965" s="512" t="s">
        <v>6267</v>
      </c>
      <c r="E965" s="513">
        <v>4779</v>
      </c>
      <c r="F965" s="512" t="s">
        <v>988</v>
      </c>
      <c r="G965" s="513" t="s">
        <v>29</v>
      </c>
      <c r="H965" s="516">
        <v>222697</v>
      </c>
      <c r="I965" s="512" t="s">
        <v>6915</v>
      </c>
    </row>
    <row r="966" spans="2:9" ht="15" x14ac:dyDescent="0.35">
      <c r="B966" s="512" t="s">
        <v>6219</v>
      </c>
      <c r="C966" s="512" t="s">
        <v>6266</v>
      </c>
      <c r="D966" s="512" t="s">
        <v>6267</v>
      </c>
      <c r="E966" s="513">
        <v>4780</v>
      </c>
      <c r="F966" s="512" t="s">
        <v>989</v>
      </c>
      <c r="G966" s="513" t="s">
        <v>990</v>
      </c>
      <c r="H966" s="516">
        <v>520053</v>
      </c>
      <c r="I966" s="512" t="s">
        <v>6915</v>
      </c>
    </row>
    <row r="967" spans="2:9" ht="15" x14ac:dyDescent="0.35">
      <c r="B967" s="512" t="s">
        <v>6219</v>
      </c>
      <c r="C967" s="512" t="s">
        <v>6266</v>
      </c>
      <c r="D967" s="512" t="s">
        <v>6267</v>
      </c>
      <c r="E967" s="513">
        <v>4781</v>
      </c>
      <c r="F967" s="512" t="s">
        <v>991</v>
      </c>
      <c r="G967" s="513" t="s">
        <v>23</v>
      </c>
      <c r="H967" s="516">
        <v>21874</v>
      </c>
      <c r="I967" s="512" t="s">
        <v>6915</v>
      </c>
    </row>
    <row r="968" spans="2:9" ht="15" x14ac:dyDescent="0.35">
      <c r="B968" s="512" t="s">
        <v>6219</v>
      </c>
      <c r="C968" s="512" t="s">
        <v>6266</v>
      </c>
      <c r="D968" s="512" t="s">
        <v>6267</v>
      </c>
      <c r="E968" s="513">
        <v>4782</v>
      </c>
      <c r="F968" s="512" t="s">
        <v>992</v>
      </c>
      <c r="G968" s="513" t="s">
        <v>21</v>
      </c>
      <c r="H968" s="516">
        <v>1319</v>
      </c>
      <c r="I968" s="512" t="s">
        <v>6915</v>
      </c>
    </row>
    <row r="969" spans="2:9" ht="15" x14ac:dyDescent="0.35">
      <c r="B969" s="512" t="s">
        <v>6219</v>
      </c>
      <c r="C969" s="512" t="s">
        <v>6266</v>
      </c>
      <c r="D969" s="512" t="s">
        <v>6267</v>
      </c>
      <c r="E969" s="513">
        <v>4783</v>
      </c>
      <c r="F969" s="512" t="s">
        <v>993</v>
      </c>
      <c r="G969" s="513" t="s">
        <v>23</v>
      </c>
      <c r="H969" s="516">
        <v>812877</v>
      </c>
      <c r="I969" s="512" t="s">
        <v>6915</v>
      </c>
    </row>
    <row r="970" spans="2:9" ht="15" x14ac:dyDescent="0.35">
      <c r="B970" s="512" t="s">
        <v>6219</v>
      </c>
      <c r="C970" s="512" t="s">
        <v>6252</v>
      </c>
      <c r="D970" s="512" t="s">
        <v>6252</v>
      </c>
      <c r="E970" s="513">
        <v>4784</v>
      </c>
      <c r="F970" s="512" t="s">
        <v>994</v>
      </c>
      <c r="G970" s="513" t="s">
        <v>23</v>
      </c>
      <c r="H970" s="516">
        <v>25457</v>
      </c>
      <c r="I970" s="512" t="s">
        <v>6915</v>
      </c>
    </row>
    <row r="971" spans="2:9" ht="15" x14ac:dyDescent="0.35">
      <c r="B971" s="512" t="s">
        <v>6219</v>
      </c>
      <c r="C971" s="512" t="s">
        <v>6232</v>
      </c>
      <c r="D971" s="512" t="s">
        <v>6232</v>
      </c>
      <c r="E971" s="513">
        <v>4786</v>
      </c>
      <c r="F971" s="512" t="s">
        <v>995</v>
      </c>
      <c r="G971" s="513" t="s">
        <v>26</v>
      </c>
      <c r="H971" s="514">
        <v>372429</v>
      </c>
      <c r="I971" s="515" t="s">
        <v>6915</v>
      </c>
    </row>
    <row r="972" spans="2:9" ht="15" x14ac:dyDescent="0.35">
      <c r="B972" s="512" t="s">
        <v>6219</v>
      </c>
      <c r="C972" s="512" t="s">
        <v>6239</v>
      </c>
      <c r="D972" s="512" t="s">
        <v>6239</v>
      </c>
      <c r="E972" s="513">
        <v>4787</v>
      </c>
      <c r="F972" s="512" t="s">
        <v>996</v>
      </c>
      <c r="G972" s="513" t="s">
        <v>29</v>
      </c>
      <c r="H972" s="514">
        <v>19997</v>
      </c>
      <c r="I972" s="515" t="s">
        <v>6915</v>
      </c>
    </row>
    <row r="973" spans="2:9" ht="15" x14ac:dyDescent="0.35">
      <c r="B973" s="512" t="s">
        <v>6219</v>
      </c>
      <c r="C973" s="512" t="s">
        <v>6258</v>
      </c>
      <c r="D973" s="512" t="s">
        <v>6259</v>
      </c>
      <c r="E973" s="513">
        <v>4788</v>
      </c>
      <c r="F973" s="512" t="s">
        <v>997</v>
      </c>
      <c r="G973" s="513" t="s">
        <v>26</v>
      </c>
      <c r="H973" s="514">
        <v>57098</v>
      </c>
      <c r="I973" s="515" t="s">
        <v>6915</v>
      </c>
    </row>
    <row r="974" spans="2:9" ht="15" x14ac:dyDescent="0.35">
      <c r="B974" s="512" t="s">
        <v>6219</v>
      </c>
      <c r="C974" s="512" t="s">
        <v>6233</v>
      </c>
      <c r="D974" s="512" t="s">
        <v>6234</v>
      </c>
      <c r="E974" s="513">
        <v>4789</v>
      </c>
      <c r="F974" s="512" t="s">
        <v>998</v>
      </c>
      <c r="G974" s="513" t="s">
        <v>26</v>
      </c>
      <c r="H974" s="514">
        <v>14255</v>
      </c>
      <c r="I974" s="515" t="s">
        <v>6915</v>
      </c>
    </row>
    <row r="975" spans="2:9" ht="15" x14ac:dyDescent="0.35">
      <c r="B975" s="512" t="s">
        <v>6219</v>
      </c>
      <c r="C975" s="512" t="s">
        <v>6224</v>
      </c>
      <c r="D975" s="512" t="s">
        <v>6244</v>
      </c>
      <c r="E975" s="513">
        <v>4790</v>
      </c>
      <c r="F975" s="512" t="s">
        <v>999</v>
      </c>
      <c r="G975" s="513" t="s">
        <v>26</v>
      </c>
      <c r="H975" s="516">
        <v>14367</v>
      </c>
      <c r="I975" s="512" t="s">
        <v>6915</v>
      </c>
    </row>
    <row r="976" spans="2:9" ht="15" x14ac:dyDescent="0.35">
      <c r="B976" s="512" t="s">
        <v>6219</v>
      </c>
      <c r="C976" s="512" t="s">
        <v>6224</v>
      </c>
      <c r="D976" s="512" t="s">
        <v>6244</v>
      </c>
      <c r="E976" s="513">
        <v>4791</v>
      </c>
      <c r="F976" s="512" t="s">
        <v>1000</v>
      </c>
      <c r="G976" s="513" t="s">
        <v>26</v>
      </c>
      <c r="H976" s="516">
        <v>33496</v>
      </c>
      <c r="I976" s="512" t="s">
        <v>6915</v>
      </c>
    </row>
    <row r="977" spans="2:9" ht="15" x14ac:dyDescent="0.35">
      <c r="B977" s="512" t="s">
        <v>6219</v>
      </c>
      <c r="C977" s="512" t="s">
        <v>6227</v>
      </c>
      <c r="D977" s="512" t="s">
        <v>6229</v>
      </c>
      <c r="E977" s="513">
        <v>4792</v>
      </c>
      <c r="F977" s="512" t="s">
        <v>1001</v>
      </c>
      <c r="G977" s="513" t="s">
        <v>23</v>
      </c>
      <c r="H977" s="516">
        <v>112980</v>
      </c>
      <c r="I977" s="512" t="s">
        <v>6915</v>
      </c>
    </row>
    <row r="978" spans="2:9" ht="15" x14ac:dyDescent="0.35">
      <c r="B978" s="512" t="s">
        <v>6219</v>
      </c>
      <c r="C978" s="512" t="s">
        <v>6235</v>
      </c>
      <c r="D978" s="512" t="s">
        <v>6236</v>
      </c>
      <c r="E978" s="513">
        <v>4794</v>
      </c>
      <c r="F978" s="512" t="s">
        <v>1002</v>
      </c>
      <c r="G978" s="513" t="s">
        <v>21</v>
      </c>
      <c r="H978" s="516">
        <v>76507</v>
      </c>
      <c r="I978" s="512" t="s">
        <v>6425</v>
      </c>
    </row>
    <row r="979" spans="2:9" ht="15" x14ac:dyDescent="0.35">
      <c r="B979" s="512" t="s">
        <v>6219</v>
      </c>
      <c r="C979" s="512" t="s">
        <v>6235</v>
      </c>
      <c r="D979" s="512" t="s">
        <v>6236</v>
      </c>
      <c r="E979" s="513">
        <v>4795</v>
      </c>
      <c r="F979" s="512" t="s">
        <v>1003</v>
      </c>
      <c r="G979" s="513" t="s">
        <v>21</v>
      </c>
      <c r="H979" s="516">
        <v>67883</v>
      </c>
      <c r="I979" s="515" t="s">
        <v>6425</v>
      </c>
    </row>
    <row r="980" spans="2:9" ht="15" x14ac:dyDescent="0.35">
      <c r="B980" s="512" t="s">
        <v>6219</v>
      </c>
      <c r="C980" s="512" t="s">
        <v>6235</v>
      </c>
      <c r="D980" s="512" t="s">
        <v>6236</v>
      </c>
      <c r="E980" s="513">
        <v>4797</v>
      </c>
      <c r="F980" s="512" t="s">
        <v>1004</v>
      </c>
      <c r="G980" s="513" t="s">
        <v>29</v>
      </c>
      <c r="H980" s="516">
        <v>254267</v>
      </c>
      <c r="I980" s="515" t="s">
        <v>6425</v>
      </c>
    </row>
    <row r="981" spans="2:9" ht="15" x14ac:dyDescent="0.35">
      <c r="B981" s="512" t="s">
        <v>6219</v>
      </c>
      <c r="C981" s="512" t="s">
        <v>6235</v>
      </c>
      <c r="D981" s="512" t="s">
        <v>6236</v>
      </c>
      <c r="E981" s="513">
        <v>4798</v>
      </c>
      <c r="F981" s="512" t="s">
        <v>1005</v>
      </c>
      <c r="G981" s="513" t="s">
        <v>29</v>
      </c>
      <c r="H981" s="516">
        <v>189037</v>
      </c>
      <c r="I981" s="515" t="s">
        <v>6425</v>
      </c>
    </row>
    <row r="982" spans="2:9" ht="15" x14ac:dyDescent="0.35">
      <c r="B982" s="512" t="s">
        <v>6219</v>
      </c>
      <c r="C982" s="512" t="s">
        <v>6235</v>
      </c>
      <c r="D982" s="512" t="s">
        <v>6236</v>
      </c>
      <c r="E982" s="513">
        <v>4800</v>
      </c>
      <c r="F982" s="512" t="s">
        <v>1006</v>
      </c>
      <c r="G982" s="513" t="s">
        <v>29</v>
      </c>
      <c r="H982" s="516">
        <v>253376</v>
      </c>
      <c r="I982" s="515" t="s">
        <v>6425</v>
      </c>
    </row>
    <row r="983" spans="2:9" ht="15" x14ac:dyDescent="0.35">
      <c r="B983" s="512" t="s">
        <v>6219</v>
      </c>
      <c r="C983" s="512" t="s">
        <v>6239</v>
      </c>
      <c r="D983" s="512" t="s">
        <v>6239</v>
      </c>
      <c r="E983" s="513">
        <v>4801</v>
      </c>
      <c r="F983" s="512" t="s">
        <v>1007</v>
      </c>
      <c r="G983" s="513" t="s">
        <v>26</v>
      </c>
      <c r="H983" s="516">
        <v>20615</v>
      </c>
      <c r="I983" s="515" t="s">
        <v>6915</v>
      </c>
    </row>
    <row r="984" spans="2:9" ht="15" x14ac:dyDescent="0.35">
      <c r="B984" s="512" t="s">
        <v>6219</v>
      </c>
      <c r="C984" s="512" t="s">
        <v>6235</v>
      </c>
      <c r="D984" s="512" t="s">
        <v>6236</v>
      </c>
      <c r="E984" s="513">
        <v>4802</v>
      </c>
      <c r="F984" s="512" t="s">
        <v>1008</v>
      </c>
      <c r="G984" s="513" t="s">
        <v>29</v>
      </c>
      <c r="H984" s="516">
        <v>1104913</v>
      </c>
      <c r="I984" s="512" t="s">
        <v>6425</v>
      </c>
    </row>
    <row r="985" spans="2:9" ht="15" x14ac:dyDescent="0.35">
      <c r="B985" s="512" t="s">
        <v>6219</v>
      </c>
      <c r="C985" s="512" t="s">
        <v>6235</v>
      </c>
      <c r="D985" s="512" t="s">
        <v>6236</v>
      </c>
      <c r="E985" s="513">
        <v>4803</v>
      </c>
      <c r="F985" s="512" t="s">
        <v>1009</v>
      </c>
      <c r="G985" s="513" t="s">
        <v>29</v>
      </c>
      <c r="H985" s="516">
        <v>1657370</v>
      </c>
      <c r="I985" s="515" t="s">
        <v>6425</v>
      </c>
    </row>
    <row r="986" spans="2:9" ht="15" x14ac:dyDescent="0.35">
      <c r="B986" s="512" t="s">
        <v>6219</v>
      </c>
      <c r="C986" s="512" t="s">
        <v>6235</v>
      </c>
      <c r="D986" s="512" t="s">
        <v>6236</v>
      </c>
      <c r="E986" s="513">
        <v>4804</v>
      </c>
      <c r="F986" s="512" t="s">
        <v>1010</v>
      </c>
      <c r="G986" s="513" t="s">
        <v>29</v>
      </c>
      <c r="H986" s="516">
        <v>2209827</v>
      </c>
      <c r="I986" s="515" t="s">
        <v>6425</v>
      </c>
    </row>
    <row r="987" spans="2:9" ht="15" x14ac:dyDescent="0.35">
      <c r="B987" s="512" t="s">
        <v>6219</v>
      </c>
      <c r="C987" s="512" t="s">
        <v>6239</v>
      </c>
      <c r="D987" s="512" t="s">
        <v>6239</v>
      </c>
      <c r="E987" s="513">
        <v>4805</v>
      </c>
      <c r="F987" s="512" t="s">
        <v>1011</v>
      </c>
      <c r="G987" s="513" t="s">
        <v>26</v>
      </c>
      <c r="H987" s="516">
        <v>158835</v>
      </c>
      <c r="I987" s="515" t="s">
        <v>6915</v>
      </c>
    </row>
    <row r="988" spans="2:9" ht="15" x14ac:dyDescent="0.35">
      <c r="B988" s="512" t="s">
        <v>6219</v>
      </c>
      <c r="C988" s="512" t="s">
        <v>6253</v>
      </c>
      <c r="D988" s="512" t="s">
        <v>6254</v>
      </c>
      <c r="E988" s="513">
        <v>4806</v>
      </c>
      <c r="F988" s="512" t="s">
        <v>1012</v>
      </c>
      <c r="G988" s="513" t="s">
        <v>389</v>
      </c>
      <c r="H988" s="516">
        <v>528918</v>
      </c>
      <c r="I988" s="512" t="s">
        <v>5686</v>
      </c>
    </row>
    <row r="989" spans="2:9" ht="15" x14ac:dyDescent="0.35">
      <c r="B989" s="512" t="s">
        <v>6219</v>
      </c>
      <c r="C989" s="512" t="s">
        <v>6253</v>
      </c>
      <c r="D989" s="512" t="s">
        <v>6254</v>
      </c>
      <c r="E989" s="513">
        <v>4807</v>
      </c>
      <c r="F989" s="512" t="s">
        <v>1013</v>
      </c>
      <c r="G989" s="513" t="s">
        <v>676</v>
      </c>
      <c r="H989" s="516">
        <v>75559</v>
      </c>
      <c r="I989" s="512" t="s">
        <v>6915</v>
      </c>
    </row>
    <row r="990" spans="2:9" ht="15" x14ac:dyDescent="0.35">
      <c r="B990" s="512" t="s">
        <v>6219</v>
      </c>
      <c r="C990" s="512" t="s">
        <v>6239</v>
      </c>
      <c r="D990" s="512" t="s">
        <v>6239</v>
      </c>
      <c r="E990" s="513">
        <v>4809</v>
      </c>
      <c r="F990" s="512" t="s">
        <v>1015</v>
      </c>
      <c r="G990" s="513" t="s">
        <v>26</v>
      </c>
      <c r="H990" s="516">
        <v>386134</v>
      </c>
      <c r="I990" s="512" t="s">
        <v>6915</v>
      </c>
    </row>
    <row r="991" spans="2:9" ht="15" x14ac:dyDescent="0.35">
      <c r="B991" s="512" t="s">
        <v>6219</v>
      </c>
      <c r="C991" s="512" t="s">
        <v>6239</v>
      </c>
      <c r="D991" s="512" t="s">
        <v>6239</v>
      </c>
      <c r="E991" s="513">
        <v>4810</v>
      </c>
      <c r="F991" s="512" t="s">
        <v>1016</v>
      </c>
      <c r="G991" s="513" t="s">
        <v>26</v>
      </c>
      <c r="H991" s="516">
        <v>647713</v>
      </c>
      <c r="I991" s="512" t="s">
        <v>6915</v>
      </c>
    </row>
    <row r="992" spans="2:9" ht="15" x14ac:dyDescent="0.35">
      <c r="B992" s="512" t="s">
        <v>6219</v>
      </c>
      <c r="C992" s="512" t="s">
        <v>6230</v>
      </c>
      <c r="D992" s="512" t="s">
        <v>6231</v>
      </c>
      <c r="E992" s="513">
        <v>4812</v>
      </c>
      <c r="F992" s="512" t="s">
        <v>1017</v>
      </c>
      <c r="G992" s="513" t="s">
        <v>26</v>
      </c>
      <c r="H992" s="516">
        <v>157694</v>
      </c>
      <c r="I992" s="512" t="s">
        <v>6915</v>
      </c>
    </row>
    <row r="993" spans="2:9" ht="15" x14ac:dyDescent="0.35">
      <c r="B993" s="512" t="s">
        <v>6219</v>
      </c>
      <c r="C993" s="512" t="s">
        <v>6235</v>
      </c>
      <c r="D993" s="512" t="s">
        <v>6245</v>
      </c>
      <c r="E993" s="513">
        <v>4813</v>
      </c>
      <c r="F993" s="512" t="s">
        <v>1018</v>
      </c>
      <c r="G993" s="513" t="s">
        <v>29</v>
      </c>
      <c r="H993" s="516">
        <v>37826</v>
      </c>
      <c r="I993" s="512" t="s">
        <v>6915</v>
      </c>
    </row>
    <row r="994" spans="2:9" ht="15" x14ac:dyDescent="0.35">
      <c r="B994" s="512" t="s">
        <v>6219</v>
      </c>
      <c r="C994" s="512" t="s">
        <v>6230</v>
      </c>
      <c r="D994" s="512" t="s">
        <v>6246</v>
      </c>
      <c r="E994" s="513">
        <v>4814</v>
      </c>
      <c r="F994" s="512" t="s">
        <v>1019</v>
      </c>
      <c r="G994" s="513" t="s">
        <v>26</v>
      </c>
      <c r="H994" s="516">
        <v>13877</v>
      </c>
      <c r="I994" s="512" t="s">
        <v>6915</v>
      </c>
    </row>
    <row r="995" spans="2:9" ht="15" x14ac:dyDescent="0.35">
      <c r="B995" s="512" t="s">
        <v>6219</v>
      </c>
      <c r="C995" s="512" t="s">
        <v>6237</v>
      </c>
      <c r="D995" s="512" t="s">
        <v>6238</v>
      </c>
      <c r="E995" s="513">
        <v>4826</v>
      </c>
      <c r="F995" s="512" t="s">
        <v>1020</v>
      </c>
      <c r="G995" s="513" t="s">
        <v>29</v>
      </c>
      <c r="H995" s="516">
        <v>164964</v>
      </c>
      <c r="I995" s="512" t="s">
        <v>6915</v>
      </c>
    </row>
    <row r="996" spans="2:9" ht="15" x14ac:dyDescent="0.35">
      <c r="B996" s="512" t="s">
        <v>6219</v>
      </c>
      <c r="C996" s="512" t="s">
        <v>6237</v>
      </c>
      <c r="D996" s="512" t="s">
        <v>6238</v>
      </c>
      <c r="E996" s="513">
        <v>4827</v>
      </c>
      <c r="F996" s="512" t="s">
        <v>1021</v>
      </c>
      <c r="G996" s="513" t="s">
        <v>29</v>
      </c>
      <c r="H996" s="514">
        <v>7329</v>
      </c>
      <c r="I996" s="515" t="s">
        <v>6915</v>
      </c>
    </row>
    <row r="997" spans="2:9" ht="15" x14ac:dyDescent="0.35">
      <c r="B997" s="512" t="s">
        <v>6219</v>
      </c>
      <c r="C997" s="512" t="s">
        <v>6240</v>
      </c>
      <c r="D997" s="512" t="s">
        <v>6256</v>
      </c>
      <c r="E997" s="513">
        <v>4828</v>
      </c>
      <c r="F997" s="512" t="s">
        <v>1022</v>
      </c>
      <c r="G997" s="513" t="s">
        <v>26</v>
      </c>
      <c r="H997" s="516">
        <v>38881</v>
      </c>
      <c r="I997" s="515" t="s">
        <v>6915</v>
      </c>
    </row>
    <row r="998" spans="2:9" ht="15" x14ac:dyDescent="0.35">
      <c r="B998" s="512" t="s">
        <v>6219</v>
      </c>
      <c r="C998" s="512" t="s">
        <v>6240</v>
      </c>
      <c r="D998" s="512" t="s">
        <v>6241</v>
      </c>
      <c r="E998" s="513">
        <v>4829</v>
      </c>
      <c r="F998" s="512" t="s">
        <v>1023</v>
      </c>
      <c r="G998" s="513" t="s">
        <v>23</v>
      </c>
      <c r="H998" s="514">
        <v>1248162</v>
      </c>
      <c r="I998" s="515" t="s">
        <v>6915</v>
      </c>
    </row>
    <row r="999" spans="2:9" ht="15" x14ac:dyDescent="0.35">
      <c r="B999" s="512" t="s">
        <v>6263</v>
      </c>
      <c r="C999" s="512" t="s">
        <v>6264</v>
      </c>
      <c r="D999" s="512" t="s">
        <v>6264</v>
      </c>
      <c r="E999" s="513">
        <v>4830</v>
      </c>
      <c r="F999" s="512" t="s">
        <v>1024</v>
      </c>
      <c r="G999" s="513" t="s">
        <v>21</v>
      </c>
      <c r="H999" s="516">
        <v>12082</v>
      </c>
      <c r="I999" s="512" t="s">
        <v>6915</v>
      </c>
    </row>
    <row r="1000" spans="2:9" ht="15" x14ac:dyDescent="0.35">
      <c r="B1000" s="512" t="s">
        <v>6263</v>
      </c>
      <c r="C1000" s="512" t="s">
        <v>6264</v>
      </c>
      <c r="D1000" s="512" t="s">
        <v>6264</v>
      </c>
      <c r="E1000" s="513">
        <v>4831</v>
      </c>
      <c r="F1000" s="512" t="s">
        <v>1025</v>
      </c>
      <c r="G1000" s="513" t="s">
        <v>21</v>
      </c>
      <c r="H1000" s="516">
        <v>204662</v>
      </c>
      <c r="I1000" s="512" t="s">
        <v>6915</v>
      </c>
    </row>
    <row r="1001" spans="2:9" ht="15" x14ac:dyDescent="0.35">
      <c r="B1001" s="512" t="s">
        <v>6219</v>
      </c>
      <c r="C1001" s="512" t="s">
        <v>6237</v>
      </c>
      <c r="D1001" s="512" t="s">
        <v>6238</v>
      </c>
      <c r="E1001" s="513">
        <v>4832</v>
      </c>
      <c r="F1001" s="512" t="s">
        <v>1026</v>
      </c>
      <c r="G1001" s="513" t="s">
        <v>29</v>
      </c>
      <c r="H1001" s="516">
        <v>76282</v>
      </c>
      <c r="I1001" s="512" t="s">
        <v>6915</v>
      </c>
    </row>
    <row r="1002" spans="2:9" ht="15" x14ac:dyDescent="0.35">
      <c r="B1002" s="512" t="s">
        <v>6219</v>
      </c>
      <c r="C1002" s="512" t="s">
        <v>6235</v>
      </c>
      <c r="D1002" s="512" t="s">
        <v>6245</v>
      </c>
      <c r="E1002" s="513">
        <v>4833</v>
      </c>
      <c r="F1002" s="512" t="s">
        <v>1027</v>
      </c>
      <c r="G1002" s="513" t="s">
        <v>29</v>
      </c>
      <c r="H1002" s="516">
        <v>17254</v>
      </c>
      <c r="I1002" s="512" t="s">
        <v>6915</v>
      </c>
    </row>
    <row r="1003" spans="2:9" ht="15" x14ac:dyDescent="0.35">
      <c r="B1003" s="512" t="s">
        <v>6219</v>
      </c>
      <c r="C1003" s="512" t="s">
        <v>6230</v>
      </c>
      <c r="D1003" s="512" t="s">
        <v>6231</v>
      </c>
      <c r="E1003" s="513">
        <v>4834</v>
      </c>
      <c r="F1003" s="512" t="s">
        <v>1028</v>
      </c>
      <c r="G1003" s="513" t="s">
        <v>29</v>
      </c>
      <c r="H1003" s="514">
        <v>167920</v>
      </c>
      <c r="I1003" s="515" t="s">
        <v>6915</v>
      </c>
    </row>
    <row r="1004" spans="2:9" ht="15" x14ac:dyDescent="0.35">
      <c r="B1004" s="512" t="s">
        <v>6219</v>
      </c>
      <c r="C1004" s="512" t="s">
        <v>6227</v>
      </c>
      <c r="D1004" s="512" t="s">
        <v>6248</v>
      </c>
      <c r="E1004" s="513">
        <v>4835</v>
      </c>
      <c r="F1004" s="512" t="s">
        <v>1029</v>
      </c>
      <c r="G1004" s="513" t="s">
        <v>23</v>
      </c>
      <c r="H1004" s="516">
        <v>368074</v>
      </c>
      <c r="I1004" s="512" t="s">
        <v>6915</v>
      </c>
    </row>
    <row r="1005" spans="2:9" ht="15" x14ac:dyDescent="0.35">
      <c r="B1005" s="512" t="s">
        <v>6219</v>
      </c>
      <c r="C1005" s="512" t="s">
        <v>6227</v>
      </c>
      <c r="D1005" s="512" t="s">
        <v>6248</v>
      </c>
      <c r="E1005" s="513">
        <v>4836</v>
      </c>
      <c r="F1005" s="512" t="s">
        <v>1030</v>
      </c>
      <c r="G1005" s="513" t="s">
        <v>23</v>
      </c>
      <c r="H1005" s="516">
        <v>537059</v>
      </c>
      <c r="I1005" s="512" t="s">
        <v>6915</v>
      </c>
    </row>
    <row r="1006" spans="2:9" ht="15" x14ac:dyDescent="0.35">
      <c r="B1006" s="512" t="s">
        <v>6219</v>
      </c>
      <c r="C1006" s="512" t="s">
        <v>6227</v>
      </c>
      <c r="D1006" s="512" t="s">
        <v>6229</v>
      </c>
      <c r="E1006" s="513">
        <v>4837</v>
      </c>
      <c r="F1006" s="512" t="s">
        <v>1031</v>
      </c>
      <c r="G1006" s="513" t="s">
        <v>23</v>
      </c>
      <c r="H1006" s="516">
        <v>223097</v>
      </c>
      <c r="I1006" s="512" t="s">
        <v>6915</v>
      </c>
    </row>
    <row r="1007" spans="2:9" ht="15" x14ac:dyDescent="0.35">
      <c r="B1007" s="512" t="s">
        <v>6219</v>
      </c>
      <c r="C1007" s="512" t="s">
        <v>6227</v>
      </c>
      <c r="D1007" s="512" t="s">
        <v>6248</v>
      </c>
      <c r="E1007" s="513">
        <v>4838</v>
      </c>
      <c r="F1007" s="512" t="s">
        <v>1032</v>
      </c>
      <c r="G1007" s="513" t="s">
        <v>23</v>
      </c>
      <c r="H1007" s="516">
        <v>199390</v>
      </c>
      <c r="I1007" s="512" t="s">
        <v>6915</v>
      </c>
    </row>
    <row r="1008" spans="2:9" ht="15" x14ac:dyDescent="0.35">
      <c r="B1008" s="512" t="s">
        <v>6219</v>
      </c>
      <c r="C1008" s="512" t="s">
        <v>6239</v>
      </c>
      <c r="D1008" s="512" t="s">
        <v>6239</v>
      </c>
      <c r="E1008" s="513">
        <v>4839</v>
      </c>
      <c r="F1008" s="512" t="s">
        <v>1033</v>
      </c>
      <c r="G1008" s="513" t="s">
        <v>29</v>
      </c>
      <c r="H1008" s="516">
        <v>661603</v>
      </c>
      <c r="I1008" s="512" t="s">
        <v>6915</v>
      </c>
    </row>
    <row r="1009" spans="2:9" ht="15" x14ac:dyDescent="0.35">
      <c r="B1009" s="512" t="s">
        <v>6219</v>
      </c>
      <c r="C1009" s="512" t="s">
        <v>6239</v>
      </c>
      <c r="D1009" s="512" t="s">
        <v>6239</v>
      </c>
      <c r="E1009" s="513">
        <v>4840</v>
      </c>
      <c r="F1009" s="512" t="s">
        <v>1034</v>
      </c>
      <c r="G1009" s="513" t="s">
        <v>29</v>
      </c>
      <c r="H1009" s="514">
        <v>205126</v>
      </c>
      <c r="I1009" s="515" t="s">
        <v>6915</v>
      </c>
    </row>
    <row r="1010" spans="2:9" ht="15" x14ac:dyDescent="0.35">
      <c r="B1010" s="512" t="s">
        <v>6219</v>
      </c>
      <c r="C1010" s="512" t="s">
        <v>6239</v>
      </c>
      <c r="D1010" s="512" t="s">
        <v>6239</v>
      </c>
      <c r="E1010" s="513">
        <v>4841</v>
      </c>
      <c r="F1010" s="512" t="s">
        <v>1035</v>
      </c>
      <c r="G1010" s="513" t="s">
        <v>29</v>
      </c>
      <c r="H1010" s="516">
        <v>291489</v>
      </c>
      <c r="I1010" s="512" t="s">
        <v>6915</v>
      </c>
    </row>
    <row r="1011" spans="2:9" ht="15" x14ac:dyDescent="0.35">
      <c r="B1011" s="512" t="s">
        <v>6219</v>
      </c>
      <c r="C1011" s="512" t="s">
        <v>6239</v>
      </c>
      <c r="D1011" s="512" t="s">
        <v>6239</v>
      </c>
      <c r="E1011" s="513">
        <v>4842</v>
      </c>
      <c r="F1011" s="512" t="s">
        <v>1036</v>
      </c>
      <c r="G1011" s="513" t="s">
        <v>29</v>
      </c>
      <c r="H1011" s="514">
        <v>456149</v>
      </c>
      <c r="I1011" s="515" t="s">
        <v>6915</v>
      </c>
    </row>
    <row r="1012" spans="2:9" ht="15" x14ac:dyDescent="0.35">
      <c r="B1012" s="512" t="s">
        <v>6219</v>
      </c>
      <c r="C1012" s="512" t="s">
        <v>6239</v>
      </c>
      <c r="D1012" s="512" t="s">
        <v>6239</v>
      </c>
      <c r="E1012" s="513">
        <v>4843</v>
      </c>
      <c r="F1012" s="512" t="s">
        <v>1037</v>
      </c>
      <c r="G1012" s="513" t="s">
        <v>29</v>
      </c>
      <c r="H1012" s="514">
        <v>340103</v>
      </c>
      <c r="I1012" s="515" t="s">
        <v>6915</v>
      </c>
    </row>
    <row r="1013" spans="2:9" ht="15" x14ac:dyDescent="0.35">
      <c r="B1013" s="512" t="s">
        <v>6219</v>
      </c>
      <c r="C1013" s="512" t="s">
        <v>6239</v>
      </c>
      <c r="D1013" s="512" t="s">
        <v>6239</v>
      </c>
      <c r="E1013" s="513">
        <v>4844</v>
      </c>
      <c r="F1013" s="512" t="s">
        <v>1038</v>
      </c>
      <c r="G1013" s="513" t="s">
        <v>29</v>
      </c>
      <c r="H1013" s="516">
        <v>3381445</v>
      </c>
      <c r="I1013" s="512" t="s">
        <v>6915</v>
      </c>
    </row>
    <row r="1014" spans="2:9" ht="15" x14ac:dyDescent="0.35">
      <c r="B1014" s="512" t="s">
        <v>6219</v>
      </c>
      <c r="C1014" s="512" t="s">
        <v>6239</v>
      </c>
      <c r="D1014" s="512" t="s">
        <v>6239</v>
      </c>
      <c r="E1014" s="513">
        <v>4845</v>
      </c>
      <c r="F1014" s="512" t="s">
        <v>1039</v>
      </c>
      <c r="G1014" s="513" t="s">
        <v>29</v>
      </c>
      <c r="H1014" s="514">
        <v>1202254</v>
      </c>
      <c r="I1014" s="515" t="s">
        <v>6915</v>
      </c>
    </row>
    <row r="1015" spans="2:9" ht="15" x14ac:dyDescent="0.35">
      <c r="B1015" s="512" t="s">
        <v>6219</v>
      </c>
      <c r="C1015" s="512" t="s">
        <v>6223</v>
      </c>
      <c r="D1015" s="512" t="s">
        <v>6223</v>
      </c>
      <c r="E1015" s="513">
        <v>4846</v>
      </c>
      <c r="F1015" s="512" t="s">
        <v>1040</v>
      </c>
      <c r="G1015" s="513" t="s">
        <v>29</v>
      </c>
      <c r="H1015" s="514">
        <v>225099</v>
      </c>
      <c r="I1015" s="515" t="s">
        <v>6915</v>
      </c>
    </row>
    <row r="1016" spans="2:9" ht="15" x14ac:dyDescent="0.35">
      <c r="B1016" s="512" t="s">
        <v>6219</v>
      </c>
      <c r="C1016" s="512" t="s">
        <v>6223</v>
      </c>
      <c r="D1016" s="512" t="s">
        <v>6223</v>
      </c>
      <c r="E1016" s="513">
        <v>4848</v>
      </c>
      <c r="F1016" s="512" t="s">
        <v>1041</v>
      </c>
      <c r="G1016" s="513" t="s">
        <v>26</v>
      </c>
      <c r="H1016" s="514">
        <v>13637</v>
      </c>
      <c r="I1016" s="515" t="s">
        <v>6915</v>
      </c>
    </row>
    <row r="1017" spans="2:9" ht="15" x14ac:dyDescent="0.35">
      <c r="B1017" s="512" t="s">
        <v>6219</v>
      </c>
      <c r="C1017" s="512" t="s">
        <v>6223</v>
      </c>
      <c r="D1017" s="512" t="s">
        <v>6223</v>
      </c>
      <c r="E1017" s="513">
        <v>4849</v>
      </c>
      <c r="F1017" s="512" t="s">
        <v>1042</v>
      </c>
      <c r="G1017" s="513" t="s">
        <v>26</v>
      </c>
      <c r="H1017" s="516">
        <v>4503</v>
      </c>
      <c r="I1017" s="512" t="s">
        <v>6915</v>
      </c>
    </row>
    <row r="1018" spans="2:9" ht="15" x14ac:dyDescent="0.35">
      <c r="B1018" s="512" t="s">
        <v>6219</v>
      </c>
      <c r="C1018" s="512" t="s">
        <v>6223</v>
      </c>
      <c r="D1018" s="512" t="s">
        <v>6223</v>
      </c>
      <c r="E1018" s="513">
        <v>4850</v>
      </c>
      <c r="F1018" s="512" t="s">
        <v>1043</v>
      </c>
      <c r="G1018" s="513" t="s">
        <v>23</v>
      </c>
      <c r="H1018" s="514">
        <v>358279</v>
      </c>
      <c r="I1018" s="515" t="s">
        <v>6915</v>
      </c>
    </row>
    <row r="1019" spans="2:9" ht="15" x14ac:dyDescent="0.35">
      <c r="B1019" s="512" t="s">
        <v>6219</v>
      </c>
      <c r="C1019" s="512" t="s">
        <v>6239</v>
      </c>
      <c r="D1019" s="512" t="s">
        <v>6239</v>
      </c>
      <c r="E1019" s="513">
        <v>4851</v>
      </c>
      <c r="F1019" s="512" t="s">
        <v>1044</v>
      </c>
      <c r="G1019" s="513" t="s">
        <v>29</v>
      </c>
      <c r="H1019" s="514">
        <v>36270</v>
      </c>
      <c r="I1019" s="515" t="s">
        <v>6915</v>
      </c>
    </row>
    <row r="1020" spans="2:9" ht="15" x14ac:dyDescent="0.35">
      <c r="B1020" s="512" t="s">
        <v>6219</v>
      </c>
      <c r="C1020" s="512" t="s">
        <v>6240</v>
      </c>
      <c r="D1020" s="512" t="s">
        <v>6241</v>
      </c>
      <c r="E1020" s="513">
        <v>4853</v>
      </c>
      <c r="F1020" s="512" t="s">
        <v>1045</v>
      </c>
      <c r="G1020" s="513" t="s">
        <v>23</v>
      </c>
      <c r="H1020" s="514">
        <v>776088</v>
      </c>
      <c r="I1020" s="515" t="s">
        <v>6915</v>
      </c>
    </row>
    <row r="1021" spans="2:9" ht="15" x14ac:dyDescent="0.35">
      <c r="B1021" s="512" t="s">
        <v>6219</v>
      </c>
      <c r="C1021" s="512" t="s">
        <v>6240</v>
      </c>
      <c r="D1021" s="512" t="s">
        <v>6241</v>
      </c>
      <c r="E1021" s="513">
        <v>4854</v>
      </c>
      <c r="F1021" s="512" t="s">
        <v>1046</v>
      </c>
      <c r="G1021" s="513" t="s">
        <v>23</v>
      </c>
      <c r="H1021" s="514">
        <v>794478</v>
      </c>
      <c r="I1021" s="515" t="s">
        <v>6915</v>
      </c>
    </row>
    <row r="1022" spans="2:9" ht="15" x14ac:dyDescent="0.35">
      <c r="B1022" s="512" t="s">
        <v>6219</v>
      </c>
      <c r="C1022" s="512" t="s">
        <v>6230</v>
      </c>
      <c r="D1022" s="512" t="s">
        <v>6246</v>
      </c>
      <c r="E1022" s="513">
        <v>4855</v>
      </c>
      <c r="F1022" s="512" t="s">
        <v>1047</v>
      </c>
      <c r="G1022" s="513" t="s">
        <v>21</v>
      </c>
      <c r="H1022" s="514">
        <v>64652</v>
      </c>
      <c r="I1022" s="515" t="s">
        <v>6915</v>
      </c>
    </row>
    <row r="1023" spans="2:9" ht="15" x14ac:dyDescent="0.35">
      <c r="B1023" s="512" t="s">
        <v>6219</v>
      </c>
      <c r="C1023" s="512" t="s">
        <v>6230</v>
      </c>
      <c r="D1023" s="512" t="s">
        <v>6250</v>
      </c>
      <c r="E1023" s="513">
        <v>4856</v>
      </c>
      <c r="F1023" s="512" t="s">
        <v>6427</v>
      </c>
      <c r="G1023" s="513" t="s">
        <v>21</v>
      </c>
      <c r="H1023" s="514">
        <v>134748</v>
      </c>
      <c r="I1023" s="515" t="s">
        <v>6915</v>
      </c>
    </row>
    <row r="1024" spans="2:9" ht="15" x14ac:dyDescent="0.35">
      <c r="B1024" s="512" t="s">
        <v>6219</v>
      </c>
      <c r="C1024" s="512" t="s">
        <v>6242</v>
      </c>
      <c r="D1024" s="512" t="s">
        <v>6257</v>
      </c>
      <c r="E1024" s="513">
        <v>4857</v>
      </c>
      <c r="F1024" s="512" t="s">
        <v>1048</v>
      </c>
      <c r="G1024" s="513" t="s">
        <v>21</v>
      </c>
      <c r="H1024" s="516">
        <v>3721</v>
      </c>
      <c r="I1024" s="512" t="s">
        <v>6915</v>
      </c>
    </row>
    <row r="1025" spans="2:9" ht="15" x14ac:dyDescent="0.35">
      <c r="B1025" s="512" t="s">
        <v>6219</v>
      </c>
      <c r="C1025" s="512" t="s">
        <v>6239</v>
      </c>
      <c r="D1025" s="512" t="s">
        <v>6239</v>
      </c>
      <c r="E1025" s="513">
        <v>4858</v>
      </c>
      <c r="F1025" s="512" t="s">
        <v>1049</v>
      </c>
      <c r="G1025" s="513" t="s">
        <v>29</v>
      </c>
      <c r="H1025" s="516">
        <v>1441596</v>
      </c>
      <c r="I1025" s="512" t="s">
        <v>6915</v>
      </c>
    </row>
    <row r="1026" spans="2:9" ht="15" x14ac:dyDescent="0.35">
      <c r="B1026" s="512" t="s">
        <v>6219</v>
      </c>
      <c r="C1026" s="512" t="s">
        <v>6230</v>
      </c>
      <c r="D1026" s="512" t="s">
        <v>6231</v>
      </c>
      <c r="E1026" s="513">
        <v>4859</v>
      </c>
      <c r="F1026" s="512" t="s">
        <v>1050</v>
      </c>
      <c r="G1026" s="513" t="s">
        <v>26</v>
      </c>
      <c r="H1026" s="516">
        <v>53964</v>
      </c>
      <c r="I1026" s="512" t="s">
        <v>6915</v>
      </c>
    </row>
    <row r="1027" spans="2:9" ht="15" x14ac:dyDescent="0.35">
      <c r="B1027" s="512" t="s">
        <v>6219</v>
      </c>
      <c r="C1027" s="512" t="s">
        <v>6237</v>
      </c>
      <c r="D1027" s="512" t="s">
        <v>6238</v>
      </c>
      <c r="E1027" s="513">
        <v>4860</v>
      </c>
      <c r="F1027" s="512" t="s">
        <v>1051</v>
      </c>
      <c r="G1027" s="513" t="s">
        <v>29</v>
      </c>
      <c r="H1027" s="514">
        <v>246415</v>
      </c>
      <c r="I1027" s="515" t="s">
        <v>6915</v>
      </c>
    </row>
    <row r="1028" spans="2:9" ht="15" x14ac:dyDescent="0.35">
      <c r="B1028" s="512" t="s">
        <v>6219</v>
      </c>
      <c r="C1028" s="512" t="s">
        <v>6240</v>
      </c>
      <c r="D1028" s="512" t="s">
        <v>6249</v>
      </c>
      <c r="E1028" s="513">
        <v>4861</v>
      </c>
      <c r="F1028" s="512" t="s">
        <v>1052</v>
      </c>
      <c r="G1028" s="513" t="s">
        <v>21</v>
      </c>
      <c r="H1028" s="516">
        <v>157009</v>
      </c>
      <c r="I1028" s="512" t="s">
        <v>6915</v>
      </c>
    </row>
    <row r="1029" spans="2:9" ht="15" x14ac:dyDescent="0.35">
      <c r="B1029" s="512" t="s">
        <v>6219</v>
      </c>
      <c r="C1029" s="512" t="s">
        <v>6232</v>
      </c>
      <c r="D1029" s="512" t="s">
        <v>6232</v>
      </c>
      <c r="E1029" s="513">
        <v>4862</v>
      </c>
      <c r="F1029" s="512" t="s">
        <v>1053</v>
      </c>
      <c r="G1029" s="513" t="s">
        <v>26</v>
      </c>
      <c r="H1029" s="516">
        <v>1353756</v>
      </c>
      <c r="I1029" s="515" t="s">
        <v>6915</v>
      </c>
    </row>
    <row r="1030" spans="2:9" ht="15" x14ac:dyDescent="0.35">
      <c r="B1030" s="512" t="s">
        <v>6219</v>
      </c>
      <c r="C1030" s="512" t="s">
        <v>6237</v>
      </c>
      <c r="D1030" s="512" t="s">
        <v>6238</v>
      </c>
      <c r="E1030" s="513">
        <v>4863</v>
      </c>
      <c r="F1030" s="512" t="s">
        <v>1054</v>
      </c>
      <c r="G1030" s="513" t="s">
        <v>26</v>
      </c>
      <c r="H1030" s="514">
        <v>51552</v>
      </c>
      <c r="I1030" s="515" t="s">
        <v>6915</v>
      </c>
    </row>
    <row r="1031" spans="2:9" ht="15" x14ac:dyDescent="0.35">
      <c r="B1031" s="512" t="s">
        <v>6219</v>
      </c>
      <c r="C1031" s="512" t="s">
        <v>6237</v>
      </c>
      <c r="D1031" s="512" t="s">
        <v>6238</v>
      </c>
      <c r="E1031" s="513">
        <v>4864</v>
      </c>
      <c r="F1031" s="512" t="s">
        <v>1055</v>
      </c>
      <c r="G1031" s="513" t="s">
        <v>26</v>
      </c>
      <c r="H1031" s="514">
        <v>68735</v>
      </c>
      <c r="I1031" s="515" t="s">
        <v>6915</v>
      </c>
    </row>
    <row r="1032" spans="2:9" ht="15" x14ac:dyDescent="0.35">
      <c r="B1032" s="512" t="s">
        <v>6219</v>
      </c>
      <c r="C1032" s="512" t="s">
        <v>6237</v>
      </c>
      <c r="D1032" s="512" t="s">
        <v>6238</v>
      </c>
      <c r="E1032" s="513">
        <v>4865</v>
      </c>
      <c r="F1032" s="512" t="s">
        <v>1056</v>
      </c>
      <c r="G1032" s="513" t="s">
        <v>26</v>
      </c>
      <c r="H1032" s="514">
        <v>34368</v>
      </c>
      <c r="I1032" s="515" t="s">
        <v>6915</v>
      </c>
    </row>
    <row r="1033" spans="2:9" ht="15" x14ac:dyDescent="0.35">
      <c r="B1033" s="512" t="s">
        <v>6219</v>
      </c>
      <c r="C1033" s="512" t="s">
        <v>6237</v>
      </c>
      <c r="D1033" s="512" t="s">
        <v>6238</v>
      </c>
      <c r="E1033" s="513">
        <v>4866</v>
      </c>
      <c r="F1033" s="512" t="s">
        <v>1057</v>
      </c>
      <c r="G1033" s="513" t="s">
        <v>26</v>
      </c>
      <c r="H1033" s="516">
        <v>68735</v>
      </c>
      <c r="I1033" s="515" t="s">
        <v>6915</v>
      </c>
    </row>
    <row r="1034" spans="2:9" ht="15" x14ac:dyDescent="0.35">
      <c r="B1034" s="512" t="s">
        <v>6219</v>
      </c>
      <c r="C1034" s="512" t="s">
        <v>6237</v>
      </c>
      <c r="D1034" s="512" t="s">
        <v>6238</v>
      </c>
      <c r="E1034" s="513">
        <v>4867</v>
      </c>
      <c r="F1034" s="512" t="s">
        <v>1058</v>
      </c>
      <c r="G1034" s="513" t="s">
        <v>26</v>
      </c>
      <c r="H1034" s="516">
        <v>103103</v>
      </c>
      <c r="I1034" s="515" t="s">
        <v>6915</v>
      </c>
    </row>
    <row r="1035" spans="2:9" ht="15" x14ac:dyDescent="0.35">
      <c r="B1035" s="512" t="s">
        <v>6219</v>
      </c>
      <c r="C1035" s="512" t="s">
        <v>6223</v>
      </c>
      <c r="D1035" s="512" t="s">
        <v>6223</v>
      </c>
      <c r="E1035" s="513">
        <v>4869</v>
      </c>
      <c r="F1035" s="512" t="s">
        <v>1059</v>
      </c>
      <c r="G1035" s="513" t="s">
        <v>29</v>
      </c>
      <c r="H1035" s="516">
        <v>112551</v>
      </c>
      <c r="I1035" s="515" t="s">
        <v>6915</v>
      </c>
    </row>
    <row r="1036" spans="2:9" ht="15" x14ac:dyDescent="0.35">
      <c r="B1036" s="512" t="s">
        <v>6219</v>
      </c>
      <c r="C1036" s="512" t="s">
        <v>6223</v>
      </c>
      <c r="D1036" s="512" t="s">
        <v>6223</v>
      </c>
      <c r="E1036" s="513">
        <v>4870</v>
      </c>
      <c r="F1036" s="512" t="s">
        <v>1060</v>
      </c>
      <c r="G1036" s="513" t="s">
        <v>29</v>
      </c>
      <c r="H1036" s="516">
        <v>112551</v>
      </c>
      <c r="I1036" s="515" t="s">
        <v>6915</v>
      </c>
    </row>
    <row r="1037" spans="2:9" ht="15" x14ac:dyDescent="0.35">
      <c r="B1037" s="512" t="s">
        <v>6219</v>
      </c>
      <c r="C1037" s="512" t="s">
        <v>6223</v>
      </c>
      <c r="D1037" s="512" t="s">
        <v>6223</v>
      </c>
      <c r="E1037" s="513">
        <v>4871</v>
      </c>
      <c r="F1037" s="512" t="s">
        <v>1061</v>
      </c>
      <c r="G1037" s="513" t="s">
        <v>29</v>
      </c>
      <c r="H1037" s="516">
        <v>56276</v>
      </c>
      <c r="I1037" s="512" t="s">
        <v>6915</v>
      </c>
    </row>
    <row r="1038" spans="2:9" ht="15" x14ac:dyDescent="0.35">
      <c r="B1038" s="512" t="s">
        <v>6219</v>
      </c>
      <c r="C1038" s="512" t="s">
        <v>6239</v>
      </c>
      <c r="D1038" s="512" t="s">
        <v>6239</v>
      </c>
      <c r="E1038" s="513">
        <v>4872</v>
      </c>
      <c r="F1038" s="512" t="s">
        <v>1062</v>
      </c>
      <c r="G1038" s="513" t="s">
        <v>29</v>
      </c>
      <c r="H1038" s="516">
        <v>282870</v>
      </c>
      <c r="I1038" s="512" t="s">
        <v>6915</v>
      </c>
    </row>
    <row r="1039" spans="2:9" ht="15" x14ac:dyDescent="0.35">
      <c r="B1039" s="512" t="s">
        <v>6219</v>
      </c>
      <c r="C1039" s="512" t="s">
        <v>6239</v>
      </c>
      <c r="D1039" s="512" t="s">
        <v>6239</v>
      </c>
      <c r="E1039" s="513">
        <v>4873</v>
      </c>
      <c r="F1039" s="512" t="s">
        <v>1063</v>
      </c>
      <c r="G1039" s="513" t="s">
        <v>29</v>
      </c>
      <c r="H1039" s="514">
        <v>803555</v>
      </c>
      <c r="I1039" s="515" t="s">
        <v>6915</v>
      </c>
    </row>
    <row r="1040" spans="2:9" ht="15" x14ac:dyDescent="0.35">
      <c r="B1040" s="512" t="s">
        <v>6219</v>
      </c>
      <c r="C1040" s="512" t="s">
        <v>6239</v>
      </c>
      <c r="D1040" s="512" t="s">
        <v>6239</v>
      </c>
      <c r="E1040" s="513">
        <v>4874</v>
      </c>
      <c r="F1040" s="512" t="s">
        <v>1064</v>
      </c>
      <c r="G1040" s="513" t="s">
        <v>29</v>
      </c>
      <c r="H1040" s="514">
        <v>609236</v>
      </c>
      <c r="I1040" s="515" t="s">
        <v>6915</v>
      </c>
    </row>
    <row r="1041" spans="2:9" ht="15" x14ac:dyDescent="0.35">
      <c r="B1041" s="512" t="s">
        <v>6219</v>
      </c>
      <c r="C1041" s="512" t="s">
        <v>6239</v>
      </c>
      <c r="D1041" s="512" t="s">
        <v>6239</v>
      </c>
      <c r="E1041" s="513">
        <v>4875</v>
      </c>
      <c r="F1041" s="512" t="s">
        <v>1065</v>
      </c>
      <c r="G1041" s="513" t="s">
        <v>29</v>
      </c>
      <c r="H1041" s="516">
        <v>226080</v>
      </c>
      <c r="I1041" s="512" t="s">
        <v>6915</v>
      </c>
    </row>
    <row r="1042" spans="2:9" ht="15" x14ac:dyDescent="0.35">
      <c r="B1042" s="512" t="s">
        <v>6219</v>
      </c>
      <c r="C1042" s="512" t="s">
        <v>6239</v>
      </c>
      <c r="D1042" s="512" t="s">
        <v>6239</v>
      </c>
      <c r="E1042" s="513">
        <v>4876</v>
      </c>
      <c r="F1042" s="512" t="s">
        <v>1066</v>
      </c>
      <c r="G1042" s="513" t="s">
        <v>29</v>
      </c>
      <c r="H1042" s="516">
        <v>462400</v>
      </c>
      <c r="I1042" s="512" t="s">
        <v>6915</v>
      </c>
    </row>
    <row r="1043" spans="2:9" ht="15" x14ac:dyDescent="0.35">
      <c r="B1043" s="512" t="s">
        <v>6219</v>
      </c>
      <c r="C1043" s="512" t="s">
        <v>6239</v>
      </c>
      <c r="D1043" s="512" t="s">
        <v>6239</v>
      </c>
      <c r="E1043" s="513">
        <v>4877</v>
      </c>
      <c r="F1043" s="512" t="s">
        <v>1067</v>
      </c>
      <c r="G1043" s="513" t="s">
        <v>29</v>
      </c>
      <c r="H1043" s="516">
        <v>415110</v>
      </c>
      <c r="I1043" s="512" t="s">
        <v>6915</v>
      </c>
    </row>
    <row r="1044" spans="2:9" ht="15" x14ac:dyDescent="0.35">
      <c r="B1044" s="512" t="s">
        <v>6219</v>
      </c>
      <c r="C1044" s="512" t="s">
        <v>6239</v>
      </c>
      <c r="D1044" s="512" t="s">
        <v>6239</v>
      </c>
      <c r="E1044" s="513">
        <v>4878</v>
      </c>
      <c r="F1044" s="512" t="s">
        <v>1068</v>
      </c>
      <c r="G1044" s="513" t="s">
        <v>29</v>
      </c>
      <c r="H1044" s="516">
        <v>222961</v>
      </c>
      <c r="I1044" s="512" t="s">
        <v>6915</v>
      </c>
    </row>
    <row r="1045" spans="2:9" ht="15" x14ac:dyDescent="0.35">
      <c r="B1045" s="512" t="s">
        <v>6219</v>
      </c>
      <c r="C1045" s="512" t="s">
        <v>6239</v>
      </c>
      <c r="D1045" s="512" t="s">
        <v>6239</v>
      </c>
      <c r="E1045" s="513">
        <v>4879</v>
      </c>
      <c r="F1045" s="512" t="s">
        <v>1069</v>
      </c>
      <c r="G1045" s="513" t="s">
        <v>29</v>
      </c>
      <c r="H1045" s="514">
        <v>375450</v>
      </c>
      <c r="I1045" s="515" t="s">
        <v>6915</v>
      </c>
    </row>
    <row r="1046" spans="2:9" ht="15" x14ac:dyDescent="0.35">
      <c r="B1046" s="512" t="s">
        <v>6219</v>
      </c>
      <c r="C1046" s="512" t="s">
        <v>6239</v>
      </c>
      <c r="D1046" s="512" t="s">
        <v>6239</v>
      </c>
      <c r="E1046" s="513">
        <v>4880</v>
      </c>
      <c r="F1046" s="512" t="s">
        <v>1070</v>
      </c>
      <c r="G1046" s="513" t="s">
        <v>26</v>
      </c>
      <c r="H1046" s="514">
        <v>812020</v>
      </c>
      <c r="I1046" s="515" t="s">
        <v>6915</v>
      </c>
    </row>
    <row r="1047" spans="2:9" ht="15" x14ac:dyDescent="0.35">
      <c r="B1047" s="512" t="s">
        <v>6219</v>
      </c>
      <c r="C1047" s="512" t="s">
        <v>6235</v>
      </c>
      <c r="D1047" s="512" t="s">
        <v>6236</v>
      </c>
      <c r="E1047" s="513">
        <v>4882</v>
      </c>
      <c r="F1047" s="512" t="s">
        <v>6428</v>
      </c>
      <c r="G1047" s="513" t="s">
        <v>29</v>
      </c>
      <c r="H1047" s="514">
        <v>270647</v>
      </c>
      <c r="I1047" s="515" t="s">
        <v>6425</v>
      </c>
    </row>
    <row r="1048" spans="2:9" ht="15" x14ac:dyDescent="0.35">
      <c r="B1048" s="512" t="s">
        <v>6219</v>
      </c>
      <c r="C1048" s="512" t="s">
        <v>6235</v>
      </c>
      <c r="D1048" s="512" t="s">
        <v>6236</v>
      </c>
      <c r="E1048" s="513">
        <v>4883</v>
      </c>
      <c r="F1048" s="512" t="s">
        <v>1071</v>
      </c>
      <c r="G1048" s="513" t="s">
        <v>21</v>
      </c>
      <c r="H1048" s="514">
        <v>12191</v>
      </c>
      <c r="I1048" s="515" t="s">
        <v>6425</v>
      </c>
    </row>
    <row r="1049" spans="2:9" ht="15" x14ac:dyDescent="0.35">
      <c r="B1049" s="512" t="s">
        <v>6219</v>
      </c>
      <c r="C1049" s="512" t="s">
        <v>6235</v>
      </c>
      <c r="D1049" s="512" t="s">
        <v>6236</v>
      </c>
      <c r="E1049" s="513">
        <v>4884</v>
      </c>
      <c r="F1049" s="512" t="s">
        <v>1072</v>
      </c>
      <c r="G1049" s="513" t="s">
        <v>29</v>
      </c>
      <c r="H1049" s="516">
        <v>225493</v>
      </c>
      <c r="I1049" s="515" t="s">
        <v>6425</v>
      </c>
    </row>
    <row r="1050" spans="2:9" ht="15" x14ac:dyDescent="0.35">
      <c r="B1050" s="512" t="s">
        <v>6219</v>
      </c>
      <c r="C1050" s="512" t="s">
        <v>6235</v>
      </c>
      <c r="D1050" s="512" t="s">
        <v>6236</v>
      </c>
      <c r="E1050" s="513">
        <v>4885</v>
      </c>
      <c r="F1050" s="512" t="s">
        <v>1073</v>
      </c>
      <c r="G1050" s="513" t="s">
        <v>29</v>
      </c>
      <c r="H1050" s="514">
        <v>233156</v>
      </c>
      <c r="I1050" s="515" t="s">
        <v>6425</v>
      </c>
    </row>
    <row r="1051" spans="2:9" ht="15" x14ac:dyDescent="0.35">
      <c r="B1051" s="512" t="s">
        <v>6219</v>
      </c>
      <c r="C1051" s="512" t="s">
        <v>6235</v>
      </c>
      <c r="D1051" s="512" t="s">
        <v>6236</v>
      </c>
      <c r="E1051" s="513">
        <v>4886</v>
      </c>
      <c r="F1051" s="512" t="s">
        <v>1074</v>
      </c>
      <c r="G1051" s="513" t="s">
        <v>29</v>
      </c>
      <c r="H1051" s="514">
        <v>266502</v>
      </c>
      <c r="I1051" s="515" t="s">
        <v>6425</v>
      </c>
    </row>
    <row r="1052" spans="2:9" ht="15" x14ac:dyDescent="0.35">
      <c r="B1052" s="512" t="s">
        <v>6219</v>
      </c>
      <c r="C1052" s="512" t="s">
        <v>6235</v>
      </c>
      <c r="D1052" s="512" t="s">
        <v>6236</v>
      </c>
      <c r="E1052" s="513">
        <v>4887</v>
      </c>
      <c r="F1052" s="512" t="s">
        <v>1075</v>
      </c>
      <c r="G1052" s="513" t="s">
        <v>29</v>
      </c>
      <c r="H1052" s="514">
        <v>569279</v>
      </c>
      <c r="I1052" s="515" t="s">
        <v>6425</v>
      </c>
    </row>
    <row r="1053" spans="2:9" ht="15" x14ac:dyDescent="0.35">
      <c r="B1053" s="512" t="s">
        <v>6219</v>
      </c>
      <c r="C1053" s="512" t="s">
        <v>6235</v>
      </c>
      <c r="D1053" s="512" t="s">
        <v>6236</v>
      </c>
      <c r="E1053" s="513">
        <v>4888</v>
      </c>
      <c r="F1053" s="512" t="s">
        <v>1076</v>
      </c>
      <c r="G1053" s="513" t="s">
        <v>29</v>
      </c>
      <c r="H1053" s="514">
        <v>256139</v>
      </c>
      <c r="I1053" s="515" t="s">
        <v>6425</v>
      </c>
    </row>
    <row r="1054" spans="2:9" ht="15" x14ac:dyDescent="0.35">
      <c r="B1054" s="512" t="s">
        <v>6219</v>
      </c>
      <c r="C1054" s="512" t="s">
        <v>6224</v>
      </c>
      <c r="D1054" s="512" t="s">
        <v>6244</v>
      </c>
      <c r="E1054" s="513">
        <v>4889</v>
      </c>
      <c r="F1054" s="512" t="s">
        <v>1077</v>
      </c>
      <c r="G1054" s="513" t="s">
        <v>29</v>
      </c>
      <c r="H1054" s="516">
        <v>1731672</v>
      </c>
      <c r="I1054" s="515" t="s">
        <v>6915</v>
      </c>
    </row>
    <row r="1055" spans="2:9" ht="15" x14ac:dyDescent="0.35">
      <c r="B1055" s="512" t="s">
        <v>6219</v>
      </c>
      <c r="C1055" s="512" t="s">
        <v>6224</v>
      </c>
      <c r="D1055" s="512" t="s">
        <v>6244</v>
      </c>
      <c r="E1055" s="513">
        <v>4890</v>
      </c>
      <c r="F1055" s="512" t="s">
        <v>1078</v>
      </c>
      <c r="G1055" s="513" t="s">
        <v>29</v>
      </c>
      <c r="H1055" s="514">
        <v>670474</v>
      </c>
      <c r="I1055" s="515" t="s">
        <v>6915</v>
      </c>
    </row>
    <row r="1056" spans="2:9" ht="15" x14ac:dyDescent="0.35">
      <c r="B1056" s="512" t="s">
        <v>6219</v>
      </c>
      <c r="C1056" s="512" t="s">
        <v>6224</v>
      </c>
      <c r="D1056" s="512" t="s">
        <v>6244</v>
      </c>
      <c r="E1056" s="513">
        <v>4891</v>
      </c>
      <c r="F1056" s="512" t="s">
        <v>1079</v>
      </c>
      <c r="G1056" s="513" t="s">
        <v>29</v>
      </c>
      <c r="H1056" s="514">
        <v>869303</v>
      </c>
      <c r="I1056" s="515" t="s">
        <v>6915</v>
      </c>
    </row>
    <row r="1057" spans="2:9" ht="15" x14ac:dyDescent="0.35">
      <c r="B1057" s="512" t="s">
        <v>6219</v>
      </c>
      <c r="C1057" s="512" t="s">
        <v>6232</v>
      </c>
      <c r="D1057" s="512" t="s">
        <v>6232</v>
      </c>
      <c r="E1057" s="513">
        <v>4892</v>
      </c>
      <c r="F1057" s="512" t="s">
        <v>1080</v>
      </c>
      <c r="G1057" s="513" t="s">
        <v>26</v>
      </c>
      <c r="H1057" s="514">
        <v>382449</v>
      </c>
      <c r="I1057" s="515" t="s">
        <v>6915</v>
      </c>
    </row>
    <row r="1058" spans="2:9" ht="15" x14ac:dyDescent="0.35">
      <c r="B1058" s="512" t="s">
        <v>6219</v>
      </c>
      <c r="C1058" s="512" t="s">
        <v>6253</v>
      </c>
      <c r="D1058" s="512" t="s">
        <v>6254</v>
      </c>
      <c r="E1058" s="513">
        <v>4894</v>
      </c>
      <c r="F1058" s="512" t="s">
        <v>1081</v>
      </c>
      <c r="G1058" s="513" t="s">
        <v>389</v>
      </c>
      <c r="H1058" s="516">
        <v>431504</v>
      </c>
      <c r="I1058" s="512" t="s">
        <v>5686</v>
      </c>
    </row>
    <row r="1059" spans="2:9" ht="15" x14ac:dyDescent="0.35">
      <c r="B1059" s="512" t="s">
        <v>6219</v>
      </c>
      <c r="C1059" s="512" t="s">
        <v>6253</v>
      </c>
      <c r="D1059" s="512" t="s">
        <v>6254</v>
      </c>
      <c r="E1059" s="513">
        <v>4895</v>
      </c>
      <c r="F1059" s="512" t="s">
        <v>1082</v>
      </c>
      <c r="G1059" s="513" t="s">
        <v>676</v>
      </c>
      <c r="H1059" s="516">
        <v>61646</v>
      </c>
      <c r="I1059" s="512" t="s">
        <v>6915</v>
      </c>
    </row>
    <row r="1060" spans="2:9" ht="15" x14ac:dyDescent="0.35">
      <c r="B1060" s="512" t="s">
        <v>6219</v>
      </c>
      <c r="C1060" s="512" t="s">
        <v>6232</v>
      </c>
      <c r="D1060" s="512" t="s">
        <v>6232</v>
      </c>
      <c r="E1060" s="513">
        <v>4896</v>
      </c>
      <c r="F1060" s="512" t="s">
        <v>1083</v>
      </c>
      <c r="G1060" s="513" t="s">
        <v>26</v>
      </c>
      <c r="H1060" s="514">
        <v>477318</v>
      </c>
      <c r="I1060" s="515" t="s">
        <v>6915</v>
      </c>
    </row>
    <row r="1061" spans="2:9" ht="15" x14ac:dyDescent="0.35">
      <c r="B1061" s="512" t="s">
        <v>6219</v>
      </c>
      <c r="C1061" s="512" t="s">
        <v>6239</v>
      </c>
      <c r="D1061" s="512" t="s">
        <v>6239</v>
      </c>
      <c r="E1061" s="513">
        <v>4898</v>
      </c>
      <c r="F1061" s="512" t="s">
        <v>1084</v>
      </c>
      <c r="G1061" s="513" t="s">
        <v>29</v>
      </c>
      <c r="H1061" s="514">
        <v>217038</v>
      </c>
      <c r="I1061" s="515" t="s">
        <v>6915</v>
      </c>
    </row>
    <row r="1062" spans="2:9" ht="15" x14ac:dyDescent="0.35">
      <c r="B1062" s="512" t="s">
        <v>6219</v>
      </c>
      <c r="C1062" s="512" t="s">
        <v>6239</v>
      </c>
      <c r="D1062" s="512" t="s">
        <v>6239</v>
      </c>
      <c r="E1062" s="513">
        <v>4899</v>
      </c>
      <c r="F1062" s="512" t="s">
        <v>1085</v>
      </c>
      <c r="G1062" s="513" t="s">
        <v>29</v>
      </c>
      <c r="H1062" s="514">
        <v>247978</v>
      </c>
      <c r="I1062" s="515" t="s">
        <v>6915</v>
      </c>
    </row>
    <row r="1063" spans="2:9" ht="15" x14ac:dyDescent="0.35">
      <c r="B1063" s="512" t="s">
        <v>6219</v>
      </c>
      <c r="C1063" s="512" t="s">
        <v>6239</v>
      </c>
      <c r="D1063" s="512" t="s">
        <v>6239</v>
      </c>
      <c r="E1063" s="513">
        <v>4900</v>
      </c>
      <c r="F1063" s="512" t="s">
        <v>1086</v>
      </c>
      <c r="G1063" s="513" t="s">
        <v>29</v>
      </c>
      <c r="H1063" s="514">
        <v>766818</v>
      </c>
      <c r="I1063" s="515" t="s">
        <v>6915</v>
      </c>
    </row>
    <row r="1064" spans="2:9" ht="15" x14ac:dyDescent="0.35">
      <c r="B1064" s="512" t="s">
        <v>6219</v>
      </c>
      <c r="C1064" s="512" t="s">
        <v>6239</v>
      </c>
      <c r="D1064" s="512" t="s">
        <v>6239</v>
      </c>
      <c r="E1064" s="513">
        <v>4901</v>
      </c>
      <c r="F1064" s="512" t="s">
        <v>1087</v>
      </c>
      <c r="G1064" s="513" t="s">
        <v>29</v>
      </c>
      <c r="H1064" s="514">
        <v>1293252</v>
      </c>
      <c r="I1064" s="515" t="s">
        <v>6915</v>
      </c>
    </row>
    <row r="1065" spans="2:9" ht="15" x14ac:dyDescent="0.35">
      <c r="B1065" s="512" t="s">
        <v>6219</v>
      </c>
      <c r="C1065" s="512" t="s">
        <v>6230</v>
      </c>
      <c r="D1065" s="512" t="s">
        <v>6250</v>
      </c>
      <c r="E1065" s="513">
        <v>4902</v>
      </c>
      <c r="F1065" s="512" t="s">
        <v>1088</v>
      </c>
      <c r="G1065" s="513" t="s">
        <v>29</v>
      </c>
      <c r="H1065" s="514">
        <v>1428928</v>
      </c>
      <c r="I1065" s="515" t="s">
        <v>6915</v>
      </c>
    </row>
    <row r="1066" spans="2:9" ht="15" x14ac:dyDescent="0.35">
      <c r="B1066" s="512" t="s">
        <v>6219</v>
      </c>
      <c r="C1066" s="512" t="s">
        <v>6230</v>
      </c>
      <c r="D1066" s="512" t="s">
        <v>6231</v>
      </c>
      <c r="E1066" s="513">
        <v>4903</v>
      </c>
      <c r="F1066" s="512" t="s">
        <v>1089</v>
      </c>
      <c r="G1066" s="513" t="s">
        <v>29</v>
      </c>
      <c r="H1066" s="514">
        <v>150447</v>
      </c>
      <c r="I1066" s="515" t="s">
        <v>6915</v>
      </c>
    </row>
    <row r="1067" spans="2:9" ht="15" x14ac:dyDescent="0.35">
      <c r="B1067" s="512" t="s">
        <v>6219</v>
      </c>
      <c r="C1067" s="512" t="s">
        <v>6258</v>
      </c>
      <c r="D1067" s="512" t="s">
        <v>6259</v>
      </c>
      <c r="E1067" s="513">
        <v>4905</v>
      </c>
      <c r="F1067" s="512" t="s">
        <v>1090</v>
      </c>
      <c r="G1067" s="513" t="s">
        <v>26</v>
      </c>
      <c r="H1067" s="516">
        <v>144336</v>
      </c>
      <c r="I1067" s="512" t="s">
        <v>6915</v>
      </c>
    </row>
    <row r="1068" spans="2:9" ht="15" x14ac:dyDescent="0.35">
      <c r="B1068" s="512" t="s">
        <v>6219</v>
      </c>
      <c r="C1068" s="512" t="s">
        <v>6227</v>
      </c>
      <c r="D1068" s="512" t="s">
        <v>6248</v>
      </c>
      <c r="E1068" s="513">
        <v>4907</v>
      </c>
      <c r="F1068" s="512" t="s">
        <v>1091</v>
      </c>
      <c r="G1068" s="513" t="s">
        <v>23</v>
      </c>
      <c r="H1068" s="516">
        <v>174907</v>
      </c>
      <c r="I1068" s="512" t="s">
        <v>6915</v>
      </c>
    </row>
    <row r="1069" spans="2:9" ht="15" x14ac:dyDescent="0.35">
      <c r="B1069" s="512" t="s">
        <v>6219</v>
      </c>
      <c r="C1069" s="512" t="s">
        <v>6227</v>
      </c>
      <c r="D1069" s="512" t="s">
        <v>6248</v>
      </c>
      <c r="E1069" s="513">
        <v>4908</v>
      </c>
      <c r="F1069" s="512" t="s">
        <v>6429</v>
      </c>
      <c r="G1069" s="513" t="s">
        <v>23</v>
      </c>
      <c r="H1069" s="516">
        <v>133633</v>
      </c>
      <c r="I1069" s="512" t="s">
        <v>6915</v>
      </c>
    </row>
    <row r="1070" spans="2:9" ht="15" x14ac:dyDescent="0.35">
      <c r="B1070" s="512" t="s">
        <v>6219</v>
      </c>
      <c r="C1070" s="512" t="s">
        <v>6235</v>
      </c>
      <c r="D1070" s="512" t="s">
        <v>6245</v>
      </c>
      <c r="E1070" s="513">
        <v>4909</v>
      </c>
      <c r="F1070" s="512" t="s">
        <v>1092</v>
      </c>
      <c r="G1070" s="513" t="s">
        <v>21</v>
      </c>
      <c r="H1070" s="516">
        <v>215223</v>
      </c>
      <c r="I1070" s="512" t="s">
        <v>6915</v>
      </c>
    </row>
    <row r="1071" spans="2:9" ht="15" x14ac:dyDescent="0.35">
      <c r="B1071" s="512" t="s">
        <v>6219</v>
      </c>
      <c r="C1071" s="512" t="s">
        <v>6242</v>
      </c>
      <c r="D1071" s="512" t="s">
        <v>6243</v>
      </c>
      <c r="E1071" s="513">
        <v>4910</v>
      </c>
      <c r="F1071" s="512" t="s">
        <v>1093</v>
      </c>
      <c r="G1071" s="513" t="s">
        <v>21</v>
      </c>
      <c r="H1071" s="514">
        <v>178556</v>
      </c>
      <c r="I1071" s="515" t="s">
        <v>6915</v>
      </c>
    </row>
    <row r="1072" spans="2:9" ht="15" x14ac:dyDescent="0.35">
      <c r="B1072" s="512" t="s">
        <v>6219</v>
      </c>
      <c r="C1072" s="512" t="s">
        <v>6230</v>
      </c>
      <c r="D1072" s="512" t="s">
        <v>6231</v>
      </c>
      <c r="E1072" s="513">
        <v>4911</v>
      </c>
      <c r="F1072" s="512" t="s">
        <v>1094</v>
      </c>
      <c r="G1072" s="513" t="s">
        <v>26</v>
      </c>
      <c r="H1072" s="514">
        <v>72651</v>
      </c>
      <c r="I1072" s="515" t="s">
        <v>6915</v>
      </c>
    </row>
    <row r="1073" spans="2:9" ht="15" x14ac:dyDescent="0.35">
      <c r="B1073" s="512" t="s">
        <v>6219</v>
      </c>
      <c r="C1073" s="512" t="s">
        <v>6233</v>
      </c>
      <c r="D1073" s="512" t="s">
        <v>6234</v>
      </c>
      <c r="E1073" s="513">
        <v>4912</v>
      </c>
      <c r="F1073" s="512" t="s">
        <v>1095</v>
      </c>
      <c r="G1073" s="513" t="s">
        <v>29</v>
      </c>
      <c r="H1073" s="514">
        <v>2739993</v>
      </c>
      <c r="I1073" s="515" t="s">
        <v>6915</v>
      </c>
    </row>
    <row r="1074" spans="2:9" ht="15" x14ac:dyDescent="0.35">
      <c r="B1074" s="512" t="s">
        <v>6219</v>
      </c>
      <c r="C1074" s="512" t="s">
        <v>6233</v>
      </c>
      <c r="D1074" s="512" t="s">
        <v>6234</v>
      </c>
      <c r="E1074" s="513">
        <v>4914</v>
      </c>
      <c r="F1074" s="512" t="s">
        <v>1096</v>
      </c>
      <c r="G1074" s="513" t="s">
        <v>29</v>
      </c>
      <c r="H1074" s="516">
        <v>1273541</v>
      </c>
      <c r="I1074" s="512" t="s">
        <v>6915</v>
      </c>
    </row>
    <row r="1075" spans="2:9" ht="15" x14ac:dyDescent="0.35">
      <c r="B1075" s="512" t="s">
        <v>6219</v>
      </c>
      <c r="C1075" s="512" t="s">
        <v>6230</v>
      </c>
      <c r="D1075" s="512" t="s">
        <v>6231</v>
      </c>
      <c r="E1075" s="513">
        <v>4915</v>
      </c>
      <c r="F1075" s="512" t="s">
        <v>1097</v>
      </c>
      <c r="G1075" s="513" t="s">
        <v>26</v>
      </c>
      <c r="H1075" s="516">
        <v>65645</v>
      </c>
      <c r="I1075" s="512" t="s">
        <v>6915</v>
      </c>
    </row>
    <row r="1076" spans="2:9" ht="15" x14ac:dyDescent="0.35">
      <c r="B1076" s="512" t="s">
        <v>6219</v>
      </c>
      <c r="C1076" s="512" t="s">
        <v>6230</v>
      </c>
      <c r="D1076" s="512" t="s">
        <v>6250</v>
      </c>
      <c r="E1076" s="513">
        <v>4919</v>
      </c>
      <c r="F1076" s="512" t="s">
        <v>1098</v>
      </c>
      <c r="G1076" s="513" t="s">
        <v>21</v>
      </c>
      <c r="H1076" s="516">
        <v>147839</v>
      </c>
      <c r="I1076" s="512" t="s">
        <v>6915</v>
      </c>
    </row>
    <row r="1077" spans="2:9" ht="15" x14ac:dyDescent="0.35">
      <c r="B1077" s="512" t="s">
        <v>6219</v>
      </c>
      <c r="C1077" s="512" t="s">
        <v>6235</v>
      </c>
      <c r="D1077" s="512" t="s">
        <v>6245</v>
      </c>
      <c r="E1077" s="513">
        <v>4920</v>
      </c>
      <c r="F1077" s="512" t="s">
        <v>1099</v>
      </c>
      <c r="G1077" s="513" t="s">
        <v>29</v>
      </c>
      <c r="H1077" s="514">
        <v>913129</v>
      </c>
      <c r="I1077" s="515" t="s">
        <v>6915</v>
      </c>
    </row>
    <row r="1078" spans="2:9" ht="15" x14ac:dyDescent="0.35">
      <c r="B1078" s="512" t="s">
        <v>6219</v>
      </c>
      <c r="C1078" s="512" t="s">
        <v>6237</v>
      </c>
      <c r="D1078" s="512" t="s">
        <v>6247</v>
      </c>
      <c r="E1078" s="513">
        <v>4921</v>
      </c>
      <c r="F1078" s="512" t="s">
        <v>1100</v>
      </c>
      <c r="G1078" s="513" t="s">
        <v>29</v>
      </c>
      <c r="H1078" s="516">
        <v>158524</v>
      </c>
      <c r="I1078" s="512" t="s">
        <v>6915</v>
      </c>
    </row>
    <row r="1079" spans="2:9" ht="15" x14ac:dyDescent="0.35">
      <c r="B1079" s="512" t="s">
        <v>6219</v>
      </c>
      <c r="C1079" s="512" t="s">
        <v>6253</v>
      </c>
      <c r="D1079" s="512" t="s">
        <v>6254</v>
      </c>
      <c r="E1079" s="513">
        <v>4922</v>
      </c>
      <c r="F1079" s="512" t="s">
        <v>1101</v>
      </c>
      <c r="G1079" s="513" t="s">
        <v>389</v>
      </c>
      <c r="H1079" s="514">
        <v>292242</v>
      </c>
      <c r="I1079" s="515" t="s">
        <v>5686</v>
      </c>
    </row>
    <row r="1080" spans="2:9" ht="15" x14ac:dyDescent="0.35">
      <c r="B1080" s="512" t="s">
        <v>6219</v>
      </c>
      <c r="C1080" s="512" t="s">
        <v>6253</v>
      </c>
      <c r="D1080" s="512" t="s">
        <v>6254</v>
      </c>
      <c r="E1080" s="513">
        <v>4923</v>
      </c>
      <c r="F1080" s="512" t="s">
        <v>1102</v>
      </c>
      <c r="G1080" s="513" t="s">
        <v>676</v>
      </c>
      <c r="H1080" s="516">
        <v>41751</v>
      </c>
      <c r="I1080" s="512" t="s">
        <v>6915</v>
      </c>
    </row>
    <row r="1081" spans="2:9" ht="15" x14ac:dyDescent="0.35">
      <c r="B1081" s="512" t="s">
        <v>6219</v>
      </c>
      <c r="C1081" s="512" t="s">
        <v>6242</v>
      </c>
      <c r="D1081" s="512" t="s">
        <v>6257</v>
      </c>
      <c r="E1081" s="513">
        <v>4925</v>
      </c>
      <c r="F1081" s="512" t="s">
        <v>1103</v>
      </c>
      <c r="G1081" s="513" t="s">
        <v>23</v>
      </c>
      <c r="H1081" s="516">
        <v>339445</v>
      </c>
      <c r="I1081" s="512" t="s">
        <v>6915</v>
      </c>
    </row>
    <row r="1082" spans="2:9" ht="15" x14ac:dyDescent="0.35">
      <c r="B1082" s="512" t="s">
        <v>6219</v>
      </c>
      <c r="C1082" s="512" t="s">
        <v>6242</v>
      </c>
      <c r="D1082" s="512" t="s">
        <v>6257</v>
      </c>
      <c r="E1082" s="513">
        <v>4926</v>
      </c>
      <c r="F1082" s="512" t="s">
        <v>1104</v>
      </c>
      <c r="G1082" s="513" t="s">
        <v>23</v>
      </c>
      <c r="H1082" s="514">
        <v>285445</v>
      </c>
      <c r="I1082" s="515" t="s">
        <v>6915</v>
      </c>
    </row>
    <row r="1083" spans="2:9" ht="15" x14ac:dyDescent="0.35">
      <c r="B1083" s="512" t="s">
        <v>6219</v>
      </c>
      <c r="C1083" s="512" t="s">
        <v>6268</v>
      </c>
      <c r="D1083" s="512" t="s">
        <v>6268</v>
      </c>
      <c r="E1083" s="513">
        <v>4928</v>
      </c>
      <c r="F1083" s="512" t="s">
        <v>1105</v>
      </c>
      <c r="G1083" s="513" t="s">
        <v>1106</v>
      </c>
      <c r="H1083" s="514">
        <v>9617</v>
      </c>
      <c r="I1083" s="515" t="s">
        <v>6915</v>
      </c>
    </row>
    <row r="1084" spans="2:9" ht="15" x14ac:dyDescent="0.35">
      <c r="B1084" s="512" t="s">
        <v>6219</v>
      </c>
      <c r="C1084" s="512" t="s">
        <v>6237</v>
      </c>
      <c r="D1084" s="512" t="s">
        <v>6247</v>
      </c>
      <c r="E1084" s="513">
        <v>4930</v>
      </c>
      <c r="F1084" s="512" t="s">
        <v>1107</v>
      </c>
      <c r="G1084" s="513" t="s">
        <v>1108</v>
      </c>
      <c r="H1084" s="514">
        <v>3325747</v>
      </c>
      <c r="I1084" s="515" t="s">
        <v>6915</v>
      </c>
    </row>
    <row r="1085" spans="2:9" ht="15" x14ac:dyDescent="0.35">
      <c r="B1085" s="512" t="s">
        <v>6219</v>
      </c>
      <c r="C1085" s="512" t="s">
        <v>6268</v>
      </c>
      <c r="D1085" s="512" t="s">
        <v>6268</v>
      </c>
      <c r="E1085" s="513">
        <v>4931</v>
      </c>
      <c r="F1085" s="512" t="s">
        <v>6169</v>
      </c>
      <c r="G1085" s="513" t="s">
        <v>1106</v>
      </c>
      <c r="H1085" s="514">
        <v>35390</v>
      </c>
      <c r="I1085" s="515" t="s">
        <v>6915</v>
      </c>
    </row>
    <row r="1086" spans="2:9" ht="15" x14ac:dyDescent="0.35">
      <c r="B1086" s="512" t="s">
        <v>6219</v>
      </c>
      <c r="C1086" s="512" t="s">
        <v>6269</v>
      </c>
      <c r="D1086" s="512" t="s">
        <v>6269</v>
      </c>
      <c r="E1086" s="513">
        <v>4934</v>
      </c>
      <c r="F1086" s="512" t="s">
        <v>1109</v>
      </c>
      <c r="G1086" s="513" t="s">
        <v>1106</v>
      </c>
      <c r="H1086" s="514">
        <v>170207</v>
      </c>
      <c r="I1086" s="515" t="s">
        <v>6915</v>
      </c>
    </row>
    <row r="1087" spans="2:9" ht="15" x14ac:dyDescent="0.35">
      <c r="B1087" s="512" t="s">
        <v>6219</v>
      </c>
      <c r="C1087" s="512" t="s">
        <v>6269</v>
      </c>
      <c r="D1087" s="512" t="s">
        <v>6269</v>
      </c>
      <c r="E1087" s="513">
        <v>4936</v>
      </c>
      <c r="F1087" s="512" t="s">
        <v>1110</v>
      </c>
      <c r="G1087" s="513" t="s">
        <v>29</v>
      </c>
      <c r="H1087" s="516">
        <v>44881</v>
      </c>
      <c r="I1087" s="515" t="s">
        <v>6915</v>
      </c>
    </row>
    <row r="1088" spans="2:9" ht="15" x14ac:dyDescent="0.35">
      <c r="B1088" s="512" t="s">
        <v>6219</v>
      </c>
      <c r="C1088" s="512" t="s">
        <v>6269</v>
      </c>
      <c r="D1088" s="512" t="s">
        <v>6269</v>
      </c>
      <c r="E1088" s="513">
        <v>4937</v>
      </c>
      <c r="F1088" s="512" t="s">
        <v>1111</v>
      </c>
      <c r="G1088" s="513" t="s">
        <v>21</v>
      </c>
      <c r="H1088" s="516">
        <v>13182</v>
      </c>
      <c r="I1088" s="515" t="s">
        <v>6915</v>
      </c>
    </row>
    <row r="1089" spans="2:9" ht="15" x14ac:dyDescent="0.35">
      <c r="B1089" s="512" t="s">
        <v>6219</v>
      </c>
      <c r="C1089" s="512" t="s">
        <v>6269</v>
      </c>
      <c r="D1089" s="512" t="s">
        <v>6269</v>
      </c>
      <c r="E1089" s="513">
        <v>4945</v>
      </c>
      <c r="F1089" s="512" t="s">
        <v>1112</v>
      </c>
      <c r="G1089" s="513" t="s">
        <v>1113</v>
      </c>
      <c r="H1089" s="516">
        <v>12780</v>
      </c>
      <c r="I1089" s="512" t="s">
        <v>6915</v>
      </c>
    </row>
    <row r="1090" spans="2:9" ht="15" x14ac:dyDescent="0.35">
      <c r="B1090" s="512" t="s">
        <v>6219</v>
      </c>
      <c r="C1090" s="512" t="s">
        <v>6269</v>
      </c>
      <c r="D1090" s="512" t="s">
        <v>6269</v>
      </c>
      <c r="E1090" s="513">
        <v>4946</v>
      </c>
      <c r="F1090" s="512" t="s">
        <v>1114</v>
      </c>
      <c r="G1090" s="513" t="s">
        <v>1113</v>
      </c>
      <c r="H1090" s="514">
        <v>34693</v>
      </c>
      <c r="I1090" s="512" t="s">
        <v>6915</v>
      </c>
    </row>
    <row r="1091" spans="2:9" ht="15" x14ac:dyDescent="0.35">
      <c r="B1091" s="512" t="s">
        <v>6219</v>
      </c>
      <c r="C1091" s="512" t="s">
        <v>6235</v>
      </c>
      <c r="D1091" s="512" t="s">
        <v>6245</v>
      </c>
      <c r="E1091" s="513">
        <v>4949</v>
      </c>
      <c r="F1091" s="512" t="s">
        <v>1115</v>
      </c>
      <c r="G1091" s="513" t="s">
        <v>29</v>
      </c>
      <c r="H1091" s="514">
        <v>1117833</v>
      </c>
      <c r="I1091" s="515" t="s">
        <v>6915</v>
      </c>
    </row>
    <row r="1092" spans="2:9" ht="15" x14ac:dyDescent="0.35">
      <c r="B1092" s="512" t="s">
        <v>6219</v>
      </c>
      <c r="C1092" s="512" t="s">
        <v>6233</v>
      </c>
      <c r="D1092" s="512" t="s">
        <v>6234</v>
      </c>
      <c r="E1092" s="513">
        <v>4951</v>
      </c>
      <c r="F1092" s="512" t="s">
        <v>1116</v>
      </c>
      <c r="G1092" s="513" t="s">
        <v>29</v>
      </c>
      <c r="H1092" s="514">
        <v>3163370</v>
      </c>
      <c r="I1092" s="515" t="s">
        <v>6915</v>
      </c>
    </row>
    <row r="1093" spans="2:9" ht="15" x14ac:dyDescent="0.35">
      <c r="B1093" s="512" t="s">
        <v>6219</v>
      </c>
      <c r="C1093" s="512" t="s">
        <v>6233</v>
      </c>
      <c r="D1093" s="512" t="s">
        <v>6234</v>
      </c>
      <c r="E1093" s="513">
        <v>4952</v>
      </c>
      <c r="F1093" s="512" t="s">
        <v>1117</v>
      </c>
      <c r="G1093" s="513" t="s">
        <v>29</v>
      </c>
      <c r="H1093" s="514">
        <v>3646568</v>
      </c>
      <c r="I1093" s="515" t="s">
        <v>6425</v>
      </c>
    </row>
    <row r="1094" spans="2:9" ht="15" x14ac:dyDescent="0.35">
      <c r="B1094" s="512" t="s">
        <v>6219</v>
      </c>
      <c r="C1094" s="512" t="s">
        <v>6233</v>
      </c>
      <c r="D1094" s="512" t="s">
        <v>6234</v>
      </c>
      <c r="E1094" s="513">
        <v>4953</v>
      </c>
      <c r="F1094" s="512" t="s">
        <v>1118</v>
      </c>
      <c r="G1094" s="513" t="s">
        <v>29</v>
      </c>
      <c r="H1094" s="514">
        <v>8105972</v>
      </c>
      <c r="I1094" s="515" t="s">
        <v>6425</v>
      </c>
    </row>
    <row r="1095" spans="2:9" ht="15" x14ac:dyDescent="0.35">
      <c r="B1095" s="512" t="s">
        <v>6219</v>
      </c>
      <c r="C1095" s="512" t="s">
        <v>6251</v>
      </c>
      <c r="D1095" s="512" t="s">
        <v>6251</v>
      </c>
      <c r="E1095" s="513">
        <v>4959</v>
      </c>
      <c r="F1095" s="512" t="s">
        <v>1119</v>
      </c>
      <c r="G1095" s="513" t="s">
        <v>367</v>
      </c>
      <c r="H1095" s="514">
        <v>8684</v>
      </c>
      <c r="I1095" s="512" t="s">
        <v>6915</v>
      </c>
    </row>
    <row r="1096" spans="2:9" ht="15" x14ac:dyDescent="0.35">
      <c r="B1096" s="512" t="s">
        <v>6219</v>
      </c>
      <c r="C1096" s="512" t="s">
        <v>6237</v>
      </c>
      <c r="D1096" s="512" t="s">
        <v>6238</v>
      </c>
      <c r="E1096" s="513">
        <v>4960</v>
      </c>
      <c r="F1096" s="512" t="s">
        <v>1120</v>
      </c>
      <c r="G1096" s="513" t="s">
        <v>29</v>
      </c>
      <c r="H1096" s="514">
        <v>374605</v>
      </c>
      <c r="I1096" s="512" t="s">
        <v>6915</v>
      </c>
    </row>
    <row r="1097" spans="2:9" ht="15" x14ac:dyDescent="0.35">
      <c r="B1097" s="512" t="s">
        <v>6219</v>
      </c>
      <c r="C1097" s="512" t="s">
        <v>6237</v>
      </c>
      <c r="D1097" s="512" t="s">
        <v>6238</v>
      </c>
      <c r="E1097" s="513">
        <v>4961</v>
      </c>
      <c r="F1097" s="512" t="s">
        <v>1121</v>
      </c>
      <c r="G1097" s="513" t="s">
        <v>26</v>
      </c>
      <c r="H1097" s="514">
        <v>68735</v>
      </c>
      <c r="I1097" s="512" t="s">
        <v>6915</v>
      </c>
    </row>
    <row r="1098" spans="2:9" ht="15" x14ac:dyDescent="0.35">
      <c r="B1098" s="512" t="s">
        <v>6219</v>
      </c>
      <c r="C1098" s="512" t="s">
        <v>6237</v>
      </c>
      <c r="D1098" s="512" t="s">
        <v>6238</v>
      </c>
      <c r="E1098" s="513">
        <v>4962</v>
      </c>
      <c r="F1098" s="512" t="s">
        <v>1122</v>
      </c>
      <c r="G1098" s="513" t="s">
        <v>26</v>
      </c>
      <c r="H1098" s="514">
        <v>17184</v>
      </c>
      <c r="I1098" s="515" t="s">
        <v>6915</v>
      </c>
    </row>
    <row r="1099" spans="2:9" ht="15" x14ac:dyDescent="0.35">
      <c r="B1099" s="512" t="s">
        <v>6219</v>
      </c>
      <c r="C1099" s="512" t="s">
        <v>6237</v>
      </c>
      <c r="D1099" s="512" t="s">
        <v>6238</v>
      </c>
      <c r="E1099" s="513">
        <v>4963</v>
      </c>
      <c r="F1099" s="512" t="s">
        <v>1123</v>
      </c>
      <c r="G1099" s="513" t="s">
        <v>26</v>
      </c>
      <c r="H1099" s="514">
        <v>17184</v>
      </c>
      <c r="I1099" s="515" t="s">
        <v>6915</v>
      </c>
    </row>
    <row r="1100" spans="2:9" ht="15" x14ac:dyDescent="0.35">
      <c r="B1100" s="512" t="s">
        <v>6219</v>
      </c>
      <c r="C1100" s="512" t="s">
        <v>6237</v>
      </c>
      <c r="D1100" s="512" t="s">
        <v>6238</v>
      </c>
      <c r="E1100" s="513">
        <v>4964</v>
      </c>
      <c r="F1100" s="512" t="s">
        <v>1124</v>
      </c>
      <c r="G1100" s="513" t="s">
        <v>26</v>
      </c>
      <c r="H1100" s="514">
        <v>17184</v>
      </c>
      <c r="I1100" s="515" t="s">
        <v>6915</v>
      </c>
    </row>
    <row r="1101" spans="2:9" ht="15" x14ac:dyDescent="0.35">
      <c r="B1101" s="512" t="s">
        <v>6219</v>
      </c>
      <c r="C1101" s="512" t="s">
        <v>6237</v>
      </c>
      <c r="D1101" s="512" t="s">
        <v>6247</v>
      </c>
      <c r="E1101" s="513">
        <v>4966</v>
      </c>
      <c r="F1101" s="512" t="s">
        <v>1125</v>
      </c>
      <c r="G1101" s="513" t="s">
        <v>29</v>
      </c>
      <c r="H1101" s="514">
        <v>6844</v>
      </c>
      <c r="I1101" s="515" t="s">
        <v>6915</v>
      </c>
    </row>
    <row r="1102" spans="2:9" ht="15" x14ac:dyDescent="0.35">
      <c r="B1102" s="512" t="s">
        <v>6219</v>
      </c>
      <c r="C1102" s="512" t="s">
        <v>6232</v>
      </c>
      <c r="D1102" s="512" t="s">
        <v>6232</v>
      </c>
      <c r="E1102" s="513">
        <v>4967</v>
      </c>
      <c r="F1102" s="512" t="s">
        <v>1126</v>
      </c>
      <c r="G1102" s="513" t="s">
        <v>29</v>
      </c>
      <c r="H1102" s="514">
        <v>1318011</v>
      </c>
      <c r="I1102" s="515" t="s">
        <v>6915</v>
      </c>
    </row>
    <row r="1103" spans="2:9" ht="15" x14ac:dyDescent="0.35">
      <c r="B1103" s="512" t="s">
        <v>6219</v>
      </c>
      <c r="C1103" s="512" t="s">
        <v>6232</v>
      </c>
      <c r="D1103" s="512" t="s">
        <v>6232</v>
      </c>
      <c r="E1103" s="513">
        <v>4968</v>
      </c>
      <c r="F1103" s="512" t="s">
        <v>1127</v>
      </c>
      <c r="G1103" s="513" t="s">
        <v>29</v>
      </c>
      <c r="H1103" s="514">
        <v>435534</v>
      </c>
      <c r="I1103" s="515" t="s">
        <v>6915</v>
      </c>
    </row>
    <row r="1104" spans="2:9" ht="15" x14ac:dyDescent="0.35">
      <c r="B1104" s="512" t="s">
        <v>6219</v>
      </c>
      <c r="C1104" s="512" t="s">
        <v>6232</v>
      </c>
      <c r="D1104" s="512" t="s">
        <v>6232</v>
      </c>
      <c r="E1104" s="513">
        <v>4969</v>
      </c>
      <c r="F1104" s="512" t="s">
        <v>1128</v>
      </c>
      <c r="G1104" s="513" t="s">
        <v>29</v>
      </c>
      <c r="H1104" s="514">
        <v>357032</v>
      </c>
      <c r="I1104" s="515" t="s">
        <v>6915</v>
      </c>
    </row>
    <row r="1105" spans="2:9" ht="15" x14ac:dyDescent="0.35">
      <c r="B1105" s="512" t="s">
        <v>6219</v>
      </c>
      <c r="C1105" s="512" t="s">
        <v>6232</v>
      </c>
      <c r="D1105" s="512" t="s">
        <v>6232</v>
      </c>
      <c r="E1105" s="513">
        <v>4970</v>
      </c>
      <c r="F1105" s="512" t="s">
        <v>1129</v>
      </c>
      <c r="G1105" s="513" t="s">
        <v>29</v>
      </c>
      <c r="H1105" s="514">
        <v>812342</v>
      </c>
      <c r="I1105" s="515" t="s">
        <v>6915</v>
      </c>
    </row>
    <row r="1106" spans="2:9" ht="15" x14ac:dyDescent="0.35">
      <c r="B1106" s="512" t="s">
        <v>6219</v>
      </c>
      <c r="C1106" s="512" t="s">
        <v>6232</v>
      </c>
      <c r="D1106" s="512" t="s">
        <v>6232</v>
      </c>
      <c r="E1106" s="513">
        <v>4971</v>
      </c>
      <c r="F1106" s="512" t="s">
        <v>1130</v>
      </c>
      <c r="G1106" s="513" t="s">
        <v>29</v>
      </c>
      <c r="H1106" s="514">
        <v>3258471</v>
      </c>
      <c r="I1106" s="515" t="s">
        <v>6915</v>
      </c>
    </row>
    <row r="1107" spans="2:9" ht="15" x14ac:dyDescent="0.35">
      <c r="B1107" s="512" t="s">
        <v>6219</v>
      </c>
      <c r="C1107" s="512" t="s">
        <v>6232</v>
      </c>
      <c r="D1107" s="512" t="s">
        <v>6232</v>
      </c>
      <c r="E1107" s="513">
        <v>4972</v>
      </c>
      <c r="F1107" s="512" t="s">
        <v>1131</v>
      </c>
      <c r="G1107" s="513" t="s">
        <v>29</v>
      </c>
      <c r="H1107" s="514">
        <v>1450148</v>
      </c>
      <c r="I1107" s="515" t="s">
        <v>6915</v>
      </c>
    </row>
    <row r="1108" spans="2:9" ht="15" x14ac:dyDescent="0.35">
      <c r="B1108" s="512" t="s">
        <v>6219</v>
      </c>
      <c r="C1108" s="512" t="s">
        <v>6232</v>
      </c>
      <c r="D1108" s="512" t="s">
        <v>6232</v>
      </c>
      <c r="E1108" s="513">
        <v>4973</v>
      </c>
      <c r="F1108" s="512" t="s">
        <v>1132</v>
      </c>
      <c r="G1108" s="513" t="s">
        <v>29</v>
      </c>
      <c r="H1108" s="514">
        <v>2222649</v>
      </c>
      <c r="I1108" s="515" t="s">
        <v>6915</v>
      </c>
    </row>
    <row r="1109" spans="2:9" ht="15" x14ac:dyDescent="0.35">
      <c r="B1109" s="512" t="s">
        <v>6219</v>
      </c>
      <c r="C1109" s="512" t="s">
        <v>6232</v>
      </c>
      <c r="D1109" s="512" t="s">
        <v>6232</v>
      </c>
      <c r="E1109" s="513">
        <v>4974</v>
      </c>
      <c r="F1109" s="512" t="s">
        <v>1133</v>
      </c>
      <c r="G1109" s="513" t="s">
        <v>29</v>
      </c>
      <c r="H1109" s="516">
        <v>5586125</v>
      </c>
      <c r="I1109" s="512" t="s">
        <v>6915</v>
      </c>
    </row>
    <row r="1110" spans="2:9" ht="15" x14ac:dyDescent="0.35">
      <c r="B1110" s="512" t="s">
        <v>6219</v>
      </c>
      <c r="C1110" s="512" t="s">
        <v>6232</v>
      </c>
      <c r="D1110" s="512" t="s">
        <v>6232</v>
      </c>
      <c r="E1110" s="513">
        <v>4975</v>
      </c>
      <c r="F1110" s="512" t="s">
        <v>1134</v>
      </c>
      <c r="G1110" s="513" t="s">
        <v>29</v>
      </c>
      <c r="H1110" s="516">
        <v>473791</v>
      </c>
      <c r="I1110" s="512" t="s">
        <v>6915</v>
      </c>
    </row>
    <row r="1111" spans="2:9" ht="15" x14ac:dyDescent="0.35">
      <c r="B1111" s="512" t="s">
        <v>6219</v>
      </c>
      <c r="C1111" s="512" t="s">
        <v>6232</v>
      </c>
      <c r="D1111" s="512" t="s">
        <v>6232</v>
      </c>
      <c r="E1111" s="513">
        <v>4976</v>
      </c>
      <c r="F1111" s="512" t="s">
        <v>1135</v>
      </c>
      <c r="G1111" s="513" t="s">
        <v>29</v>
      </c>
      <c r="H1111" s="516">
        <v>973076</v>
      </c>
      <c r="I1111" s="512" t="s">
        <v>6915</v>
      </c>
    </row>
    <row r="1112" spans="2:9" ht="15" x14ac:dyDescent="0.35">
      <c r="B1112" s="512" t="s">
        <v>6219</v>
      </c>
      <c r="C1112" s="512" t="s">
        <v>6232</v>
      </c>
      <c r="D1112" s="512" t="s">
        <v>6232</v>
      </c>
      <c r="E1112" s="513">
        <v>4977</v>
      </c>
      <c r="F1112" s="512" t="s">
        <v>1136</v>
      </c>
      <c r="G1112" s="513" t="s">
        <v>29</v>
      </c>
      <c r="H1112" s="516">
        <v>473791</v>
      </c>
      <c r="I1112" s="512" t="s">
        <v>6915</v>
      </c>
    </row>
    <row r="1113" spans="2:9" ht="15" x14ac:dyDescent="0.35">
      <c r="B1113" s="512" t="s">
        <v>6219</v>
      </c>
      <c r="C1113" s="512" t="s">
        <v>6239</v>
      </c>
      <c r="D1113" s="512" t="s">
        <v>6239</v>
      </c>
      <c r="E1113" s="513">
        <v>4978</v>
      </c>
      <c r="F1113" s="512" t="s">
        <v>1137</v>
      </c>
      <c r="G1113" s="513" t="s">
        <v>29</v>
      </c>
      <c r="H1113" s="516">
        <v>841061</v>
      </c>
      <c r="I1113" s="512" t="s">
        <v>6915</v>
      </c>
    </row>
    <row r="1114" spans="2:9" ht="15" x14ac:dyDescent="0.35">
      <c r="B1114" s="512" t="s">
        <v>6219</v>
      </c>
      <c r="C1114" s="512" t="s">
        <v>6239</v>
      </c>
      <c r="D1114" s="512" t="s">
        <v>6239</v>
      </c>
      <c r="E1114" s="513">
        <v>4979</v>
      </c>
      <c r="F1114" s="512" t="s">
        <v>1138</v>
      </c>
      <c r="G1114" s="513" t="s">
        <v>29</v>
      </c>
      <c r="H1114" s="516">
        <v>1116245</v>
      </c>
      <c r="I1114" s="512" t="s">
        <v>6915</v>
      </c>
    </row>
    <row r="1115" spans="2:9" ht="15" x14ac:dyDescent="0.35">
      <c r="B1115" s="512" t="s">
        <v>6219</v>
      </c>
      <c r="C1115" s="512" t="s">
        <v>6224</v>
      </c>
      <c r="D1115" s="512" t="s">
        <v>6244</v>
      </c>
      <c r="E1115" s="513">
        <v>4980</v>
      </c>
      <c r="F1115" s="512" t="s">
        <v>1139</v>
      </c>
      <c r="G1115" s="513" t="s">
        <v>26</v>
      </c>
      <c r="H1115" s="516">
        <v>672468</v>
      </c>
      <c r="I1115" s="512" t="s">
        <v>6915</v>
      </c>
    </row>
    <row r="1116" spans="2:9" ht="15" x14ac:dyDescent="0.35">
      <c r="B1116" s="512" t="s">
        <v>6219</v>
      </c>
      <c r="C1116" s="512" t="s">
        <v>6220</v>
      </c>
      <c r="D1116" s="512" t="s">
        <v>6270</v>
      </c>
      <c r="E1116" s="513">
        <v>4981</v>
      </c>
      <c r="F1116" s="512" t="s">
        <v>1140</v>
      </c>
      <c r="G1116" s="513" t="s">
        <v>21</v>
      </c>
      <c r="H1116" s="514">
        <v>97065</v>
      </c>
      <c r="I1116" s="515" t="s">
        <v>6915</v>
      </c>
    </row>
    <row r="1117" spans="2:9" ht="15" x14ac:dyDescent="0.35">
      <c r="B1117" s="512" t="s">
        <v>6219</v>
      </c>
      <c r="C1117" s="512" t="s">
        <v>6239</v>
      </c>
      <c r="D1117" s="512" t="s">
        <v>6239</v>
      </c>
      <c r="E1117" s="513">
        <v>4982</v>
      </c>
      <c r="F1117" s="512" t="s">
        <v>1141</v>
      </c>
      <c r="G1117" s="513" t="s">
        <v>29</v>
      </c>
      <c r="H1117" s="514">
        <v>196267</v>
      </c>
      <c r="I1117" s="515" t="s">
        <v>6915</v>
      </c>
    </row>
    <row r="1118" spans="2:9" ht="15" x14ac:dyDescent="0.35">
      <c r="B1118" s="512" t="s">
        <v>6219</v>
      </c>
      <c r="C1118" s="512" t="s">
        <v>6235</v>
      </c>
      <c r="D1118" s="512" t="s">
        <v>6245</v>
      </c>
      <c r="E1118" s="513">
        <v>4983</v>
      </c>
      <c r="F1118" s="512" t="s">
        <v>1142</v>
      </c>
      <c r="G1118" s="513" t="s">
        <v>29</v>
      </c>
      <c r="H1118" s="514">
        <v>70339</v>
      </c>
      <c r="I1118" s="515" t="s">
        <v>6915</v>
      </c>
    </row>
    <row r="1119" spans="2:9" ht="15" x14ac:dyDescent="0.35">
      <c r="B1119" s="512" t="s">
        <v>6219</v>
      </c>
      <c r="C1119" s="512" t="s">
        <v>6239</v>
      </c>
      <c r="D1119" s="512" t="s">
        <v>6239</v>
      </c>
      <c r="E1119" s="513">
        <v>4984</v>
      </c>
      <c r="F1119" s="512" t="s">
        <v>1143</v>
      </c>
      <c r="G1119" s="513" t="s">
        <v>29</v>
      </c>
      <c r="H1119" s="516">
        <v>402145</v>
      </c>
      <c r="I1119" s="512" t="s">
        <v>6915</v>
      </c>
    </row>
    <row r="1120" spans="2:9" ht="15" x14ac:dyDescent="0.35">
      <c r="B1120" s="512" t="s">
        <v>6219</v>
      </c>
      <c r="C1120" s="512" t="s">
        <v>6242</v>
      </c>
      <c r="D1120" s="512" t="s">
        <v>6243</v>
      </c>
      <c r="E1120" s="513">
        <v>4985</v>
      </c>
      <c r="F1120" s="512" t="s">
        <v>1144</v>
      </c>
      <c r="G1120" s="513" t="s">
        <v>23</v>
      </c>
      <c r="H1120" s="516">
        <v>852394</v>
      </c>
      <c r="I1120" s="512" t="s">
        <v>6915</v>
      </c>
    </row>
    <row r="1121" spans="2:9" ht="15" x14ac:dyDescent="0.35">
      <c r="B1121" s="512" t="s">
        <v>6219</v>
      </c>
      <c r="C1121" s="512" t="s">
        <v>6233</v>
      </c>
      <c r="D1121" s="512" t="s">
        <v>6234</v>
      </c>
      <c r="E1121" s="513">
        <v>4987</v>
      </c>
      <c r="F1121" s="512" t="s">
        <v>1145</v>
      </c>
      <c r="G1121" s="513" t="s">
        <v>29</v>
      </c>
      <c r="H1121" s="516">
        <v>1938043</v>
      </c>
      <c r="I1121" s="512" t="s">
        <v>6915</v>
      </c>
    </row>
    <row r="1122" spans="2:9" ht="15" x14ac:dyDescent="0.35">
      <c r="B1122" s="512" t="s">
        <v>6219</v>
      </c>
      <c r="C1122" s="512" t="s">
        <v>6226</v>
      </c>
      <c r="D1122" s="512" t="s">
        <v>6226</v>
      </c>
      <c r="E1122" s="513">
        <v>4988</v>
      </c>
      <c r="F1122" s="512" t="s">
        <v>1146</v>
      </c>
      <c r="G1122" s="513" t="s">
        <v>1147</v>
      </c>
      <c r="H1122" s="514">
        <v>1840000</v>
      </c>
      <c r="I1122" s="515" t="s">
        <v>6915</v>
      </c>
    </row>
    <row r="1123" spans="2:9" ht="15" x14ac:dyDescent="0.35">
      <c r="B1123" s="512" t="s">
        <v>6219</v>
      </c>
      <c r="C1123" s="512" t="s">
        <v>6230</v>
      </c>
      <c r="D1123" s="512" t="s">
        <v>6231</v>
      </c>
      <c r="E1123" s="513">
        <v>4989</v>
      </c>
      <c r="F1123" s="512" t="s">
        <v>1148</v>
      </c>
      <c r="G1123" s="513" t="s">
        <v>26</v>
      </c>
      <c r="H1123" s="514">
        <v>161984</v>
      </c>
      <c r="I1123" s="515" t="s">
        <v>6915</v>
      </c>
    </row>
    <row r="1124" spans="2:9" ht="15" x14ac:dyDescent="0.35">
      <c r="B1124" s="512" t="s">
        <v>6219</v>
      </c>
      <c r="C1124" s="512" t="s">
        <v>6235</v>
      </c>
      <c r="D1124" s="512" t="s">
        <v>6245</v>
      </c>
      <c r="E1124" s="513">
        <v>4990</v>
      </c>
      <c r="F1124" s="512" t="s">
        <v>1149</v>
      </c>
      <c r="G1124" s="513" t="s">
        <v>29</v>
      </c>
      <c r="H1124" s="514">
        <v>485952</v>
      </c>
      <c r="I1124" s="515" t="s">
        <v>6915</v>
      </c>
    </row>
    <row r="1125" spans="2:9" ht="15" x14ac:dyDescent="0.35">
      <c r="B1125" s="512" t="s">
        <v>6219</v>
      </c>
      <c r="C1125" s="512" t="s">
        <v>6230</v>
      </c>
      <c r="D1125" s="512" t="s">
        <v>6231</v>
      </c>
      <c r="E1125" s="513">
        <v>4991</v>
      </c>
      <c r="F1125" s="512" t="s">
        <v>1150</v>
      </c>
      <c r="G1125" s="513" t="s">
        <v>26</v>
      </c>
      <c r="H1125" s="514">
        <v>152422</v>
      </c>
      <c r="I1125" s="515" t="s">
        <v>6915</v>
      </c>
    </row>
    <row r="1126" spans="2:9" ht="15" x14ac:dyDescent="0.35">
      <c r="B1126" s="512" t="s">
        <v>6219</v>
      </c>
      <c r="C1126" s="512" t="s">
        <v>6230</v>
      </c>
      <c r="D1126" s="512" t="s">
        <v>6231</v>
      </c>
      <c r="E1126" s="513">
        <v>4992</v>
      </c>
      <c r="F1126" s="512" t="s">
        <v>1151</v>
      </c>
      <c r="G1126" s="513" t="s">
        <v>29</v>
      </c>
      <c r="H1126" s="514">
        <v>473082</v>
      </c>
      <c r="I1126" s="515" t="s">
        <v>6915</v>
      </c>
    </row>
    <row r="1127" spans="2:9" ht="15" x14ac:dyDescent="0.35">
      <c r="B1127" s="512" t="s">
        <v>6219</v>
      </c>
      <c r="C1127" s="512" t="s">
        <v>6230</v>
      </c>
      <c r="D1127" s="512" t="s">
        <v>6231</v>
      </c>
      <c r="E1127" s="513">
        <v>4993</v>
      </c>
      <c r="F1127" s="512" t="s">
        <v>1152</v>
      </c>
      <c r="G1127" s="513" t="s">
        <v>29</v>
      </c>
      <c r="H1127" s="514">
        <v>457266</v>
      </c>
      <c r="I1127" s="512" t="s">
        <v>6915</v>
      </c>
    </row>
    <row r="1128" spans="2:9" ht="15" x14ac:dyDescent="0.35">
      <c r="B1128" s="512" t="s">
        <v>6219</v>
      </c>
      <c r="C1128" s="512" t="s">
        <v>6227</v>
      </c>
      <c r="D1128" s="512" t="s">
        <v>6248</v>
      </c>
      <c r="E1128" s="513">
        <v>4994</v>
      </c>
      <c r="F1128" s="512" t="s">
        <v>1153</v>
      </c>
      <c r="G1128" s="513" t="s">
        <v>23</v>
      </c>
      <c r="H1128" s="514">
        <v>208914</v>
      </c>
      <c r="I1128" s="515" t="s">
        <v>6915</v>
      </c>
    </row>
    <row r="1129" spans="2:9" ht="15" x14ac:dyDescent="0.35">
      <c r="B1129" s="512" t="s">
        <v>6219</v>
      </c>
      <c r="C1129" s="512" t="s">
        <v>6227</v>
      </c>
      <c r="D1129" s="512" t="s">
        <v>6248</v>
      </c>
      <c r="E1129" s="513">
        <v>4995</v>
      </c>
      <c r="F1129" s="512" t="s">
        <v>1154</v>
      </c>
      <c r="G1129" s="513" t="s">
        <v>23</v>
      </c>
      <c r="H1129" s="514">
        <v>291904</v>
      </c>
      <c r="I1129" s="515" t="s">
        <v>6915</v>
      </c>
    </row>
    <row r="1130" spans="2:9" ht="15" x14ac:dyDescent="0.35">
      <c r="B1130" s="512" t="s">
        <v>6219</v>
      </c>
      <c r="C1130" s="512" t="s">
        <v>6239</v>
      </c>
      <c r="D1130" s="512" t="s">
        <v>6239</v>
      </c>
      <c r="E1130" s="513">
        <v>4996</v>
      </c>
      <c r="F1130" s="512" t="s">
        <v>1155</v>
      </c>
      <c r="G1130" s="513" t="s">
        <v>29</v>
      </c>
      <c r="H1130" s="516">
        <v>1007774</v>
      </c>
      <c r="I1130" s="512" t="s">
        <v>6915</v>
      </c>
    </row>
    <row r="1131" spans="2:9" ht="15" x14ac:dyDescent="0.35">
      <c r="B1131" s="512" t="s">
        <v>6219</v>
      </c>
      <c r="C1131" s="512" t="s">
        <v>6235</v>
      </c>
      <c r="D1131" s="512" t="s">
        <v>6236</v>
      </c>
      <c r="E1131" s="513">
        <v>4997</v>
      </c>
      <c r="F1131" s="512" t="s">
        <v>1156</v>
      </c>
      <c r="G1131" s="513" t="s">
        <v>26</v>
      </c>
      <c r="H1131" s="516">
        <v>46728</v>
      </c>
      <c r="I1131" s="512" t="s">
        <v>6915</v>
      </c>
    </row>
    <row r="1132" spans="2:9" ht="15" x14ac:dyDescent="0.35">
      <c r="B1132" s="512" t="s">
        <v>6219</v>
      </c>
      <c r="C1132" s="512" t="s">
        <v>6224</v>
      </c>
      <c r="D1132" s="512" t="s">
        <v>6244</v>
      </c>
      <c r="E1132" s="513">
        <v>5000</v>
      </c>
      <c r="F1132" s="512" t="s">
        <v>1157</v>
      </c>
      <c r="G1132" s="513" t="s">
        <v>26</v>
      </c>
      <c r="H1132" s="514">
        <v>168178</v>
      </c>
      <c r="I1132" s="515" t="s">
        <v>6915</v>
      </c>
    </row>
    <row r="1133" spans="2:9" ht="15" x14ac:dyDescent="0.35">
      <c r="B1133" s="512" t="s">
        <v>6219</v>
      </c>
      <c r="C1133" s="512" t="s">
        <v>6224</v>
      </c>
      <c r="D1133" s="512" t="s">
        <v>6244</v>
      </c>
      <c r="E1133" s="513">
        <v>5001</v>
      </c>
      <c r="F1133" s="512" t="s">
        <v>1158</v>
      </c>
      <c r="G1133" s="513" t="s">
        <v>29</v>
      </c>
      <c r="H1133" s="516">
        <v>1395187</v>
      </c>
      <c r="I1133" s="512" t="s">
        <v>6915</v>
      </c>
    </row>
    <row r="1134" spans="2:9" ht="15" x14ac:dyDescent="0.35">
      <c r="B1134" s="512" t="s">
        <v>6219</v>
      </c>
      <c r="C1134" s="512" t="s">
        <v>6224</v>
      </c>
      <c r="D1134" s="512" t="s">
        <v>6244</v>
      </c>
      <c r="E1134" s="513">
        <v>5002</v>
      </c>
      <c r="F1134" s="512" t="s">
        <v>1159</v>
      </c>
      <c r="G1134" s="513" t="s">
        <v>26</v>
      </c>
      <c r="H1134" s="516">
        <v>134088</v>
      </c>
      <c r="I1134" s="512" t="s">
        <v>6915</v>
      </c>
    </row>
    <row r="1135" spans="2:9" ht="15" x14ac:dyDescent="0.35">
      <c r="B1135" s="512" t="s">
        <v>6219</v>
      </c>
      <c r="C1135" s="512" t="s">
        <v>6271</v>
      </c>
      <c r="D1135" s="512" t="s">
        <v>6271</v>
      </c>
      <c r="E1135" s="513">
        <v>5003</v>
      </c>
      <c r="F1135" s="512" t="s">
        <v>1160</v>
      </c>
      <c r="G1135" s="513" t="s">
        <v>29</v>
      </c>
      <c r="H1135" s="516">
        <v>64056</v>
      </c>
      <c r="I1135" s="512" t="s">
        <v>6915</v>
      </c>
    </row>
    <row r="1136" spans="2:9" ht="15" x14ac:dyDescent="0.35">
      <c r="B1136" s="512" t="s">
        <v>6219</v>
      </c>
      <c r="C1136" s="512" t="s">
        <v>6271</v>
      </c>
      <c r="D1136" s="512" t="s">
        <v>6271</v>
      </c>
      <c r="E1136" s="513">
        <v>5004</v>
      </c>
      <c r="F1136" s="512" t="s">
        <v>1161</v>
      </c>
      <c r="G1136" s="513" t="s">
        <v>676</v>
      </c>
      <c r="H1136" s="516">
        <v>156476</v>
      </c>
      <c r="I1136" s="512" t="s">
        <v>6915</v>
      </c>
    </row>
    <row r="1137" spans="2:9" ht="15" x14ac:dyDescent="0.35">
      <c r="B1137" s="512" t="s">
        <v>6219</v>
      </c>
      <c r="C1137" s="512" t="s">
        <v>6271</v>
      </c>
      <c r="D1137" s="512" t="s">
        <v>6271</v>
      </c>
      <c r="E1137" s="513">
        <v>5005</v>
      </c>
      <c r="F1137" s="512" t="s">
        <v>1162</v>
      </c>
      <c r="G1137" s="513" t="s">
        <v>389</v>
      </c>
      <c r="H1137" s="514">
        <v>1095344</v>
      </c>
      <c r="I1137" s="515" t="s">
        <v>5686</v>
      </c>
    </row>
    <row r="1138" spans="2:9" ht="15" x14ac:dyDescent="0.35">
      <c r="B1138" s="512" t="s">
        <v>6219</v>
      </c>
      <c r="C1138" s="512" t="s">
        <v>6271</v>
      </c>
      <c r="D1138" s="512" t="s">
        <v>6271</v>
      </c>
      <c r="E1138" s="513">
        <v>5010</v>
      </c>
      <c r="F1138" s="512" t="s">
        <v>1163</v>
      </c>
      <c r="G1138" s="513" t="s">
        <v>29</v>
      </c>
      <c r="H1138" s="514">
        <v>490477</v>
      </c>
      <c r="I1138" s="515" t="s">
        <v>6915</v>
      </c>
    </row>
    <row r="1139" spans="2:9" ht="15" x14ac:dyDescent="0.35">
      <c r="B1139" s="512" t="s">
        <v>6219</v>
      </c>
      <c r="C1139" s="512" t="s">
        <v>6232</v>
      </c>
      <c r="D1139" s="512" t="s">
        <v>6232</v>
      </c>
      <c r="E1139" s="513">
        <v>5015</v>
      </c>
      <c r="F1139" s="512" t="s">
        <v>1164</v>
      </c>
      <c r="G1139" s="513" t="s">
        <v>29</v>
      </c>
      <c r="H1139" s="514">
        <v>729363</v>
      </c>
      <c r="I1139" s="515" t="s">
        <v>6915</v>
      </c>
    </row>
    <row r="1140" spans="2:9" ht="15" x14ac:dyDescent="0.35">
      <c r="B1140" s="512" t="s">
        <v>6219</v>
      </c>
      <c r="C1140" s="512" t="s">
        <v>6239</v>
      </c>
      <c r="D1140" s="512" t="s">
        <v>6239</v>
      </c>
      <c r="E1140" s="513">
        <v>5017</v>
      </c>
      <c r="F1140" s="512" t="s">
        <v>1165</v>
      </c>
      <c r="G1140" s="513" t="s">
        <v>29</v>
      </c>
      <c r="H1140" s="516">
        <v>603955</v>
      </c>
      <c r="I1140" s="512" t="s">
        <v>6915</v>
      </c>
    </row>
    <row r="1141" spans="2:9" ht="15" x14ac:dyDescent="0.35">
      <c r="B1141" s="512" t="s">
        <v>6219</v>
      </c>
      <c r="C1141" s="512" t="s">
        <v>6239</v>
      </c>
      <c r="D1141" s="512" t="s">
        <v>6239</v>
      </c>
      <c r="E1141" s="513">
        <v>5019</v>
      </c>
      <c r="F1141" s="512" t="s">
        <v>1166</v>
      </c>
      <c r="G1141" s="513" t="s">
        <v>29</v>
      </c>
      <c r="H1141" s="516">
        <v>431577</v>
      </c>
      <c r="I1141" s="512" t="s">
        <v>6915</v>
      </c>
    </row>
    <row r="1142" spans="2:9" ht="15" x14ac:dyDescent="0.35">
      <c r="B1142" s="512" t="s">
        <v>6219</v>
      </c>
      <c r="C1142" s="512" t="s">
        <v>6233</v>
      </c>
      <c r="D1142" s="512" t="s">
        <v>6234</v>
      </c>
      <c r="E1142" s="513">
        <v>5023</v>
      </c>
      <c r="F1142" s="512" t="s">
        <v>1167</v>
      </c>
      <c r="G1142" s="513" t="s">
        <v>26</v>
      </c>
      <c r="H1142" s="516">
        <v>29884</v>
      </c>
      <c r="I1142" s="512" t="s">
        <v>6915</v>
      </c>
    </row>
    <row r="1143" spans="2:9" ht="15" x14ac:dyDescent="0.35">
      <c r="B1143" s="512" t="s">
        <v>6219</v>
      </c>
      <c r="C1143" s="512" t="s">
        <v>6252</v>
      </c>
      <c r="D1143" s="512" t="s">
        <v>6252</v>
      </c>
      <c r="E1143" s="513">
        <v>5024</v>
      </c>
      <c r="F1143" s="512" t="s">
        <v>1168</v>
      </c>
      <c r="G1143" s="513" t="s">
        <v>29</v>
      </c>
      <c r="H1143" s="514">
        <v>1845420</v>
      </c>
      <c r="I1143" s="515" t="s">
        <v>6915</v>
      </c>
    </row>
    <row r="1144" spans="2:9" ht="15" x14ac:dyDescent="0.35">
      <c r="B1144" s="512" t="s">
        <v>6219</v>
      </c>
      <c r="C1144" s="512" t="s">
        <v>6252</v>
      </c>
      <c r="D1144" s="512" t="s">
        <v>6252</v>
      </c>
      <c r="E1144" s="513">
        <v>5025</v>
      </c>
      <c r="F1144" s="512" t="s">
        <v>1169</v>
      </c>
      <c r="G1144" s="513" t="s">
        <v>21</v>
      </c>
      <c r="H1144" s="514">
        <v>306891</v>
      </c>
      <c r="I1144" s="515" t="s">
        <v>6915</v>
      </c>
    </row>
    <row r="1145" spans="2:9" ht="15" x14ac:dyDescent="0.35">
      <c r="B1145" s="512" t="s">
        <v>6219</v>
      </c>
      <c r="C1145" s="512" t="s">
        <v>6252</v>
      </c>
      <c r="D1145" s="512" t="s">
        <v>6252</v>
      </c>
      <c r="E1145" s="513">
        <v>5026</v>
      </c>
      <c r="F1145" s="512" t="s">
        <v>1170</v>
      </c>
      <c r="G1145" s="513" t="s">
        <v>29</v>
      </c>
      <c r="H1145" s="514">
        <v>7108657</v>
      </c>
      <c r="I1145" s="515" t="s">
        <v>6915</v>
      </c>
    </row>
    <row r="1146" spans="2:9" ht="15" x14ac:dyDescent="0.35">
      <c r="B1146" s="512" t="s">
        <v>6219</v>
      </c>
      <c r="C1146" s="512" t="s">
        <v>6252</v>
      </c>
      <c r="D1146" s="512" t="s">
        <v>6252</v>
      </c>
      <c r="E1146" s="513">
        <v>5028</v>
      </c>
      <c r="F1146" s="512" t="s">
        <v>1171</v>
      </c>
      <c r="G1146" s="513" t="s">
        <v>29</v>
      </c>
      <c r="H1146" s="514">
        <v>6138724</v>
      </c>
      <c r="I1146" s="515" t="s">
        <v>6915</v>
      </c>
    </row>
    <row r="1147" spans="2:9" ht="15" x14ac:dyDescent="0.35">
      <c r="B1147" s="512" t="s">
        <v>6219</v>
      </c>
      <c r="C1147" s="512" t="s">
        <v>6235</v>
      </c>
      <c r="D1147" s="512" t="s">
        <v>6236</v>
      </c>
      <c r="E1147" s="513">
        <v>5032</v>
      </c>
      <c r="F1147" s="512" t="s">
        <v>6430</v>
      </c>
      <c r="G1147" s="513" t="s">
        <v>29</v>
      </c>
      <c r="H1147" s="514">
        <v>224448</v>
      </c>
      <c r="I1147" s="515" t="s">
        <v>6425</v>
      </c>
    </row>
    <row r="1148" spans="2:9" ht="15" x14ac:dyDescent="0.35">
      <c r="B1148" s="512" t="s">
        <v>6219</v>
      </c>
      <c r="C1148" s="512" t="s">
        <v>6235</v>
      </c>
      <c r="D1148" s="512" t="s">
        <v>6236</v>
      </c>
      <c r="E1148" s="513">
        <v>5033</v>
      </c>
      <c r="F1148" s="512" t="s">
        <v>6431</v>
      </c>
      <c r="G1148" s="513" t="s">
        <v>29</v>
      </c>
      <c r="H1148" s="516">
        <v>247669</v>
      </c>
      <c r="I1148" s="512" t="s">
        <v>6425</v>
      </c>
    </row>
    <row r="1149" spans="2:9" ht="15" x14ac:dyDescent="0.35">
      <c r="B1149" s="512" t="s">
        <v>6219</v>
      </c>
      <c r="C1149" s="512" t="s">
        <v>6235</v>
      </c>
      <c r="D1149" s="512" t="s">
        <v>6236</v>
      </c>
      <c r="E1149" s="513">
        <v>5036</v>
      </c>
      <c r="F1149" s="512" t="s">
        <v>6432</v>
      </c>
      <c r="G1149" s="513" t="s">
        <v>29</v>
      </c>
      <c r="H1149" s="516">
        <v>237220</v>
      </c>
      <c r="I1149" s="512" t="s">
        <v>6425</v>
      </c>
    </row>
    <row r="1150" spans="2:9" ht="15" x14ac:dyDescent="0.35">
      <c r="B1150" s="512" t="s">
        <v>6219</v>
      </c>
      <c r="C1150" s="512" t="s">
        <v>6235</v>
      </c>
      <c r="D1150" s="512" t="s">
        <v>6236</v>
      </c>
      <c r="E1150" s="513">
        <v>5037</v>
      </c>
      <c r="F1150" s="512" t="s">
        <v>6433</v>
      </c>
      <c r="G1150" s="513" t="s">
        <v>29</v>
      </c>
      <c r="H1150" s="516">
        <v>171041</v>
      </c>
      <c r="I1150" s="512" t="s">
        <v>6425</v>
      </c>
    </row>
    <row r="1151" spans="2:9" ht="15" x14ac:dyDescent="0.35">
      <c r="B1151" s="512" t="s">
        <v>6219</v>
      </c>
      <c r="C1151" s="512" t="s">
        <v>6235</v>
      </c>
      <c r="D1151" s="512" t="s">
        <v>6236</v>
      </c>
      <c r="E1151" s="513">
        <v>5038</v>
      </c>
      <c r="F1151" s="512" t="s">
        <v>6434</v>
      </c>
      <c r="G1151" s="513" t="s">
        <v>29</v>
      </c>
      <c r="H1151" s="516">
        <v>229094</v>
      </c>
      <c r="I1151" s="512" t="s">
        <v>6425</v>
      </c>
    </row>
    <row r="1152" spans="2:9" ht="15" x14ac:dyDescent="0.35">
      <c r="B1152" s="512" t="s">
        <v>6219</v>
      </c>
      <c r="C1152" s="512" t="s">
        <v>6235</v>
      </c>
      <c r="D1152" s="512" t="s">
        <v>6236</v>
      </c>
      <c r="E1152" s="513">
        <v>5044</v>
      </c>
      <c r="F1152" s="512" t="s">
        <v>6435</v>
      </c>
      <c r="G1152" s="513" t="s">
        <v>21</v>
      </c>
      <c r="H1152" s="516">
        <v>82033</v>
      </c>
      <c r="I1152" s="512" t="s">
        <v>6425</v>
      </c>
    </row>
    <row r="1153" spans="2:9" ht="15" x14ac:dyDescent="0.35">
      <c r="B1153" s="512" t="s">
        <v>6219</v>
      </c>
      <c r="C1153" s="512" t="s">
        <v>6235</v>
      </c>
      <c r="D1153" s="512" t="s">
        <v>6236</v>
      </c>
      <c r="E1153" s="513">
        <v>5045</v>
      </c>
      <c r="F1153" s="512" t="s">
        <v>6436</v>
      </c>
      <c r="G1153" s="513" t="s">
        <v>29</v>
      </c>
      <c r="H1153" s="514">
        <v>225029</v>
      </c>
      <c r="I1153" s="515" t="s">
        <v>6425</v>
      </c>
    </row>
    <row r="1154" spans="2:9" ht="15" x14ac:dyDescent="0.35">
      <c r="B1154" s="512" t="s">
        <v>6219</v>
      </c>
      <c r="C1154" s="512" t="s">
        <v>6235</v>
      </c>
      <c r="D1154" s="512" t="s">
        <v>6236</v>
      </c>
      <c r="E1154" s="513">
        <v>5046</v>
      </c>
      <c r="F1154" s="512" t="s">
        <v>6437</v>
      </c>
      <c r="G1154" s="513" t="s">
        <v>21</v>
      </c>
      <c r="H1154" s="514">
        <v>82033</v>
      </c>
      <c r="I1154" s="515" t="s">
        <v>6425</v>
      </c>
    </row>
    <row r="1155" spans="2:9" ht="15" x14ac:dyDescent="0.35">
      <c r="B1155" s="512" t="s">
        <v>6219</v>
      </c>
      <c r="C1155" s="512" t="s">
        <v>6242</v>
      </c>
      <c r="D1155" s="512" t="s">
        <v>6260</v>
      </c>
      <c r="E1155" s="513">
        <v>5047</v>
      </c>
      <c r="F1155" s="512" t="s">
        <v>1172</v>
      </c>
      <c r="G1155" s="513" t="s">
        <v>21</v>
      </c>
      <c r="H1155" s="514">
        <v>159094</v>
      </c>
      <c r="I1155" s="515" t="s">
        <v>6915</v>
      </c>
    </row>
    <row r="1156" spans="2:9" ht="15" x14ac:dyDescent="0.35">
      <c r="B1156" s="512" t="s">
        <v>6219</v>
      </c>
      <c r="C1156" s="512" t="s">
        <v>6242</v>
      </c>
      <c r="D1156" s="512" t="s">
        <v>6260</v>
      </c>
      <c r="E1156" s="513">
        <v>5048</v>
      </c>
      <c r="F1156" s="512" t="s">
        <v>1173</v>
      </c>
      <c r="G1156" s="513" t="s">
        <v>21</v>
      </c>
      <c r="H1156" s="514">
        <v>150053</v>
      </c>
      <c r="I1156" s="515" t="s">
        <v>6915</v>
      </c>
    </row>
    <row r="1157" spans="2:9" ht="15" x14ac:dyDescent="0.35">
      <c r="B1157" s="512" t="s">
        <v>6219</v>
      </c>
      <c r="C1157" s="512" t="s">
        <v>6252</v>
      </c>
      <c r="D1157" s="512" t="s">
        <v>6252</v>
      </c>
      <c r="E1157" s="513">
        <v>5049</v>
      </c>
      <c r="F1157" s="512" t="s">
        <v>1174</v>
      </c>
      <c r="G1157" s="513" t="s">
        <v>21</v>
      </c>
      <c r="H1157" s="514">
        <v>441589</v>
      </c>
      <c r="I1157" s="515" t="s">
        <v>6915</v>
      </c>
    </row>
    <row r="1158" spans="2:9" ht="15" x14ac:dyDescent="0.35">
      <c r="B1158" s="512" t="s">
        <v>6219</v>
      </c>
      <c r="C1158" s="512" t="s">
        <v>6223</v>
      </c>
      <c r="D1158" s="512" t="s">
        <v>6223</v>
      </c>
      <c r="E1158" s="513">
        <v>5050</v>
      </c>
      <c r="F1158" s="512" t="s">
        <v>1175</v>
      </c>
      <c r="G1158" s="513" t="s">
        <v>29</v>
      </c>
      <c r="H1158" s="514">
        <v>225099</v>
      </c>
      <c r="I1158" s="515" t="s">
        <v>6915</v>
      </c>
    </row>
    <row r="1159" spans="2:9" ht="15" x14ac:dyDescent="0.35">
      <c r="B1159" s="512" t="s">
        <v>6219</v>
      </c>
      <c r="C1159" s="512" t="s">
        <v>6240</v>
      </c>
      <c r="D1159" s="512" t="s">
        <v>6241</v>
      </c>
      <c r="E1159" s="513">
        <v>5051</v>
      </c>
      <c r="F1159" s="512" t="s">
        <v>1176</v>
      </c>
      <c r="G1159" s="513" t="s">
        <v>23</v>
      </c>
      <c r="H1159" s="516">
        <v>2086675</v>
      </c>
      <c r="I1159" s="515" t="s">
        <v>6915</v>
      </c>
    </row>
    <row r="1160" spans="2:9" ht="15" x14ac:dyDescent="0.35">
      <c r="B1160" s="512" t="s">
        <v>6219</v>
      </c>
      <c r="C1160" s="512" t="s">
        <v>6240</v>
      </c>
      <c r="D1160" s="512" t="s">
        <v>6241</v>
      </c>
      <c r="E1160" s="513">
        <v>5052</v>
      </c>
      <c r="F1160" s="512" t="s">
        <v>1177</v>
      </c>
      <c r="G1160" s="513" t="s">
        <v>23</v>
      </c>
      <c r="H1160" s="514">
        <v>1053233</v>
      </c>
      <c r="I1160" s="515" t="s">
        <v>6915</v>
      </c>
    </row>
    <row r="1161" spans="2:9" ht="15" x14ac:dyDescent="0.35">
      <c r="B1161" s="512" t="s">
        <v>6219</v>
      </c>
      <c r="C1161" s="512" t="s">
        <v>6264</v>
      </c>
      <c r="D1161" s="512" t="s">
        <v>6265</v>
      </c>
      <c r="E1161" s="513">
        <v>5053</v>
      </c>
      <c r="F1161" s="512" t="s">
        <v>1178</v>
      </c>
      <c r="G1161" s="513" t="s">
        <v>29</v>
      </c>
      <c r="H1161" s="514">
        <v>8292976</v>
      </c>
      <c r="I1161" s="515" t="s">
        <v>6915</v>
      </c>
    </row>
    <row r="1162" spans="2:9" ht="15" x14ac:dyDescent="0.35">
      <c r="B1162" s="512" t="s">
        <v>6219</v>
      </c>
      <c r="C1162" s="512" t="s">
        <v>6253</v>
      </c>
      <c r="D1162" s="512" t="s">
        <v>6254</v>
      </c>
      <c r="E1162" s="513">
        <v>5054</v>
      </c>
      <c r="F1162" s="512" t="s">
        <v>1179</v>
      </c>
      <c r="G1162" s="513" t="s">
        <v>389</v>
      </c>
      <c r="H1162" s="514">
        <v>632080</v>
      </c>
      <c r="I1162" s="515" t="s">
        <v>5686</v>
      </c>
    </row>
    <row r="1163" spans="2:9" ht="15" x14ac:dyDescent="0.35">
      <c r="B1163" s="512" t="s">
        <v>6219</v>
      </c>
      <c r="C1163" s="512" t="s">
        <v>6240</v>
      </c>
      <c r="D1163" s="512" t="s">
        <v>6241</v>
      </c>
      <c r="E1163" s="513">
        <v>5055</v>
      </c>
      <c r="F1163" s="512" t="s">
        <v>1180</v>
      </c>
      <c r="G1163" s="513" t="s">
        <v>23</v>
      </c>
      <c r="H1163" s="514">
        <v>355050</v>
      </c>
      <c r="I1163" s="515" t="s">
        <v>6915</v>
      </c>
    </row>
    <row r="1164" spans="2:9" ht="15" x14ac:dyDescent="0.35">
      <c r="B1164" s="512" t="s">
        <v>6219</v>
      </c>
      <c r="C1164" s="512" t="s">
        <v>6252</v>
      </c>
      <c r="D1164" s="512" t="s">
        <v>6252</v>
      </c>
      <c r="E1164" s="513">
        <v>5056</v>
      </c>
      <c r="F1164" s="512" t="s">
        <v>1181</v>
      </c>
      <c r="G1164" s="513" t="s">
        <v>21</v>
      </c>
      <c r="H1164" s="514">
        <v>348659</v>
      </c>
      <c r="I1164" s="515" t="s">
        <v>6915</v>
      </c>
    </row>
    <row r="1165" spans="2:9" ht="15" x14ac:dyDescent="0.35">
      <c r="B1165" s="512" t="s">
        <v>6219</v>
      </c>
      <c r="C1165" s="512" t="s">
        <v>6272</v>
      </c>
      <c r="D1165" s="512" t="s">
        <v>6273</v>
      </c>
      <c r="E1165" s="513">
        <v>5058</v>
      </c>
      <c r="F1165" s="512" t="s">
        <v>1182</v>
      </c>
      <c r="G1165" s="513" t="s">
        <v>26</v>
      </c>
      <c r="H1165" s="514">
        <v>12381</v>
      </c>
      <c r="I1165" s="515" t="s">
        <v>6915</v>
      </c>
    </row>
    <row r="1166" spans="2:9" ht="15" x14ac:dyDescent="0.35">
      <c r="B1166" s="512" t="s">
        <v>6219</v>
      </c>
      <c r="C1166" s="512" t="s">
        <v>6272</v>
      </c>
      <c r="D1166" s="512" t="s">
        <v>6274</v>
      </c>
      <c r="E1166" s="513">
        <v>5060</v>
      </c>
      <c r="F1166" s="512" t="s">
        <v>1183</v>
      </c>
      <c r="G1166" s="513" t="s">
        <v>21</v>
      </c>
      <c r="H1166" s="514">
        <v>13965</v>
      </c>
      <c r="I1166" s="515" t="s">
        <v>6915</v>
      </c>
    </row>
    <row r="1167" spans="2:9" ht="15" x14ac:dyDescent="0.35">
      <c r="B1167" s="512" t="s">
        <v>6219</v>
      </c>
      <c r="C1167" s="512" t="s">
        <v>6272</v>
      </c>
      <c r="D1167" s="512" t="s">
        <v>6273</v>
      </c>
      <c r="E1167" s="513">
        <v>5061</v>
      </c>
      <c r="F1167" s="512" t="s">
        <v>1184</v>
      </c>
      <c r="G1167" s="513" t="s">
        <v>21</v>
      </c>
      <c r="H1167" s="514">
        <v>112950</v>
      </c>
      <c r="I1167" s="515" t="s">
        <v>6915</v>
      </c>
    </row>
    <row r="1168" spans="2:9" ht="15" x14ac:dyDescent="0.35">
      <c r="B1168" s="512" t="s">
        <v>6219</v>
      </c>
      <c r="C1168" s="512" t="s">
        <v>6272</v>
      </c>
      <c r="D1168" s="512" t="s">
        <v>6273</v>
      </c>
      <c r="E1168" s="513">
        <v>5062</v>
      </c>
      <c r="F1168" s="512" t="s">
        <v>1185</v>
      </c>
      <c r="G1168" s="513" t="s">
        <v>26</v>
      </c>
      <c r="H1168" s="514">
        <v>46654</v>
      </c>
      <c r="I1168" s="515" t="s">
        <v>6915</v>
      </c>
    </row>
    <row r="1169" spans="2:9" ht="15" x14ac:dyDescent="0.35">
      <c r="B1169" s="512" t="s">
        <v>6219</v>
      </c>
      <c r="C1169" s="512" t="s">
        <v>6272</v>
      </c>
      <c r="D1169" s="512" t="s">
        <v>6273</v>
      </c>
      <c r="E1169" s="513">
        <v>5063</v>
      </c>
      <c r="F1169" s="512" t="s">
        <v>1186</v>
      </c>
      <c r="G1169" s="513" t="s">
        <v>21</v>
      </c>
      <c r="H1169" s="514">
        <v>93930</v>
      </c>
      <c r="I1169" s="512" t="s">
        <v>6915</v>
      </c>
    </row>
    <row r="1170" spans="2:9" ht="15" x14ac:dyDescent="0.35">
      <c r="B1170" s="512" t="s">
        <v>6219</v>
      </c>
      <c r="C1170" s="512" t="s">
        <v>6272</v>
      </c>
      <c r="D1170" s="512" t="s">
        <v>6273</v>
      </c>
      <c r="E1170" s="513">
        <v>5064</v>
      </c>
      <c r="F1170" s="512" t="s">
        <v>1187</v>
      </c>
      <c r="G1170" s="513" t="s">
        <v>26</v>
      </c>
      <c r="H1170" s="514">
        <v>15627</v>
      </c>
      <c r="I1170" s="515" t="s">
        <v>6915</v>
      </c>
    </row>
    <row r="1171" spans="2:9" ht="15" x14ac:dyDescent="0.35">
      <c r="B1171" s="512" t="s">
        <v>6219</v>
      </c>
      <c r="C1171" s="512" t="s">
        <v>6272</v>
      </c>
      <c r="D1171" s="512" t="s">
        <v>6273</v>
      </c>
      <c r="E1171" s="513">
        <v>5066</v>
      </c>
      <c r="F1171" s="512" t="s">
        <v>1188</v>
      </c>
      <c r="G1171" s="513" t="s">
        <v>26</v>
      </c>
      <c r="H1171" s="514">
        <v>52707</v>
      </c>
      <c r="I1171" s="515" t="s">
        <v>6915</v>
      </c>
    </row>
    <row r="1172" spans="2:9" ht="15" x14ac:dyDescent="0.35">
      <c r="B1172" s="512" t="s">
        <v>6219</v>
      </c>
      <c r="C1172" s="512" t="s">
        <v>6272</v>
      </c>
      <c r="D1172" s="512" t="s">
        <v>6273</v>
      </c>
      <c r="E1172" s="513">
        <v>5067</v>
      </c>
      <c r="F1172" s="512" t="s">
        <v>1189</v>
      </c>
      <c r="G1172" s="513" t="s">
        <v>26</v>
      </c>
      <c r="H1172" s="516">
        <v>39494</v>
      </c>
      <c r="I1172" s="512" t="s">
        <v>6915</v>
      </c>
    </row>
    <row r="1173" spans="2:9" ht="15" x14ac:dyDescent="0.35">
      <c r="B1173" s="512" t="s">
        <v>6219</v>
      </c>
      <c r="C1173" s="512" t="s">
        <v>6272</v>
      </c>
      <c r="D1173" s="512" t="s">
        <v>6273</v>
      </c>
      <c r="E1173" s="513">
        <v>5068</v>
      </c>
      <c r="F1173" s="512" t="s">
        <v>1190</v>
      </c>
      <c r="G1173" s="513" t="s">
        <v>29</v>
      </c>
      <c r="H1173" s="514">
        <v>121476</v>
      </c>
      <c r="I1173" s="515" t="s">
        <v>6915</v>
      </c>
    </row>
    <row r="1174" spans="2:9" ht="15" x14ac:dyDescent="0.35">
      <c r="B1174" s="512" t="s">
        <v>6219</v>
      </c>
      <c r="C1174" s="512" t="s">
        <v>6272</v>
      </c>
      <c r="D1174" s="512" t="s">
        <v>6273</v>
      </c>
      <c r="E1174" s="513">
        <v>5070</v>
      </c>
      <c r="F1174" s="512" t="s">
        <v>1191</v>
      </c>
      <c r="G1174" s="513" t="s">
        <v>29</v>
      </c>
      <c r="H1174" s="514">
        <v>221177</v>
      </c>
      <c r="I1174" s="512" t="s">
        <v>6915</v>
      </c>
    </row>
    <row r="1175" spans="2:9" ht="15" x14ac:dyDescent="0.35">
      <c r="B1175" s="512" t="s">
        <v>6219</v>
      </c>
      <c r="C1175" s="512" t="s">
        <v>6240</v>
      </c>
      <c r="D1175" s="512" t="s">
        <v>6241</v>
      </c>
      <c r="E1175" s="513">
        <v>5071</v>
      </c>
      <c r="F1175" s="512" t="s">
        <v>1192</v>
      </c>
      <c r="G1175" s="513" t="s">
        <v>23</v>
      </c>
      <c r="H1175" s="514">
        <v>1194619</v>
      </c>
      <c r="I1175" s="512" t="s">
        <v>6915</v>
      </c>
    </row>
    <row r="1176" spans="2:9" ht="15" x14ac:dyDescent="0.35">
      <c r="B1176" s="512" t="s">
        <v>6219</v>
      </c>
      <c r="C1176" s="512" t="s">
        <v>6232</v>
      </c>
      <c r="D1176" s="512" t="s">
        <v>6232</v>
      </c>
      <c r="E1176" s="513">
        <v>5073</v>
      </c>
      <c r="F1176" s="512" t="s">
        <v>1193</v>
      </c>
      <c r="G1176" s="513" t="s">
        <v>26</v>
      </c>
      <c r="H1176" s="514">
        <v>23045</v>
      </c>
      <c r="I1176" s="515" t="s">
        <v>6915</v>
      </c>
    </row>
    <row r="1177" spans="2:9" ht="15" x14ac:dyDescent="0.35">
      <c r="B1177" s="512" t="s">
        <v>6219</v>
      </c>
      <c r="C1177" s="512" t="s">
        <v>6232</v>
      </c>
      <c r="D1177" s="512" t="s">
        <v>6232</v>
      </c>
      <c r="E1177" s="513">
        <v>5074</v>
      </c>
      <c r="F1177" s="512" t="s">
        <v>1194</v>
      </c>
      <c r="G1177" s="513" t="s">
        <v>29</v>
      </c>
      <c r="H1177" s="514">
        <v>6016</v>
      </c>
      <c r="I1177" s="515" t="s">
        <v>6915</v>
      </c>
    </row>
    <row r="1178" spans="2:9" ht="15" x14ac:dyDescent="0.35">
      <c r="B1178" s="512" t="s">
        <v>6219</v>
      </c>
      <c r="C1178" s="512" t="s">
        <v>6232</v>
      </c>
      <c r="D1178" s="512" t="s">
        <v>6232</v>
      </c>
      <c r="E1178" s="513">
        <v>5075</v>
      </c>
      <c r="F1178" s="512" t="s">
        <v>1195</v>
      </c>
      <c r="G1178" s="513" t="s">
        <v>29</v>
      </c>
      <c r="H1178" s="514">
        <v>10132</v>
      </c>
      <c r="I1178" s="515" t="s">
        <v>6915</v>
      </c>
    </row>
    <row r="1179" spans="2:9" ht="15" x14ac:dyDescent="0.35">
      <c r="B1179" s="512" t="s">
        <v>6219</v>
      </c>
      <c r="C1179" s="512" t="s">
        <v>6232</v>
      </c>
      <c r="D1179" s="512" t="s">
        <v>6232</v>
      </c>
      <c r="E1179" s="513">
        <v>5076</v>
      </c>
      <c r="F1179" s="512" t="s">
        <v>1196</v>
      </c>
      <c r="G1179" s="513" t="s">
        <v>29</v>
      </c>
      <c r="H1179" s="514">
        <v>27680</v>
      </c>
      <c r="I1179" s="515" t="s">
        <v>6915</v>
      </c>
    </row>
    <row r="1180" spans="2:9" ht="15" x14ac:dyDescent="0.35">
      <c r="B1180" s="512" t="s">
        <v>6219</v>
      </c>
      <c r="C1180" s="512" t="s">
        <v>6232</v>
      </c>
      <c r="D1180" s="512" t="s">
        <v>6232</v>
      </c>
      <c r="E1180" s="513">
        <v>5077</v>
      </c>
      <c r="F1180" s="512" t="s">
        <v>1197</v>
      </c>
      <c r="G1180" s="513" t="s">
        <v>29</v>
      </c>
      <c r="H1180" s="514">
        <v>10044</v>
      </c>
      <c r="I1180" s="515" t="s">
        <v>6915</v>
      </c>
    </row>
    <row r="1181" spans="2:9" ht="15" x14ac:dyDescent="0.35">
      <c r="B1181" s="512" t="s">
        <v>6219</v>
      </c>
      <c r="C1181" s="512" t="s">
        <v>6232</v>
      </c>
      <c r="D1181" s="512" t="s">
        <v>6232</v>
      </c>
      <c r="E1181" s="513">
        <v>5078</v>
      </c>
      <c r="F1181" s="512" t="s">
        <v>1198</v>
      </c>
      <c r="G1181" s="513" t="s">
        <v>29</v>
      </c>
      <c r="H1181" s="516">
        <v>29796</v>
      </c>
      <c r="I1181" s="512" t="s">
        <v>6915</v>
      </c>
    </row>
    <row r="1182" spans="2:9" ht="15" x14ac:dyDescent="0.35">
      <c r="B1182" s="512" t="s">
        <v>6219</v>
      </c>
      <c r="C1182" s="512" t="s">
        <v>6232</v>
      </c>
      <c r="D1182" s="512" t="s">
        <v>6232</v>
      </c>
      <c r="E1182" s="513">
        <v>5079</v>
      </c>
      <c r="F1182" s="512" t="s">
        <v>1199</v>
      </c>
      <c r="G1182" s="513" t="s">
        <v>29</v>
      </c>
      <c r="H1182" s="516">
        <v>15393</v>
      </c>
      <c r="I1182" s="512" t="s">
        <v>6915</v>
      </c>
    </row>
    <row r="1183" spans="2:9" ht="15" x14ac:dyDescent="0.35">
      <c r="B1183" s="512" t="s">
        <v>6219</v>
      </c>
      <c r="C1183" s="512" t="s">
        <v>6232</v>
      </c>
      <c r="D1183" s="512" t="s">
        <v>6232</v>
      </c>
      <c r="E1183" s="513">
        <v>5080</v>
      </c>
      <c r="F1183" s="512" t="s">
        <v>1200</v>
      </c>
      <c r="G1183" s="513" t="s">
        <v>29</v>
      </c>
      <c r="H1183" s="516">
        <v>45577</v>
      </c>
      <c r="I1183" s="512" t="s">
        <v>6915</v>
      </c>
    </row>
    <row r="1184" spans="2:9" ht="15" x14ac:dyDescent="0.35">
      <c r="B1184" s="512" t="s">
        <v>6219</v>
      </c>
      <c r="C1184" s="512" t="s">
        <v>6232</v>
      </c>
      <c r="D1184" s="512" t="s">
        <v>6232</v>
      </c>
      <c r="E1184" s="513">
        <v>5081</v>
      </c>
      <c r="F1184" s="512" t="s">
        <v>1201</v>
      </c>
      <c r="G1184" s="513" t="s">
        <v>29</v>
      </c>
      <c r="H1184" s="516">
        <v>76061</v>
      </c>
      <c r="I1184" s="512" t="s">
        <v>6915</v>
      </c>
    </row>
    <row r="1185" spans="2:9" ht="15" x14ac:dyDescent="0.35">
      <c r="B1185" s="512" t="s">
        <v>6219</v>
      </c>
      <c r="C1185" s="512" t="s">
        <v>6232</v>
      </c>
      <c r="D1185" s="512" t="s">
        <v>6232</v>
      </c>
      <c r="E1185" s="513">
        <v>5082</v>
      </c>
      <c r="F1185" s="512" t="s">
        <v>1202</v>
      </c>
      <c r="G1185" s="513" t="s">
        <v>29</v>
      </c>
      <c r="H1185" s="516">
        <v>129715</v>
      </c>
      <c r="I1185" s="512" t="s">
        <v>6915</v>
      </c>
    </row>
    <row r="1186" spans="2:9" ht="15" x14ac:dyDescent="0.35">
      <c r="B1186" s="512" t="s">
        <v>6219</v>
      </c>
      <c r="C1186" s="512" t="s">
        <v>6239</v>
      </c>
      <c r="D1186" s="512" t="s">
        <v>6239</v>
      </c>
      <c r="E1186" s="513">
        <v>5083</v>
      </c>
      <c r="F1186" s="512" t="s">
        <v>1203</v>
      </c>
      <c r="G1186" s="513" t="s">
        <v>26</v>
      </c>
      <c r="H1186" s="516">
        <v>18891</v>
      </c>
      <c r="I1186" s="512" t="s">
        <v>6915</v>
      </c>
    </row>
    <row r="1187" spans="2:9" ht="15" x14ac:dyDescent="0.35">
      <c r="B1187" s="512" t="s">
        <v>6219</v>
      </c>
      <c r="C1187" s="512" t="s">
        <v>6239</v>
      </c>
      <c r="D1187" s="512" t="s">
        <v>6239</v>
      </c>
      <c r="E1187" s="513">
        <v>5084</v>
      </c>
      <c r="F1187" s="512" t="s">
        <v>1204</v>
      </c>
      <c r="G1187" s="513" t="s">
        <v>26</v>
      </c>
      <c r="H1187" s="514">
        <v>16129</v>
      </c>
      <c r="I1187" s="515" t="s">
        <v>6915</v>
      </c>
    </row>
    <row r="1188" spans="2:9" ht="15" x14ac:dyDescent="0.35">
      <c r="B1188" s="512" t="s">
        <v>6219</v>
      </c>
      <c r="C1188" s="512" t="s">
        <v>6239</v>
      </c>
      <c r="D1188" s="512" t="s">
        <v>6239</v>
      </c>
      <c r="E1188" s="513">
        <v>5085</v>
      </c>
      <c r="F1188" s="512" t="s">
        <v>1205</v>
      </c>
      <c r="G1188" s="513" t="s">
        <v>29</v>
      </c>
      <c r="H1188" s="514">
        <v>20799</v>
      </c>
      <c r="I1188" s="515" t="s">
        <v>6915</v>
      </c>
    </row>
    <row r="1189" spans="2:9" ht="15" x14ac:dyDescent="0.35">
      <c r="B1189" s="512" t="s">
        <v>6219</v>
      </c>
      <c r="C1189" s="512" t="s">
        <v>6239</v>
      </c>
      <c r="D1189" s="512" t="s">
        <v>6239</v>
      </c>
      <c r="E1189" s="513">
        <v>5086</v>
      </c>
      <c r="F1189" s="512" t="s">
        <v>1206</v>
      </c>
      <c r="G1189" s="513" t="s">
        <v>29</v>
      </c>
      <c r="H1189" s="514">
        <v>16415</v>
      </c>
      <c r="I1189" s="515" t="s">
        <v>6915</v>
      </c>
    </row>
    <row r="1190" spans="2:9" ht="15" x14ac:dyDescent="0.35">
      <c r="B1190" s="512" t="s">
        <v>6219</v>
      </c>
      <c r="C1190" s="512" t="s">
        <v>6239</v>
      </c>
      <c r="D1190" s="512" t="s">
        <v>6239</v>
      </c>
      <c r="E1190" s="513">
        <v>5087</v>
      </c>
      <c r="F1190" s="512" t="s">
        <v>1207</v>
      </c>
      <c r="G1190" s="513" t="s">
        <v>29</v>
      </c>
      <c r="H1190" s="516">
        <v>9657</v>
      </c>
      <c r="I1190" s="512" t="s">
        <v>6915</v>
      </c>
    </row>
    <row r="1191" spans="2:9" ht="15" x14ac:dyDescent="0.35">
      <c r="B1191" s="512" t="s">
        <v>6219</v>
      </c>
      <c r="C1191" s="512" t="s">
        <v>6239</v>
      </c>
      <c r="D1191" s="512" t="s">
        <v>6239</v>
      </c>
      <c r="E1191" s="513">
        <v>5088</v>
      </c>
      <c r="F1191" s="512" t="s">
        <v>1208</v>
      </c>
      <c r="G1191" s="513" t="s">
        <v>29</v>
      </c>
      <c r="H1191" s="514">
        <v>11414</v>
      </c>
      <c r="I1191" s="515" t="s">
        <v>6915</v>
      </c>
    </row>
    <row r="1192" spans="2:9" ht="15" x14ac:dyDescent="0.35">
      <c r="B1192" s="512" t="s">
        <v>6219</v>
      </c>
      <c r="C1192" s="512" t="s">
        <v>6239</v>
      </c>
      <c r="D1192" s="512" t="s">
        <v>6239</v>
      </c>
      <c r="E1192" s="513">
        <v>5089</v>
      </c>
      <c r="F1192" s="512" t="s">
        <v>1209</v>
      </c>
      <c r="G1192" s="513" t="s">
        <v>29</v>
      </c>
      <c r="H1192" s="516">
        <v>8501</v>
      </c>
      <c r="I1192" s="512" t="s">
        <v>6915</v>
      </c>
    </row>
    <row r="1193" spans="2:9" ht="15" x14ac:dyDescent="0.35">
      <c r="B1193" s="512" t="s">
        <v>6219</v>
      </c>
      <c r="C1193" s="512" t="s">
        <v>6239</v>
      </c>
      <c r="D1193" s="512" t="s">
        <v>6239</v>
      </c>
      <c r="E1193" s="513">
        <v>5090</v>
      </c>
      <c r="F1193" s="512" t="s">
        <v>1210</v>
      </c>
      <c r="G1193" s="513" t="s">
        <v>29</v>
      </c>
      <c r="H1193" s="514">
        <v>17374</v>
      </c>
      <c r="I1193" s="515" t="s">
        <v>6915</v>
      </c>
    </row>
    <row r="1194" spans="2:9" ht="15" x14ac:dyDescent="0.35">
      <c r="B1194" s="512" t="s">
        <v>6219</v>
      </c>
      <c r="C1194" s="512" t="s">
        <v>6239</v>
      </c>
      <c r="D1194" s="512" t="s">
        <v>6239</v>
      </c>
      <c r="E1194" s="513">
        <v>5091</v>
      </c>
      <c r="F1194" s="512" t="s">
        <v>1211</v>
      </c>
      <c r="G1194" s="513" t="s">
        <v>29</v>
      </c>
      <c r="H1194" s="516">
        <v>12152</v>
      </c>
      <c r="I1194" s="512" t="s">
        <v>6915</v>
      </c>
    </row>
    <row r="1195" spans="2:9" ht="15" x14ac:dyDescent="0.35">
      <c r="B1195" s="512" t="s">
        <v>6219</v>
      </c>
      <c r="C1195" s="512" t="s">
        <v>6239</v>
      </c>
      <c r="D1195" s="512" t="s">
        <v>6239</v>
      </c>
      <c r="E1195" s="513">
        <v>5092</v>
      </c>
      <c r="F1195" s="512" t="s">
        <v>1212</v>
      </c>
      <c r="G1195" s="513" t="s">
        <v>29</v>
      </c>
      <c r="H1195" s="516">
        <v>9225</v>
      </c>
      <c r="I1195" s="512" t="s">
        <v>6915</v>
      </c>
    </row>
    <row r="1196" spans="2:9" ht="15" x14ac:dyDescent="0.35">
      <c r="B1196" s="512" t="s">
        <v>6219</v>
      </c>
      <c r="C1196" s="512" t="s">
        <v>6239</v>
      </c>
      <c r="D1196" s="512" t="s">
        <v>6239</v>
      </c>
      <c r="E1196" s="513">
        <v>5093</v>
      </c>
      <c r="F1196" s="512" t="s">
        <v>1213</v>
      </c>
      <c r="G1196" s="513" t="s">
        <v>29</v>
      </c>
      <c r="H1196" s="516">
        <v>7361</v>
      </c>
      <c r="I1196" s="512" t="s">
        <v>6915</v>
      </c>
    </row>
    <row r="1197" spans="2:9" ht="15" x14ac:dyDescent="0.35">
      <c r="B1197" s="512" t="s">
        <v>6219</v>
      </c>
      <c r="C1197" s="512" t="s">
        <v>6239</v>
      </c>
      <c r="D1197" s="512" t="s">
        <v>6239</v>
      </c>
      <c r="E1197" s="513">
        <v>5094</v>
      </c>
      <c r="F1197" s="512" t="s">
        <v>1214</v>
      </c>
      <c r="G1197" s="513" t="s">
        <v>29</v>
      </c>
      <c r="H1197" s="516">
        <v>6328</v>
      </c>
      <c r="I1197" s="512" t="s">
        <v>6915</v>
      </c>
    </row>
    <row r="1198" spans="2:9" ht="15" x14ac:dyDescent="0.35">
      <c r="B1198" s="512" t="s">
        <v>6219</v>
      </c>
      <c r="C1198" s="512" t="s">
        <v>6239</v>
      </c>
      <c r="D1198" s="512" t="s">
        <v>6239</v>
      </c>
      <c r="E1198" s="513">
        <v>5095</v>
      </c>
      <c r="F1198" s="512" t="s">
        <v>1215</v>
      </c>
      <c r="G1198" s="513" t="s">
        <v>29</v>
      </c>
      <c r="H1198" s="514">
        <v>44273</v>
      </c>
      <c r="I1198" s="515" t="s">
        <v>6915</v>
      </c>
    </row>
    <row r="1199" spans="2:9" ht="15" x14ac:dyDescent="0.35">
      <c r="B1199" s="512" t="s">
        <v>6219</v>
      </c>
      <c r="C1199" s="512" t="s">
        <v>6239</v>
      </c>
      <c r="D1199" s="512" t="s">
        <v>6239</v>
      </c>
      <c r="E1199" s="513">
        <v>5096</v>
      </c>
      <c r="F1199" s="512" t="s">
        <v>1216</v>
      </c>
      <c r="G1199" s="513" t="s">
        <v>29</v>
      </c>
      <c r="H1199" s="514">
        <v>42362</v>
      </c>
      <c r="I1199" s="515" t="s">
        <v>6915</v>
      </c>
    </row>
    <row r="1200" spans="2:9" ht="15" x14ac:dyDescent="0.35">
      <c r="B1200" s="512" t="s">
        <v>6219</v>
      </c>
      <c r="C1200" s="512" t="s">
        <v>6239</v>
      </c>
      <c r="D1200" s="512" t="s">
        <v>6239</v>
      </c>
      <c r="E1200" s="513">
        <v>5097</v>
      </c>
      <c r="F1200" s="512" t="s">
        <v>1217</v>
      </c>
      <c r="G1200" s="513" t="s">
        <v>29</v>
      </c>
      <c r="H1200" s="514">
        <v>51943</v>
      </c>
      <c r="I1200" s="515" t="s">
        <v>6915</v>
      </c>
    </row>
    <row r="1201" spans="2:9" ht="15" x14ac:dyDescent="0.35">
      <c r="B1201" s="512" t="s">
        <v>6219</v>
      </c>
      <c r="C1201" s="512" t="s">
        <v>6239</v>
      </c>
      <c r="D1201" s="512" t="s">
        <v>6239</v>
      </c>
      <c r="E1201" s="513">
        <v>5098</v>
      </c>
      <c r="F1201" s="512" t="s">
        <v>1218</v>
      </c>
      <c r="G1201" s="513" t="s">
        <v>29</v>
      </c>
      <c r="H1201" s="516">
        <v>76643</v>
      </c>
      <c r="I1201" s="512" t="s">
        <v>6915</v>
      </c>
    </row>
    <row r="1202" spans="2:9" ht="15" x14ac:dyDescent="0.35">
      <c r="B1202" s="512" t="s">
        <v>6219</v>
      </c>
      <c r="C1202" s="512" t="s">
        <v>6239</v>
      </c>
      <c r="D1202" s="512" t="s">
        <v>6239</v>
      </c>
      <c r="E1202" s="513">
        <v>5099</v>
      </c>
      <c r="F1202" s="512" t="s">
        <v>1219</v>
      </c>
      <c r="G1202" s="513" t="s">
        <v>29</v>
      </c>
      <c r="H1202" s="514">
        <v>72922</v>
      </c>
      <c r="I1202" s="515" t="s">
        <v>6915</v>
      </c>
    </row>
    <row r="1203" spans="2:9" ht="15" x14ac:dyDescent="0.35">
      <c r="B1203" s="512" t="s">
        <v>6219</v>
      </c>
      <c r="C1203" s="512" t="s">
        <v>6224</v>
      </c>
      <c r="D1203" s="512" t="s">
        <v>6244</v>
      </c>
      <c r="E1203" s="513">
        <v>5101</v>
      </c>
      <c r="F1203" s="512" t="s">
        <v>1220</v>
      </c>
      <c r="G1203" s="513" t="s">
        <v>26</v>
      </c>
      <c r="H1203" s="514">
        <v>202181</v>
      </c>
      <c r="I1203" s="515" t="s">
        <v>6915</v>
      </c>
    </row>
    <row r="1204" spans="2:9" ht="15" x14ac:dyDescent="0.35">
      <c r="B1204" s="512" t="s">
        <v>6219</v>
      </c>
      <c r="C1204" s="512" t="s">
        <v>6224</v>
      </c>
      <c r="D1204" s="512" t="s">
        <v>6244</v>
      </c>
      <c r="E1204" s="513">
        <v>5102</v>
      </c>
      <c r="F1204" s="512" t="s">
        <v>1221</v>
      </c>
      <c r="G1204" s="513" t="s">
        <v>26</v>
      </c>
      <c r="H1204" s="514">
        <v>67772</v>
      </c>
      <c r="I1204" s="515" t="s">
        <v>6915</v>
      </c>
    </row>
    <row r="1205" spans="2:9" ht="15" x14ac:dyDescent="0.35">
      <c r="B1205" s="512" t="s">
        <v>6219</v>
      </c>
      <c r="C1205" s="512" t="s">
        <v>6224</v>
      </c>
      <c r="D1205" s="512" t="s">
        <v>6244</v>
      </c>
      <c r="E1205" s="513">
        <v>5103</v>
      </c>
      <c r="F1205" s="512" t="s">
        <v>1222</v>
      </c>
      <c r="G1205" s="513" t="s">
        <v>26</v>
      </c>
      <c r="H1205" s="514">
        <v>238691</v>
      </c>
      <c r="I1205" s="515" t="s">
        <v>6915</v>
      </c>
    </row>
    <row r="1206" spans="2:9" ht="15" x14ac:dyDescent="0.35">
      <c r="B1206" s="512" t="s">
        <v>6219</v>
      </c>
      <c r="C1206" s="512" t="s">
        <v>6224</v>
      </c>
      <c r="D1206" s="512" t="s">
        <v>6244</v>
      </c>
      <c r="E1206" s="513">
        <v>5105</v>
      </c>
      <c r="F1206" s="512" t="s">
        <v>1223</v>
      </c>
      <c r="G1206" s="513" t="s">
        <v>29</v>
      </c>
      <c r="H1206" s="514">
        <v>125941</v>
      </c>
      <c r="I1206" s="515" t="s">
        <v>6915</v>
      </c>
    </row>
    <row r="1207" spans="2:9" ht="15" x14ac:dyDescent="0.35">
      <c r="B1207" s="512" t="s">
        <v>6219</v>
      </c>
      <c r="C1207" s="512" t="s">
        <v>6224</v>
      </c>
      <c r="D1207" s="512" t="s">
        <v>6244</v>
      </c>
      <c r="E1207" s="513">
        <v>5106</v>
      </c>
      <c r="F1207" s="512" t="s">
        <v>1224</v>
      </c>
      <c r="G1207" s="513" t="s">
        <v>29</v>
      </c>
      <c r="H1207" s="514">
        <v>408302</v>
      </c>
      <c r="I1207" s="515" t="s">
        <v>6915</v>
      </c>
    </row>
    <row r="1208" spans="2:9" ht="15" x14ac:dyDescent="0.35">
      <c r="B1208" s="512" t="s">
        <v>6219</v>
      </c>
      <c r="C1208" s="512" t="s">
        <v>6224</v>
      </c>
      <c r="D1208" s="512" t="s">
        <v>6244</v>
      </c>
      <c r="E1208" s="513">
        <v>5107</v>
      </c>
      <c r="F1208" s="512" t="s">
        <v>1225</v>
      </c>
      <c r="G1208" s="513" t="s">
        <v>26</v>
      </c>
      <c r="H1208" s="514">
        <v>56222</v>
      </c>
      <c r="I1208" s="515" t="s">
        <v>6915</v>
      </c>
    </row>
    <row r="1209" spans="2:9" ht="15" x14ac:dyDescent="0.35">
      <c r="B1209" s="512" t="s">
        <v>6219</v>
      </c>
      <c r="C1209" s="512" t="s">
        <v>6224</v>
      </c>
      <c r="D1209" s="512" t="s">
        <v>6244</v>
      </c>
      <c r="E1209" s="513">
        <v>5108</v>
      </c>
      <c r="F1209" s="512" t="s">
        <v>1226</v>
      </c>
      <c r="G1209" s="513" t="s">
        <v>29</v>
      </c>
      <c r="H1209" s="514">
        <v>450496</v>
      </c>
      <c r="I1209" s="515" t="s">
        <v>6915</v>
      </c>
    </row>
    <row r="1210" spans="2:9" ht="15" x14ac:dyDescent="0.35">
      <c r="B1210" s="512" t="s">
        <v>6219</v>
      </c>
      <c r="C1210" s="512" t="s">
        <v>6224</v>
      </c>
      <c r="D1210" s="512" t="s">
        <v>6244</v>
      </c>
      <c r="E1210" s="513">
        <v>5109</v>
      </c>
      <c r="F1210" s="512" t="s">
        <v>1227</v>
      </c>
      <c r="G1210" s="513" t="s">
        <v>29</v>
      </c>
      <c r="H1210" s="514">
        <v>206563</v>
      </c>
      <c r="I1210" s="515" t="s">
        <v>6915</v>
      </c>
    </row>
    <row r="1211" spans="2:9" ht="15" x14ac:dyDescent="0.35">
      <c r="B1211" s="512" t="s">
        <v>6219</v>
      </c>
      <c r="C1211" s="512" t="s">
        <v>6224</v>
      </c>
      <c r="D1211" s="512" t="s">
        <v>6244</v>
      </c>
      <c r="E1211" s="513">
        <v>5110</v>
      </c>
      <c r="F1211" s="512" t="s">
        <v>1228</v>
      </c>
      <c r="G1211" s="513" t="s">
        <v>26</v>
      </c>
      <c r="H1211" s="514">
        <v>58832</v>
      </c>
      <c r="I1211" s="515" t="s">
        <v>6915</v>
      </c>
    </row>
    <row r="1212" spans="2:9" ht="15" x14ac:dyDescent="0.35">
      <c r="B1212" s="512" t="s">
        <v>6219</v>
      </c>
      <c r="C1212" s="512" t="s">
        <v>6224</v>
      </c>
      <c r="D1212" s="512" t="s">
        <v>6244</v>
      </c>
      <c r="E1212" s="513">
        <v>5111</v>
      </c>
      <c r="F1212" s="512" t="s">
        <v>1229</v>
      </c>
      <c r="G1212" s="513" t="s">
        <v>26</v>
      </c>
      <c r="H1212" s="514">
        <v>17790</v>
      </c>
      <c r="I1212" s="515" t="s">
        <v>6915</v>
      </c>
    </row>
    <row r="1213" spans="2:9" ht="15" x14ac:dyDescent="0.35">
      <c r="B1213" s="512" t="s">
        <v>6219</v>
      </c>
      <c r="C1213" s="512" t="s">
        <v>6224</v>
      </c>
      <c r="D1213" s="512" t="s">
        <v>6244</v>
      </c>
      <c r="E1213" s="513">
        <v>5112</v>
      </c>
      <c r="F1213" s="512" t="s">
        <v>1230</v>
      </c>
      <c r="G1213" s="513" t="s">
        <v>26</v>
      </c>
      <c r="H1213" s="514">
        <v>31915</v>
      </c>
      <c r="I1213" s="515" t="s">
        <v>6915</v>
      </c>
    </row>
    <row r="1214" spans="2:9" ht="15" x14ac:dyDescent="0.35">
      <c r="B1214" s="512" t="s">
        <v>6219</v>
      </c>
      <c r="C1214" s="512" t="s">
        <v>6224</v>
      </c>
      <c r="D1214" s="512" t="s">
        <v>6244</v>
      </c>
      <c r="E1214" s="513">
        <v>5113</v>
      </c>
      <c r="F1214" s="512" t="s">
        <v>1231</v>
      </c>
      <c r="G1214" s="513" t="s">
        <v>29</v>
      </c>
      <c r="H1214" s="514">
        <v>300925</v>
      </c>
      <c r="I1214" s="515" t="s">
        <v>6915</v>
      </c>
    </row>
    <row r="1215" spans="2:9" ht="15" x14ac:dyDescent="0.35">
      <c r="B1215" s="512" t="s">
        <v>6219</v>
      </c>
      <c r="C1215" s="512" t="s">
        <v>6272</v>
      </c>
      <c r="D1215" s="512" t="s">
        <v>6273</v>
      </c>
      <c r="E1215" s="513">
        <v>5122</v>
      </c>
      <c r="F1215" s="512" t="s">
        <v>1232</v>
      </c>
      <c r="G1215" s="513" t="s">
        <v>29</v>
      </c>
      <c r="H1215" s="516">
        <v>462440</v>
      </c>
      <c r="I1215" s="512" t="s">
        <v>6915</v>
      </c>
    </row>
    <row r="1216" spans="2:9" ht="15" x14ac:dyDescent="0.35">
      <c r="B1216" s="512" t="s">
        <v>6219</v>
      </c>
      <c r="C1216" s="512" t="s">
        <v>6272</v>
      </c>
      <c r="D1216" s="512" t="s">
        <v>6273</v>
      </c>
      <c r="E1216" s="513">
        <v>5123</v>
      </c>
      <c r="F1216" s="512" t="s">
        <v>1233</v>
      </c>
      <c r="G1216" s="513" t="s">
        <v>29</v>
      </c>
      <c r="H1216" s="514">
        <v>1163341</v>
      </c>
      <c r="I1216" s="515" t="s">
        <v>6915</v>
      </c>
    </row>
    <row r="1217" spans="2:9" ht="15" x14ac:dyDescent="0.35">
      <c r="B1217" s="512" t="s">
        <v>6219</v>
      </c>
      <c r="C1217" s="512" t="s">
        <v>6272</v>
      </c>
      <c r="D1217" s="512" t="s">
        <v>6273</v>
      </c>
      <c r="E1217" s="513">
        <v>5124</v>
      </c>
      <c r="F1217" s="512" t="s">
        <v>1234</v>
      </c>
      <c r="G1217" s="513" t="s">
        <v>29</v>
      </c>
      <c r="H1217" s="514">
        <v>388799</v>
      </c>
      <c r="I1217" s="515" t="s">
        <v>6915</v>
      </c>
    </row>
    <row r="1218" spans="2:9" ht="15" x14ac:dyDescent="0.35">
      <c r="B1218" s="512" t="s">
        <v>6219</v>
      </c>
      <c r="C1218" s="512" t="s">
        <v>6272</v>
      </c>
      <c r="D1218" s="512" t="s">
        <v>6273</v>
      </c>
      <c r="E1218" s="513">
        <v>5125</v>
      </c>
      <c r="F1218" s="512" t="s">
        <v>1235</v>
      </c>
      <c r="G1218" s="513" t="s">
        <v>29</v>
      </c>
      <c r="H1218" s="516">
        <v>95676</v>
      </c>
      <c r="I1218" s="512" t="s">
        <v>6915</v>
      </c>
    </row>
    <row r="1219" spans="2:9" ht="15" x14ac:dyDescent="0.35">
      <c r="B1219" s="512" t="s">
        <v>6219</v>
      </c>
      <c r="C1219" s="512" t="s">
        <v>6272</v>
      </c>
      <c r="D1219" s="512" t="s">
        <v>6273</v>
      </c>
      <c r="E1219" s="513">
        <v>5126</v>
      </c>
      <c r="F1219" s="512" t="s">
        <v>1236</v>
      </c>
      <c r="G1219" s="513" t="s">
        <v>29</v>
      </c>
      <c r="H1219" s="516">
        <v>306663</v>
      </c>
      <c r="I1219" s="512" t="s">
        <v>6915</v>
      </c>
    </row>
    <row r="1220" spans="2:9" ht="15" x14ac:dyDescent="0.35">
      <c r="B1220" s="512" t="s">
        <v>6219</v>
      </c>
      <c r="C1220" s="512" t="s">
        <v>6272</v>
      </c>
      <c r="D1220" s="512" t="s">
        <v>6273</v>
      </c>
      <c r="E1220" s="513">
        <v>5127</v>
      </c>
      <c r="F1220" s="512" t="s">
        <v>1237</v>
      </c>
      <c r="G1220" s="513" t="s">
        <v>29</v>
      </c>
      <c r="H1220" s="514">
        <v>595440</v>
      </c>
      <c r="I1220" s="515" t="s">
        <v>6915</v>
      </c>
    </row>
    <row r="1221" spans="2:9" ht="15" x14ac:dyDescent="0.35">
      <c r="B1221" s="512" t="s">
        <v>6219</v>
      </c>
      <c r="C1221" s="512" t="s">
        <v>6272</v>
      </c>
      <c r="D1221" s="512" t="s">
        <v>6273</v>
      </c>
      <c r="E1221" s="513">
        <v>5128</v>
      </c>
      <c r="F1221" s="512" t="s">
        <v>1238</v>
      </c>
      <c r="G1221" s="513" t="s">
        <v>29</v>
      </c>
      <c r="H1221" s="516">
        <v>483139</v>
      </c>
      <c r="I1221" s="512" t="s">
        <v>6915</v>
      </c>
    </row>
    <row r="1222" spans="2:9" ht="15" x14ac:dyDescent="0.35">
      <c r="B1222" s="512" t="s">
        <v>6219</v>
      </c>
      <c r="C1222" s="512" t="s">
        <v>6240</v>
      </c>
      <c r="D1222" s="512" t="s">
        <v>6275</v>
      </c>
      <c r="E1222" s="513">
        <v>5129</v>
      </c>
      <c r="F1222" s="512" t="s">
        <v>1239</v>
      </c>
      <c r="G1222" s="513" t="s">
        <v>26</v>
      </c>
      <c r="H1222" s="516">
        <v>331328</v>
      </c>
      <c r="I1222" s="512" t="s">
        <v>6915</v>
      </c>
    </row>
    <row r="1223" spans="2:9" ht="15" x14ac:dyDescent="0.35">
      <c r="B1223" s="512" t="s">
        <v>6219</v>
      </c>
      <c r="C1223" s="512" t="s">
        <v>6240</v>
      </c>
      <c r="D1223" s="512" t="s">
        <v>6275</v>
      </c>
      <c r="E1223" s="513">
        <v>5131</v>
      </c>
      <c r="F1223" s="512" t="s">
        <v>1240</v>
      </c>
      <c r="G1223" s="513" t="s">
        <v>26</v>
      </c>
      <c r="H1223" s="516">
        <v>250419</v>
      </c>
      <c r="I1223" s="512" t="s">
        <v>6915</v>
      </c>
    </row>
    <row r="1224" spans="2:9" ht="15" x14ac:dyDescent="0.35">
      <c r="B1224" s="512" t="s">
        <v>6219</v>
      </c>
      <c r="C1224" s="512" t="s">
        <v>6232</v>
      </c>
      <c r="D1224" s="512" t="s">
        <v>6232</v>
      </c>
      <c r="E1224" s="513">
        <v>5132</v>
      </c>
      <c r="F1224" s="512" t="s">
        <v>1241</v>
      </c>
      <c r="G1224" s="513" t="s">
        <v>26</v>
      </c>
      <c r="H1224" s="514">
        <v>75202</v>
      </c>
      <c r="I1224" s="515" t="s">
        <v>6915</v>
      </c>
    </row>
    <row r="1225" spans="2:9" ht="15" x14ac:dyDescent="0.35">
      <c r="B1225" s="512" t="s">
        <v>6219</v>
      </c>
      <c r="C1225" s="512" t="s">
        <v>6237</v>
      </c>
      <c r="D1225" s="512" t="s">
        <v>6238</v>
      </c>
      <c r="E1225" s="513">
        <v>5135</v>
      </c>
      <c r="F1225" s="512" t="s">
        <v>1242</v>
      </c>
      <c r="G1225" s="513" t="s">
        <v>26</v>
      </c>
      <c r="H1225" s="516">
        <v>8629</v>
      </c>
      <c r="I1225" s="512" t="s">
        <v>6915</v>
      </c>
    </row>
    <row r="1226" spans="2:9" ht="15" x14ac:dyDescent="0.35">
      <c r="B1226" s="512" t="s">
        <v>6219</v>
      </c>
      <c r="C1226" s="512" t="s">
        <v>6237</v>
      </c>
      <c r="D1226" s="512" t="s">
        <v>6238</v>
      </c>
      <c r="E1226" s="513">
        <v>5136</v>
      </c>
      <c r="F1226" s="512" t="s">
        <v>1243</v>
      </c>
      <c r="G1226" s="513" t="s">
        <v>21</v>
      </c>
      <c r="H1226" s="514">
        <v>12018</v>
      </c>
      <c r="I1226" s="515" t="s">
        <v>6915</v>
      </c>
    </row>
    <row r="1227" spans="2:9" ht="15" x14ac:dyDescent="0.35">
      <c r="B1227" s="512" t="s">
        <v>6219</v>
      </c>
      <c r="C1227" s="512" t="s">
        <v>6237</v>
      </c>
      <c r="D1227" s="512" t="s">
        <v>6276</v>
      </c>
      <c r="E1227" s="513">
        <v>5143</v>
      </c>
      <c r="F1227" s="512" t="s">
        <v>1244</v>
      </c>
      <c r="G1227" s="513" t="s">
        <v>29</v>
      </c>
      <c r="H1227" s="514">
        <v>92974</v>
      </c>
      <c r="I1227" s="515" t="s">
        <v>6915</v>
      </c>
    </row>
    <row r="1228" spans="2:9" ht="15" x14ac:dyDescent="0.35">
      <c r="B1228" s="512" t="s">
        <v>6219</v>
      </c>
      <c r="C1228" s="512" t="s">
        <v>6237</v>
      </c>
      <c r="D1228" s="512" t="s">
        <v>6276</v>
      </c>
      <c r="E1228" s="513">
        <v>5144</v>
      </c>
      <c r="F1228" s="512" t="s">
        <v>1245</v>
      </c>
      <c r="G1228" s="513" t="s">
        <v>29</v>
      </c>
      <c r="H1228" s="514">
        <v>26761</v>
      </c>
      <c r="I1228" s="515" t="s">
        <v>6915</v>
      </c>
    </row>
    <row r="1229" spans="2:9" ht="15" x14ac:dyDescent="0.35">
      <c r="B1229" s="512" t="s">
        <v>6219</v>
      </c>
      <c r="C1229" s="512" t="s">
        <v>6237</v>
      </c>
      <c r="D1229" s="512" t="s">
        <v>6276</v>
      </c>
      <c r="E1229" s="513">
        <v>5145</v>
      </c>
      <c r="F1229" s="512" t="s">
        <v>1246</v>
      </c>
      <c r="G1229" s="513" t="s">
        <v>29</v>
      </c>
      <c r="H1229" s="514">
        <v>21456</v>
      </c>
      <c r="I1229" s="515" t="s">
        <v>6915</v>
      </c>
    </row>
    <row r="1230" spans="2:9" ht="15" x14ac:dyDescent="0.35">
      <c r="B1230" s="512" t="s">
        <v>6219</v>
      </c>
      <c r="C1230" s="512" t="s">
        <v>6232</v>
      </c>
      <c r="D1230" s="512" t="s">
        <v>6232</v>
      </c>
      <c r="E1230" s="513">
        <v>5159</v>
      </c>
      <c r="F1230" s="512" t="s">
        <v>1247</v>
      </c>
      <c r="G1230" s="513" t="s">
        <v>29</v>
      </c>
      <c r="H1230" s="514">
        <v>39909</v>
      </c>
      <c r="I1230" s="515" t="s">
        <v>6915</v>
      </c>
    </row>
    <row r="1231" spans="2:9" ht="15" x14ac:dyDescent="0.35">
      <c r="B1231" s="512" t="s">
        <v>6219</v>
      </c>
      <c r="C1231" s="512" t="s">
        <v>6232</v>
      </c>
      <c r="D1231" s="512" t="s">
        <v>6232</v>
      </c>
      <c r="E1231" s="513">
        <v>5160</v>
      </c>
      <c r="F1231" s="512" t="s">
        <v>1248</v>
      </c>
      <c r="G1231" s="513" t="s">
        <v>29</v>
      </c>
      <c r="H1231" s="514">
        <v>92333</v>
      </c>
      <c r="I1231" s="515" t="s">
        <v>6915</v>
      </c>
    </row>
    <row r="1232" spans="2:9" ht="15" x14ac:dyDescent="0.35">
      <c r="B1232" s="512" t="s">
        <v>6219</v>
      </c>
      <c r="C1232" s="512" t="s">
        <v>6277</v>
      </c>
      <c r="D1232" s="512" t="s">
        <v>6277</v>
      </c>
      <c r="E1232" s="513">
        <v>5161</v>
      </c>
      <c r="F1232" s="512" t="s">
        <v>1249</v>
      </c>
      <c r="G1232" s="513" t="s">
        <v>21</v>
      </c>
      <c r="H1232" s="514">
        <v>283</v>
      </c>
      <c r="I1232" s="515" t="s">
        <v>6915</v>
      </c>
    </row>
    <row r="1233" spans="2:9" ht="15" x14ac:dyDescent="0.35">
      <c r="B1233" s="512" t="s">
        <v>6219</v>
      </c>
      <c r="C1233" s="512" t="s">
        <v>6242</v>
      </c>
      <c r="D1233" s="512" t="s">
        <v>6257</v>
      </c>
      <c r="E1233" s="513">
        <v>5162</v>
      </c>
      <c r="F1233" s="512" t="s">
        <v>1250</v>
      </c>
      <c r="G1233" s="513" t="s">
        <v>23</v>
      </c>
      <c r="H1233" s="514">
        <v>375196</v>
      </c>
      <c r="I1233" s="512" t="s">
        <v>6915</v>
      </c>
    </row>
    <row r="1234" spans="2:9" ht="15" x14ac:dyDescent="0.35">
      <c r="B1234" s="512" t="s">
        <v>6219</v>
      </c>
      <c r="C1234" s="512" t="s">
        <v>6242</v>
      </c>
      <c r="D1234" s="512" t="s">
        <v>6257</v>
      </c>
      <c r="E1234" s="513">
        <v>5163</v>
      </c>
      <c r="F1234" s="512" t="s">
        <v>1251</v>
      </c>
      <c r="G1234" s="513" t="s">
        <v>23</v>
      </c>
      <c r="H1234" s="514">
        <v>398667</v>
      </c>
      <c r="I1234" s="512" t="s">
        <v>6915</v>
      </c>
    </row>
    <row r="1235" spans="2:9" ht="15" x14ac:dyDescent="0.35">
      <c r="B1235" s="512" t="s">
        <v>6219</v>
      </c>
      <c r="C1235" s="512" t="s">
        <v>6242</v>
      </c>
      <c r="D1235" s="512" t="s">
        <v>6257</v>
      </c>
      <c r="E1235" s="513">
        <v>5164</v>
      </c>
      <c r="F1235" s="512" t="s">
        <v>1252</v>
      </c>
      <c r="G1235" s="513" t="s">
        <v>23</v>
      </c>
      <c r="H1235" s="514">
        <v>203008</v>
      </c>
      <c r="I1235" s="512" t="s">
        <v>6915</v>
      </c>
    </row>
    <row r="1236" spans="2:9" ht="15" x14ac:dyDescent="0.35">
      <c r="B1236" s="512" t="s">
        <v>6219</v>
      </c>
      <c r="C1236" s="512" t="s">
        <v>6242</v>
      </c>
      <c r="D1236" s="512" t="s">
        <v>6257</v>
      </c>
      <c r="E1236" s="513">
        <v>5165</v>
      </c>
      <c r="F1236" s="512" t="s">
        <v>1253</v>
      </c>
      <c r="G1236" s="513" t="s">
        <v>23</v>
      </c>
      <c r="H1236" s="514">
        <v>292796</v>
      </c>
      <c r="I1236" s="515" t="s">
        <v>6915</v>
      </c>
    </row>
    <row r="1237" spans="2:9" ht="15" x14ac:dyDescent="0.35">
      <c r="B1237" s="512" t="s">
        <v>6219</v>
      </c>
      <c r="C1237" s="512" t="s">
        <v>6269</v>
      </c>
      <c r="D1237" s="512" t="s">
        <v>6269</v>
      </c>
      <c r="E1237" s="513">
        <v>5166</v>
      </c>
      <c r="F1237" s="512" t="s">
        <v>1254</v>
      </c>
      <c r="G1237" s="513" t="s">
        <v>1255</v>
      </c>
      <c r="H1237" s="514">
        <v>6565</v>
      </c>
      <c r="I1237" s="515" t="s">
        <v>6915</v>
      </c>
    </row>
    <row r="1238" spans="2:9" ht="15" x14ac:dyDescent="0.35">
      <c r="B1238" s="512" t="s">
        <v>6219</v>
      </c>
      <c r="C1238" s="512" t="s">
        <v>6269</v>
      </c>
      <c r="D1238" s="512" t="s">
        <v>6269</v>
      </c>
      <c r="E1238" s="513">
        <v>5167</v>
      </c>
      <c r="F1238" s="512" t="s">
        <v>1256</v>
      </c>
      <c r="G1238" s="513" t="s">
        <v>1108</v>
      </c>
      <c r="H1238" s="514">
        <v>3337959</v>
      </c>
      <c r="I1238" s="515" t="s">
        <v>6915</v>
      </c>
    </row>
    <row r="1239" spans="2:9" ht="15" x14ac:dyDescent="0.35">
      <c r="B1239" s="512" t="s">
        <v>6219</v>
      </c>
      <c r="C1239" s="512" t="s">
        <v>6269</v>
      </c>
      <c r="D1239" s="512" t="s">
        <v>6269</v>
      </c>
      <c r="E1239" s="513">
        <v>5168</v>
      </c>
      <c r="F1239" s="512" t="s">
        <v>1257</v>
      </c>
      <c r="G1239" s="513" t="s">
        <v>1106</v>
      </c>
      <c r="H1239" s="514">
        <v>21674</v>
      </c>
      <c r="I1239" s="515" t="s">
        <v>6915</v>
      </c>
    </row>
    <row r="1240" spans="2:9" ht="15" x14ac:dyDescent="0.35">
      <c r="B1240" s="512" t="s">
        <v>6219</v>
      </c>
      <c r="C1240" s="512" t="s">
        <v>6269</v>
      </c>
      <c r="D1240" s="512" t="s">
        <v>6269</v>
      </c>
      <c r="E1240" s="513">
        <v>5169</v>
      </c>
      <c r="F1240" s="512" t="s">
        <v>1258</v>
      </c>
      <c r="G1240" s="513" t="s">
        <v>29</v>
      </c>
      <c r="H1240" s="514">
        <v>210313</v>
      </c>
      <c r="I1240" s="515" t="s">
        <v>6915</v>
      </c>
    </row>
    <row r="1241" spans="2:9" ht="15" x14ac:dyDescent="0.35">
      <c r="B1241" s="512" t="s">
        <v>6219</v>
      </c>
      <c r="C1241" s="512" t="s">
        <v>6269</v>
      </c>
      <c r="D1241" s="512" t="s">
        <v>6269</v>
      </c>
      <c r="E1241" s="513">
        <v>5170</v>
      </c>
      <c r="F1241" s="512" t="s">
        <v>1259</v>
      </c>
      <c r="G1241" s="513" t="s">
        <v>1106</v>
      </c>
      <c r="H1241" s="514">
        <v>450370</v>
      </c>
      <c r="I1241" s="515" t="s">
        <v>6915</v>
      </c>
    </row>
    <row r="1242" spans="2:9" ht="15" x14ac:dyDescent="0.35">
      <c r="B1242" s="512" t="s">
        <v>6219</v>
      </c>
      <c r="C1242" s="512" t="s">
        <v>6239</v>
      </c>
      <c r="D1242" s="512" t="s">
        <v>6239</v>
      </c>
      <c r="E1242" s="513">
        <v>5171</v>
      </c>
      <c r="F1242" s="512" t="s">
        <v>1260</v>
      </c>
      <c r="G1242" s="513" t="s">
        <v>29</v>
      </c>
      <c r="H1242" s="514">
        <v>524636</v>
      </c>
      <c r="I1242" s="515" t="s">
        <v>6915</v>
      </c>
    </row>
    <row r="1243" spans="2:9" ht="15" x14ac:dyDescent="0.35">
      <c r="B1243" s="512" t="s">
        <v>6219</v>
      </c>
      <c r="C1243" s="512" t="s">
        <v>6239</v>
      </c>
      <c r="D1243" s="512" t="s">
        <v>6239</v>
      </c>
      <c r="E1243" s="513">
        <v>5172</v>
      </c>
      <c r="F1243" s="512" t="s">
        <v>1261</v>
      </c>
      <c r="G1243" s="513" t="s">
        <v>29</v>
      </c>
      <c r="H1243" s="514">
        <v>490331</v>
      </c>
      <c r="I1243" s="515" t="s">
        <v>6915</v>
      </c>
    </row>
    <row r="1244" spans="2:9" ht="15" x14ac:dyDescent="0.35">
      <c r="B1244" s="512" t="s">
        <v>6219</v>
      </c>
      <c r="C1244" s="512" t="s">
        <v>6239</v>
      </c>
      <c r="D1244" s="512" t="s">
        <v>6239</v>
      </c>
      <c r="E1244" s="513">
        <v>5173</v>
      </c>
      <c r="F1244" s="512" t="s">
        <v>1262</v>
      </c>
      <c r="G1244" s="513" t="s">
        <v>29</v>
      </c>
      <c r="H1244" s="514">
        <v>498435</v>
      </c>
      <c r="I1244" s="515" t="s">
        <v>6915</v>
      </c>
    </row>
    <row r="1245" spans="2:9" ht="15" x14ac:dyDescent="0.35">
      <c r="B1245" s="512" t="s">
        <v>6219</v>
      </c>
      <c r="C1245" s="512" t="s">
        <v>6252</v>
      </c>
      <c r="D1245" s="512" t="s">
        <v>6252</v>
      </c>
      <c r="E1245" s="513">
        <v>5175</v>
      </c>
      <c r="F1245" s="512" t="s">
        <v>1263</v>
      </c>
      <c r="G1245" s="513" t="s">
        <v>26</v>
      </c>
      <c r="H1245" s="514">
        <v>243625</v>
      </c>
      <c r="I1245" s="515" t="s">
        <v>6915</v>
      </c>
    </row>
    <row r="1246" spans="2:9" ht="15" x14ac:dyDescent="0.35">
      <c r="B1246" s="512" t="s">
        <v>6219</v>
      </c>
      <c r="C1246" s="512" t="s">
        <v>6252</v>
      </c>
      <c r="D1246" s="512" t="s">
        <v>6252</v>
      </c>
      <c r="E1246" s="513">
        <v>5176</v>
      </c>
      <c r="F1246" s="512" t="s">
        <v>1264</v>
      </c>
      <c r="G1246" s="513" t="s">
        <v>26</v>
      </c>
      <c r="H1246" s="514">
        <v>198787</v>
      </c>
      <c r="I1246" s="515" t="s">
        <v>6915</v>
      </c>
    </row>
    <row r="1247" spans="2:9" ht="15" x14ac:dyDescent="0.35">
      <c r="B1247" s="512" t="s">
        <v>6219</v>
      </c>
      <c r="C1247" s="512" t="s">
        <v>6242</v>
      </c>
      <c r="D1247" s="512" t="s">
        <v>6257</v>
      </c>
      <c r="E1247" s="513">
        <v>5177</v>
      </c>
      <c r="F1247" s="512" t="s">
        <v>1265</v>
      </c>
      <c r="G1247" s="513" t="s">
        <v>23</v>
      </c>
      <c r="H1247" s="514">
        <v>2077901</v>
      </c>
      <c r="I1247" s="512" t="s">
        <v>6915</v>
      </c>
    </row>
    <row r="1248" spans="2:9" ht="15" x14ac:dyDescent="0.35">
      <c r="B1248" s="512" t="s">
        <v>6219</v>
      </c>
      <c r="C1248" s="512" t="s">
        <v>6253</v>
      </c>
      <c r="D1248" s="512" t="s">
        <v>6254</v>
      </c>
      <c r="E1248" s="513">
        <v>5178</v>
      </c>
      <c r="F1248" s="512" t="s">
        <v>1266</v>
      </c>
      <c r="G1248" s="513" t="s">
        <v>389</v>
      </c>
      <c r="H1248" s="514">
        <v>952689</v>
      </c>
      <c r="I1248" s="515" t="s">
        <v>5686</v>
      </c>
    </row>
    <row r="1249" spans="2:9" ht="15" x14ac:dyDescent="0.35">
      <c r="B1249" s="512" t="s">
        <v>6219</v>
      </c>
      <c r="C1249" s="512" t="s">
        <v>6232</v>
      </c>
      <c r="D1249" s="512" t="s">
        <v>6232</v>
      </c>
      <c r="E1249" s="513">
        <v>5180</v>
      </c>
      <c r="F1249" s="512" t="s">
        <v>1267</v>
      </c>
      <c r="G1249" s="513" t="s">
        <v>26</v>
      </c>
      <c r="H1249" s="514">
        <v>349011</v>
      </c>
      <c r="I1249" s="515" t="s">
        <v>6915</v>
      </c>
    </row>
    <row r="1250" spans="2:9" ht="15" x14ac:dyDescent="0.35">
      <c r="B1250" s="512" t="s">
        <v>6219</v>
      </c>
      <c r="C1250" s="512" t="s">
        <v>6230</v>
      </c>
      <c r="D1250" s="512" t="s">
        <v>6231</v>
      </c>
      <c r="E1250" s="513">
        <v>5181</v>
      </c>
      <c r="F1250" s="512" t="s">
        <v>1268</v>
      </c>
      <c r="G1250" s="513" t="s">
        <v>26</v>
      </c>
      <c r="H1250" s="514">
        <v>65653</v>
      </c>
      <c r="I1250" s="515" t="s">
        <v>6915</v>
      </c>
    </row>
    <row r="1251" spans="2:9" ht="15" x14ac:dyDescent="0.35">
      <c r="B1251" s="512" t="s">
        <v>6219</v>
      </c>
      <c r="C1251" s="512" t="s">
        <v>6233</v>
      </c>
      <c r="D1251" s="512" t="s">
        <v>6234</v>
      </c>
      <c r="E1251" s="513">
        <v>5182</v>
      </c>
      <c r="F1251" s="512" t="s">
        <v>1269</v>
      </c>
      <c r="G1251" s="513" t="s">
        <v>26</v>
      </c>
      <c r="H1251" s="514">
        <v>462912</v>
      </c>
      <c r="I1251" s="515" t="s">
        <v>6915</v>
      </c>
    </row>
    <row r="1252" spans="2:9" ht="15" x14ac:dyDescent="0.35">
      <c r="B1252" s="512" t="s">
        <v>6219</v>
      </c>
      <c r="C1252" s="512" t="s">
        <v>6233</v>
      </c>
      <c r="D1252" s="512" t="s">
        <v>6234</v>
      </c>
      <c r="E1252" s="513">
        <v>5183</v>
      </c>
      <c r="F1252" s="512" t="s">
        <v>1270</v>
      </c>
      <c r="G1252" s="513" t="s">
        <v>26</v>
      </c>
      <c r="H1252" s="514">
        <v>220768</v>
      </c>
      <c r="I1252" s="515" t="s">
        <v>6915</v>
      </c>
    </row>
    <row r="1253" spans="2:9" ht="15" x14ac:dyDescent="0.35">
      <c r="B1253" s="512" t="s">
        <v>6219</v>
      </c>
      <c r="C1253" s="512" t="s">
        <v>6233</v>
      </c>
      <c r="D1253" s="512" t="s">
        <v>6234</v>
      </c>
      <c r="E1253" s="513">
        <v>5184</v>
      </c>
      <c r="F1253" s="512" t="s">
        <v>1271</v>
      </c>
      <c r="G1253" s="513" t="s">
        <v>26</v>
      </c>
      <c r="H1253" s="514">
        <v>80259</v>
      </c>
      <c r="I1253" s="515" t="s">
        <v>6915</v>
      </c>
    </row>
    <row r="1254" spans="2:9" ht="15" x14ac:dyDescent="0.35">
      <c r="B1254" s="512" t="s">
        <v>6219</v>
      </c>
      <c r="C1254" s="512" t="s">
        <v>6239</v>
      </c>
      <c r="D1254" s="512" t="s">
        <v>6239</v>
      </c>
      <c r="E1254" s="513">
        <v>5186</v>
      </c>
      <c r="F1254" s="512" t="s">
        <v>1272</v>
      </c>
      <c r="G1254" s="513" t="s">
        <v>29</v>
      </c>
      <c r="H1254" s="514">
        <v>470326</v>
      </c>
      <c r="I1254" s="515" t="s">
        <v>6915</v>
      </c>
    </row>
    <row r="1255" spans="2:9" ht="15" x14ac:dyDescent="0.35">
      <c r="B1255" s="512" t="s">
        <v>6219</v>
      </c>
      <c r="C1255" s="512" t="s">
        <v>6239</v>
      </c>
      <c r="D1255" s="512" t="s">
        <v>6239</v>
      </c>
      <c r="E1255" s="513">
        <v>5187</v>
      </c>
      <c r="F1255" s="512" t="s">
        <v>1273</v>
      </c>
      <c r="G1255" s="513" t="s">
        <v>29</v>
      </c>
      <c r="H1255" s="514">
        <v>508180</v>
      </c>
      <c r="I1255" s="515" t="s">
        <v>6915</v>
      </c>
    </row>
    <row r="1256" spans="2:9" ht="15" x14ac:dyDescent="0.35">
      <c r="B1256" s="512" t="s">
        <v>6219</v>
      </c>
      <c r="C1256" s="512" t="s">
        <v>6237</v>
      </c>
      <c r="D1256" s="512" t="s">
        <v>6247</v>
      </c>
      <c r="E1256" s="513">
        <v>5188</v>
      </c>
      <c r="F1256" s="512" t="s">
        <v>1274</v>
      </c>
      <c r="G1256" s="513" t="s">
        <v>29</v>
      </c>
      <c r="H1256" s="514">
        <v>61103</v>
      </c>
      <c r="I1256" s="515" t="s">
        <v>6915</v>
      </c>
    </row>
    <row r="1257" spans="2:9" ht="15" x14ac:dyDescent="0.35">
      <c r="B1257" s="512" t="s">
        <v>6219</v>
      </c>
      <c r="C1257" s="512" t="s">
        <v>6237</v>
      </c>
      <c r="D1257" s="512" t="s">
        <v>6247</v>
      </c>
      <c r="E1257" s="513">
        <v>5189</v>
      </c>
      <c r="F1257" s="512" t="s">
        <v>1275</v>
      </c>
      <c r="G1257" s="513" t="s">
        <v>29</v>
      </c>
      <c r="H1257" s="514">
        <v>94206</v>
      </c>
      <c r="I1257" s="515" t="s">
        <v>6915</v>
      </c>
    </row>
    <row r="1258" spans="2:9" ht="15" x14ac:dyDescent="0.35">
      <c r="B1258" s="512" t="s">
        <v>6219</v>
      </c>
      <c r="C1258" s="512" t="s">
        <v>6264</v>
      </c>
      <c r="D1258" s="512" t="s">
        <v>6264</v>
      </c>
      <c r="E1258" s="513">
        <v>5190</v>
      </c>
      <c r="F1258" s="512" t="s">
        <v>1276</v>
      </c>
      <c r="G1258" s="513" t="s">
        <v>26</v>
      </c>
      <c r="H1258" s="514">
        <v>13533</v>
      </c>
      <c r="I1258" s="515" t="s">
        <v>6915</v>
      </c>
    </row>
    <row r="1259" spans="2:9" ht="15" x14ac:dyDescent="0.35">
      <c r="B1259" s="512" t="s">
        <v>6219</v>
      </c>
      <c r="C1259" s="512" t="s">
        <v>6237</v>
      </c>
      <c r="D1259" s="512" t="s">
        <v>6238</v>
      </c>
      <c r="E1259" s="513">
        <v>5191</v>
      </c>
      <c r="F1259" s="512" t="s">
        <v>1277</v>
      </c>
      <c r="G1259" s="513" t="s">
        <v>29</v>
      </c>
      <c r="H1259" s="514">
        <v>343674</v>
      </c>
      <c r="I1259" s="515" t="s">
        <v>6915</v>
      </c>
    </row>
    <row r="1260" spans="2:9" ht="15" x14ac:dyDescent="0.35">
      <c r="B1260" s="512" t="s">
        <v>6219</v>
      </c>
      <c r="C1260" s="512" t="s">
        <v>6242</v>
      </c>
      <c r="D1260" s="512" t="s">
        <v>6255</v>
      </c>
      <c r="E1260" s="513">
        <v>5195</v>
      </c>
      <c r="F1260" s="512" t="s">
        <v>1278</v>
      </c>
      <c r="G1260" s="513" t="s">
        <v>26</v>
      </c>
      <c r="H1260" s="514">
        <v>51937</v>
      </c>
      <c r="I1260" s="515" t="s">
        <v>6915</v>
      </c>
    </row>
    <row r="1261" spans="2:9" ht="15" x14ac:dyDescent="0.35">
      <c r="B1261" s="512" t="s">
        <v>6219</v>
      </c>
      <c r="C1261" s="512" t="s">
        <v>6223</v>
      </c>
      <c r="D1261" s="512" t="s">
        <v>6223</v>
      </c>
      <c r="E1261" s="513">
        <v>5196</v>
      </c>
      <c r="F1261" s="512" t="s">
        <v>1279</v>
      </c>
      <c r="G1261" s="513" t="s">
        <v>23</v>
      </c>
      <c r="H1261" s="514">
        <v>122296</v>
      </c>
      <c r="I1261" s="515" t="s">
        <v>6915</v>
      </c>
    </row>
    <row r="1262" spans="2:9" ht="15" x14ac:dyDescent="0.35">
      <c r="B1262" s="512" t="s">
        <v>6219</v>
      </c>
      <c r="C1262" s="512" t="s">
        <v>6223</v>
      </c>
      <c r="D1262" s="512" t="s">
        <v>6223</v>
      </c>
      <c r="E1262" s="513">
        <v>5197</v>
      </c>
      <c r="F1262" s="512" t="s">
        <v>1280</v>
      </c>
      <c r="G1262" s="513" t="s">
        <v>23</v>
      </c>
      <c r="H1262" s="514">
        <v>128953</v>
      </c>
      <c r="I1262" s="515" t="s">
        <v>6915</v>
      </c>
    </row>
    <row r="1263" spans="2:9" ht="15" x14ac:dyDescent="0.35">
      <c r="B1263" s="512" t="s">
        <v>6219</v>
      </c>
      <c r="C1263" s="512" t="s">
        <v>6242</v>
      </c>
      <c r="D1263" s="512" t="s">
        <v>6255</v>
      </c>
      <c r="E1263" s="513">
        <v>5202</v>
      </c>
      <c r="F1263" s="512" t="s">
        <v>1281</v>
      </c>
      <c r="G1263" s="513" t="s">
        <v>26</v>
      </c>
      <c r="H1263" s="514">
        <v>102640</v>
      </c>
      <c r="I1263" s="515" t="s">
        <v>6915</v>
      </c>
    </row>
    <row r="1264" spans="2:9" ht="15" x14ac:dyDescent="0.35">
      <c r="B1264" s="512" t="s">
        <v>6219</v>
      </c>
      <c r="C1264" s="512" t="s">
        <v>6242</v>
      </c>
      <c r="D1264" s="512" t="s">
        <v>6255</v>
      </c>
      <c r="E1264" s="513">
        <v>5204</v>
      </c>
      <c r="F1264" s="512" t="s">
        <v>1282</v>
      </c>
      <c r="G1264" s="513" t="s">
        <v>26</v>
      </c>
      <c r="H1264" s="516">
        <v>11926</v>
      </c>
      <c r="I1264" s="512" t="s">
        <v>6915</v>
      </c>
    </row>
    <row r="1265" spans="2:9" ht="15" x14ac:dyDescent="0.35">
      <c r="B1265" s="512" t="s">
        <v>6219</v>
      </c>
      <c r="C1265" s="512" t="s">
        <v>6252</v>
      </c>
      <c r="D1265" s="512" t="s">
        <v>6252</v>
      </c>
      <c r="E1265" s="513">
        <v>5205</v>
      </c>
      <c r="F1265" s="512" t="s">
        <v>1283</v>
      </c>
      <c r="G1265" s="513" t="s">
        <v>26</v>
      </c>
      <c r="H1265" s="514">
        <v>49387</v>
      </c>
      <c r="I1265" s="515" t="s">
        <v>6915</v>
      </c>
    </row>
    <row r="1266" spans="2:9" ht="15" x14ac:dyDescent="0.35">
      <c r="B1266" s="512" t="s">
        <v>6219</v>
      </c>
      <c r="C1266" s="512" t="s">
        <v>6252</v>
      </c>
      <c r="D1266" s="512" t="s">
        <v>6252</v>
      </c>
      <c r="E1266" s="513">
        <v>5207</v>
      </c>
      <c r="F1266" s="512" t="s">
        <v>1284</v>
      </c>
      <c r="G1266" s="513" t="s">
        <v>21</v>
      </c>
      <c r="H1266" s="514">
        <v>264607</v>
      </c>
      <c r="I1266" s="515" t="s">
        <v>6915</v>
      </c>
    </row>
    <row r="1267" spans="2:9" ht="15" x14ac:dyDescent="0.35">
      <c r="B1267" s="512" t="s">
        <v>6219</v>
      </c>
      <c r="C1267" s="512" t="s">
        <v>6252</v>
      </c>
      <c r="D1267" s="512" t="s">
        <v>6252</v>
      </c>
      <c r="E1267" s="513">
        <v>5208</v>
      </c>
      <c r="F1267" s="512" t="s">
        <v>1285</v>
      </c>
      <c r="G1267" s="513" t="s">
        <v>26</v>
      </c>
      <c r="H1267" s="516">
        <v>122465</v>
      </c>
      <c r="I1267" s="512" t="s">
        <v>6915</v>
      </c>
    </row>
    <row r="1268" spans="2:9" ht="15" x14ac:dyDescent="0.35">
      <c r="B1268" s="512" t="s">
        <v>6219</v>
      </c>
      <c r="C1268" s="512" t="s">
        <v>6252</v>
      </c>
      <c r="D1268" s="512" t="s">
        <v>6252</v>
      </c>
      <c r="E1268" s="513">
        <v>5209</v>
      </c>
      <c r="F1268" s="512" t="s">
        <v>1286</v>
      </c>
      <c r="G1268" s="513" t="s">
        <v>21</v>
      </c>
      <c r="H1268" s="514">
        <v>86999</v>
      </c>
      <c r="I1268" s="515" t="s">
        <v>6915</v>
      </c>
    </row>
    <row r="1269" spans="2:9" ht="15" x14ac:dyDescent="0.35">
      <c r="B1269" s="512" t="s">
        <v>6219</v>
      </c>
      <c r="C1269" s="512" t="s">
        <v>6252</v>
      </c>
      <c r="D1269" s="512" t="s">
        <v>6252</v>
      </c>
      <c r="E1269" s="513">
        <v>5210</v>
      </c>
      <c r="F1269" s="512" t="s">
        <v>1287</v>
      </c>
      <c r="G1269" s="513" t="s">
        <v>21</v>
      </c>
      <c r="H1269" s="514">
        <v>90284</v>
      </c>
      <c r="I1269" s="515" t="s">
        <v>6915</v>
      </c>
    </row>
    <row r="1270" spans="2:9" ht="15" x14ac:dyDescent="0.35">
      <c r="B1270" s="512" t="s">
        <v>6219</v>
      </c>
      <c r="C1270" s="512" t="s">
        <v>6252</v>
      </c>
      <c r="D1270" s="512" t="s">
        <v>6252</v>
      </c>
      <c r="E1270" s="513">
        <v>5211</v>
      </c>
      <c r="F1270" s="512" t="s">
        <v>1288</v>
      </c>
      <c r="G1270" s="513" t="s">
        <v>21</v>
      </c>
      <c r="H1270" s="514">
        <v>61282</v>
      </c>
      <c r="I1270" s="515" t="s">
        <v>6915</v>
      </c>
    </row>
    <row r="1271" spans="2:9" ht="15" x14ac:dyDescent="0.35">
      <c r="B1271" s="512" t="s">
        <v>6219</v>
      </c>
      <c r="C1271" s="512" t="s">
        <v>6242</v>
      </c>
      <c r="D1271" s="512" t="s">
        <v>6255</v>
      </c>
      <c r="E1271" s="513">
        <v>5212</v>
      </c>
      <c r="F1271" s="512" t="s">
        <v>1289</v>
      </c>
      <c r="G1271" s="513" t="s">
        <v>26</v>
      </c>
      <c r="H1271" s="514">
        <v>25243</v>
      </c>
      <c r="I1271" s="515" t="s">
        <v>6915</v>
      </c>
    </row>
    <row r="1272" spans="2:9" ht="15" x14ac:dyDescent="0.35">
      <c r="B1272" s="512" t="s">
        <v>6219</v>
      </c>
      <c r="C1272" s="512" t="s">
        <v>6242</v>
      </c>
      <c r="D1272" s="512" t="s">
        <v>6255</v>
      </c>
      <c r="E1272" s="513">
        <v>5214</v>
      </c>
      <c r="F1272" s="512" t="s">
        <v>1290</v>
      </c>
      <c r="G1272" s="513" t="s">
        <v>21</v>
      </c>
      <c r="H1272" s="516">
        <v>316004</v>
      </c>
      <c r="I1272" s="512" t="s">
        <v>6915</v>
      </c>
    </row>
    <row r="1273" spans="2:9" ht="15" x14ac:dyDescent="0.35">
      <c r="B1273" s="512" t="s">
        <v>6219</v>
      </c>
      <c r="C1273" s="512" t="s">
        <v>6240</v>
      </c>
      <c r="D1273" s="512" t="s">
        <v>6256</v>
      </c>
      <c r="E1273" s="513">
        <v>5216</v>
      </c>
      <c r="F1273" s="512" t="s">
        <v>1291</v>
      </c>
      <c r="G1273" s="513" t="s">
        <v>21</v>
      </c>
      <c r="H1273" s="514">
        <v>27296</v>
      </c>
      <c r="I1273" s="515" t="s">
        <v>6915</v>
      </c>
    </row>
    <row r="1274" spans="2:9" ht="15" x14ac:dyDescent="0.35">
      <c r="B1274" s="512" t="s">
        <v>6219</v>
      </c>
      <c r="C1274" s="512" t="s">
        <v>6237</v>
      </c>
      <c r="D1274" s="512" t="s">
        <v>6238</v>
      </c>
      <c r="E1274" s="513">
        <v>5217</v>
      </c>
      <c r="F1274" s="512" t="s">
        <v>1292</v>
      </c>
      <c r="G1274" s="513" t="s">
        <v>26</v>
      </c>
      <c r="H1274" s="514">
        <v>4099</v>
      </c>
      <c r="I1274" s="515" t="s">
        <v>6915</v>
      </c>
    </row>
    <row r="1275" spans="2:9" ht="15" x14ac:dyDescent="0.35">
      <c r="B1275" s="512" t="s">
        <v>6219</v>
      </c>
      <c r="C1275" s="512" t="s">
        <v>6237</v>
      </c>
      <c r="D1275" s="512" t="s">
        <v>6238</v>
      </c>
      <c r="E1275" s="513">
        <v>5218</v>
      </c>
      <c r="F1275" s="512" t="s">
        <v>1293</v>
      </c>
      <c r="G1275" s="513" t="s">
        <v>26</v>
      </c>
      <c r="H1275" s="514">
        <v>4149</v>
      </c>
      <c r="I1275" s="515" t="s">
        <v>6915</v>
      </c>
    </row>
    <row r="1276" spans="2:9" ht="15" x14ac:dyDescent="0.35">
      <c r="B1276" s="512" t="s">
        <v>6219</v>
      </c>
      <c r="C1276" s="512" t="s">
        <v>6237</v>
      </c>
      <c r="D1276" s="512" t="s">
        <v>6238</v>
      </c>
      <c r="E1276" s="513">
        <v>5220</v>
      </c>
      <c r="F1276" s="512" t="s">
        <v>1294</v>
      </c>
      <c r="G1276" s="513" t="s">
        <v>26</v>
      </c>
      <c r="H1276" s="514">
        <v>19195</v>
      </c>
      <c r="I1276" s="512" t="s">
        <v>6915</v>
      </c>
    </row>
    <row r="1277" spans="2:9" ht="15" x14ac:dyDescent="0.35">
      <c r="B1277" s="512" t="s">
        <v>6219</v>
      </c>
      <c r="C1277" s="512" t="s">
        <v>6237</v>
      </c>
      <c r="D1277" s="512" t="s">
        <v>6238</v>
      </c>
      <c r="E1277" s="513">
        <v>5221</v>
      </c>
      <c r="F1277" s="512" t="s">
        <v>1295</v>
      </c>
      <c r="G1277" s="513" t="s">
        <v>26</v>
      </c>
      <c r="H1277" s="514">
        <v>22083</v>
      </c>
      <c r="I1277" s="515" t="s">
        <v>6915</v>
      </c>
    </row>
    <row r="1278" spans="2:9" ht="15" x14ac:dyDescent="0.35">
      <c r="B1278" s="512" t="s">
        <v>6219</v>
      </c>
      <c r="C1278" s="512" t="s">
        <v>6237</v>
      </c>
      <c r="D1278" s="512" t="s">
        <v>6238</v>
      </c>
      <c r="E1278" s="513">
        <v>5225</v>
      </c>
      <c r="F1278" s="512" t="s">
        <v>1296</v>
      </c>
      <c r="G1278" s="513" t="s">
        <v>26</v>
      </c>
      <c r="H1278" s="514">
        <v>4735</v>
      </c>
      <c r="I1278" s="515" t="s">
        <v>6915</v>
      </c>
    </row>
    <row r="1279" spans="2:9" ht="15" x14ac:dyDescent="0.35">
      <c r="B1279" s="512" t="s">
        <v>6219</v>
      </c>
      <c r="C1279" s="512" t="s">
        <v>6237</v>
      </c>
      <c r="D1279" s="512" t="s">
        <v>6238</v>
      </c>
      <c r="E1279" s="513">
        <v>5226</v>
      </c>
      <c r="F1279" s="512" t="s">
        <v>1297</v>
      </c>
      <c r="G1279" s="513" t="s">
        <v>26</v>
      </c>
      <c r="H1279" s="514">
        <v>6426</v>
      </c>
      <c r="I1279" s="515" t="s">
        <v>6915</v>
      </c>
    </row>
    <row r="1280" spans="2:9" ht="15" x14ac:dyDescent="0.35">
      <c r="B1280" s="512" t="s">
        <v>6219</v>
      </c>
      <c r="C1280" s="512" t="s">
        <v>6237</v>
      </c>
      <c r="D1280" s="512" t="s">
        <v>6238</v>
      </c>
      <c r="E1280" s="513">
        <v>5227</v>
      </c>
      <c r="F1280" s="512" t="s">
        <v>1298</v>
      </c>
      <c r="G1280" s="513" t="s">
        <v>21</v>
      </c>
      <c r="H1280" s="514">
        <v>29829</v>
      </c>
      <c r="I1280" s="515" t="s">
        <v>6915</v>
      </c>
    </row>
    <row r="1281" spans="2:9" ht="15" x14ac:dyDescent="0.35">
      <c r="B1281" s="512" t="s">
        <v>6219</v>
      </c>
      <c r="C1281" s="512" t="s">
        <v>6237</v>
      </c>
      <c r="D1281" s="512" t="s">
        <v>6238</v>
      </c>
      <c r="E1281" s="513">
        <v>5228</v>
      </c>
      <c r="F1281" s="512" t="s">
        <v>1299</v>
      </c>
      <c r="G1281" s="513" t="s">
        <v>26</v>
      </c>
      <c r="H1281" s="514">
        <v>10434</v>
      </c>
      <c r="I1281" s="515" t="s">
        <v>6915</v>
      </c>
    </row>
    <row r="1282" spans="2:9" ht="15" x14ac:dyDescent="0.35">
      <c r="B1282" s="512" t="s">
        <v>6219</v>
      </c>
      <c r="C1282" s="512" t="s">
        <v>6237</v>
      </c>
      <c r="D1282" s="512" t="s">
        <v>6238</v>
      </c>
      <c r="E1282" s="513">
        <v>5229</v>
      </c>
      <c r="F1282" s="512" t="s">
        <v>1300</v>
      </c>
      <c r="G1282" s="513" t="s">
        <v>26</v>
      </c>
      <c r="H1282" s="514">
        <v>13043</v>
      </c>
      <c r="I1282" s="515" t="s">
        <v>6915</v>
      </c>
    </row>
    <row r="1283" spans="2:9" ht="15" x14ac:dyDescent="0.35">
      <c r="B1283" s="512" t="s">
        <v>6219</v>
      </c>
      <c r="C1283" s="512" t="s">
        <v>6237</v>
      </c>
      <c r="D1283" s="512" t="s">
        <v>6238</v>
      </c>
      <c r="E1283" s="513">
        <v>5230</v>
      </c>
      <c r="F1283" s="512" t="s">
        <v>1301</v>
      </c>
      <c r="G1283" s="513" t="s">
        <v>26</v>
      </c>
      <c r="H1283" s="514">
        <v>17425</v>
      </c>
      <c r="I1283" s="515" t="s">
        <v>6915</v>
      </c>
    </row>
    <row r="1284" spans="2:9" ht="15" x14ac:dyDescent="0.35">
      <c r="B1284" s="512" t="s">
        <v>6219</v>
      </c>
      <c r="C1284" s="512" t="s">
        <v>6237</v>
      </c>
      <c r="D1284" s="512" t="s">
        <v>6238</v>
      </c>
      <c r="E1284" s="513">
        <v>5241</v>
      </c>
      <c r="F1284" s="512" t="s">
        <v>1302</v>
      </c>
      <c r="G1284" s="513" t="s">
        <v>29</v>
      </c>
      <c r="H1284" s="514">
        <v>21787</v>
      </c>
      <c r="I1284" s="515" t="s">
        <v>6915</v>
      </c>
    </row>
    <row r="1285" spans="2:9" ht="15" x14ac:dyDescent="0.35">
      <c r="B1285" s="512" t="s">
        <v>6219</v>
      </c>
      <c r="C1285" s="512" t="s">
        <v>6237</v>
      </c>
      <c r="D1285" s="512" t="s">
        <v>6238</v>
      </c>
      <c r="E1285" s="513">
        <v>5242</v>
      </c>
      <c r="F1285" s="512" t="s">
        <v>1303</v>
      </c>
      <c r="G1285" s="513" t="s">
        <v>29</v>
      </c>
      <c r="H1285" s="514">
        <v>254583</v>
      </c>
      <c r="I1285" s="515" t="s">
        <v>6915</v>
      </c>
    </row>
    <row r="1286" spans="2:9" ht="15" x14ac:dyDescent="0.35">
      <c r="B1286" s="512" t="s">
        <v>6219</v>
      </c>
      <c r="C1286" s="512" t="s">
        <v>6220</v>
      </c>
      <c r="D1286" s="512" t="s">
        <v>6270</v>
      </c>
      <c r="E1286" s="513">
        <v>5244</v>
      </c>
      <c r="F1286" s="512" t="s">
        <v>1304</v>
      </c>
      <c r="G1286" s="513" t="s">
        <v>21</v>
      </c>
      <c r="H1286" s="514">
        <v>73672</v>
      </c>
      <c r="I1286" s="515" t="s">
        <v>6915</v>
      </c>
    </row>
    <row r="1287" spans="2:9" ht="15" x14ac:dyDescent="0.35">
      <c r="B1287" s="512" t="s">
        <v>6219</v>
      </c>
      <c r="C1287" s="512" t="s">
        <v>6232</v>
      </c>
      <c r="D1287" s="512" t="s">
        <v>6232</v>
      </c>
      <c r="E1287" s="513">
        <v>5245</v>
      </c>
      <c r="F1287" s="512" t="s">
        <v>1305</v>
      </c>
      <c r="G1287" s="513" t="s">
        <v>29</v>
      </c>
      <c r="H1287" s="516">
        <v>794608</v>
      </c>
      <c r="I1287" s="515" t="s">
        <v>6915</v>
      </c>
    </row>
    <row r="1288" spans="2:9" ht="15" x14ac:dyDescent="0.35">
      <c r="B1288" s="512" t="s">
        <v>6219</v>
      </c>
      <c r="C1288" s="512" t="s">
        <v>6232</v>
      </c>
      <c r="D1288" s="512" t="s">
        <v>6232</v>
      </c>
      <c r="E1288" s="513">
        <v>5246</v>
      </c>
      <c r="F1288" s="512" t="s">
        <v>1306</v>
      </c>
      <c r="G1288" s="513" t="s">
        <v>29</v>
      </c>
      <c r="H1288" s="516">
        <v>3128963</v>
      </c>
      <c r="I1288" s="515" t="s">
        <v>6915</v>
      </c>
    </row>
    <row r="1289" spans="2:9" ht="15" x14ac:dyDescent="0.35">
      <c r="B1289" s="512" t="s">
        <v>6219</v>
      </c>
      <c r="C1289" s="512" t="s">
        <v>6232</v>
      </c>
      <c r="D1289" s="512" t="s">
        <v>6232</v>
      </c>
      <c r="E1289" s="513">
        <v>5247</v>
      </c>
      <c r="F1289" s="512" t="s">
        <v>1307</v>
      </c>
      <c r="G1289" s="513" t="s">
        <v>29</v>
      </c>
      <c r="H1289" s="516">
        <v>883855</v>
      </c>
      <c r="I1289" s="515" t="s">
        <v>6915</v>
      </c>
    </row>
    <row r="1290" spans="2:9" ht="15" x14ac:dyDescent="0.35">
      <c r="B1290" s="512" t="s">
        <v>6219</v>
      </c>
      <c r="C1290" s="512" t="s">
        <v>6239</v>
      </c>
      <c r="D1290" s="512" t="s">
        <v>6239</v>
      </c>
      <c r="E1290" s="513">
        <v>5248</v>
      </c>
      <c r="F1290" s="512" t="s">
        <v>1308</v>
      </c>
      <c r="G1290" s="513" t="s">
        <v>26</v>
      </c>
      <c r="H1290" s="514">
        <v>6662</v>
      </c>
      <c r="I1290" s="515" t="s">
        <v>6915</v>
      </c>
    </row>
    <row r="1291" spans="2:9" ht="15" x14ac:dyDescent="0.35">
      <c r="B1291" s="512" t="s">
        <v>6219</v>
      </c>
      <c r="C1291" s="512" t="s">
        <v>6224</v>
      </c>
      <c r="D1291" s="512" t="s">
        <v>6244</v>
      </c>
      <c r="E1291" s="513">
        <v>5249</v>
      </c>
      <c r="F1291" s="512" t="s">
        <v>1309</v>
      </c>
      <c r="G1291" s="513" t="s">
        <v>26</v>
      </c>
      <c r="H1291" s="514">
        <v>71514</v>
      </c>
      <c r="I1291" s="515" t="s">
        <v>6915</v>
      </c>
    </row>
    <row r="1292" spans="2:9" ht="15" x14ac:dyDescent="0.35">
      <c r="B1292" s="512" t="s">
        <v>6219</v>
      </c>
      <c r="C1292" s="512" t="s">
        <v>6224</v>
      </c>
      <c r="D1292" s="512" t="s">
        <v>6225</v>
      </c>
      <c r="E1292" s="513">
        <v>5252</v>
      </c>
      <c r="F1292" s="512" t="s">
        <v>1310</v>
      </c>
      <c r="G1292" s="513" t="s">
        <v>29</v>
      </c>
      <c r="H1292" s="514">
        <v>4299462</v>
      </c>
      <c r="I1292" s="515" t="s">
        <v>6915</v>
      </c>
    </row>
    <row r="1293" spans="2:9" ht="15" x14ac:dyDescent="0.35">
      <c r="B1293" s="512" t="s">
        <v>6219</v>
      </c>
      <c r="C1293" s="512" t="s">
        <v>6224</v>
      </c>
      <c r="D1293" s="512" t="s">
        <v>6225</v>
      </c>
      <c r="E1293" s="513">
        <v>5253</v>
      </c>
      <c r="F1293" s="512" t="s">
        <v>1311</v>
      </c>
      <c r="G1293" s="513" t="s">
        <v>29</v>
      </c>
      <c r="H1293" s="516">
        <v>16752547</v>
      </c>
      <c r="I1293" s="512" t="s">
        <v>6915</v>
      </c>
    </row>
    <row r="1294" spans="2:9" ht="15" x14ac:dyDescent="0.35">
      <c r="B1294" s="512" t="s">
        <v>6219</v>
      </c>
      <c r="C1294" s="512" t="s">
        <v>6232</v>
      </c>
      <c r="D1294" s="512" t="s">
        <v>6232</v>
      </c>
      <c r="E1294" s="513">
        <v>5254</v>
      </c>
      <c r="F1294" s="512" t="s">
        <v>1312</v>
      </c>
      <c r="G1294" s="513" t="s">
        <v>26</v>
      </c>
      <c r="H1294" s="516">
        <v>2284011</v>
      </c>
      <c r="I1294" s="512" t="s">
        <v>6915</v>
      </c>
    </row>
    <row r="1295" spans="2:9" ht="15" x14ac:dyDescent="0.35">
      <c r="B1295" s="512" t="s">
        <v>6219</v>
      </c>
      <c r="C1295" s="512" t="s">
        <v>6240</v>
      </c>
      <c r="D1295" s="512" t="s">
        <v>6241</v>
      </c>
      <c r="E1295" s="513">
        <v>5271</v>
      </c>
      <c r="F1295" s="512" t="s">
        <v>1313</v>
      </c>
      <c r="G1295" s="513" t="s">
        <v>23</v>
      </c>
      <c r="H1295" s="516">
        <v>754899</v>
      </c>
      <c r="I1295" s="512" t="s">
        <v>6915</v>
      </c>
    </row>
    <row r="1296" spans="2:9" ht="15" x14ac:dyDescent="0.35">
      <c r="B1296" s="512" t="s">
        <v>6219</v>
      </c>
      <c r="C1296" s="512" t="s">
        <v>6224</v>
      </c>
      <c r="D1296" s="512" t="s">
        <v>6244</v>
      </c>
      <c r="E1296" s="513">
        <v>5272</v>
      </c>
      <c r="F1296" s="512" t="s">
        <v>1314</v>
      </c>
      <c r="G1296" s="513" t="s">
        <v>26</v>
      </c>
      <c r="H1296" s="516">
        <v>132165</v>
      </c>
      <c r="I1296" s="512" t="s">
        <v>6915</v>
      </c>
    </row>
    <row r="1297" spans="2:9" ht="15" x14ac:dyDescent="0.35">
      <c r="B1297" s="512" t="s">
        <v>6219</v>
      </c>
      <c r="C1297" s="512" t="s">
        <v>6224</v>
      </c>
      <c r="D1297" s="512" t="s">
        <v>6244</v>
      </c>
      <c r="E1297" s="513">
        <v>5273</v>
      </c>
      <c r="F1297" s="512" t="s">
        <v>1315</v>
      </c>
      <c r="G1297" s="513" t="s">
        <v>26</v>
      </c>
      <c r="H1297" s="514">
        <v>198247</v>
      </c>
      <c r="I1297" s="515" t="s">
        <v>6915</v>
      </c>
    </row>
    <row r="1298" spans="2:9" ht="15" x14ac:dyDescent="0.35">
      <c r="B1298" s="512" t="s">
        <v>6219</v>
      </c>
      <c r="C1298" s="512" t="s">
        <v>6224</v>
      </c>
      <c r="D1298" s="512" t="s">
        <v>6244</v>
      </c>
      <c r="E1298" s="513">
        <v>5274</v>
      </c>
      <c r="F1298" s="512" t="s">
        <v>1316</v>
      </c>
      <c r="G1298" s="513" t="s">
        <v>26</v>
      </c>
      <c r="H1298" s="516">
        <v>330413</v>
      </c>
      <c r="I1298" s="512" t="s">
        <v>6915</v>
      </c>
    </row>
    <row r="1299" spans="2:9" ht="15" x14ac:dyDescent="0.35">
      <c r="B1299" s="512" t="s">
        <v>6219</v>
      </c>
      <c r="C1299" s="512" t="s">
        <v>6224</v>
      </c>
      <c r="D1299" s="512" t="s">
        <v>6244</v>
      </c>
      <c r="E1299" s="513">
        <v>5275</v>
      </c>
      <c r="F1299" s="512" t="s">
        <v>1317</v>
      </c>
      <c r="G1299" s="513" t="s">
        <v>26</v>
      </c>
      <c r="H1299" s="514">
        <v>660823</v>
      </c>
      <c r="I1299" s="515" t="s">
        <v>6915</v>
      </c>
    </row>
    <row r="1300" spans="2:9" ht="15" x14ac:dyDescent="0.35">
      <c r="B1300" s="512" t="s">
        <v>6219</v>
      </c>
      <c r="C1300" s="512" t="s">
        <v>6224</v>
      </c>
      <c r="D1300" s="512" t="s">
        <v>6244</v>
      </c>
      <c r="E1300" s="513">
        <v>5276</v>
      </c>
      <c r="F1300" s="512" t="s">
        <v>1318</v>
      </c>
      <c r="G1300" s="513" t="s">
        <v>26</v>
      </c>
      <c r="H1300" s="514">
        <v>726903</v>
      </c>
      <c r="I1300" s="515" t="s">
        <v>6915</v>
      </c>
    </row>
    <row r="1301" spans="2:9" ht="15" x14ac:dyDescent="0.35">
      <c r="B1301" s="512" t="s">
        <v>6219</v>
      </c>
      <c r="C1301" s="512" t="s">
        <v>6224</v>
      </c>
      <c r="D1301" s="512" t="s">
        <v>6244</v>
      </c>
      <c r="E1301" s="513">
        <v>5277</v>
      </c>
      <c r="F1301" s="512" t="s">
        <v>1319</v>
      </c>
      <c r="G1301" s="513" t="s">
        <v>26</v>
      </c>
      <c r="H1301" s="516">
        <v>633485</v>
      </c>
      <c r="I1301" s="512" t="s">
        <v>6915</v>
      </c>
    </row>
    <row r="1302" spans="2:9" ht="15" x14ac:dyDescent="0.35">
      <c r="B1302" s="512" t="s">
        <v>6219</v>
      </c>
      <c r="C1302" s="512" t="s">
        <v>6224</v>
      </c>
      <c r="D1302" s="512" t="s">
        <v>6244</v>
      </c>
      <c r="E1302" s="513">
        <v>5278</v>
      </c>
      <c r="F1302" s="512" t="s">
        <v>1320</v>
      </c>
      <c r="G1302" s="513" t="s">
        <v>26</v>
      </c>
      <c r="H1302" s="514">
        <v>887417</v>
      </c>
      <c r="I1302" s="515" t="s">
        <v>6915</v>
      </c>
    </row>
    <row r="1303" spans="2:9" ht="15" x14ac:dyDescent="0.35">
      <c r="B1303" s="512" t="s">
        <v>6219</v>
      </c>
      <c r="C1303" s="512" t="s">
        <v>6224</v>
      </c>
      <c r="D1303" s="512" t="s">
        <v>6244</v>
      </c>
      <c r="E1303" s="513">
        <v>5279</v>
      </c>
      <c r="F1303" s="512" t="s">
        <v>1321</v>
      </c>
      <c r="G1303" s="513" t="s">
        <v>26</v>
      </c>
      <c r="H1303" s="514">
        <v>158373</v>
      </c>
      <c r="I1303" s="515" t="s">
        <v>6915</v>
      </c>
    </row>
    <row r="1304" spans="2:9" ht="15" x14ac:dyDescent="0.35">
      <c r="B1304" s="512" t="s">
        <v>6219</v>
      </c>
      <c r="C1304" s="512" t="s">
        <v>6227</v>
      </c>
      <c r="D1304" s="512" t="s">
        <v>6248</v>
      </c>
      <c r="E1304" s="513">
        <v>5286</v>
      </c>
      <c r="F1304" s="512" t="s">
        <v>1322</v>
      </c>
      <c r="G1304" s="513" t="s">
        <v>21</v>
      </c>
      <c r="H1304" s="514">
        <v>15099</v>
      </c>
      <c r="I1304" s="515" t="s">
        <v>6425</v>
      </c>
    </row>
    <row r="1305" spans="2:9" ht="15" x14ac:dyDescent="0.35">
      <c r="B1305" s="512" t="s">
        <v>6219</v>
      </c>
      <c r="C1305" s="512" t="s">
        <v>6240</v>
      </c>
      <c r="D1305" s="512" t="s">
        <v>6241</v>
      </c>
      <c r="E1305" s="513">
        <v>5312</v>
      </c>
      <c r="F1305" s="512" t="s">
        <v>1323</v>
      </c>
      <c r="G1305" s="513" t="s">
        <v>23</v>
      </c>
      <c r="H1305" s="516">
        <v>794453</v>
      </c>
      <c r="I1305" s="512" t="s">
        <v>6915</v>
      </c>
    </row>
    <row r="1306" spans="2:9" ht="15" x14ac:dyDescent="0.35">
      <c r="B1306" s="512" t="s">
        <v>6219</v>
      </c>
      <c r="C1306" s="512" t="s">
        <v>6240</v>
      </c>
      <c r="D1306" s="512" t="s">
        <v>6241</v>
      </c>
      <c r="E1306" s="513">
        <v>5313</v>
      </c>
      <c r="F1306" s="512" t="s">
        <v>1324</v>
      </c>
      <c r="G1306" s="513" t="s">
        <v>23</v>
      </c>
      <c r="H1306" s="514">
        <v>776064</v>
      </c>
      <c r="I1306" s="515" t="s">
        <v>6915</v>
      </c>
    </row>
    <row r="1307" spans="2:9" ht="15" x14ac:dyDescent="0.35">
      <c r="B1307" s="512" t="s">
        <v>6219</v>
      </c>
      <c r="C1307" s="512" t="s">
        <v>6230</v>
      </c>
      <c r="D1307" s="512" t="s">
        <v>6231</v>
      </c>
      <c r="E1307" s="513">
        <v>5314</v>
      </c>
      <c r="F1307" s="512" t="s">
        <v>1325</v>
      </c>
      <c r="G1307" s="513" t="s">
        <v>26</v>
      </c>
      <c r="H1307" s="514">
        <v>746600</v>
      </c>
      <c r="I1307" s="515" t="s">
        <v>6915</v>
      </c>
    </row>
    <row r="1308" spans="2:9" ht="15" x14ac:dyDescent="0.35">
      <c r="B1308" s="512" t="s">
        <v>6219</v>
      </c>
      <c r="C1308" s="512" t="s">
        <v>6240</v>
      </c>
      <c r="D1308" s="512" t="s">
        <v>6241</v>
      </c>
      <c r="E1308" s="513">
        <v>5315</v>
      </c>
      <c r="F1308" s="512" t="s">
        <v>1326</v>
      </c>
      <c r="G1308" s="513" t="s">
        <v>23</v>
      </c>
      <c r="H1308" s="516">
        <v>1203655</v>
      </c>
      <c r="I1308" s="512" t="s">
        <v>6915</v>
      </c>
    </row>
    <row r="1309" spans="2:9" ht="15" x14ac:dyDescent="0.35">
      <c r="B1309" s="512" t="s">
        <v>6219</v>
      </c>
      <c r="C1309" s="512" t="s">
        <v>6224</v>
      </c>
      <c r="D1309" s="512" t="s">
        <v>6244</v>
      </c>
      <c r="E1309" s="513">
        <v>5316</v>
      </c>
      <c r="F1309" s="512" t="s">
        <v>1327</v>
      </c>
      <c r="G1309" s="513" t="s">
        <v>29</v>
      </c>
      <c r="H1309" s="514">
        <v>1633716</v>
      </c>
      <c r="I1309" s="515" t="s">
        <v>6915</v>
      </c>
    </row>
    <row r="1310" spans="2:9" ht="15" x14ac:dyDescent="0.35">
      <c r="B1310" s="512" t="s">
        <v>6219</v>
      </c>
      <c r="C1310" s="512" t="s">
        <v>6240</v>
      </c>
      <c r="D1310" s="512" t="s">
        <v>6241</v>
      </c>
      <c r="E1310" s="513">
        <v>5317</v>
      </c>
      <c r="F1310" s="512" t="s">
        <v>1328</v>
      </c>
      <c r="G1310" s="513" t="s">
        <v>23</v>
      </c>
      <c r="H1310" s="514">
        <v>1107984</v>
      </c>
      <c r="I1310" s="515" t="s">
        <v>6915</v>
      </c>
    </row>
    <row r="1311" spans="2:9" ht="15" x14ac:dyDescent="0.35">
      <c r="B1311" s="512" t="s">
        <v>6219</v>
      </c>
      <c r="C1311" s="512" t="s">
        <v>6232</v>
      </c>
      <c r="D1311" s="512" t="s">
        <v>6232</v>
      </c>
      <c r="E1311" s="513">
        <v>5318</v>
      </c>
      <c r="F1311" s="512" t="s">
        <v>1329</v>
      </c>
      <c r="G1311" s="513" t="s">
        <v>29</v>
      </c>
      <c r="H1311" s="514">
        <v>102171257</v>
      </c>
      <c r="I1311" s="512" t="s">
        <v>6915</v>
      </c>
    </row>
    <row r="1312" spans="2:9" ht="15" x14ac:dyDescent="0.35">
      <c r="B1312" s="512" t="s">
        <v>6219</v>
      </c>
      <c r="C1312" s="512" t="s">
        <v>6232</v>
      </c>
      <c r="D1312" s="512" t="s">
        <v>6232</v>
      </c>
      <c r="E1312" s="513">
        <v>5319</v>
      </c>
      <c r="F1312" s="512" t="s">
        <v>1330</v>
      </c>
      <c r="G1312" s="513" t="s">
        <v>29</v>
      </c>
      <c r="H1312" s="514">
        <v>108808616</v>
      </c>
      <c r="I1312" s="515" t="s">
        <v>6915</v>
      </c>
    </row>
    <row r="1313" spans="2:9" ht="15" x14ac:dyDescent="0.35">
      <c r="B1313" s="512" t="s">
        <v>6219</v>
      </c>
      <c r="C1313" s="512" t="s">
        <v>6239</v>
      </c>
      <c r="D1313" s="512" t="s">
        <v>6239</v>
      </c>
      <c r="E1313" s="513">
        <v>5320</v>
      </c>
      <c r="F1313" s="512" t="s">
        <v>1331</v>
      </c>
      <c r="G1313" s="513" t="s">
        <v>26</v>
      </c>
      <c r="H1313" s="514">
        <v>574328</v>
      </c>
      <c r="I1313" s="515" t="s">
        <v>6915</v>
      </c>
    </row>
    <row r="1314" spans="2:9" ht="15" x14ac:dyDescent="0.35">
      <c r="B1314" s="512" t="s">
        <v>6219</v>
      </c>
      <c r="C1314" s="512" t="s">
        <v>6239</v>
      </c>
      <c r="D1314" s="512" t="s">
        <v>6239</v>
      </c>
      <c r="E1314" s="513">
        <v>5321</v>
      </c>
      <c r="F1314" s="512" t="s">
        <v>1332</v>
      </c>
      <c r="G1314" s="513" t="s">
        <v>26</v>
      </c>
      <c r="H1314" s="514">
        <v>690302</v>
      </c>
      <c r="I1314" s="512" t="s">
        <v>6915</v>
      </c>
    </row>
    <row r="1315" spans="2:9" ht="15" x14ac:dyDescent="0.35">
      <c r="B1315" s="512" t="s">
        <v>6219</v>
      </c>
      <c r="C1315" s="512" t="s">
        <v>6239</v>
      </c>
      <c r="D1315" s="512" t="s">
        <v>6239</v>
      </c>
      <c r="E1315" s="513">
        <v>5322</v>
      </c>
      <c r="F1315" s="512" t="s">
        <v>1333</v>
      </c>
      <c r="G1315" s="513" t="s">
        <v>26</v>
      </c>
      <c r="H1315" s="514">
        <v>842201</v>
      </c>
      <c r="I1315" s="515" t="s">
        <v>6915</v>
      </c>
    </row>
    <row r="1316" spans="2:9" ht="15" x14ac:dyDescent="0.35">
      <c r="B1316" s="512" t="s">
        <v>6219</v>
      </c>
      <c r="C1316" s="512" t="s">
        <v>6239</v>
      </c>
      <c r="D1316" s="512" t="s">
        <v>6239</v>
      </c>
      <c r="E1316" s="513">
        <v>5324</v>
      </c>
      <c r="F1316" s="512" t="s">
        <v>1334</v>
      </c>
      <c r="G1316" s="513" t="s">
        <v>26</v>
      </c>
      <c r="H1316" s="514">
        <v>1133108</v>
      </c>
      <c r="I1316" s="515" t="s">
        <v>6915</v>
      </c>
    </row>
    <row r="1317" spans="2:9" ht="15" x14ac:dyDescent="0.35">
      <c r="B1317" s="512" t="s">
        <v>6219</v>
      </c>
      <c r="C1317" s="512" t="s">
        <v>6239</v>
      </c>
      <c r="D1317" s="512" t="s">
        <v>6239</v>
      </c>
      <c r="E1317" s="513">
        <v>5325</v>
      </c>
      <c r="F1317" s="512" t="s">
        <v>1335</v>
      </c>
      <c r="G1317" s="513" t="s">
        <v>26</v>
      </c>
      <c r="H1317" s="514">
        <v>1364626</v>
      </c>
      <c r="I1317" s="515" t="s">
        <v>6915</v>
      </c>
    </row>
    <row r="1318" spans="2:9" ht="15" x14ac:dyDescent="0.35">
      <c r="B1318" s="512" t="s">
        <v>6219</v>
      </c>
      <c r="C1318" s="512" t="s">
        <v>6239</v>
      </c>
      <c r="D1318" s="512" t="s">
        <v>6239</v>
      </c>
      <c r="E1318" s="513">
        <v>5326</v>
      </c>
      <c r="F1318" s="512" t="s">
        <v>1336</v>
      </c>
      <c r="G1318" s="513" t="s">
        <v>26</v>
      </c>
      <c r="H1318" s="514">
        <v>7594422</v>
      </c>
      <c r="I1318" s="515" t="s">
        <v>6915</v>
      </c>
    </row>
    <row r="1319" spans="2:9" ht="15" x14ac:dyDescent="0.35">
      <c r="B1319" s="512" t="s">
        <v>6219</v>
      </c>
      <c r="C1319" s="512" t="s">
        <v>6239</v>
      </c>
      <c r="D1319" s="512" t="s">
        <v>6239</v>
      </c>
      <c r="E1319" s="513">
        <v>5327</v>
      </c>
      <c r="F1319" s="512" t="s">
        <v>1337</v>
      </c>
      <c r="G1319" s="513" t="s">
        <v>26</v>
      </c>
      <c r="H1319" s="516">
        <v>8159186</v>
      </c>
      <c r="I1319" s="512" t="s">
        <v>6915</v>
      </c>
    </row>
    <row r="1320" spans="2:9" ht="15" x14ac:dyDescent="0.35">
      <c r="B1320" s="512" t="s">
        <v>6219</v>
      </c>
      <c r="C1320" s="512" t="s">
        <v>6232</v>
      </c>
      <c r="D1320" s="512" t="s">
        <v>6232</v>
      </c>
      <c r="E1320" s="513">
        <v>5328</v>
      </c>
      <c r="F1320" s="512" t="s">
        <v>1338</v>
      </c>
      <c r="G1320" s="513" t="s">
        <v>29</v>
      </c>
      <c r="H1320" s="514">
        <v>29081537</v>
      </c>
      <c r="I1320" s="515" t="s">
        <v>6915</v>
      </c>
    </row>
    <row r="1321" spans="2:9" ht="15" x14ac:dyDescent="0.35">
      <c r="B1321" s="512" t="s">
        <v>6219</v>
      </c>
      <c r="C1321" s="512" t="s">
        <v>6232</v>
      </c>
      <c r="D1321" s="512" t="s">
        <v>6232</v>
      </c>
      <c r="E1321" s="513">
        <v>5329</v>
      </c>
      <c r="F1321" s="512" t="s">
        <v>1339</v>
      </c>
      <c r="G1321" s="513" t="s">
        <v>29</v>
      </c>
      <c r="H1321" s="516">
        <v>29081537</v>
      </c>
      <c r="I1321" s="512" t="s">
        <v>6915</v>
      </c>
    </row>
    <row r="1322" spans="2:9" ht="15" x14ac:dyDescent="0.35">
      <c r="B1322" s="512" t="s">
        <v>6219</v>
      </c>
      <c r="C1322" s="512" t="s">
        <v>6232</v>
      </c>
      <c r="D1322" s="512" t="s">
        <v>6232</v>
      </c>
      <c r="E1322" s="513">
        <v>5330</v>
      </c>
      <c r="F1322" s="512" t="s">
        <v>1340</v>
      </c>
      <c r="G1322" s="513" t="s">
        <v>29</v>
      </c>
      <c r="H1322" s="516">
        <v>30964161</v>
      </c>
      <c r="I1322" s="512" t="s">
        <v>6915</v>
      </c>
    </row>
    <row r="1323" spans="2:9" ht="15" x14ac:dyDescent="0.35">
      <c r="B1323" s="512" t="s">
        <v>6219</v>
      </c>
      <c r="C1323" s="512" t="s">
        <v>6232</v>
      </c>
      <c r="D1323" s="512" t="s">
        <v>6232</v>
      </c>
      <c r="E1323" s="513">
        <v>5331</v>
      </c>
      <c r="F1323" s="512" t="s">
        <v>1341</v>
      </c>
      <c r="G1323" s="513" t="s">
        <v>29</v>
      </c>
      <c r="H1323" s="516">
        <v>33912603</v>
      </c>
      <c r="I1323" s="512" t="s">
        <v>6915</v>
      </c>
    </row>
    <row r="1324" spans="2:9" ht="15" x14ac:dyDescent="0.35">
      <c r="B1324" s="512" t="s">
        <v>6219</v>
      </c>
      <c r="C1324" s="512" t="s">
        <v>6232</v>
      </c>
      <c r="D1324" s="512" t="s">
        <v>6232</v>
      </c>
      <c r="E1324" s="513">
        <v>5332</v>
      </c>
      <c r="F1324" s="512" t="s">
        <v>1342</v>
      </c>
      <c r="G1324" s="513" t="s">
        <v>29</v>
      </c>
      <c r="H1324" s="514">
        <v>41102575</v>
      </c>
      <c r="I1324" s="515" t="s">
        <v>6915</v>
      </c>
    </row>
    <row r="1325" spans="2:9" ht="15" x14ac:dyDescent="0.35">
      <c r="B1325" s="512" t="s">
        <v>6219</v>
      </c>
      <c r="C1325" s="512" t="s">
        <v>6232</v>
      </c>
      <c r="D1325" s="512" t="s">
        <v>6232</v>
      </c>
      <c r="E1325" s="513">
        <v>5333</v>
      </c>
      <c r="F1325" s="512" t="s">
        <v>1343</v>
      </c>
      <c r="G1325" s="513" t="s">
        <v>29</v>
      </c>
      <c r="H1325" s="516">
        <v>49616518</v>
      </c>
      <c r="I1325" s="512" t="s">
        <v>6915</v>
      </c>
    </row>
    <row r="1326" spans="2:9" ht="15" x14ac:dyDescent="0.35">
      <c r="B1326" s="512" t="s">
        <v>6219</v>
      </c>
      <c r="C1326" s="512" t="s">
        <v>6232</v>
      </c>
      <c r="D1326" s="512" t="s">
        <v>6232</v>
      </c>
      <c r="E1326" s="513">
        <v>5334</v>
      </c>
      <c r="F1326" s="512" t="s">
        <v>1344</v>
      </c>
      <c r="G1326" s="513" t="s">
        <v>29</v>
      </c>
      <c r="H1326" s="516">
        <v>58822294</v>
      </c>
      <c r="I1326" s="512" t="s">
        <v>6915</v>
      </c>
    </row>
    <row r="1327" spans="2:9" ht="15" x14ac:dyDescent="0.35">
      <c r="B1327" s="512" t="s">
        <v>6219</v>
      </c>
      <c r="C1327" s="512" t="s">
        <v>6232</v>
      </c>
      <c r="D1327" s="512" t="s">
        <v>6232</v>
      </c>
      <c r="E1327" s="513">
        <v>5335</v>
      </c>
      <c r="F1327" s="512" t="s">
        <v>1345</v>
      </c>
      <c r="G1327" s="513" t="s">
        <v>29</v>
      </c>
      <c r="H1327" s="514">
        <v>65325584</v>
      </c>
      <c r="I1327" s="515" t="s">
        <v>6915</v>
      </c>
    </row>
    <row r="1328" spans="2:9" ht="15" x14ac:dyDescent="0.35">
      <c r="B1328" s="512" t="s">
        <v>6219</v>
      </c>
      <c r="C1328" s="512" t="s">
        <v>6232</v>
      </c>
      <c r="D1328" s="512" t="s">
        <v>6232</v>
      </c>
      <c r="E1328" s="513">
        <v>5336</v>
      </c>
      <c r="F1328" s="512" t="s">
        <v>1346</v>
      </c>
      <c r="G1328" s="513" t="s">
        <v>29</v>
      </c>
      <c r="H1328" s="514">
        <v>72678979</v>
      </c>
      <c r="I1328" s="515" t="s">
        <v>6915</v>
      </c>
    </row>
    <row r="1329" spans="2:9" ht="15" x14ac:dyDescent="0.35">
      <c r="B1329" s="512" t="s">
        <v>6219</v>
      </c>
      <c r="C1329" s="512" t="s">
        <v>6277</v>
      </c>
      <c r="D1329" s="512" t="s">
        <v>6277</v>
      </c>
      <c r="E1329" s="513">
        <v>5338</v>
      </c>
      <c r="F1329" s="512" t="s">
        <v>1347</v>
      </c>
      <c r="G1329" s="513" t="s">
        <v>29</v>
      </c>
      <c r="H1329" s="514">
        <v>1516027</v>
      </c>
      <c r="I1329" s="515" t="s">
        <v>6915</v>
      </c>
    </row>
    <row r="1330" spans="2:9" ht="15" x14ac:dyDescent="0.35">
      <c r="B1330" s="512" t="s">
        <v>6219</v>
      </c>
      <c r="C1330" s="512" t="s">
        <v>6239</v>
      </c>
      <c r="D1330" s="512" t="s">
        <v>6239</v>
      </c>
      <c r="E1330" s="513">
        <v>5339</v>
      </c>
      <c r="F1330" s="512" t="s">
        <v>1348</v>
      </c>
      <c r="G1330" s="513" t="s">
        <v>29</v>
      </c>
      <c r="H1330" s="514">
        <v>712124</v>
      </c>
      <c r="I1330" s="515" t="s">
        <v>6915</v>
      </c>
    </row>
    <row r="1331" spans="2:9" ht="15" x14ac:dyDescent="0.35">
      <c r="B1331" s="512" t="s">
        <v>6219</v>
      </c>
      <c r="C1331" s="512" t="s">
        <v>6224</v>
      </c>
      <c r="D1331" s="512" t="s">
        <v>6244</v>
      </c>
      <c r="E1331" s="513">
        <v>5340</v>
      </c>
      <c r="F1331" s="512" t="s">
        <v>1349</v>
      </c>
      <c r="G1331" s="513" t="s">
        <v>29</v>
      </c>
      <c r="H1331" s="514">
        <v>3036048</v>
      </c>
      <c r="I1331" s="515" t="s">
        <v>6915</v>
      </c>
    </row>
    <row r="1332" spans="2:9" ht="15" x14ac:dyDescent="0.35">
      <c r="B1332" s="512" t="s">
        <v>6219</v>
      </c>
      <c r="C1332" s="512" t="s">
        <v>6224</v>
      </c>
      <c r="D1332" s="512" t="s">
        <v>6244</v>
      </c>
      <c r="E1332" s="513">
        <v>5341</v>
      </c>
      <c r="F1332" s="512" t="s">
        <v>1350</v>
      </c>
      <c r="G1332" s="513" t="s">
        <v>29</v>
      </c>
      <c r="H1332" s="514">
        <v>935199</v>
      </c>
      <c r="I1332" s="515" t="s">
        <v>6915</v>
      </c>
    </row>
    <row r="1333" spans="2:9" ht="15" x14ac:dyDescent="0.35">
      <c r="B1333" s="512" t="s">
        <v>6219</v>
      </c>
      <c r="C1333" s="512" t="s">
        <v>6233</v>
      </c>
      <c r="D1333" s="512" t="s">
        <v>6234</v>
      </c>
      <c r="E1333" s="513">
        <v>5342</v>
      </c>
      <c r="F1333" s="512" t="s">
        <v>1351</v>
      </c>
      <c r="G1333" s="513" t="s">
        <v>29</v>
      </c>
      <c r="H1333" s="516">
        <v>427407</v>
      </c>
      <c r="I1333" s="512" t="s">
        <v>6915</v>
      </c>
    </row>
    <row r="1334" spans="2:9" ht="15" x14ac:dyDescent="0.35">
      <c r="B1334" s="512" t="s">
        <v>6219</v>
      </c>
      <c r="C1334" s="512" t="s">
        <v>6233</v>
      </c>
      <c r="D1334" s="512" t="s">
        <v>6234</v>
      </c>
      <c r="E1334" s="513">
        <v>5343</v>
      </c>
      <c r="F1334" s="512" t="s">
        <v>1352</v>
      </c>
      <c r="G1334" s="513" t="s">
        <v>29</v>
      </c>
      <c r="H1334" s="514">
        <v>763205</v>
      </c>
      <c r="I1334" s="515" t="s">
        <v>6915</v>
      </c>
    </row>
    <row r="1335" spans="2:9" ht="15" x14ac:dyDescent="0.35">
      <c r="B1335" s="512" t="s">
        <v>6219</v>
      </c>
      <c r="C1335" s="512" t="s">
        <v>6227</v>
      </c>
      <c r="D1335" s="512" t="s">
        <v>6248</v>
      </c>
      <c r="E1335" s="513">
        <v>5345</v>
      </c>
      <c r="F1335" s="512" t="s">
        <v>1353</v>
      </c>
      <c r="G1335" s="513" t="s">
        <v>23</v>
      </c>
      <c r="H1335" s="516">
        <v>183313</v>
      </c>
      <c r="I1335" s="512" t="s">
        <v>6915</v>
      </c>
    </row>
    <row r="1336" spans="2:9" ht="15" x14ac:dyDescent="0.35">
      <c r="B1336" s="512" t="s">
        <v>6219</v>
      </c>
      <c r="C1336" s="512" t="s">
        <v>6227</v>
      </c>
      <c r="D1336" s="512" t="s">
        <v>6248</v>
      </c>
      <c r="E1336" s="513">
        <v>5346</v>
      </c>
      <c r="F1336" s="512" t="s">
        <v>1354</v>
      </c>
      <c r="G1336" s="513" t="s">
        <v>23</v>
      </c>
      <c r="H1336" s="514">
        <v>210266</v>
      </c>
      <c r="I1336" s="512" t="s">
        <v>6915</v>
      </c>
    </row>
    <row r="1337" spans="2:9" ht="15" x14ac:dyDescent="0.35">
      <c r="B1337" s="512" t="s">
        <v>6219</v>
      </c>
      <c r="C1337" s="512" t="s">
        <v>6227</v>
      </c>
      <c r="D1337" s="512" t="s">
        <v>6248</v>
      </c>
      <c r="E1337" s="513">
        <v>5347</v>
      </c>
      <c r="F1337" s="512" t="s">
        <v>1355</v>
      </c>
      <c r="G1337" s="513" t="s">
        <v>23</v>
      </c>
      <c r="H1337" s="514">
        <v>329817</v>
      </c>
      <c r="I1337" s="515" t="s">
        <v>6915</v>
      </c>
    </row>
    <row r="1338" spans="2:9" ht="15" x14ac:dyDescent="0.35">
      <c r="B1338" s="512" t="s">
        <v>6219</v>
      </c>
      <c r="C1338" s="512" t="s">
        <v>6227</v>
      </c>
      <c r="D1338" s="512" t="s">
        <v>6248</v>
      </c>
      <c r="E1338" s="513">
        <v>5348</v>
      </c>
      <c r="F1338" s="512" t="s">
        <v>1356</v>
      </c>
      <c r="G1338" s="513" t="s">
        <v>23</v>
      </c>
      <c r="H1338" s="514">
        <v>338337</v>
      </c>
      <c r="I1338" s="515" t="s">
        <v>6915</v>
      </c>
    </row>
    <row r="1339" spans="2:9" ht="15" x14ac:dyDescent="0.35">
      <c r="B1339" s="512" t="s">
        <v>6219</v>
      </c>
      <c r="C1339" s="512" t="s">
        <v>6227</v>
      </c>
      <c r="D1339" s="512" t="s">
        <v>6248</v>
      </c>
      <c r="E1339" s="513">
        <v>5349</v>
      </c>
      <c r="F1339" s="512" t="s">
        <v>1357</v>
      </c>
      <c r="G1339" s="513" t="s">
        <v>23</v>
      </c>
      <c r="H1339" s="514">
        <v>346895</v>
      </c>
      <c r="I1339" s="515" t="s">
        <v>6915</v>
      </c>
    </row>
    <row r="1340" spans="2:9" ht="15" x14ac:dyDescent="0.35">
      <c r="B1340" s="512" t="s">
        <v>6219</v>
      </c>
      <c r="C1340" s="512" t="s">
        <v>6227</v>
      </c>
      <c r="D1340" s="512" t="s">
        <v>6248</v>
      </c>
      <c r="E1340" s="513">
        <v>5350</v>
      </c>
      <c r="F1340" s="512" t="s">
        <v>1358</v>
      </c>
      <c r="G1340" s="513" t="s">
        <v>23</v>
      </c>
      <c r="H1340" s="514">
        <v>395247</v>
      </c>
      <c r="I1340" s="515" t="s">
        <v>6915</v>
      </c>
    </row>
    <row r="1341" spans="2:9" ht="15" x14ac:dyDescent="0.35">
      <c r="B1341" s="512" t="s">
        <v>6219</v>
      </c>
      <c r="C1341" s="512" t="s">
        <v>6227</v>
      </c>
      <c r="D1341" s="512" t="s">
        <v>6248</v>
      </c>
      <c r="E1341" s="513">
        <v>5351</v>
      </c>
      <c r="F1341" s="512" t="s">
        <v>1359</v>
      </c>
      <c r="G1341" s="513" t="s">
        <v>23</v>
      </c>
      <c r="H1341" s="514">
        <v>403804</v>
      </c>
      <c r="I1341" s="512" t="s">
        <v>6915</v>
      </c>
    </row>
    <row r="1342" spans="2:9" ht="15" x14ac:dyDescent="0.35">
      <c r="B1342" s="512" t="s">
        <v>6219</v>
      </c>
      <c r="C1342" s="512" t="s">
        <v>6227</v>
      </c>
      <c r="D1342" s="512" t="s">
        <v>6248</v>
      </c>
      <c r="E1342" s="513">
        <v>5352</v>
      </c>
      <c r="F1342" s="512" t="s">
        <v>1360</v>
      </c>
      <c r="G1342" s="513" t="s">
        <v>23</v>
      </c>
      <c r="H1342" s="514">
        <v>412362</v>
      </c>
      <c r="I1342" s="515" t="s">
        <v>6915</v>
      </c>
    </row>
    <row r="1343" spans="2:9" ht="15" x14ac:dyDescent="0.35">
      <c r="B1343" s="512" t="s">
        <v>6219</v>
      </c>
      <c r="C1343" s="512" t="s">
        <v>6227</v>
      </c>
      <c r="D1343" s="512" t="s">
        <v>6248</v>
      </c>
      <c r="E1343" s="513">
        <v>5353</v>
      </c>
      <c r="F1343" s="512" t="s">
        <v>1361</v>
      </c>
      <c r="G1343" s="513" t="s">
        <v>23</v>
      </c>
      <c r="H1343" s="514">
        <v>460715</v>
      </c>
      <c r="I1343" s="515" t="s">
        <v>6915</v>
      </c>
    </row>
    <row r="1344" spans="2:9" ht="15" x14ac:dyDescent="0.35">
      <c r="B1344" s="512" t="s">
        <v>6219</v>
      </c>
      <c r="C1344" s="512" t="s">
        <v>6227</v>
      </c>
      <c r="D1344" s="512" t="s">
        <v>6248</v>
      </c>
      <c r="E1344" s="513">
        <v>5354</v>
      </c>
      <c r="F1344" s="512" t="s">
        <v>1362</v>
      </c>
      <c r="G1344" s="513" t="s">
        <v>23</v>
      </c>
      <c r="H1344" s="514">
        <v>469808</v>
      </c>
      <c r="I1344" s="515" t="s">
        <v>6915</v>
      </c>
    </row>
    <row r="1345" spans="2:9" ht="15" x14ac:dyDescent="0.35">
      <c r="B1345" s="512" t="s">
        <v>6219</v>
      </c>
      <c r="C1345" s="512" t="s">
        <v>6227</v>
      </c>
      <c r="D1345" s="512" t="s">
        <v>6248</v>
      </c>
      <c r="E1345" s="513">
        <v>5355</v>
      </c>
      <c r="F1345" s="512" t="s">
        <v>1363</v>
      </c>
      <c r="G1345" s="513" t="s">
        <v>23</v>
      </c>
      <c r="H1345" s="514">
        <v>477830</v>
      </c>
      <c r="I1345" s="515" t="s">
        <v>6915</v>
      </c>
    </row>
    <row r="1346" spans="2:9" ht="15" x14ac:dyDescent="0.35">
      <c r="B1346" s="512" t="s">
        <v>6219</v>
      </c>
      <c r="C1346" s="512" t="s">
        <v>6227</v>
      </c>
      <c r="D1346" s="512" t="s">
        <v>6248</v>
      </c>
      <c r="E1346" s="513">
        <v>5356</v>
      </c>
      <c r="F1346" s="512" t="s">
        <v>1364</v>
      </c>
      <c r="G1346" s="513" t="s">
        <v>23</v>
      </c>
      <c r="H1346" s="514">
        <v>171112</v>
      </c>
      <c r="I1346" s="515" t="s">
        <v>6915</v>
      </c>
    </row>
    <row r="1347" spans="2:9" ht="15" x14ac:dyDescent="0.35">
      <c r="B1347" s="512" t="s">
        <v>6219</v>
      </c>
      <c r="C1347" s="512" t="s">
        <v>6227</v>
      </c>
      <c r="D1347" s="512" t="s">
        <v>6248</v>
      </c>
      <c r="E1347" s="513">
        <v>5357</v>
      </c>
      <c r="F1347" s="512" t="s">
        <v>1365</v>
      </c>
      <c r="G1347" s="513" t="s">
        <v>23</v>
      </c>
      <c r="H1347" s="516">
        <v>190655</v>
      </c>
      <c r="I1347" s="512" t="s">
        <v>6915</v>
      </c>
    </row>
    <row r="1348" spans="2:9" ht="15" x14ac:dyDescent="0.35">
      <c r="B1348" s="512" t="s">
        <v>6219</v>
      </c>
      <c r="C1348" s="512" t="s">
        <v>6227</v>
      </c>
      <c r="D1348" s="512" t="s">
        <v>6248</v>
      </c>
      <c r="E1348" s="513">
        <v>5358</v>
      </c>
      <c r="F1348" s="512" t="s">
        <v>1366</v>
      </c>
      <c r="G1348" s="513" t="s">
        <v>23</v>
      </c>
      <c r="H1348" s="516">
        <v>205770</v>
      </c>
      <c r="I1348" s="512" t="s">
        <v>6915</v>
      </c>
    </row>
    <row r="1349" spans="2:9" ht="15" x14ac:dyDescent="0.35">
      <c r="B1349" s="512" t="s">
        <v>6219</v>
      </c>
      <c r="C1349" s="512" t="s">
        <v>6227</v>
      </c>
      <c r="D1349" s="512" t="s">
        <v>6248</v>
      </c>
      <c r="E1349" s="513">
        <v>5359</v>
      </c>
      <c r="F1349" s="512" t="s">
        <v>1367</v>
      </c>
      <c r="G1349" s="513" t="s">
        <v>23</v>
      </c>
      <c r="H1349" s="514">
        <v>222457</v>
      </c>
      <c r="I1349" s="515" t="s">
        <v>6915</v>
      </c>
    </row>
    <row r="1350" spans="2:9" ht="15" x14ac:dyDescent="0.35">
      <c r="B1350" s="512" t="s">
        <v>6219</v>
      </c>
      <c r="C1350" s="512" t="s">
        <v>6242</v>
      </c>
      <c r="D1350" s="512" t="s">
        <v>6257</v>
      </c>
      <c r="E1350" s="513">
        <v>5360</v>
      </c>
      <c r="F1350" s="512" t="s">
        <v>1368</v>
      </c>
      <c r="G1350" s="513" t="s">
        <v>676</v>
      </c>
      <c r="H1350" s="514">
        <v>182788</v>
      </c>
      <c r="I1350" s="515" t="s">
        <v>6915</v>
      </c>
    </row>
    <row r="1351" spans="2:9" ht="15" x14ac:dyDescent="0.35">
      <c r="B1351" s="512" t="s">
        <v>6219</v>
      </c>
      <c r="C1351" s="512" t="s">
        <v>6242</v>
      </c>
      <c r="D1351" s="512" t="s">
        <v>6257</v>
      </c>
      <c r="E1351" s="513">
        <v>5361</v>
      </c>
      <c r="F1351" s="512" t="s">
        <v>1369</v>
      </c>
      <c r="G1351" s="513" t="s">
        <v>23</v>
      </c>
      <c r="H1351" s="514">
        <v>12835</v>
      </c>
      <c r="I1351" s="515" t="s">
        <v>6915</v>
      </c>
    </row>
    <row r="1352" spans="2:9" ht="15" x14ac:dyDescent="0.35">
      <c r="B1352" s="512" t="s">
        <v>6219</v>
      </c>
      <c r="C1352" s="512" t="s">
        <v>6242</v>
      </c>
      <c r="D1352" s="512" t="s">
        <v>6257</v>
      </c>
      <c r="E1352" s="513">
        <v>5362</v>
      </c>
      <c r="F1352" s="512" t="s">
        <v>1370</v>
      </c>
      <c r="G1352" s="513" t="s">
        <v>23</v>
      </c>
      <c r="H1352" s="514">
        <v>401753</v>
      </c>
      <c r="I1352" s="515" t="s">
        <v>6915</v>
      </c>
    </row>
    <row r="1353" spans="2:9" ht="15" x14ac:dyDescent="0.35">
      <c r="B1353" s="512" t="s">
        <v>6219</v>
      </c>
      <c r="C1353" s="512" t="s">
        <v>6242</v>
      </c>
      <c r="D1353" s="512" t="s">
        <v>6257</v>
      </c>
      <c r="E1353" s="513">
        <v>5363</v>
      </c>
      <c r="F1353" s="512" t="s">
        <v>1371</v>
      </c>
      <c r="G1353" s="513" t="s">
        <v>23</v>
      </c>
      <c r="H1353" s="516">
        <v>390725</v>
      </c>
      <c r="I1353" s="512" t="s">
        <v>6915</v>
      </c>
    </row>
    <row r="1354" spans="2:9" ht="15" x14ac:dyDescent="0.35">
      <c r="B1354" s="512" t="s">
        <v>6219</v>
      </c>
      <c r="C1354" s="512" t="s">
        <v>6242</v>
      </c>
      <c r="D1354" s="512" t="s">
        <v>6257</v>
      </c>
      <c r="E1354" s="513">
        <v>5364</v>
      </c>
      <c r="F1354" s="512" t="s">
        <v>1372</v>
      </c>
      <c r="G1354" s="513" t="s">
        <v>23</v>
      </c>
      <c r="H1354" s="514">
        <v>394263</v>
      </c>
      <c r="I1354" s="515" t="s">
        <v>6915</v>
      </c>
    </row>
    <row r="1355" spans="2:9" ht="15" x14ac:dyDescent="0.35">
      <c r="B1355" s="512" t="s">
        <v>6219</v>
      </c>
      <c r="C1355" s="512" t="s">
        <v>6269</v>
      </c>
      <c r="D1355" s="512" t="s">
        <v>6269</v>
      </c>
      <c r="E1355" s="513">
        <v>5365</v>
      </c>
      <c r="F1355" s="512" t="s">
        <v>1373</v>
      </c>
      <c r="G1355" s="513" t="s">
        <v>21</v>
      </c>
      <c r="H1355" s="514">
        <v>55189</v>
      </c>
      <c r="I1355" s="515" t="s">
        <v>6915</v>
      </c>
    </row>
    <row r="1356" spans="2:9" ht="15" x14ac:dyDescent="0.35">
      <c r="B1356" s="512" t="s">
        <v>6219</v>
      </c>
      <c r="C1356" s="512" t="s">
        <v>6272</v>
      </c>
      <c r="D1356" s="512" t="s">
        <v>6278</v>
      </c>
      <c r="E1356" s="513">
        <v>5368</v>
      </c>
      <c r="F1356" s="512" t="s">
        <v>1374</v>
      </c>
      <c r="G1356" s="513" t="s">
        <v>21</v>
      </c>
      <c r="H1356" s="516">
        <v>30210</v>
      </c>
      <c r="I1356" s="512" t="s">
        <v>6915</v>
      </c>
    </row>
    <row r="1357" spans="2:9" ht="15" x14ac:dyDescent="0.35">
      <c r="B1357" s="512" t="s">
        <v>6219</v>
      </c>
      <c r="C1357" s="512" t="s">
        <v>6240</v>
      </c>
      <c r="D1357" s="512" t="s">
        <v>6256</v>
      </c>
      <c r="E1357" s="513">
        <v>5369</v>
      </c>
      <c r="F1357" s="512" t="s">
        <v>1375</v>
      </c>
      <c r="G1357" s="513" t="s">
        <v>29</v>
      </c>
      <c r="H1357" s="514">
        <v>5751</v>
      </c>
      <c r="I1357" s="515" t="s">
        <v>6915</v>
      </c>
    </row>
    <row r="1358" spans="2:9" ht="15" x14ac:dyDescent="0.35">
      <c r="B1358" s="512" t="s">
        <v>6219</v>
      </c>
      <c r="C1358" s="512" t="s">
        <v>6272</v>
      </c>
      <c r="D1358" s="512" t="s">
        <v>6274</v>
      </c>
      <c r="E1358" s="513">
        <v>5370</v>
      </c>
      <c r="F1358" s="512" t="s">
        <v>1376</v>
      </c>
      <c r="G1358" s="513" t="s">
        <v>21</v>
      </c>
      <c r="H1358" s="514">
        <v>15758</v>
      </c>
      <c r="I1358" s="515" t="s">
        <v>6915</v>
      </c>
    </row>
    <row r="1359" spans="2:9" ht="15" x14ac:dyDescent="0.35">
      <c r="B1359" s="512" t="s">
        <v>6219</v>
      </c>
      <c r="C1359" s="512" t="s">
        <v>6272</v>
      </c>
      <c r="D1359" s="512" t="s">
        <v>6279</v>
      </c>
      <c r="E1359" s="513">
        <v>5371</v>
      </c>
      <c r="F1359" s="512" t="s">
        <v>1377</v>
      </c>
      <c r="G1359" s="513" t="s">
        <v>21</v>
      </c>
      <c r="H1359" s="514">
        <v>88708</v>
      </c>
      <c r="I1359" s="515" t="s">
        <v>6915</v>
      </c>
    </row>
    <row r="1360" spans="2:9" ht="15" x14ac:dyDescent="0.35">
      <c r="B1360" s="512" t="s">
        <v>6219</v>
      </c>
      <c r="C1360" s="512" t="s">
        <v>6239</v>
      </c>
      <c r="D1360" s="512" t="s">
        <v>6239</v>
      </c>
      <c r="E1360" s="513">
        <v>5372</v>
      </c>
      <c r="F1360" s="512" t="s">
        <v>1378</v>
      </c>
      <c r="G1360" s="513" t="s">
        <v>29</v>
      </c>
      <c r="H1360" s="514">
        <v>305110</v>
      </c>
      <c r="I1360" s="515" t="s">
        <v>6915</v>
      </c>
    </row>
    <row r="1361" spans="2:9" ht="15" x14ac:dyDescent="0.35">
      <c r="B1361" s="512" t="s">
        <v>6219</v>
      </c>
      <c r="C1361" s="512" t="s">
        <v>6251</v>
      </c>
      <c r="D1361" s="512" t="s">
        <v>6251</v>
      </c>
      <c r="E1361" s="513">
        <v>5373</v>
      </c>
      <c r="F1361" s="512" t="s">
        <v>1379</v>
      </c>
      <c r="G1361" s="513" t="s">
        <v>29</v>
      </c>
      <c r="H1361" s="514">
        <v>49049565</v>
      </c>
      <c r="I1361" s="515" t="s">
        <v>6915</v>
      </c>
    </row>
    <row r="1362" spans="2:9" ht="15" x14ac:dyDescent="0.35">
      <c r="B1362" s="512" t="s">
        <v>6219</v>
      </c>
      <c r="C1362" s="512" t="s">
        <v>6242</v>
      </c>
      <c r="D1362" s="512" t="s">
        <v>6257</v>
      </c>
      <c r="E1362" s="513">
        <v>5374</v>
      </c>
      <c r="F1362" s="512" t="s">
        <v>1380</v>
      </c>
      <c r="G1362" s="513" t="s">
        <v>23</v>
      </c>
      <c r="H1362" s="514">
        <v>329228</v>
      </c>
      <c r="I1362" s="512" t="s">
        <v>6915</v>
      </c>
    </row>
    <row r="1363" spans="2:9" ht="15" x14ac:dyDescent="0.35">
      <c r="B1363" s="512" t="s">
        <v>6219</v>
      </c>
      <c r="C1363" s="512" t="s">
        <v>6242</v>
      </c>
      <c r="D1363" s="512" t="s">
        <v>6257</v>
      </c>
      <c r="E1363" s="513">
        <v>5375</v>
      </c>
      <c r="F1363" s="512" t="s">
        <v>1381</v>
      </c>
      <c r="G1363" s="513" t="s">
        <v>23</v>
      </c>
      <c r="H1363" s="514">
        <v>396610</v>
      </c>
      <c r="I1363" s="515" t="s">
        <v>6915</v>
      </c>
    </row>
    <row r="1364" spans="2:9" ht="15" x14ac:dyDescent="0.35">
      <c r="B1364" s="512" t="s">
        <v>6219</v>
      </c>
      <c r="C1364" s="512" t="s">
        <v>6253</v>
      </c>
      <c r="D1364" s="512" t="s">
        <v>6254</v>
      </c>
      <c r="E1364" s="513">
        <v>5376</v>
      </c>
      <c r="F1364" s="512" t="s">
        <v>1382</v>
      </c>
      <c r="G1364" s="513" t="s">
        <v>389</v>
      </c>
      <c r="H1364" s="514">
        <v>689673</v>
      </c>
      <c r="I1364" s="515" t="s">
        <v>5686</v>
      </c>
    </row>
    <row r="1365" spans="2:9" ht="15" x14ac:dyDescent="0.35">
      <c r="B1365" s="512" t="s">
        <v>6219</v>
      </c>
      <c r="C1365" s="512" t="s">
        <v>6242</v>
      </c>
      <c r="D1365" s="512" t="s">
        <v>6257</v>
      </c>
      <c r="E1365" s="513">
        <v>5377</v>
      </c>
      <c r="F1365" s="512" t="s">
        <v>1383</v>
      </c>
      <c r="G1365" s="513" t="s">
        <v>23</v>
      </c>
      <c r="H1365" s="514">
        <v>423538</v>
      </c>
      <c r="I1365" s="512" t="s">
        <v>6915</v>
      </c>
    </row>
    <row r="1366" spans="2:9" ht="15" x14ac:dyDescent="0.35">
      <c r="B1366" s="512" t="s">
        <v>6219</v>
      </c>
      <c r="C1366" s="512" t="s">
        <v>6242</v>
      </c>
      <c r="D1366" s="512" t="s">
        <v>6257</v>
      </c>
      <c r="E1366" s="513">
        <v>5378</v>
      </c>
      <c r="F1366" s="512" t="s">
        <v>1384</v>
      </c>
      <c r="G1366" s="513" t="s">
        <v>23</v>
      </c>
      <c r="H1366" s="514">
        <v>464388</v>
      </c>
      <c r="I1366" s="515" t="s">
        <v>6915</v>
      </c>
    </row>
    <row r="1367" spans="2:9" ht="15" x14ac:dyDescent="0.35">
      <c r="B1367" s="512" t="s">
        <v>6219</v>
      </c>
      <c r="C1367" s="512" t="s">
        <v>6226</v>
      </c>
      <c r="D1367" s="512" t="s">
        <v>6226</v>
      </c>
      <c r="E1367" s="513">
        <v>5380</v>
      </c>
      <c r="F1367" s="512" t="s">
        <v>1385</v>
      </c>
      <c r="G1367" s="513" t="s">
        <v>23</v>
      </c>
      <c r="H1367" s="516">
        <v>45674</v>
      </c>
      <c r="I1367" s="512" t="s">
        <v>6915</v>
      </c>
    </row>
    <row r="1368" spans="2:9" ht="15" x14ac:dyDescent="0.35">
      <c r="B1368" s="512" t="s">
        <v>6263</v>
      </c>
      <c r="C1368" s="512" t="s">
        <v>6252</v>
      </c>
      <c r="D1368" s="512" t="s">
        <v>6252</v>
      </c>
      <c r="E1368" s="513">
        <v>5381</v>
      </c>
      <c r="F1368" s="512" t="s">
        <v>1386</v>
      </c>
      <c r="G1368" s="513" t="s">
        <v>26</v>
      </c>
      <c r="H1368" s="514">
        <v>677982</v>
      </c>
      <c r="I1368" s="515" t="s">
        <v>6915</v>
      </c>
    </row>
    <row r="1369" spans="2:9" ht="15" x14ac:dyDescent="0.35">
      <c r="B1369" s="512" t="s">
        <v>6219</v>
      </c>
      <c r="C1369" s="512" t="s">
        <v>6252</v>
      </c>
      <c r="D1369" s="512" t="s">
        <v>6252</v>
      </c>
      <c r="E1369" s="513">
        <v>5382</v>
      </c>
      <c r="F1369" s="512" t="s">
        <v>1387</v>
      </c>
      <c r="G1369" s="513" t="s">
        <v>26</v>
      </c>
      <c r="H1369" s="514">
        <v>120015</v>
      </c>
      <c r="I1369" s="515" t="s">
        <v>6915</v>
      </c>
    </row>
    <row r="1370" spans="2:9" ht="15" x14ac:dyDescent="0.35">
      <c r="B1370" s="512" t="s">
        <v>6219</v>
      </c>
      <c r="C1370" s="512" t="s">
        <v>6237</v>
      </c>
      <c r="D1370" s="512" t="s">
        <v>6238</v>
      </c>
      <c r="E1370" s="513">
        <v>5383</v>
      </c>
      <c r="F1370" s="512" t="s">
        <v>1388</v>
      </c>
      <c r="G1370" s="513" t="s">
        <v>26</v>
      </c>
      <c r="H1370" s="514">
        <v>12297</v>
      </c>
      <c r="I1370" s="515" t="s">
        <v>6915</v>
      </c>
    </row>
    <row r="1371" spans="2:9" ht="15" x14ac:dyDescent="0.35">
      <c r="B1371" s="512" t="s">
        <v>6219</v>
      </c>
      <c r="C1371" s="512" t="s">
        <v>6252</v>
      </c>
      <c r="D1371" s="512" t="s">
        <v>6252</v>
      </c>
      <c r="E1371" s="513">
        <v>5384</v>
      </c>
      <c r="F1371" s="512" t="s">
        <v>1389</v>
      </c>
      <c r="G1371" s="513" t="s">
        <v>29</v>
      </c>
      <c r="H1371" s="514">
        <v>19475207</v>
      </c>
      <c r="I1371" s="515" t="s">
        <v>6915</v>
      </c>
    </row>
    <row r="1372" spans="2:9" ht="15" x14ac:dyDescent="0.35">
      <c r="B1372" s="512" t="s">
        <v>6219</v>
      </c>
      <c r="C1372" s="512" t="s">
        <v>6252</v>
      </c>
      <c r="D1372" s="512" t="s">
        <v>6252</v>
      </c>
      <c r="E1372" s="513">
        <v>5385</v>
      </c>
      <c r="F1372" s="512" t="s">
        <v>1390</v>
      </c>
      <c r="G1372" s="513" t="s">
        <v>29</v>
      </c>
      <c r="H1372" s="514">
        <v>16349426</v>
      </c>
      <c r="I1372" s="515" t="s">
        <v>6915</v>
      </c>
    </row>
    <row r="1373" spans="2:9" ht="15" x14ac:dyDescent="0.35">
      <c r="B1373" s="512" t="s">
        <v>6219</v>
      </c>
      <c r="C1373" s="512" t="s">
        <v>6233</v>
      </c>
      <c r="D1373" s="512" t="s">
        <v>6234</v>
      </c>
      <c r="E1373" s="513">
        <v>5387</v>
      </c>
      <c r="F1373" s="512" t="s">
        <v>1391</v>
      </c>
      <c r="G1373" s="513" t="s">
        <v>29</v>
      </c>
      <c r="H1373" s="514">
        <v>645220</v>
      </c>
      <c r="I1373" s="515" t="s">
        <v>6915</v>
      </c>
    </row>
    <row r="1374" spans="2:9" ht="15" x14ac:dyDescent="0.35">
      <c r="B1374" s="512" t="s">
        <v>6219</v>
      </c>
      <c r="C1374" s="512" t="s">
        <v>6253</v>
      </c>
      <c r="D1374" s="512" t="s">
        <v>6254</v>
      </c>
      <c r="E1374" s="513">
        <v>5391</v>
      </c>
      <c r="F1374" s="512" t="s">
        <v>1392</v>
      </c>
      <c r="G1374" s="513" t="s">
        <v>676</v>
      </c>
      <c r="H1374" s="516">
        <v>55668</v>
      </c>
      <c r="I1374" s="512" t="s">
        <v>6915</v>
      </c>
    </row>
    <row r="1375" spans="2:9" ht="15" x14ac:dyDescent="0.35">
      <c r="B1375" s="512" t="s">
        <v>6219</v>
      </c>
      <c r="C1375" s="512" t="s">
        <v>6253</v>
      </c>
      <c r="D1375" s="512" t="s">
        <v>6254</v>
      </c>
      <c r="E1375" s="513">
        <v>5392</v>
      </c>
      <c r="F1375" s="512" t="s">
        <v>1393</v>
      </c>
      <c r="G1375" s="513" t="s">
        <v>389</v>
      </c>
      <c r="H1375" s="516">
        <v>389656</v>
      </c>
      <c r="I1375" s="512" t="s">
        <v>5686</v>
      </c>
    </row>
    <row r="1376" spans="2:9" ht="15" x14ac:dyDescent="0.35">
      <c r="B1376" s="512" t="s">
        <v>6219</v>
      </c>
      <c r="C1376" s="512" t="s">
        <v>6232</v>
      </c>
      <c r="D1376" s="512" t="s">
        <v>6232</v>
      </c>
      <c r="E1376" s="513">
        <v>5394</v>
      </c>
      <c r="F1376" s="512" t="s">
        <v>1394</v>
      </c>
      <c r="G1376" s="513" t="s">
        <v>26</v>
      </c>
      <c r="H1376" s="516">
        <v>370752</v>
      </c>
      <c r="I1376" s="512" t="s">
        <v>6915</v>
      </c>
    </row>
    <row r="1377" spans="2:9" ht="15" x14ac:dyDescent="0.35">
      <c r="B1377" s="512" t="s">
        <v>6219</v>
      </c>
      <c r="C1377" s="512" t="s">
        <v>6272</v>
      </c>
      <c r="D1377" s="512" t="s">
        <v>6273</v>
      </c>
      <c r="E1377" s="513">
        <v>5395</v>
      </c>
      <c r="F1377" s="512" t="s">
        <v>1395</v>
      </c>
      <c r="G1377" s="513" t="s">
        <v>26</v>
      </c>
      <c r="H1377" s="516">
        <v>63002</v>
      </c>
      <c r="I1377" s="512" t="s">
        <v>6915</v>
      </c>
    </row>
    <row r="1378" spans="2:9" ht="15" x14ac:dyDescent="0.35">
      <c r="B1378" s="512" t="s">
        <v>6219</v>
      </c>
      <c r="C1378" s="512" t="s">
        <v>6240</v>
      </c>
      <c r="D1378" s="512" t="s">
        <v>6241</v>
      </c>
      <c r="E1378" s="513">
        <v>5396</v>
      </c>
      <c r="F1378" s="512" t="s">
        <v>1396</v>
      </c>
      <c r="G1378" s="513" t="s">
        <v>23</v>
      </c>
      <c r="H1378" s="516">
        <v>1423684</v>
      </c>
      <c r="I1378" s="512" t="s">
        <v>6915</v>
      </c>
    </row>
    <row r="1379" spans="2:9" ht="15" x14ac:dyDescent="0.35">
      <c r="B1379" s="512" t="s">
        <v>6219</v>
      </c>
      <c r="C1379" s="512" t="s">
        <v>6237</v>
      </c>
      <c r="D1379" s="512" t="s">
        <v>6238</v>
      </c>
      <c r="E1379" s="513">
        <v>5397</v>
      </c>
      <c r="F1379" s="512" t="s">
        <v>1397</v>
      </c>
      <c r="G1379" s="513" t="s">
        <v>26</v>
      </c>
      <c r="H1379" s="516">
        <v>42960</v>
      </c>
      <c r="I1379" s="512" t="s">
        <v>6915</v>
      </c>
    </row>
    <row r="1380" spans="2:9" ht="15" x14ac:dyDescent="0.35">
      <c r="B1380" s="512" t="s">
        <v>6219</v>
      </c>
      <c r="C1380" s="512" t="s">
        <v>6233</v>
      </c>
      <c r="D1380" s="512" t="s">
        <v>6234</v>
      </c>
      <c r="E1380" s="513">
        <v>5398</v>
      </c>
      <c r="F1380" s="512" t="s">
        <v>1398</v>
      </c>
      <c r="G1380" s="513" t="s">
        <v>26</v>
      </c>
      <c r="H1380" s="516">
        <v>2021296</v>
      </c>
      <c r="I1380" s="512" t="s">
        <v>6915</v>
      </c>
    </row>
    <row r="1381" spans="2:9" ht="15" x14ac:dyDescent="0.35">
      <c r="B1381" s="512" t="s">
        <v>6219</v>
      </c>
      <c r="C1381" s="512" t="s">
        <v>6251</v>
      </c>
      <c r="D1381" s="512" t="s">
        <v>6251</v>
      </c>
      <c r="E1381" s="513">
        <v>5404</v>
      </c>
      <c r="F1381" s="512" t="s">
        <v>1399</v>
      </c>
      <c r="G1381" s="513" t="s">
        <v>367</v>
      </c>
      <c r="H1381" s="516">
        <v>10706</v>
      </c>
      <c r="I1381" s="512" t="s">
        <v>6915</v>
      </c>
    </row>
    <row r="1382" spans="2:9" ht="15" x14ac:dyDescent="0.35">
      <c r="B1382" s="512" t="s">
        <v>6219</v>
      </c>
      <c r="C1382" s="512" t="s">
        <v>6237</v>
      </c>
      <c r="D1382" s="512" t="s">
        <v>6238</v>
      </c>
      <c r="E1382" s="513">
        <v>5409</v>
      </c>
      <c r="F1382" s="512" t="s">
        <v>1400</v>
      </c>
      <c r="G1382" s="513" t="s">
        <v>29</v>
      </c>
      <c r="H1382" s="516">
        <v>551597</v>
      </c>
      <c r="I1382" s="512" t="s">
        <v>6915</v>
      </c>
    </row>
    <row r="1383" spans="2:9" ht="15" x14ac:dyDescent="0.35">
      <c r="B1383" s="512" t="s">
        <v>6219</v>
      </c>
      <c r="C1383" s="512" t="s">
        <v>6227</v>
      </c>
      <c r="D1383" s="512" t="s">
        <v>6229</v>
      </c>
      <c r="E1383" s="513">
        <v>5412</v>
      </c>
      <c r="F1383" s="512" t="s">
        <v>1401</v>
      </c>
      <c r="G1383" s="513" t="s">
        <v>23</v>
      </c>
      <c r="H1383" s="516">
        <v>178829</v>
      </c>
      <c r="I1383" s="512" t="s">
        <v>6915</v>
      </c>
    </row>
    <row r="1384" spans="2:9" ht="15" x14ac:dyDescent="0.35">
      <c r="B1384" s="512" t="s">
        <v>6219</v>
      </c>
      <c r="C1384" s="512" t="s">
        <v>6220</v>
      </c>
      <c r="D1384" s="512" t="s">
        <v>6222</v>
      </c>
      <c r="E1384" s="513">
        <v>5413</v>
      </c>
      <c r="F1384" s="512" t="s">
        <v>1402</v>
      </c>
      <c r="G1384" s="513" t="s">
        <v>23</v>
      </c>
      <c r="H1384" s="516">
        <v>128667</v>
      </c>
      <c r="I1384" s="512" t="s">
        <v>6915</v>
      </c>
    </row>
    <row r="1385" spans="2:9" ht="15" x14ac:dyDescent="0.35">
      <c r="B1385" s="512" t="s">
        <v>6219</v>
      </c>
      <c r="C1385" s="512" t="s">
        <v>6227</v>
      </c>
      <c r="D1385" s="512" t="s">
        <v>6229</v>
      </c>
      <c r="E1385" s="513">
        <v>5415</v>
      </c>
      <c r="F1385" s="512" t="s">
        <v>1403</v>
      </c>
      <c r="G1385" s="513" t="s">
        <v>23</v>
      </c>
      <c r="H1385" s="516">
        <v>127489</v>
      </c>
      <c r="I1385" s="512" t="s">
        <v>6915</v>
      </c>
    </row>
    <row r="1386" spans="2:9" ht="15" x14ac:dyDescent="0.35">
      <c r="B1386" s="512" t="s">
        <v>6219</v>
      </c>
      <c r="C1386" s="512" t="s">
        <v>6220</v>
      </c>
      <c r="D1386" s="512" t="s">
        <v>6222</v>
      </c>
      <c r="E1386" s="513">
        <v>5416</v>
      </c>
      <c r="F1386" s="512" t="s">
        <v>1404</v>
      </c>
      <c r="G1386" s="513" t="s">
        <v>23</v>
      </c>
      <c r="H1386" s="516">
        <v>54603</v>
      </c>
      <c r="I1386" s="515" t="s">
        <v>6915</v>
      </c>
    </row>
    <row r="1387" spans="2:9" ht="15" x14ac:dyDescent="0.35">
      <c r="B1387" s="512" t="s">
        <v>6219</v>
      </c>
      <c r="C1387" s="512" t="s">
        <v>6220</v>
      </c>
      <c r="D1387" s="512" t="s">
        <v>6222</v>
      </c>
      <c r="E1387" s="513">
        <v>5418</v>
      </c>
      <c r="F1387" s="512" t="s">
        <v>1405</v>
      </c>
      <c r="G1387" s="513" t="s">
        <v>23</v>
      </c>
      <c r="H1387" s="516">
        <v>94195</v>
      </c>
      <c r="I1387" s="512" t="s">
        <v>6915</v>
      </c>
    </row>
    <row r="1388" spans="2:9" ht="15" x14ac:dyDescent="0.35">
      <c r="B1388" s="512" t="s">
        <v>6219</v>
      </c>
      <c r="C1388" s="512" t="s">
        <v>6240</v>
      </c>
      <c r="D1388" s="512" t="s">
        <v>6241</v>
      </c>
      <c r="E1388" s="513">
        <v>5421</v>
      </c>
      <c r="F1388" s="512" t="s">
        <v>1406</v>
      </c>
      <c r="G1388" s="513" t="s">
        <v>23</v>
      </c>
      <c r="H1388" s="516">
        <v>1221089</v>
      </c>
      <c r="I1388" s="512" t="s">
        <v>6915</v>
      </c>
    </row>
    <row r="1389" spans="2:9" ht="15" x14ac:dyDescent="0.35">
      <c r="B1389" s="512" t="s">
        <v>6219</v>
      </c>
      <c r="C1389" s="512" t="s">
        <v>6240</v>
      </c>
      <c r="D1389" s="512" t="s">
        <v>6241</v>
      </c>
      <c r="E1389" s="513">
        <v>5422</v>
      </c>
      <c r="F1389" s="512" t="s">
        <v>1407</v>
      </c>
      <c r="G1389" s="513" t="s">
        <v>23</v>
      </c>
      <c r="H1389" s="516">
        <v>1248388</v>
      </c>
      <c r="I1389" s="512" t="s">
        <v>6915</v>
      </c>
    </row>
    <row r="1390" spans="2:9" ht="15" x14ac:dyDescent="0.35">
      <c r="B1390" s="512" t="s">
        <v>6219</v>
      </c>
      <c r="C1390" s="512" t="s">
        <v>6240</v>
      </c>
      <c r="D1390" s="512" t="s">
        <v>6241</v>
      </c>
      <c r="E1390" s="513">
        <v>5426</v>
      </c>
      <c r="F1390" s="512" t="s">
        <v>1408</v>
      </c>
      <c r="G1390" s="513" t="s">
        <v>23</v>
      </c>
      <c r="H1390" s="516">
        <v>1041490</v>
      </c>
      <c r="I1390" s="512" t="s">
        <v>6915</v>
      </c>
    </row>
    <row r="1391" spans="2:9" ht="15" x14ac:dyDescent="0.35">
      <c r="B1391" s="512" t="s">
        <v>6219</v>
      </c>
      <c r="C1391" s="512" t="s">
        <v>6240</v>
      </c>
      <c r="D1391" s="512" t="s">
        <v>6241</v>
      </c>
      <c r="E1391" s="513">
        <v>5431</v>
      </c>
      <c r="F1391" s="512" t="s">
        <v>1409</v>
      </c>
      <c r="G1391" s="513" t="s">
        <v>26</v>
      </c>
      <c r="H1391" s="516">
        <v>95491</v>
      </c>
      <c r="I1391" s="512" t="s">
        <v>6915</v>
      </c>
    </row>
    <row r="1392" spans="2:9" ht="15" x14ac:dyDescent="0.35">
      <c r="B1392" s="512" t="s">
        <v>6219</v>
      </c>
      <c r="C1392" s="512" t="s">
        <v>6240</v>
      </c>
      <c r="D1392" s="512" t="s">
        <v>6241</v>
      </c>
      <c r="E1392" s="513">
        <v>5432</v>
      </c>
      <c r="F1392" s="512" t="s">
        <v>1410</v>
      </c>
      <c r="G1392" s="513" t="s">
        <v>26</v>
      </c>
      <c r="H1392" s="516">
        <v>107810</v>
      </c>
      <c r="I1392" s="512" t="s">
        <v>6915</v>
      </c>
    </row>
    <row r="1393" spans="2:9" ht="15" x14ac:dyDescent="0.35">
      <c r="B1393" s="512" t="s">
        <v>6219</v>
      </c>
      <c r="C1393" s="512" t="s">
        <v>6240</v>
      </c>
      <c r="D1393" s="512" t="s">
        <v>6241</v>
      </c>
      <c r="E1393" s="513">
        <v>5433</v>
      </c>
      <c r="F1393" s="512" t="s">
        <v>1411</v>
      </c>
      <c r="G1393" s="513" t="s">
        <v>26</v>
      </c>
      <c r="H1393" s="514">
        <v>98723</v>
      </c>
      <c r="I1393" s="515" t="s">
        <v>6915</v>
      </c>
    </row>
    <row r="1394" spans="2:9" ht="15" x14ac:dyDescent="0.35">
      <c r="B1394" s="512" t="s">
        <v>6219</v>
      </c>
      <c r="C1394" s="512" t="s">
        <v>6272</v>
      </c>
      <c r="D1394" s="512" t="s">
        <v>6279</v>
      </c>
      <c r="E1394" s="513">
        <v>5442</v>
      </c>
      <c r="F1394" s="512" t="s">
        <v>1412</v>
      </c>
      <c r="G1394" s="513" t="s">
        <v>21</v>
      </c>
      <c r="H1394" s="514">
        <v>128750</v>
      </c>
      <c r="I1394" s="515" t="s">
        <v>6915</v>
      </c>
    </row>
    <row r="1395" spans="2:9" ht="15" x14ac:dyDescent="0.35">
      <c r="B1395" s="512" t="s">
        <v>6219</v>
      </c>
      <c r="C1395" s="512" t="s">
        <v>6272</v>
      </c>
      <c r="D1395" s="512" t="s">
        <v>6279</v>
      </c>
      <c r="E1395" s="513">
        <v>5443</v>
      </c>
      <c r="F1395" s="512" t="s">
        <v>1413</v>
      </c>
      <c r="G1395" s="513" t="s">
        <v>26</v>
      </c>
      <c r="H1395" s="514">
        <v>44778</v>
      </c>
      <c r="I1395" s="515" t="s">
        <v>6915</v>
      </c>
    </row>
    <row r="1396" spans="2:9" ht="15" x14ac:dyDescent="0.35">
      <c r="B1396" s="512" t="s">
        <v>6219</v>
      </c>
      <c r="C1396" s="512" t="s">
        <v>6272</v>
      </c>
      <c r="D1396" s="512" t="s">
        <v>6280</v>
      </c>
      <c r="E1396" s="513">
        <v>5452</v>
      </c>
      <c r="F1396" s="512" t="s">
        <v>1414</v>
      </c>
      <c r="G1396" s="513" t="s">
        <v>21</v>
      </c>
      <c r="H1396" s="514">
        <v>98826</v>
      </c>
      <c r="I1396" s="515" t="s">
        <v>6915</v>
      </c>
    </row>
    <row r="1397" spans="2:9" ht="15" x14ac:dyDescent="0.35">
      <c r="B1397" s="512" t="s">
        <v>6219</v>
      </c>
      <c r="C1397" s="512" t="s">
        <v>6272</v>
      </c>
      <c r="D1397" s="512" t="s">
        <v>6280</v>
      </c>
      <c r="E1397" s="513">
        <v>5455</v>
      </c>
      <c r="F1397" s="512" t="s">
        <v>1415</v>
      </c>
      <c r="G1397" s="513" t="s">
        <v>21</v>
      </c>
      <c r="H1397" s="516">
        <v>206089</v>
      </c>
      <c r="I1397" s="512" t="s">
        <v>6915</v>
      </c>
    </row>
    <row r="1398" spans="2:9" ht="15" x14ac:dyDescent="0.35">
      <c r="B1398" s="512" t="s">
        <v>6219</v>
      </c>
      <c r="C1398" s="512" t="s">
        <v>6272</v>
      </c>
      <c r="D1398" s="512" t="s">
        <v>6273</v>
      </c>
      <c r="E1398" s="513">
        <v>5456</v>
      </c>
      <c r="F1398" s="512" t="s">
        <v>1416</v>
      </c>
      <c r="G1398" s="513" t="s">
        <v>26</v>
      </c>
      <c r="H1398" s="516">
        <v>53562</v>
      </c>
      <c r="I1398" s="512" t="s">
        <v>6915</v>
      </c>
    </row>
    <row r="1399" spans="2:9" ht="15" x14ac:dyDescent="0.35">
      <c r="B1399" s="512" t="s">
        <v>6219</v>
      </c>
      <c r="C1399" s="512" t="s">
        <v>6272</v>
      </c>
      <c r="D1399" s="512" t="s">
        <v>6273</v>
      </c>
      <c r="E1399" s="513">
        <v>5459</v>
      </c>
      <c r="F1399" s="512" t="s">
        <v>1417</v>
      </c>
      <c r="G1399" s="513" t="s">
        <v>21</v>
      </c>
      <c r="H1399" s="516">
        <v>86040</v>
      </c>
      <c r="I1399" s="512" t="s">
        <v>6915</v>
      </c>
    </row>
    <row r="1400" spans="2:9" ht="15" x14ac:dyDescent="0.35">
      <c r="B1400" s="512" t="s">
        <v>6219</v>
      </c>
      <c r="C1400" s="512" t="s">
        <v>6232</v>
      </c>
      <c r="D1400" s="512" t="s">
        <v>6232</v>
      </c>
      <c r="E1400" s="513">
        <v>5461</v>
      </c>
      <c r="F1400" s="512" t="s">
        <v>1418</v>
      </c>
      <c r="G1400" s="513" t="s">
        <v>26</v>
      </c>
      <c r="H1400" s="516">
        <v>31829</v>
      </c>
      <c r="I1400" s="512" t="s">
        <v>6915</v>
      </c>
    </row>
    <row r="1401" spans="2:9" ht="15" x14ac:dyDescent="0.35">
      <c r="B1401" s="512" t="s">
        <v>6219</v>
      </c>
      <c r="C1401" s="512" t="s">
        <v>6232</v>
      </c>
      <c r="D1401" s="512" t="s">
        <v>6232</v>
      </c>
      <c r="E1401" s="513">
        <v>5462</v>
      </c>
      <c r="F1401" s="512" t="s">
        <v>1419</v>
      </c>
      <c r="G1401" s="513" t="s">
        <v>29</v>
      </c>
      <c r="H1401" s="514">
        <v>170011</v>
      </c>
      <c r="I1401" s="515" t="s">
        <v>6915</v>
      </c>
    </row>
    <row r="1402" spans="2:9" ht="15" x14ac:dyDescent="0.35">
      <c r="B1402" s="512" t="s">
        <v>6219</v>
      </c>
      <c r="C1402" s="512" t="s">
        <v>6232</v>
      </c>
      <c r="D1402" s="512" t="s">
        <v>6232</v>
      </c>
      <c r="E1402" s="513">
        <v>5463</v>
      </c>
      <c r="F1402" s="512" t="s">
        <v>1420</v>
      </c>
      <c r="G1402" s="513" t="s">
        <v>29</v>
      </c>
      <c r="H1402" s="514">
        <v>253083</v>
      </c>
      <c r="I1402" s="515" t="s">
        <v>6915</v>
      </c>
    </row>
    <row r="1403" spans="2:9" ht="15" x14ac:dyDescent="0.35">
      <c r="B1403" s="512" t="s">
        <v>6219</v>
      </c>
      <c r="C1403" s="512" t="s">
        <v>6232</v>
      </c>
      <c r="D1403" s="512" t="s">
        <v>6232</v>
      </c>
      <c r="E1403" s="513">
        <v>5466</v>
      </c>
      <c r="F1403" s="512" t="s">
        <v>1421</v>
      </c>
      <c r="G1403" s="513" t="s">
        <v>26</v>
      </c>
      <c r="H1403" s="514">
        <v>18569</v>
      </c>
      <c r="I1403" s="515" t="s">
        <v>6915</v>
      </c>
    </row>
    <row r="1404" spans="2:9" ht="15" x14ac:dyDescent="0.35">
      <c r="B1404" s="512" t="s">
        <v>6219</v>
      </c>
      <c r="C1404" s="512" t="s">
        <v>6232</v>
      </c>
      <c r="D1404" s="512" t="s">
        <v>6232</v>
      </c>
      <c r="E1404" s="513">
        <v>5467</v>
      </c>
      <c r="F1404" s="512" t="s">
        <v>1422</v>
      </c>
      <c r="G1404" s="513" t="s">
        <v>26</v>
      </c>
      <c r="H1404" s="514">
        <v>160366</v>
      </c>
      <c r="I1404" s="515" t="s">
        <v>6915</v>
      </c>
    </row>
    <row r="1405" spans="2:9" ht="15" x14ac:dyDescent="0.35">
      <c r="B1405" s="512" t="s">
        <v>6219</v>
      </c>
      <c r="C1405" s="512" t="s">
        <v>6232</v>
      </c>
      <c r="D1405" s="512" t="s">
        <v>6232</v>
      </c>
      <c r="E1405" s="513">
        <v>5469</v>
      </c>
      <c r="F1405" s="512" t="s">
        <v>1423</v>
      </c>
      <c r="G1405" s="513" t="s">
        <v>26</v>
      </c>
      <c r="H1405" s="514">
        <v>20593</v>
      </c>
      <c r="I1405" s="515" t="s">
        <v>6915</v>
      </c>
    </row>
    <row r="1406" spans="2:9" ht="15" x14ac:dyDescent="0.35">
      <c r="B1406" s="512" t="s">
        <v>6219</v>
      </c>
      <c r="C1406" s="512" t="s">
        <v>6239</v>
      </c>
      <c r="D1406" s="512" t="s">
        <v>6239</v>
      </c>
      <c r="E1406" s="513">
        <v>5471</v>
      </c>
      <c r="F1406" s="512" t="s">
        <v>1424</v>
      </c>
      <c r="G1406" s="513" t="s">
        <v>26</v>
      </c>
      <c r="H1406" s="514">
        <v>12748</v>
      </c>
      <c r="I1406" s="515" t="s">
        <v>6915</v>
      </c>
    </row>
    <row r="1407" spans="2:9" ht="15" x14ac:dyDescent="0.35">
      <c r="B1407" s="512" t="s">
        <v>6219</v>
      </c>
      <c r="C1407" s="512" t="s">
        <v>6239</v>
      </c>
      <c r="D1407" s="512" t="s">
        <v>6239</v>
      </c>
      <c r="E1407" s="513">
        <v>5472</v>
      </c>
      <c r="F1407" s="512" t="s">
        <v>1425</v>
      </c>
      <c r="G1407" s="513" t="s">
        <v>26</v>
      </c>
      <c r="H1407" s="514">
        <v>9739</v>
      </c>
      <c r="I1407" s="515" t="s">
        <v>6915</v>
      </c>
    </row>
    <row r="1408" spans="2:9" ht="15" x14ac:dyDescent="0.35">
      <c r="B1408" s="512" t="s">
        <v>6219</v>
      </c>
      <c r="C1408" s="512" t="s">
        <v>6272</v>
      </c>
      <c r="D1408" s="512" t="s">
        <v>6273</v>
      </c>
      <c r="E1408" s="513">
        <v>5494</v>
      </c>
      <c r="F1408" s="512" t="s">
        <v>1426</v>
      </c>
      <c r="G1408" s="513" t="s">
        <v>29</v>
      </c>
      <c r="H1408" s="514">
        <v>642607</v>
      </c>
      <c r="I1408" s="515" t="s">
        <v>6915</v>
      </c>
    </row>
    <row r="1409" spans="2:9" ht="15" x14ac:dyDescent="0.35">
      <c r="B1409" s="512" t="s">
        <v>6219</v>
      </c>
      <c r="C1409" s="512" t="s">
        <v>6272</v>
      </c>
      <c r="D1409" s="512" t="s">
        <v>6273</v>
      </c>
      <c r="E1409" s="513">
        <v>5501</v>
      </c>
      <c r="F1409" s="512" t="s">
        <v>1427</v>
      </c>
      <c r="G1409" s="513" t="s">
        <v>29</v>
      </c>
      <c r="H1409" s="514">
        <v>625042</v>
      </c>
      <c r="I1409" s="515" t="s">
        <v>6915</v>
      </c>
    </row>
    <row r="1410" spans="2:9" ht="15" x14ac:dyDescent="0.35">
      <c r="B1410" s="512" t="s">
        <v>6219</v>
      </c>
      <c r="C1410" s="512" t="s">
        <v>6272</v>
      </c>
      <c r="D1410" s="512" t="s">
        <v>6273</v>
      </c>
      <c r="E1410" s="513">
        <v>5502</v>
      </c>
      <c r="F1410" s="512" t="s">
        <v>1428</v>
      </c>
      <c r="G1410" s="513" t="s">
        <v>29</v>
      </c>
      <c r="H1410" s="514">
        <v>941356</v>
      </c>
      <c r="I1410" s="515" t="s">
        <v>6915</v>
      </c>
    </row>
    <row r="1411" spans="2:9" ht="15" x14ac:dyDescent="0.35">
      <c r="B1411" s="512" t="s">
        <v>6219</v>
      </c>
      <c r="C1411" s="512" t="s">
        <v>6224</v>
      </c>
      <c r="D1411" s="512" t="s">
        <v>6244</v>
      </c>
      <c r="E1411" s="513">
        <v>5523</v>
      </c>
      <c r="F1411" s="512" t="s">
        <v>1429</v>
      </c>
      <c r="G1411" s="513" t="s">
        <v>29</v>
      </c>
      <c r="H1411" s="514">
        <v>29703</v>
      </c>
      <c r="I1411" s="515" t="s">
        <v>6915</v>
      </c>
    </row>
    <row r="1412" spans="2:9" ht="15" x14ac:dyDescent="0.35">
      <c r="B1412" s="512" t="s">
        <v>6219</v>
      </c>
      <c r="C1412" s="512" t="s">
        <v>6224</v>
      </c>
      <c r="D1412" s="512" t="s">
        <v>6244</v>
      </c>
      <c r="E1412" s="513">
        <v>5524</v>
      </c>
      <c r="F1412" s="512" t="s">
        <v>1430</v>
      </c>
      <c r="G1412" s="513" t="s">
        <v>29</v>
      </c>
      <c r="H1412" s="514">
        <v>65003</v>
      </c>
      <c r="I1412" s="515" t="s">
        <v>6915</v>
      </c>
    </row>
    <row r="1413" spans="2:9" ht="15" x14ac:dyDescent="0.35">
      <c r="B1413" s="512" t="s">
        <v>6219</v>
      </c>
      <c r="C1413" s="512" t="s">
        <v>6224</v>
      </c>
      <c r="D1413" s="512" t="s">
        <v>6244</v>
      </c>
      <c r="E1413" s="513">
        <v>5525</v>
      </c>
      <c r="F1413" s="512" t="s">
        <v>1431</v>
      </c>
      <c r="G1413" s="513" t="s">
        <v>29</v>
      </c>
      <c r="H1413" s="514">
        <v>88308</v>
      </c>
      <c r="I1413" s="515" t="s">
        <v>6915</v>
      </c>
    </row>
    <row r="1414" spans="2:9" ht="15" x14ac:dyDescent="0.35">
      <c r="B1414" s="512" t="s">
        <v>6219</v>
      </c>
      <c r="C1414" s="512" t="s">
        <v>6239</v>
      </c>
      <c r="D1414" s="512" t="s">
        <v>6239</v>
      </c>
      <c r="E1414" s="513">
        <v>5527</v>
      </c>
      <c r="F1414" s="512" t="s">
        <v>1432</v>
      </c>
      <c r="G1414" s="513" t="s">
        <v>26</v>
      </c>
      <c r="H1414" s="516">
        <v>31957</v>
      </c>
      <c r="I1414" s="512" t="s">
        <v>6915</v>
      </c>
    </row>
    <row r="1415" spans="2:9" ht="15" x14ac:dyDescent="0.35">
      <c r="B1415" s="512" t="s">
        <v>6219</v>
      </c>
      <c r="C1415" s="512" t="s">
        <v>6239</v>
      </c>
      <c r="D1415" s="512" t="s">
        <v>6239</v>
      </c>
      <c r="E1415" s="513">
        <v>5528</v>
      </c>
      <c r="F1415" s="512" t="s">
        <v>1433</v>
      </c>
      <c r="G1415" s="513" t="s">
        <v>26</v>
      </c>
      <c r="H1415" s="514">
        <v>23860</v>
      </c>
      <c r="I1415" s="515" t="s">
        <v>6915</v>
      </c>
    </row>
    <row r="1416" spans="2:9" ht="15" x14ac:dyDescent="0.35">
      <c r="B1416" s="512" t="s">
        <v>6219</v>
      </c>
      <c r="C1416" s="512" t="s">
        <v>6253</v>
      </c>
      <c r="D1416" s="512" t="s">
        <v>6254</v>
      </c>
      <c r="E1416" s="513">
        <v>5535</v>
      </c>
      <c r="F1416" s="512" t="s">
        <v>1434</v>
      </c>
      <c r="G1416" s="513" t="s">
        <v>389</v>
      </c>
      <c r="H1416" s="516">
        <v>242424</v>
      </c>
      <c r="I1416" s="512" t="s">
        <v>5686</v>
      </c>
    </row>
    <row r="1417" spans="2:9" ht="15" x14ac:dyDescent="0.35">
      <c r="B1417" s="512" t="s">
        <v>6219</v>
      </c>
      <c r="C1417" s="512" t="s">
        <v>6253</v>
      </c>
      <c r="D1417" s="512" t="s">
        <v>6254</v>
      </c>
      <c r="E1417" s="513">
        <v>5536</v>
      </c>
      <c r="F1417" s="512" t="s">
        <v>1435</v>
      </c>
      <c r="G1417" s="513" t="s">
        <v>676</v>
      </c>
      <c r="H1417" s="516">
        <v>34634</v>
      </c>
      <c r="I1417" s="512" t="s">
        <v>6915</v>
      </c>
    </row>
    <row r="1418" spans="2:9" ht="15" x14ac:dyDescent="0.35">
      <c r="B1418" s="512" t="s">
        <v>6219</v>
      </c>
      <c r="C1418" s="512" t="s">
        <v>6224</v>
      </c>
      <c r="D1418" s="512" t="s">
        <v>6244</v>
      </c>
      <c r="E1418" s="513">
        <v>5540</v>
      </c>
      <c r="F1418" s="512" t="s">
        <v>1436</v>
      </c>
      <c r="G1418" s="513" t="s">
        <v>26</v>
      </c>
      <c r="H1418" s="514">
        <v>4187</v>
      </c>
      <c r="I1418" s="515" t="s">
        <v>6915</v>
      </c>
    </row>
    <row r="1419" spans="2:9" ht="15" x14ac:dyDescent="0.35">
      <c r="B1419" s="512" t="s">
        <v>6219</v>
      </c>
      <c r="C1419" s="512" t="s">
        <v>6224</v>
      </c>
      <c r="D1419" s="512" t="s">
        <v>6244</v>
      </c>
      <c r="E1419" s="513">
        <v>5541</v>
      </c>
      <c r="F1419" s="512" t="s">
        <v>1437</v>
      </c>
      <c r="G1419" s="513" t="s">
        <v>26</v>
      </c>
      <c r="H1419" s="516">
        <v>5506</v>
      </c>
      <c r="I1419" s="512" t="s">
        <v>6915</v>
      </c>
    </row>
    <row r="1420" spans="2:9" ht="15" x14ac:dyDescent="0.35">
      <c r="B1420" s="512" t="s">
        <v>6219</v>
      </c>
      <c r="C1420" s="512" t="s">
        <v>6224</v>
      </c>
      <c r="D1420" s="512" t="s">
        <v>6244</v>
      </c>
      <c r="E1420" s="513">
        <v>5542</v>
      </c>
      <c r="F1420" s="512" t="s">
        <v>1438</v>
      </c>
      <c r="G1420" s="513" t="s">
        <v>26</v>
      </c>
      <c r="H1420" s="514">
        <v>8206</v>
      </c>
      <c r="I1420" s="515" t="s">
        <v>6915</v>
      </c>
    </row>
    <row r="1421" spans="2:9" ht="15" x14ac:dyDescent="0.35">
      <c r="B1421" s="512" t="s">
        <v>6219</v>
      </c>
      <c r="C1421" s="512" t="s">
        <v>6224</v>
      </c>
      <c r="D1421" s="512" t="s">
        <v>6244</v>
      </c>
      <c r="E1421" s="513">
        <v>5543</v>
      </c>
      <c r="F1421" s="512" t="s">
        <v>1439</v>
      </c>
      <c r="G1421" s="513" t="s">
        <v>26</v>
      </c>
      <c r="H1421" s="514">
        <v>12889</v>
      </c>
      <c r="I1421" s="515" t="s">
        <v>6915</v>
      </c>
    </row>
    <row r="1422" spans="2:9" ht="15" x14ac:dyDescent="0.35">
      <c r="B1422" s="512" t="s">
        <v>6219</v>
      </c>
      <c r="C1422" s="512" t="s">
        <v>6224</v>
      </c>
      <c r="D1422" s="512" t="s">
        <v>6244</v>
      </c>
      <c r="E1422" s="513">
        <v>5545</v>
      </c>
      <c r="F1422" s="512" t="s">
        <v>1440</v>
      </c>
      <c r="G1422" s="513" t="s">
        <v>26</v>
      </c>
      <c r="H1422" s="514">
        <v>93304</v>
      </c>
      <c r="I1422" s="515" t="s">
        <v>6915</v>
      </c>
    </row>
    <row r="1423" spans="2:9" ht="15" x14ac:dyDescent="0.35">
      <c r="B1423" s="512" t="s">
        <v>6219</v>
      </c>
      <c r="C1423" s="512" t="s">
        <v>6224</v>
      </c>
      <c r="D1423" s="512" t="s">
        <v>6244</v>
      </c>
      <c r="E1423" s="513">
        <v>5546</v>
      </c>
      <c r="F1423" s="512" t="s">
        <v>1441</v>
      </c>
      <c r="G1423" s="513" t="s">
        <v>26</v>
      </c>
      <c r="H1423" s="516">
        <v>124640</v>
      </c>
      <c r="I1423" s="512" t="s">
        <v>6915</v>
      </c>
    </row>
    <row r="1424" spans="2:9" ht="15" x14ac:dyDescent="0.35">
      <c r="B1424" s="512" t="s">
        <v>6219</v>
      </c>
      <c r="C1424" s="512" t="s">
        <v>6224</v>
      </c>
      <c r="D1424" s="512" t="s">
        <v>6244</v>
      </c>
      <c r="E1424" s="513">
        <v>5547</v>
      </c>
      <c r="F1424" s="512" t="s">
        <v>1442</v>
      </c>
      <c r="G1424" s="513" t="s">
        <v>26</v>
      </c>
      <c r="H1424" s="514">
        <v>91584</v>
      </c>
      <c r="I1424" s="515" t="s">
        <v>6915</v>
      </c>
    </row>
    <row r="1425" spans="2:9" ht="15" x14ac:dyDescent="0.35">
      <c r="B1425" s="512" t="s">
        <v>6219</v>
      </c>
      <c r="C1425" s="512" t="s">
        <v>6224</v>
      </c>
      <c r="D1425" s="512" t="s">
        <v>6244</v>
      </c>
      <c r="E1425" s="513">
        <v>5548</v>
      </c>
      <c r="F1425" s="512" t="s">
        <v>1443</v>
      </c>
      <c r="G1425" s="513" t="s">
        <v>26</v>
      </c>
      <c r="H1425" s="516">
        <v>31968</v>
      </c>
      <c r="I1425" s="512" t="s">
        <v>6915</v>
      </c>
    </row>
    <row r="1426" spans="2:9" ht="15" x14ac:dyDescent="0.35">
      <c r="B1426" s="512" t="s">
        <v>6219</v>
      </c>
      <c r="C1426" s="512" t="s">
        <v>6224</v>
      </c>
      <c r="D1426" s="512" t="s">
        <v>6244</v>
      </c>
      <c r="E1426" s="513">
        <v>5549</v>
      </c>
      <c r="F1426" s="512" t="s">
        <v>1444</v>
      </c>
      <c r="G1426" s="513" t="s">
        <v>26</v>
      </c>
      <c r="H1426" s="516">
        <v>216828</v>
      </c>
      <c r="I1426" s="512" t="s">
        <v>6915</v>
      </c>
    </row>
    <row r="1427" spans="2:9" ht="15" x14ac:dyDescent="0.35">
      <c r="B1427" s="512" t="s">
        <v>6219</v>
      </c>
      <c r="C1427" s="512" t="s">
        <v>6224</v>
      </c>
      <c r="D1427" s="512" t="s">
        <v>6244</v>
      </c>
      <c r="E1427" s="513">
        <v>5550</v>
      </c>
      <c r="F1427" s="512" t="s">
        <v>1445</v>
      </c>
      <c r="G1427" s="513" t="s">
        <v>26</v>
      </c>
      <c r="H1427" s="516">
        <v>190612</v>
      </c>
      <c r="I1427" s="512" t="s">
        <v>6915</v>
      </c>
    </row>
    <row r="1428" spans="2:9" ht="15" x14ac:dyDescent="0.35">
      <c r="B1428" s="512" t="s">
        <v>6219</v>
      </c>
      <c r="C1428" s="512" t="s">
        <v>6224</v>
      </c>
      <c r="D1428" s="512" t="s">
        <v>6244</v>
      </c>
      <c r="E1428" s="513">
        <v>5551</v>
      </c>
      <c r="F1428" s="512" t="s">
        <v>1446</v>
      </c>
      <c r="G1428" s="513" t="s">
        <v>26</v>
      </c>
      <c r="H1428" s="516">
        <v>45842</v>
      </c>
      <c r="I1428" s="512" t="s">
        <v>6915</v>
      </c>
    </row>
    <row r="1429" spans="2:9" ht="15" x14ac:dyDescent="0.35">
      <c r="B1429" s="512" t="s">
        <v>6219</v>
      </c>
      <c r="C1429" s="512" t="s">
        <v>6224</v>
      </c>
      <c r="D1429" s="512" t="s">
        <v>6244</v>
      </c>
      <c r="E1429" s="513">
        <v>5552</v>
      </c>
      <c r="F1429" s="512" t="s">
        <v>1447</v>
      </c>
      <c r="G1429" s="513" t="s">
        <v>29</v>
      </c>
      <c r="H1429" s="514">
        <v>20298</v>
      </c>
      <c r="I1429" s="515" t="s">
        <v>6915</v>
      </c>
    </row>
    <row r="1430" spans="2:9" ht="15" x14ac:dyDescent="0.35">
      <c r="B1430" s="512" t="s">
        <v>6219</v>
      </c>
      <c r="C1430" s="512" t="s">
        <v>6224</v>
      </c>
      <c r="D1430" s="512" t="s">
        <v>6244</v>
      </c>
      <c r="E1430" s="513">
        <v>5556</v>
      </c>
      <c r="F1430" s="512" t="s">
        <v>1448</v>
      </c>
      <c r="G1430" s="513" t="s">
        <v>26</v>
      </c>
      <c r="H1430" s="514">
        <v>33666</v>
      </c>
      <c r="I1430" s="515" t="s">
        <v>6915</v>
      </c>
    </row>
    <row r="1431" spans="2:9" ht="15" x14ac:dyDescent="0.35">
      <c r="B1431" s="512" t="s">
        <v>6219</v>
      </c>
      <c r="C1431" s="512" t="s">
        <v>6224</v>
      </c>
      <c r="D1431" s="512" t="s">
        <v>6244</v>
      </c>
      <c r="E1431" s="513">
        <v>5557</v>
      </c>
      <c r="F1431" s="512" t="s">
        <v>1449</v>
      </c>
      <c r="G1431" s="513" t="s">
        <v>26</v>
      </c>
      <c r="H1431" s="516">
        <v>85090</v>
      </c>
      <c r="I1431" s="512" t="s">
        <v>6915</v>
      </c>
    </row>
    <row r="1432" spans="2:9" ht="15" x14ac:dyDescent="0.35">
      <c r="B1432" s="512" t="s">
        <v>6219</v>
      </c>
      <c r="C1432" s="512" t="s">
        <v>6224</v>
      </c>
      <c r="D1432" s="512" t="s">
        <v>6244</v>
      </c>
      <c r="E1432" s="513">
        <v>5558</v>
      </c>
      <c r="F1432" s="512" t="s">
        <v>1450</v>
      </c>
      <c r="G1432" s="513" t="s">
        <v>26</v>
      </c>
      <c r="H1432" s="514">
        <v>127735</v>
      </c>
      <c r="I1432" s="515" t="s">
        <v>6915</v>
      </c>
    </row>
    <row r="1433" spans="2:9" ht="15" x14ac:dyDescent="0.35">
      <c r="B1433" s="512" t="s">
        <v>6219</v>
      </c>
      <c r="C1433" s="512" t="s">
        <v>6224</v>
      </c>
      <c r="D1433" s="512" t="s">
        <v>6244</v>
      </c>
      <c r="E1433" s="513">
        <v>5561</v>
      </c>
      <c r="F1433" s="512" t="s">
        <v>1451</v>
      </c>
      <c r="G1433" s="513" t="s">
        <v>26</v>
      </c>
      <c r="H1433" s="514">
        <v>195578</v>
      </c>
      <c r="I1433" s="515" t="s">
        <v>6915</v>
      </c>
    </row>
    <row r="1434" spans="2:9" ht="15" x14ac:dyDescent="0.35">
      <c r="B1434" s="512" t="s">
        <v>6219</v>
      </c>
      <c r="C1434" s="512" t="s">
        <v>6224</v>
      </c>
      <c r="D1434" s="512" t="s">
        <v>6244</v>
      </c>
      <c r="E1434" s="513">
        <v>5562</v>
      </c>
      <c r="F1434" s="512" t="s">
        <v>1452</v>
      </c>
      <c r="G1434" s="513" t="s">
        <v>26</v>
      </c>
      <c r="H1434" s="514">
        <v>98251</v>
      </c>
      <c r="I1434" s="515" t="s">
        <v>6915</v>
      </c>
    </row>
    <row r="1435" spans="2:9" ht="15" x14ac:dyDescent="0.35">
      <c r="B1435" s="512" t="s">
        <v>6219</v>
      </c>
      <c r="C1435" s="512" t="s">
        <v>6224</v>
      </c>
      <c r="D1435" s="512" t="s">
        <v>6244</v>
      </c>
      <c r="E1435" s="513">
        <v>5567</v>
      </c>
      <c r="F1435" s="512" t="s">
        <v>1453</v>
      </c>
      <c r="G1435" s="513" t="s">
        <v>26</v>
      </c>
      <c r="H1435" s="514">
        <v>20711</v>
      </c>
      <c r="I1435" s="515" t="s">
        <v>6915</v>
      </c>
    </row>
    <row r="1436" spans="2:9" ht="15" x14ac:dyDescent="0.35">
      <c r="B1436" s="512" t="s">
        <v>6219</v>
      </c>
      <c r="C1436" s="512" t="s">
        <v>6224</v>
      </c>
      <c r="D1436" s="512" t="s">
        <v>6244</v>
      </c>
      <c r="E1436" s="513">
        <v>5570</v>
      </c>
      <c r="F1436" s="512" t="s">
        <v>1454</v>
      </c>
      <c r="G1436" s="513" t="s">
        <v>26</v>
      </c>
      <c r="H1436" s="514">
        <v>397191</v>
      </c>
      <c r="I1436" s="515" t="s">
        <v>6915</v>
      </c>
    </row>
    <row r="1437" spans="2:9" ht="15" x14ac:dyDescent="0.35">
      <c r="B1437" s="512" t="s">
        <v>6219</v>
      </c>
      <c r="C1437" s="512" t="s">
        <v>6224</v>
      </c>
      <c r="D1437" s="512" t="s">
        <v>6244</v>
      </c>
      <c r="E1437" s="513">
        <v>5571</v>
      </c>
      <c r="F1437" s="512" t="s">
        <v>1455</v>
      </c>
      <c r="G1437" s="513" t="s">
        <v>26</v>
      </c>
      <c r="H1437" s="516">
        <v>72026</v>
      </c>
      <c r="I1437" s="512" t="s">
        <v>6915</v>
      </c>
    </row>
    <row r="1438" spans="2:9" ht="15" x14ac:dyDescent="0.35">
      <c r="B1438" s="512" t="s">
        <v>6219</v>
      </c>
      <c r="C1438" s="512" t="s">
        <v>6224</v>
      </c>
      <c r="D1438" s="512" t="s">
        <v>6244</v>
      </c>
      <c r="E1438" s="513">
        <v>5572</v>
      </c>
      <c r="F1438" s="512" t="s">
        <v>1456</v>
      </c>
      <c r="G1438" s="513" t="s">
        <v>26</v>
      </c>
      <c r="H1438" s="516">
        <v>35493</v>
      </c>
      <c r="I1438" s="512" t="s">
        <v>6915</v>
      </c>
    </row>
    <row r="1439" spans="2:9" ht="15" x14ac:dyDescent="0.35">
      <c r="B1439" s="512" t="s">
        <v>6219</v>
      </c>
      <c r="C1439" s="512" t="s">
        <v>6224</v>
      </c>
      <c r="D1439" s="512" t="s">
        <v>6244</v>
      </c>
      <c r="E1439" s="513">
        <v>5573</v>
      </c>
      <c r="F1439" s="512" t="s">
        <v>1457</v>
      </c>
      <c r="G1439" s="513" t="s">
        <v>26</v>
      </c>
      <c r="H1439" s="516">
        <v>25846</v>
      </c>
      <c r="I1439" s="512" t="s">
        <v>6915</v>
      </c>
    </row>
    <row r="1440" spans="2:9" ht="15" x14ac:dyDescent="0.35">
      <c r="B1440" s="512" t="s">
        <v>6219</v>
      </c>
      <c r="C1440" s="512" t="s">
        <v>6224</v>
      </c>
      <c r="D1440" s="512" t="s">
        <v>6244</v>
      </c>
      <c r="E1440" s="513">
        <v>5574</v>
      </c>
      <c r="F1440" s="512" t="s">
        <v>1458</v>
      </c>
      <c r="G1440" s="513" t="s">
        <v>26</v>
      </c>
      <c r="H1440" s="514">
        <v>17808</v>
      </c>
      <c r="I1440" s="515" t="s">
        <v>6915</v>
      </c>
    </row>
    <row r="1441" spans="2:9" ht="15" x14ac:dyDescent="0.35">
      <c r="B1441" s="512" t="s">
        <v>6219</v>
      </c>
      <c r="C1441" s="512" t="s">
        <v>6224</v>
      </c>
      <c r="D1441" s="512" t="s">
        <v>6244</v>
      </c>
      <c r="E1441" s="513">
        <v>5575</v>
      </c>
      <c r="F1441" s="512" t="s">
        <v>1459</v>
      </c>
      <c r="G1441" s="513" t="s">
        <v>26</v>
      </c>
      <c r="H1441" s="516">
        <v>60666</v>
      </c>
      <c r="I1441" s="512" t="s">
        <v>6915</v>
      </c>
    </row>
    <row r="1442" spans="2:9" ht="15" x14ac:dyDescent="0.35">
      <c r="B1442" s="512" t="s">
        <v>6219</v>
      </c>
      <c r="C1442" s="512" t="s">
        <v>6224</v>
      </c>
      <c r="D1442" s="512" t="s">
        <v>6244</v>
      </c>
      <c r="E1442" s="513">
        <v>5576</v>
      </c>
      <c r="F1442" s="512" t="s">
        <v>1460</v>
      </c>
      <c r="G1442" s="513" t="s">
        <v>26</v>
      </c>
      <c r="H1442" s="514">
        <v>21827</v>
      </c>
      <c r="I1442" s="515" t="s">
        <v>6915</v>
      </c>
    </row>
    <row r="1443" spans="2:9" ht="15" x14ac:dyDescent="0.35">
      <c r="B1443" s="512" t="s">
        <v>6219</v>
      </c>
      <c r="C1443" s="512" t="s">
        <v>6224</v>
      </c>
      <c r="D1443" s="512" t="s">
        <v>6244</v>
      </c>
      <c r="E1443" s="513">
        <v>5577</v>
      </c>
      <c r="F1443" s="512" t="s">
        <v>1461</v>
      </c>
      <c r="G1443" s="513" t="s">
        <v>26</v>
      </c>
      <c r="H1443" s="514">
        <v>312581</v>
      </c>
      <c r="I1443" s="515" t="s">
        <v>6915</v>
      </c>
    </row>
    <row r="1444" spans="2:9" ht="15" x14ac:dyDescent="0.35">
      <c r="B1444" s="512" t="s">
        <v>6219</v>
      </c>
      <c r="C1444" s="512" t="s">
        <v>6224</v>
      </c>
      <c r="D1444" s="512" t="s">
        <v>6244</v>
      </c>
      <c r="E1444" s="513">
        <v>5581</v>
      </c>
      <c r="F1444" s="512" t="s">
        <v>1462</v>
      </c>
      <c r="G1444" s="513" t="s">
        <v>26</v>
      </c>
      <c r="H1444" s="516">
        <v>501521</v>
      </c>
      <c r="I1444" s="512" t="s">
        <v>6915</v>
      </c>
    </row>
    <row r="1445" spans="2:9" ht="15" x14ac:dyDescent="0.35">
      <c r="B1445" s="512" t="s">
        <v>6219</v>
      </c>
      <c r="C1445" s="512" t="s">
        <v>6224</v>
      </c>
      <c r="D1445" s="512" t="s">
        <v>6244</v>
      </c>
      <c r="E1445" s="513">
        <v>5582</v>
      </c>
      <c r="F1445" s="512" t="s">
        <v>1463</v>
      </c>
      <c r="G1445" s="513" t="s">
        <v>26</v>
      </c>
      <c r="H1445" s="516">
        <v>63683</v>
      </c>
      <c r="I1445" s="512" t="s">
        <v>6915</v>
      </c>
    </row>
    <row r="1446" spans="2:9" ht="15" x14ac:dyDescent="0.35">
      <c r="B1446" s="512" t="s">
        <v>6219</v>
      </c>
      <c r="C1446" s="512" t="s">
        <v>6224</v>
      </c>
      <c r="D1446" s="512" t="s">
        <v>6244</v>
      </c>
      <c r="E1446" s="513">
        <v>5585</v>
      </c>
      <c r="F1446" s="512" t="s">
        <v>1464</v>
      </c>
      <c r="G1446" s="513" t="s">
        <v>29</v>
      </c>
      <c r="H1446" s="514">
        <v>69935</v>
      </c>
      <c r="I1446" s="515" t="s">
        <v>6915</v>
      </c>
    </row>
    <row r="1447" spans="2:9" ht="15" x14ac:dyDescent="0.35">
      <c r="B1447" s="512" t="s">
        <v>6219</v>
      </c>
      <c r="C1447" s="512" t="s">
        <v>6224</v>
      </c>
      <c r="D1447" s="512" t="s">
        <v>6244</v>
      </c>
      <c r="E1447" s="513">
        <v>5586</v>
      </c>
      <c r="F1447" s="512" t="s">
        <v>1465</v>
      </c>
      <c r="G1447" s="513" t="s">
        <v>26</v>
      </c>
      <c r="H1447" s="516">
        <v>39734</v>
      </c>
      <c r="I1447" s="512" t="s">
        <v>6915</v>
      </c>
    </row>
    <row r="1448" spans="2:9" ht="15" x14ac:dyDescent="0.35">
      <c r="B1448" s="512" t="s">
        <v>6219</v>
      </c>
      <c r="C1448" s="512" t="s">
        <v>6224</v>
      </c>
      <c r="D1448" s="512" t="s">
        <v>6244</v>
      </c>
      <c r="E1448" s="513">
        <v>5587</v>
      </c>
      <c r="F1448" s="512" t="s">
        <v>1466</v>
      </c>
      <c r="G1448" s="513" t="s">
        <v>26</v>
      </c>
      <c r="H1448" s="516">
        <v>69043</v>
      </c>
      <c r="I1448" s="512" t="s">
        <v>6915</v>
      </c>
    </row>
    <row r="1449" spans="2:9" ht="15" x14ac:dyDescent="0.35">
      <c r="B1449" s="512" t="s">
        <v>6219</v>
      </c>
      <c r="C1449" s="512" t="s">
        <v>6224</v>
      </c>
      <c r="D1449" s="512" t="s">
        <v>6244</v>
      </c>
      <c r="E1449" s="513">
        <v>5588</v>
      </c>
      <c r="F1449" s="512" t="s">
        <v>1467</v>
      </c>
      <c r="G1449" s="513" t="s">
        <v>26</v>
      </c>
      <c r="H1449" s="516">
        <v>197363</v>
      </c>
      <c r="I1449" s="512" t="s">
        <v>6915</v>
      </c>
    </row>
    <row r="1450" spans="2:9" ht="15" x14ac:dyDescent="0.35">
      <c r="B1450" s="512" t="s">
        <v>6219</v>
      </c>
      <c r="C1450" s="512" t="s">
        <v>6224</v>
      </c>
      <c r="D1450" s="512" t="s">
        <v>6244</v>
      </c>
      <c r="E1450" s="513">
        <v>5591</v>
      </c>
      <c r="F1450" s="512" t="s">
        <v>1468</v>
      </c>
      <c r="G1450" s="513" t="s">
        <v>26</v>
      </c>
      <c r="H1450" s="516">
        <v>251088</v>
      </c>
      <c r="I1450" s="512" t="s">
        <v>6915</v>
      </c>
    </row>
    <row r="1451" spans="2:9" ht="15" x14ac:dyDescent="0.35">
      <c r="B1451" s="512" t="s">
        <v>6219</v>
      </c>
      <c r="C1451" s="512" t="s">
        <v>6224</v>
      </c>
      <c r="D1451" s="512" t="s">
        <v>6244</v>
      </c>
      <c r="E1451" s="513">
        <v>5595</v>
      </c>
      <c r="F1451" s="512" t="s">
        <v>1469</v>
      </c>
      <c r="G1451" s="513" t="s">
        <v>26</v>
      </c>
      <c r="H1451" s="514">
        <v>168673</v>
      </c>
      <c r="I1451" s="515" t="s">
        <v>6915</v>
      </c>
    </row>
    <row r="1452" spans="2:9" ht="15" x14ac:dyDescent="0.35">
      <c r="B1452" s="512" t="s">
        <v>6219</v>
      </c>
      <c r="C1452" s="512" t="s">
        <v>6224</v>
      </c>
      <c r="D1452" s="512" t="s">
        <v>6244</v>
      </c>
      <c r="E1452" s="513">
        <v>5599</v>
      </c>
      <c r="F1452" s="512" t="s">
        <v>1470</v>
      </c>
      <c r="G1452" s="513" t="s">
        <v>26</v>
      </c>
      <c r="H1452" s="514">
        <v>261168</v>
      </c>
      <c r="I1452" s="515" t="s">
        <v>6915</v>
      </c>
    </row>
    <row r="1453" spans="2:9" ht="15" x14ac:dyDescent="0.35">
      <c r="B1453" s="512" t="s">
        <v>6219</v>
      </c>
      <c r="C1453" s="512" t="s">
        <v>6224</v>
      </c>
      <c r="D1453" s="512" t="s">
        <v>6244</v>
      </c>
      <c r="E1453" s="513">
        <v>5602</v>
      </c>
      <c r="F1453" s="512" t="s">
        <v>1471</v>
      </c>
      <c r="G1453" s="513" t="s">
        <v>26</v>
      </c>
      <c r="H1453" s="514">
        <v>3699573</v>
      </c>
      <c r="I1453" s="515" t="s">
        <v>6915</v>
      </c>
    </row>
    <row r="1454" spans="2:9" ht="15" x14ac:dyDescent="0.35">
      <c r="B1454" s="512" t="s">
        <v>6219</v>
      </c>
      <c r="C1454" s="512" t="s">
        <v>6224</v>
      </c>
      <c r="D1454" s="512" t="s">
        <v>6244</v>
      </c>
      <c r="E1454" s="513">
        <v>5603</v>
      </c>
      <c r="F1454" s="512" t="s">
        <v>1472</v>
      </c>
      <c r="G1454" s="513" t="s">
        <v>26</v>
      </c>
      <c r="H1454" s="514">
        <v>137656</v>
      </c>
      <c r="I1454" s="515" t="s">
        <v>6915</v>
      </c>
    </row>
    <row r="1455" spans="2:9" ht="15" x14ac:dyDescent="0.35">
      <c r="B1455" s="512" t="s">
        <v>6219</v>
      </c>
      <c r="C1455" s="512" t="s">
        <v>6233</v>
      </c>
      <c r="D1455" s="512" t="s">
        <v>6234</v>
      </c>
      <c r="E1455" s="513">
        <v>5604</v>
      </c>
      <c r="F1455" s="512" t="s">
        <v>1473</v>
      </c>
      <c r="G1455" s="513" t="s">
        <v>26</v>
      </c>
      <c r="H1455" s="514">
        <v>119748</v>
      </c>
      <c r="I1455" s="515" t="s">
        <v>6915</v>
      </c>
    </row>
    <row r="1456" spans="2:9" ht="15" x14ac:dyDescent="0.35">
      <c r="B1456" s="512" t="s">
        <v>6219</v>
      </c>
      <c r="C1456" s="512" t="s">
        <v>6233</v>
      </c>
      <c r="D1456" s="512" t="s">
        <v>6234</v>
      </c>
      <c r="E1456" s="513">
        <v>5606</v>
      </c>
      <c r="F1456" s="512" t="s">
        <v>1474</v>
      </c>
      <c r="G1456" s="513" t="s">
        <v>26</v>
      </c>
      <c r="H1456" s="514">
        <v>216204</v>
      </c>
      <c r="I1456" s="515" t="s">
        <v>6915</v>
      </c>
    </row>
    <row r="1457" spans="2:9" ht="15" x14ac:dyDescent="0.35">
      <c r="B1457" s="512" t="s">
        <v>6219</v>
      </c>
      <c r="C1457" s="512" t="s">
        <v>6224</v>
      </c>
      <c r="D1457" s="512" t="s">
        <v>6244</v>
      </c>
      <c r="E1457" s="513">
        <v>5610</v>
      </c>
      <c r="F1457" s="512" t="s">
        <v>1475</v>
      </c>
      <c r="G1457" s="513" t="s">
        <v>26</v>
      </c>
      <c r="H1457" s="514">
        <v>222009</v>
      </c>
      <c r="I1457" s="515" t="s">
        <v>6915</v>
      </c>
    </row>
    <row r="1458" spans="2:9" ht="15" x14ac:dyDescent="0.35">
      <c r="B1458" s="512" t="s">
        <v>6219</v>
      </c>
      <c r="C1458" s="512" t="s">
        <v>6224</v>
      </c>
      <c r="D1458" s="512" t="s">
        <v>6244</v>
      </c>
      <c r="E1458" s="513">
        <v>5611</v>
      </c>
      <c r="F1458" s="512" t="s">
        <v>1476</v>
      </c>
      <c r="G1458" s="513" t="s">
        <v>26</v>
      </c>
      <c r="H1458" s="514">
        <v>117552</v>
      </c>
      <c r="I1458" s="515" t="s">
        <v>6915</v>
      </c>
    </row>
    <row r="1459" spans="2:9" ht="15" x14ac:dyDescent="0.35">
      <c r="B1459" s="512" t="s">
        <v>6219</v>
      </c>
      <c r="C1459" s="512" t="s">
        <v>6224</v>
      </c>
      <c r="D1459" s="512" t="s">
        <v>6244</v>
      </c>
      <c r="E1459" s="513">
        <v>5616</v>
      </c>
      <c r="F1459" s="512" t="s">
        <v>1477</v>
      </c>
      <c r="G1459" s="513" t="s">
        <v>26</v>
      </c>
      <c r="H1459" s="516">
        <v>13189</v>
      </c>
      <c r="I1459" s="512" t="s">
        <v>6915</v>
      </c>
    </row>
    <row r="1460" spans="2:9" ht="15" x14ac:dyDescent="0.35">
      <c r="B1460" s="512" t="s">
        <v>6219</v>
      </c>
      <c r="C1460" s="512" t="s">
        <v>6224</v>
      </c>
      <c r="D1460" s="512" t="s">
        <v>6244</v>
      </c>
      <c r="E1460" s="513">
        <v>5621</v>
      </c>
      <c r="F1460" s="512" t="s">
        <v>1478</v>
      </c>
      <c r="G1460" s="513" t="s">
        <v>26</v>
      </c>
      <c r="H1460" s="514">
        <v>40186</v>
      </c>
      <c r="I1460" s="515" t="s">
        <v>6915</v>
      </c>
    </row>
    <row r="1461" spans="2:9" ht="15" x14ac:dyDescent="0.35">
      <c r="B1461" s="512" t="s">
        <v>6219</v>
      </c>
      <c r="C1461" s="512" t="s">
        <v>6224</v>
      </c>
      <c r="D1461" s="512" t="s">
        <v>6244</v>
      </c>
      <c r="E1461" s="513">
        <v>5626</v>
      </c>
      <c r="F1461" s="512" t="s">
        <v>1479</v>
      </c>
      <c r="G1461" s="513" t="s">
        <v>29</v>
      </c>
      <c r="H1461" s="514">
        <v>13915</v>
      </c>
      <c r="I1461" s="515" t="s">
        <v>6915</v>
      </c>
    </row>
    <row r="1462" spans="2:9" ht="15" x14ac:dyDescent="0.35">
      <c r="B1462" s="512" t="s">
        <v>6219</v>
      </c>
      <c r="C1462" s="512" t="s">
        <v>6224</v>
      </c>
      <c r="D1462" s="512" t="s">
        <v>6244</v>
      </c>
      <c r="E1462" s="513">
        <v>5628</v>
      </c>
      <c r="F1462" s="512" t="s">
        <v>1480</v>
      </c>
      <c r="G1462" s="513" t="s">
        <v>26</v>
      </c>
      <c r="H1462" s="514">
        <v>13484</v>
      </c>
      <c r="I1462" s="515" t="s">
        <v>6915</v>
      </c>
    </row>
    <row r="1463" spans="2:9" ht="15" x14ac:dyDescent="0.35">
      <c r="B1463" s="512" t="s">
        <v>6219</v>
      </c>
      <c r="C1463" s="512" t="s">
        <v>6224</v>
      </c>
      <c r="D1463" s="512" t="s">
        <v>6244</v>
      </c>
      <c r="E1463" s="513">
        <v>5629</v>
      </c>
      <c r="F1463" s="512" t="s">
        <v>1481</v>
      </c>
      <c r="G1463" s="513" t="s">
        <v>26</v>
      </c>
      <c r="H1463" s="514">
        <v>55684</v>
      </c>
      <c r="I1463" s="515" t="s">
        <v>6915</v>
      </c>
    </row>
    <row r="1464" spans="2:9" ht="15" x14ac:dyDescent="0.35">
      <c r="B1464" s="512" t="s">
        <v>6219</v>
      </c>
      <c r="C1464" s="512" t="s">
        <v>6224</v>
      </c>
      <c r="D1464" s="512" t="s">
        <v>6244</v>
      </c>
      <c r="E1464" s="513">
        <v>5630</v>
      </c>
      <c r="F1464" s="512" t="s">
        <v>1482</v>
      </c>
      <c r="G1464" s="513" t="s">
        <v>26</v>
      </c>
      <c r="H1464" s="514">
        <v>54288</v>
      </c>
      <c r="I1464" s="515" t="s">
        <v>6915</v>
      </c>
    </row>
    <row r="1465" spans="2:9" ht="15" x14ac:dyDescent="0.35">
      <c r="B1465" s="512" t="s">
        <v>6219</v>
      </c>
      <c r="C1465" s="512" t="s">
        <v>6224</v>
      </c>
      <c r="D1465" s="512" t="s">
        <v>6244</v>
      </c>
      <c r="E1465" s="513">
        <v>5634</v>
      </c>
      <c r="F1465" s="512" t="s">
        <v>1483</v>
      </c>
      <c r="G1465" s="513" t="s">
        <v>26</v>
      </c>
      <c r="H1465" s="514">
        <v>5533</v>
      </c>
      <c r="I1465" s="515" t="s">
        <v>6915</v>
      </c>
    </row>
    <row r="1466" spans="2:9" ht="15" x14ac:dyDescent="0.35">
      <c r="B1466" s="512" t="s">
        <v>6219</v>
      </c>
      <c r="C1466" s="512" t="s">
        <v>6272</v>
      </c>
      <c r="D1466" s="512" t="s">
        <v>6273</v>
      </c>
      <c r="E1466" s="513">
        <v>5641</v>
      </c>
      <c r="F1466" s="512" t="s">
        <v>6438</v>
      </c>
      <c r="G1466" s="513" t="s">
        <v>21</v>
      </c>
      <c r="H1466" s="514">
        <v>273909</v>
      </c>
      <c r="I1466" s="515" t="s">
        <v>6915</v>
      </c>
    </row>
    <row r="1467" spans="2:9" ht="15" x14ac:dyDescent="0.35">
      <c r="B1467" s="512" t="s">
        <v>6219</v>
      </c>
      <c r="C1467" s="512" t="s">
        <v>6272</v>
      </c>
      <c r="D1467" s="512" t="s">
        <v>6273</v>
      </c>
      <c r="E1467" s="513">
        <v>5642</v>
      </c>
      <c r="F1467" s="512" t="s">
        <v>1484</v>
      </c>
      <c r="G1467" s="513" t="s">
        <v>21</v>
      </c>
      <c r="H1467" s="514">
        <v>27009</v>
      </c>
      <c r="I1467" s="515" t="s">
        <v>6915</v>
      </c>
    </row>
    <row r="1468" spans="2:9" ht="15" x14ac:dyDescent="0.35">
      <c r="B1468" s="512" t="s">
        <v>6219</v>
      </c>
      <c r="C1468" s="512" t="s">
        <v>6272</v>
      </c>
      <c r="D1468" s="512" t="s">
        <v>6273</v>
      </c>
      <c r="E1468" s="513">
        <v>5644</v>
      </c>
      <c r="F1468" s="512" t="s">
        <v>1485</v>
      </c>
      <c r="G1468" s="513" t="s">
        <v>21</v>
      </c>
      <c r="H1468" s="514">
        <v>19539</v>
      </c>
      <c r="I1468" s="515" t="s">
        <v>6915</v>
      </c>
    </row>
    <row r="1469" spans="2:9" ht="15" x14ac:dyDescent="0.35">
      <c r="B1469" s="512" t="s">
        <v>6219</v>
      </c>
      <c r="C1469" s="512" t="s">
        <v>6272</v>
      </c>
      <c r="D1469" s="512" t="s">
        <v>6281</v>
      </c>
      <c r="E1469" s="513">
        <v>5645</v>
      </c>
      <c r="F1469" s="512" t="s">
        <v>1486</v>
      </c>
      <c r="G1469" s="513" t="s">
        <v>21</v>
      </c>
      <c r="H1469" s="514">
        <v>15309</v>
      </c>
      <c r="I1469" s="515" t="s">
        <v>6915</v>
      </c>
    </row>
    <row r="1470" spans="2:9" ht="15" x14ac:dyDescent="0.35">
      <c r="B1470" s="512" t="s">
        <v>6219</v>
      </c>
      <c r="C1470" s="512" t="s">
        <v>6272</v>
      </c>
      <c r="D1470" s="512" t="s">
        <v>6273</v>
      </c>
      <c r="E1470" s="513">
        <v>5646</v>
      </c>
      <c r="F1470" s="512" t="s">
        <v>1487</v>
      </c>
      <c r="G1470" s="513" t="s">
        <v>26</v>
      </c>
      <c r="H1470" s="514">
        <v>10346</v>
      </c>
      <c r="I1470" s="515" t="s">
        <v>6915</v>
      </c>
    </row>
    <row r="1471" spans="2:9" ht="15" x14ac:dyDescent="0.35">
      <c r="B1471" s="512" t="s">
        <v>6219</v>
      </c>
      <c r="C1471" s="512" t="s">
        <v>6272</v>
      </c>
      <c r="D1471" s="512" t="s">
        <v>6273</v>
      </c>
      <c r="E1471" s="513">
        <v>5647</v>
      </c>
      <c r="F1471" s="512" t="s">
        <v>1488</v>
      </c>
      <c r="G1471" s="513" t="s">
        <v>21</v>
      </c>
      <c r="H1471" s="514">
        <v>16678</v>
      </c>
      <c r="I1471" s="515" t="s">
        <v>6915</v>
      </c>
    </row>
    <row r="1472" spans="2:9" ht="15" x14ac:dyDescent="0.35">
      <c r="B1472" s="512" t="s">
        <v>6219</v>
      </c>
      <c r="C1472" s="512" t="s">
        <v>6237</v>
      </c>
      <c r="D1472" s="512" t="s">
        <v>6276</v>
      </c>
      <c r="E1472" s="513">
        <v>5683</v>
      </c>
      <c r="F1472" s="512" t="s">
        <v>1489</v>
      </c>
      <c r="G1472" s="513" t="s">
        <v>29</v>
      </c>
      <c r="H1472" s="514">
        <v>292329</v>
      </c>
      <c r="I1472" s="515" t="s">
        <v>6915</v>
      </c>
    </row>
    <row r="1473" spans="2:9" ht="15" x14ac:dyDescent="0.35">
      <c r="B1473" s="512" t="s">
        <v>6219</v>
      </c>
      <c r="C1473" s="512" t="s">
        <v>6237</v>
      </c>
      <c r="D1473" s="512" t="s">
        <v>6276</v>
      </c>
      <c r="E1473" s="513">
        <v>5684</v>
      </c>
      <c r="F1473" s="512" t="s">
        <v>1490</v>
      </c>
      <c r="G1473" s="513" t="s">
        <v>29</v>
      </c>
      <c r="H1473" s="514">
        <v>630395</v>
      </c>
      <c r="I1473" s="515" t="s">
        <v>6915</v>
      </c>
    </row>
    <row r="1474" spans="2:9" ht="15" x14ac:dyDescent="0.35">
      <c r="B1474" s="512" t="s">
        <v>6219</v>
      </c>
      <c r="C1474" s="512" t="s">
        <v>6237</v>
      </c>
      <c r="D1474" s="512" t="s">
        <v>6276</v>
      </c>
      <c r="E1474" s="513">
        <v>5686</v>
      </c>
      <c r="F1474" s="512" t="s">
        <v>1491</v>
      </c>
      <c r="G1474" s="513" t="s">
        <v>23</v>
      </c>
      <c r="H1474" s="514">
        <v>1286959</v>
      </c>
      <c r="I1474" s="515" t="s">
        <v>6915</v>
      </c>
    </row>
    <row r="1475" spans="2:9" ht="15" x14ac:dyDescent="0.35">
      <c r="B1475" s="512" t="s">
        <v>6219</v>
      </c>
      <c r="C1475" s="512" t="s">
        <v>6233</v>
      </c>
      <c r="D1475" s="512" t="s">
        <v>6234</v>
      </c>
      <c r="E1475" s="513">
        <v>5688</v>
      </c>
      <c r="F1475" s="512" t="s">
        <v>1492</v>
      </c>
      <c r="G1475" s="513" t="s">
        <v>29</v>
      </c>
      <c r="H1475" s="514">
        <v>4181275</v>
      </c>
      <c r="I1475" s="515" t="s">
        <v>6915</v>
      </c>
    </row>
    <row r="1476" spans="2:9" ht="15" x14ac:dyDescent="0.35">
      <c r="B1476" s="512" t="s">
        <v>6219</v>
      </c>
      <c r="C1476" s="512" t="s">
        <v>6224</v>
      </c>
      <c r="D1476" s="512" t="s">
        <v>6244</v>
      </c>
      <c r="E1476" s="513">
        <v>5690</v>
      </c>
      <c r="F1476" s="512" t="s">
        <v>1493</v>
      </c>
      <c r="G1476" s="513" t="s">
        <v>29</v>
      </c>
      <c r="H1476" s="514">
        <v>560618</v>
      </c>
      <c r="I1476" s="515" t="s">
        <v>6915</v>
      </c>
    </row>
    <row r="1477" spans="2:9" ht="15" x14ac:dyDescent="0.35">
      <c r="B1477" s="512" t="s">
        <v>6219</v>
      </c>
      <c r="C1477" s="512" t="s">
        <v>6224</v>
      </c>
      <c r="D1477" s="512" t="s">
        <v>6244</v>
      </c>
      <c r="E1477" s="513">
        <v>5691</v>
      </c>
      <c r="F1477" s="512" t="s">
        <v>1494</v>
      </c>
      <c r="G1477" s="513" t="s">
        <v>29</v>
      </c>
      <c r="H1477" s="514">
        <v>1020828</v>
      </c>
      <c r="I1477" s="515" t="s">
        <v>6915</v>
      </c>
    </row>
    <row r="1478" spans="2:9" ht="15" x14ac:dyDescent="0.35">
      <c r="B1478" s="512" t="s">
        <v>6219</v>
      </c>
      <c r="C1478" s="512" t="s">
        <v>6224</v>
      </c>
      <c r="D1478" s="512" t="s">
        <v>6244</v>
      </c>
      <c r="E1478" s="513">
        <v>5692</v>
      </c>
      <c r="F1478" s="512" t="s">
        <v>1495</v>
      </c>
      <c r="G1478" s="513" t="s">
        <v>29</v>
      </c>
      <c r="H1478" s="516">
        <v>1800435</v>
      </c>
      <c r="I1478" s="512" t="s">
        <v>6915</v>
      </c>
    </row>
    <row r="1479" spans="2:9" ht="15" x14ac:dyDescent="0.35">
      <c r="B1479" s="512" t="s">
        <v>6219</v>
      </c>
      <c r="C1479" s="512" t="s">
        <v>6224</v>
      </c>
      <c r="D1479" s="512" t="s">
        <v>6244</v>
      </c>
      <c r="E1479" s="513">
        <v>5693</v>
      </c>
      <c r="F1479" s="512" t="s">
        <v>1496</v>
      </c>
      <c r="G1479" s="513" t="s">
        <v>29</v>
      </c>
      <c r="H1479" s="516">
        <v>1329958</v>
      </c>
      <c r="I1479" s="512" t="s">
        <v>6915</v>
      </c>
    </row>
    <row r="1480" spans="2:9" ht="15" x14ac:dyDescent="0.35">
      <c r="B1480" s="512" t="s">
        <v>6219</v>
      </c>
      <c r="C1480" s="512" t="s">
        <v>6224</v>
      </c>
      <c r="D1480" s="512" t="s">
        <v>6244</v>
      </c>
      <c r="E1480" s="513">
        <v>5696</v>
      </c>
      <c r="F1480" s="512" t="s">
        <v>1497</v>
      </c>
      <c r="G1480" s="513" t="s">
        <v>29</v>
      </c>
      <c r="H1480" s="516">
        <v>793989</v>
      </c>
      <c r="I1480" s="512" t="s">
        <v>6915</v>
      </c>
    </row>
    <row r="1481" spans="2:9" ht="15" x14ac:dyDescent="0.35">
      <c r="B1481" s="512" t="s">
        <v>6219</v>
      </c>
      <c r="C1481" s="512" t="s">
        <v>6224</v>
      </c>
      <c r="D1481" s="512" t="s">
        <v>6244</v>
      </c>
      <c r="E1481" s="513">
        <v>5697</v>
      </c>
      <c r="F1481" s="512" t="s">
        <v>1498</v>
      </c>
      <c r="G1481" s="513" t="s">
        <v>29</v>
      </c>
      <c r="H1481" s="516">
        <v>833848</v>
      </c>
      <c r="I1481" s="512" t="s">
        <v>6915</v>
      </c>
    </row>
    <row r="1482" spans="2:9" ht="15" x14ac:dyDescent="0.35">
      <c r="B1482" s="512" t="s">
        <v>6219</v>
      </c>
      <c r="C1482" s="512" t="s">
        <v>6224</v>
      </c>
      <c r="D1482" s="512" t="s">
        <v>6244</v>
      </c>
      <c r="E1482" s="513">
        <v>5698</v>
      </c>
      <c r="F1482" s="512" t="s">
        <v>1499</v>
      </c>
      <c r="G1482" s="513" t="s">
        <v>29</v>
      </c>
      <c r="H1482" s="514">
        <v>398708</v>
      </c>
      <c r="I1482" s="515" t="s">
        <v>6915</v>
      </c>
    </row>
    <row r="1483" spans="2:9" ht="15" x14ac:dyDescent="0.35">
      <c r="B1483" s="512" t="s">
        <v>6219</v>
      </c>
      <c r="C1483" s="512" t="s">
        <v>6224</v>
      </c>
      <c r="D1483" s="512" t="s">
        <v>6244</v>
      </c>
      <c r="E1483" s="513">
        <v>5699</v>
      </c>
      <c r="F1483" s="512" t="s">
        <v>1500</v>
      </c>
      <c r="G1483" s="513" t="s">
        <v>29</v>
      </c>
      <c r="H1483" s="514">
        <v>386827</v>
      </c>
      <c r="I1483" s="515" t="s">
        <v>6915</v>
      </c>
    </row>
    <row r="1484" spans="2:9" ht="15" x14ac:dyDescent="0.35">
      <c r="B1484" s="512" t="s">
        <v>6219</v>
      </c>
      <c r="C1484" s="512" t="s">
        <v>6224</v>
      </c>
      <c r="D1484" s="512" t="s">
        <v>6244</v>
      </c>
      <c r="E1484" s="513">
        <v>5700</v>
      </c>
      <c r="F1484" s="512" t="s">
        <v>1501</v>
      </c>
      <c r="G1484" s="513" t="s">
        <v>29</v>
      </c>
      <c r="H1484" s="516">
        <v>205577</v>
      </c>
      <c r="I1484" s="512" t="s">
        <v>6915</v>
      </c>
    </row>
    <row r="1485" spans="2:9" ht="15" x14ac:dyDescent="0.35">
      <c r="B1485" s="512" t="s">
        <v>6219</v>
      </c>
      <c r="C1485" s="512" t="s">
        <v>6224</v>
      </c>
      <c r="D1485" s="512" t="s">
        <v>6244</v>
      </c>
      <c r="E1485" s="513">
        <v>5701</v>
      </c>
      <c r="F1485" s="512" t="s">
        <v>1502</v>
      </c>
      <c r="G1485" s="513" t="s">
        <v>26</v>
      </c>
      <c r="H1485" s="516">
        <v>172344</v>
      </c>
      <c r="I1485" s="512" t="s">
        <v>6915</v>
      </c>
    </row>
    <row r="1486" spans="2:9" ht="15" x14ac:dyDescent="0.35">
      <c r="B1486" s="512" t="s">
        <v>6219</v>
      </c>
      <c r="C1486" s="512" t="s">
        <v>6224</v>
      </c>
      <c r="D1486" s="512" t="s">
        <v>6244</v>
      </c>
      <c r="E1486" s="513">
        <v>5702</v>
      </c>
      <c r="F1486" s="512" t="s">
        <v>1503</v>
      </c>
      <c r="G1486" s="513" t="s">
        <v>29</v>
      </c>
      <c r="H1486" s="514">
        <v>719718</v>
      </c>
      <c r="I1486" s="515" t="s">
        <v>6915</v>
      </c>
    </row>
    <row r="1487" spans="2:9" ht="15" x14ac:dyDescent="0.35">
      <c r="B1487" s="512" t="s">
        <v>6219</v>
      </c>
      <c r="C1487" s="512" t="s">
        <v>6227</v>
      </c>
      <c r="D1487" s="512" t="s">
        <v>6229</v>
      </c>
      <c r="E1487" s="513">
        <v>5708</v>
      </c>
      <c r="F1487" s="512" t="s">
        <v>1504</v>
      </c>
      <c r="G1487" s="513" t="s">
        <v>23</v>
      </c>
      <c r="H1487" s="514">
        <v>194076</v>
      </c>
      <c r="I1487" s="515" t="s">
        <v>6915</v>
      </c>
    </row>
    <row r="1488" spans="2:9" ht="15" x14ac:dyDescent="0.35">
      <c r="B1488" s="512" t="s">
        <v>6219</v>
      </c>
      <c r="C1488" s="512" t="s">
        <v>6227</v>
      </c>
      <c r="D1488" s="512" t="s">
        <v>6229</v>
      </c>
      <c r="E1488" s="513">
        <v>5710</v>
      </c>
      <c r="F1488" s="512" t="s">
        <v>1505</v>
      </c>
      <c r="G1488" s="513" t="s">
        <v>23</v>
      </c>
      <c r="H1488" s="514">
        <v>107957</v>
      </c>
      <c r="I1488" s="515" t="s">
        <v>6915</v>
      </c>
    </row>
    <row r="1489" spans="2:9" ht="15" x14ac:dyDescent="0.35">
      <c r="B1489" s="512" t="s">
        <v>6219</v>
      </c>
      <c r="C1489" s="512" t="s">
        <v>6258</v>
      </c>
      <c r="D1489" s="512" t="s">
        <v>6259</v>
      </c>
      <c r="E1489" s="513">
        <v>5727</v>
      </c>
      <c r="F1489" s="512" t="s">
        <v>1506</v>
      </c>
      <c r="G1489" s="513" t="s">
        <v>26</v>
      </c>
      <c r="H1489" s="514">
        <v>200440</v>
      </c>
      <c r="I1489" s="515" t="s">
        <v>6915</v>
      </c>
    </row>
    <row r="1490" spans="2:9" ht="15" x14ac:dyDescent="0.35">
      <c r="B1490" s="512" t="s">
        <v>6219</v>
      </c>
      <c r="C1490" s="512" t="s">
        <v>6258</v>
      </c>
      <c r="D1490" s="512" t="s">
        <v>6259</v>
      </c>
      <c r="E1490" s="513">
        <v>5728</v>
      </c>
      <c r="F1490" s="512" t="s">
        <v>1507</v>
      </c>
      <c r="G1490" s="513" t="s">
        <v>26</v>
      </c>
      <c r="H1490" s="514">
        <v>230522</v>
      </c>
      <c r="I1490" s="515" t="s">
        <v>6915</v>
      </c>
    </row>
    <row r="1491" spans="2:9" ht="15" x14ac:dyDescent="0.35">
      <c r="B1491" s="512" t="s">
        <v>6219</v>
      </c>
      <c r="C1491" s="512" t="s">
        <v>6237</v>
      </c>
      <c r="D1491" s="512" t="s">
        <v>6238</v>
      </c>
      <c r="E1491" s="513">
        <v>5729</v>
      </c>
      <c r="F1491" s="512" t="s">
        <v>1508</v>
      </c>
      <c r="G1491" s="513" t="s">
        <v>29</v>
      </c>
      <c r="H1491" s="516">
        <v>1855840</v>
      </c>
      <c r="I1491" s="512" t="s">
        <v>6915</v>
      </c>
    </row>
    <row r="1492" spans="2:9" ht="15" x14ac:dyDescent="0.35">
      <c r="B1492" s="512" t="s">
        <v>6219</v>
      </c>
      <c r="C1492" s="512" t="s">
        <v>6237</v>
      </c>
      <c r="D1492" s="512" t="s">
        <v>6238</v>
      </c>
      <c r="E1492" s="513">
        <v>5730</v>
      </c>
      <c r="F1492" s="512" t="s">
        <v>1509</v>
      </c>
      <c r="G1492" s="513" t="s">
        <v>26</v>
      </c>
      <c r="H1492" s="514">
        <v>8194</v>
      </c>
      <c r="I1492" s="512" t="s">
        <v>6915</v>
      </c>
    </row>
    <row r="1493" spans="2:9" ht="15" x14ac:dyDescent="0.35">
      <c r="B1493" s="512" t="s">
        <v>6219</v>
      </c>
      <c r="C1493" s="512" t="s">
        <v>6253</v>
      </c>
      <c r="D1493" s="512" t="s">
        <v>6254</v>
      </c>
      <c r="E1493" s="513">
        <v>5731</v>
      </c>
      <c r="F1493" s="512" t="s">
        <v>1510</v>
      </c>
      <c r="G1493" s="513" t="s">
        <v>389</v>
      </c>
      <c r="H1493" s="514">
        <v>394524</v>
      </c>
      <c r="I1493" s="515" t="s">
        <v>5686</v>
      </c>
    </row>
    <row r="1494" spans="2:9" ht="15" x14ac:dyDescent="0.35">
      <c r="B1494" s="512" t="s">
        <v>6219</v>
      </c>
      <c r="C1494" s="512" t="s">
        <v>6253</v>
      </c>
      <c r="D1494" s="512" t="s">
        <v>6254</v>
      </c>
      <c r="E1494" s="513">
        <v>5732</v>
      </c>
      <c r="F1494" s="512" t="s">
        <v>1511</v>
      </c>
      <c r="G1494" s="513" t="s">
        <v>389</v>
      </c>
      <c r="H1494" s="514">
        <v>526032</v>
      </c>
      <c r="I1494" s="515" t="s">
        <v>5686</v>
      </c>
    </row>
    <row r="1495" spans="2:9" ht="15" x14ac:dyDescent="0.35">
      <c r="B1495" s="512" t="s">
        <v>6219</v>
      </c>
      <c r="C1495" s="512" t="s">
        <v>6237</v>
      </c>
      <c r="D1495" s="512" t="s">
        <v>6238</v>
      </c>
      <c r="E1495" s="513">
        <v>5733</v>
      </c>
      <c r="F1495" s="512" t="s">
        <v>1512</v>
      </c>
      <c r="G1495" s="513" t="s">
        <v>21</v>
      </c>
      <c r="H1495" s="514">
        <v>71100</v>
      </c>
      <c r="I1495" s="515" t="s">
        <v>6915</v>
      </c>
    </row>
    <row r="1496" spans="2:9" ht="15" x14ac:dyDescent="0.35">
      <c r="B1496" s="512" t="s">
        <v>6219</v>
      </c>
      <c r="C1496" s="512" t="s">
        <v>6237</v>
      </c>
      <c r="D1496" s="512" t="s">
        <v>6238</v>
      </c>
      <c r="E1496" s="513">
        <v>5734</v>
      </c>
      <c r="F1496" s="512" t="s">
        <v>1513</v>
      </c>
      <c r="G1496" s="513" t="s">
        <v>21</v>
      </c>
      <c r="H1496" s="516">
        <v>73168</v>
      </c>
      <c r="I1496" s="512" t="s">
        <v>6915</v>
      </c>
    </row>
    <row r="1497" spans="2:9" ht="15" x14ac:dyDescent="0.35">
      <c r="B1497" s="512" t="s">
        <v>6219</v>
      </c>
      <c r="C1497" s="512" t="s">
        <v>6237</v>
      </c>
      <c r="D1497" s="512" t="s">
        <v>6238</v>
      </c>
      <c r="E1497" s="513">
        <v>5735</v>
      </c>
      <c r="F1497" s="512" t="s">
        <v>1514</v>
      </c>
      <c r="G1497" s="513" t="s">
        <v>21</v>
      </c>
      <c r="H1497" s="514">
        <v>66716</v>
      </c>
      <c r="I1497" s="515" t="s">
        <v>6915</v>
      </c>
    </row>
    <row r="1498" spans="2:9" ht="15" x14ac:dyDescent="0.35">
      <c r="B1498" s="512" t="s">
        <v>6219</v>
      </c>
      <c r="C1498" s="512" t="s">
        <v>6237</v>
      </c>
      <c r="D1498" s="512" t="s">
        <v>6238</v>
      </c>
      <c r="E1498" s="513">
        <v>5736</v>
      </c>
      <c r="F1498" s="512" t="s">
        <v>1515</v>
      </c>
      <c r="G1498" s="513" t="s">
        <v>26</v>
      </c>
      <c r="H1498" s="514">
        <v>11423</v>
      </c>
      <c r="I1498" s="515" t="s">
        <v>6915</v>
      </c>
    </row>
    <row r="1499" spans="2:9" ht="15" x14ac:dyDescent="0.35">
      <c r="B1499" s="512" t="s">
        <v>6219</v>
      </c>
      <c r="C1499" s="512" t="s">
        <v>6239</v>
      </c>
      <c r="D1499" s="512" t="s">
        <v>6239</v>
      </c>
      <c r="E1499" s="513">
        <v>5746</v>
      </c>
      <c r="F1499" s="512" t="s">
        <v>1516</v>
      </c>
      <c r="G1499" s="513" t="s">
        <v>29</v>
      </c>
      <c r="H1499" s="514">
        <v>117444</v>
      </c>
      <c r="I1499" s="515" t="s">
        <v>6915</v>
      </c>
    </row>
    <row r="1500" spans="2:9" ht="15" x14ac:dyDescent="0.35">
      <c r="B1500" s="512" t="s">
        <v>6219</v>
      </c>
      <c r="C1500" s="512" t="s">
        <v>6239</v>
      </c>
      <c r="D1500" s="512" t="s">
        <v>6239</v>
      </c>
      <c r="E1500" s="513">
        <v>5747</v>
      </c>
      <c r="F1500" s="512" t="s">
        <v>1517</v>
      </c>
      <c r="G1500" s="513" t="s">
        <v>29</v>
      </c>
      <c r="H1500" s="514">
        <v>8704065</v>
      </c>
      <c r="I1500" s="515" t="s">
        <v>6915</v>
      </c>
    </row>
    <row r="1501" spans="2:9" ht="15" x14ac:dyDescent="0.35">
      <c r="B1501" s="512" t="s">
        <v>6219</v>
      </c>
      <c r="C1501" s="512" t="s">
        <v>6239</v>
      </c>
      <c r="D1501" s="512" t="s">
        <v>6239</v>
      </c>
      <c r="E1501" s="513">
        <v>5748</v>
      </c>
      <c r="F1501" s="512" t="s">
        <v>1518</v>
      </c>
      <c r="G1501" s="513" t="s">
        <v>29</v>
      </c>
      <c r="H1501" s="516">
        <v>338236</v>
      </c>
      <c r="I1501" s="512" t="s">
        <v>6915</v>
      </c>
    </row>
    <row r="1502" spans="2:9" ht="15" x14ac:dyDescent="0.35">
      <c r="B1502" s="512" t="s">
        <v>6219</v>
      </c>
      <c r="C1502" s="512" t="s">
        <v>6239</v>
      </c>
      <c r="D1502" s="512" t="s">
        <v>6239</v>
      </c>
      <c r="E1502" s="513">
        <v>5749</v>
      </c>
      <c r="F1502" s="512" t="s">
        <v>1519</v>
      </c>
      <c r="G1502" s="513" t="s">
        <v>29</v>
      </c>
      <c r="H1502" s="514">
        <v>234394</v>
      </c>
      <c r="I1502" s="515" t="s">
        <v>6915</v>
      </c>
    </row>
    <row r="1503" spans="2:9" ht="15" x14ac:dyDescent="0.35">
      <c r="B1503" s="512" t="s">
        <v>6219</v>
      </c>
      <c r="C1503" s="512" t="s">
        <v>6239</v>
      </c>
      <c r="D1503" s="512" t="s">
        <v>6239</v>
      </c>
      <c r="E1503" s="513">
        <v>5750</v>
      </c>
      <c r="F1503" s="512" t="s">
        <v>1520</v>
      </c>
      <c r="G1503" s="513" t="s">
        <v>29</v>
      </c>
      <c r="H1503" s="514">
        <v>560019</v>
      </c>
      <c r="I1503" s="515" t="s">
        <v>6915</v>
      </c>
    </row>
    <row r="1504" spans="2:9" ht="15" x14ac:dyDescent="0.35">
      <c r="B1504" s="512" t="s">
        <v>6219</v>
      </c>
      <c r="C1504" s="512" t="s">
        <v>6239</v>
      </c>
      <c r="D1504" s="512" t="s">
        <v>6239</v>
      </c>
      <c r="E1504" s="513">
        <v>5751</v>
      </c>
      <c r="F1504" s="512" t="s">
        <v>1521</v>
      </c>
      <c r="G1504" s="513" t="s">
        <v>29</v>
      </c>
      <c r="H1504" s="514">
        <v>2368908</v>
      </c>
      <c r="I1504" s="515" t="s">
        <v>6915</v>
      </c>
    </row>
    <row r="1505" spans="2:9" ht="15" x14ac:dyDescent="0.35">
      <c r="B1505" s="512" t="s">
        <v>6219</v>
      </c>
      <c r="C1505" s="512" t="s">
        <v>6235</v>
      </c>
      <c r="D1505" s="512" t="s">
        <v>6245</v>
      </c>
      <c r="E1505" s="513">
        <v>5752</v>
      </c>
      <c r="F1505" s="512" t="s">
        <v>1522</v>
      </c>
      <c r="G1505" s="513" t="s">
        <v>29</v>
      </c>
      <c r="H1505" s="516">
        <v>816650</v>
      </c>
      <c r="I1505" s="512" t="s">
        <v>6915</v>
      </c>
    </row>
    <row r="1506" spans="2:9" ht="15" x14ac:dyDescent="0.35">
      <c r="B1506" s="512" t="s">
        <v>6219</v>
      </c>
      <c r="C1506" s="512" t="s">
        <v>6235</v>
      </c>
      <c r="D1506" s="512" t="s">
        <v>6245</v>
      </c>
      <c r="E1506" s="513">
        <v>5753</v>
      </c>
      <c r="F1506" s="512" t="s">
        <v>1523</v>
      </c>
      <c r="G1506" s="513" t="s">
        <v>29</v>
      </c>
      <c r="H1506" s="514">
        <v>441984</v>
      </c>
      <c r="I1506" s="515" t="s">
        <v>6915</v>
      </c>
    </row>
    <row r="1507" spans="2:9" ht="15" x14ac:dyDescent="0.35">
      <c r="B1507" s="512" t="s">
        <v>6219</v>
      </c>
      <c r="C1507" s="512" t="s">
        <v>6235</v>
      </c>
      <c r="D1507" s="512" t="s">
        <v>6245</v>
      </c>
      <c r="E1507" s="513">
        <v>5754</v>
      </c>
      <c r="F1507" s="512" t="s">
        <v>1524</v>
      </c>
      <c r="G1507" s="513" t="s">
        <v>29</v>
      </c>
      <c r="H1507" s="514">
        <v>737291</v>
      </c>
      <c r="I1507" s="515" t="s">
        <v>6915</v>
      </c>
    </row>
    <row r="1508" spans="2:9" ht="15" x14ac:dyDescent="0.35">
      <c r="B1508" s="512" t="s">
        <v>6219</v>
      </c>
      <c r="C1508" s="512" t="s">
        <v>6224</v>
      </c>
      <c r="D1508" s="512" t="s">
        <v>6244</v>
      </c>
      <c r="E1508" s="513">
        <v>5759</v>
      </c>
      <c r="F1508" s="512" t="s">
        <v>1525</v>
      </c>
      <c r="G1508" s="513" t="s">
        <v>29</v>
      </c>
      <c r="H1508" s="514">
        <v>17763</v>
      </c>
      <c r="I1508" s="515" t="s">
        <v>6915</v>
      </c>
    </row>
    <row r="1509" spans="2:9" ht="15" x14ac:dyDescent="0.35">
      <c r="B1509" s="512" t="s">
        <v>6219</v>
      </c>
      <c r="C1509" s="512" t="s">
        <v>6224</v>
      </c>
      <c r="D1509" s="512" t="s">
        <v>6244</v>
      </c>
      <c r="E1509" s="513">
        <v>5760</v>
      </c>
      <c r="F1509" s="512" t="s">
        <v>1526</v>
      </c>
      <c r="G1509" s="513" t="s">
        <v>26</v>
      </c>
      <c r="H1509" s="514">
        <v>25381</v>
      </c>
      <c r="I1509" s="515" t="s">
        <v>6915</v>
      </c>
    </row>
    <row r="1510" spans="2:9" ht="15" x14ac:dyDescent="0.35">
      <c r="B1510" s="512" t="s">
        <v>6219</v>
      </c>
      <c r="C1510" s="512" t="s">
        <v>6224</v>
      </c>
      <c r="D1510" s="512" t="s">
        <v>6244</v>
      </c>
      <c r="E1510" s="513">
        <v>5761</v>
      </c>
      <c r="F1510" s="512" t="s">
        <v>1527</v>
      </c>
      <c r="G1510" s="513" t="s">
        <v>26</v>
      </c>
      <c r="H1510" s="514">
        <v>8438</v>
      </c>
      <c r="I1510" s="515" t="s">
        <v>6915</v>
      </c>
    </row>
    <row r="1511" spans="2:9" ht="15" x14ac:dyDescent="0.35">
      <c r="B1511" s="512" t="s">
        <v>6219</v>
      </c>
      <c r="C1511" s="512" t="s">
        <v>6224</v>
      </c>
      <c r="D1511" s="512" t="s">
        <v>6244</v>
      </c>
      <c r="E1511" s="513">
        <v>5762</v>
      </c>
      <c r="F1511" s="512" t="s">
        <v>1528</v>
      </c>
      <c r="G1511" s="513" t="s">
        <v>29</v>
      </c>
      <c r="H1511" s="516">
        <v>50100</v>
      </c>
      <c r="I1511" s="512" t="s">
        <v>6915</v>
      </c>
    </row>
    <row r="1512" spans="2:9" ht="15" x14ac:dyDescent="0.35">
      <c r="B1512" s="512" t="s">
        <v>6219</v>
      </c>
      <c r="C1512" s="512" t="s">
        <v>6224</v>
      </c>
      <c r="D1512" s="512" t="s">
        <v>6244</v>
      </c>
      <c r="E1512" s="513">
        <v>5763</v>
      </c>
      <c r="F1512" s="512" t="s">
        <v>1529</v>
      </c>
      <c r="G1512" s="513" t="s">
        <v>26</v>
      </c>
      <c r="H1512" s="516">
        <v>27712</v>
      </c>
      <c r="I1512" s="512" t="s">
        <v>6915</v>
      </c>
    </row>
    <row r="1513" spans="2:9" ht="15" x14ac:dyDescent="0.35">
      <c r="B1513" s="512" t="s">
        <v>6219</v>
      </c>
      <c r="C1513" s="512" t="s">
        <v>6224</v>
      </c>
      <c r="D1513" s="512" t="s">
        <v>6244</v>
      </c>
      <c r="E1513" s="513">
        <v>5764</v>
      </c>
      <c r="F1513" s="512" t="s">
        <v>1530</v>
      </c>
      <c r="G1513" s="513" t="s">
        <v>26</v>
      </c>
      <c r="H1513" s="514">
        <v>6228</v>
      </c>
      <c r="I1513" s="515" t="s">
        <v>6915</v>
      </c>
    </row>
    <row r="1514" spans="2:9" ht="15" x14ac:dyDescent="0.35">
      <c r="B1514" s="512" t="s">
        <v>6219</v>
      </c>
      <c r="C1514" s="512" t="s">
        <v>6224</v>
      </c>
      <c r="D1514" s="512" t="s">
        <v>6244</v>
      </c>
      <c r="E1514" s="513">
        <v>5765</v>
      </c>
      <c r="F1514" s="512" t="s">
        <v>1531</v>
      </c>
      <c r="G1514" s="513" t="s">
        <v>26</v>
      </c>
      <c r="H1514" s="514">
        <v>6827</v>
      </c>
      <c r="I1514" s="512" t="s">
        <v>6915</v>
      </c>
    </row>
    <row r="1515" spans="2:9" ht="15" x14ac:dyDescent="0.35">
      <c r="B1515" s="512" t="s">
        <v>6219</v>
      </c>
      <c r="C1515" s="512" t="s">
        <v>6224</v>
      </c>
      <c r="D1515" s="512" t="s">
        <v>6244</v>
      </c>
      <c r="E1515" s="513">
        <v>5766</v>
      </c>
      <c r="F1515" s="512" t="s">
        <v>1532</v>
      </c>
      <c r="G1515" s="513" t="s">
        <v>29</v>
      </c>
      <c r="H1515" s="514">
        <v>17763</v>
      </c>
      <c r="I1515" s="515" t="s">
        <v>6915</v>
      </c>
    </row>
    <row r="1516" spans="2:9" ht="15" x14ac:dyDescent="0.35">
      <c r="B1516" s="512" t="s">
        <v>6219</v>
      </c>
      <c r="C1516" s="512" t="s">
        <v>6224</v>
      </c>
      <c r="D1516" s="512" t="s">
        <v>6244</v>
      </c>
      <c r="E1516" s="513">
        <v>5767</v>
      </c>
      <c r="F1516" s="512" t="s">
        <v>1533</v>
      </c>
      <c r="G1516" s="513" t="s">
        <v>26</v>
      </c>
      <c r="H1516" s="514">
        <v>17695</v>
      </c>
      <c r="I1516" s="515" t="s">
        <v>6915</v>
      </c>
    </row>
    <row r="1517" spans="2:9" ht="15" x14ac:dyDescent="0.35">
      <c r="B1517" s="512" t="s">
        <v>6219</v>
      </c>
      <c r="C1517" s="512" t="s">
        <v>6224</v>
      </c>
      <c r="D1517" s="512" t="s">
        <v>6244</v>
      </c>
      <c r="E1517" s="513">
        <v>5768</v>
      </c>
      <c r="F1517" s="512" t="s">
        <v>1534</v>
      </c>
      <c r="G1517" s="513" t="s">
        <v>29</v>
      </c>
      <c r="H1517" s="514">
        <v>24413</v>
      </c>
      <c r="I1517" s="515" t="s">
        <v>6915</v>
      </c>
    </row>
    <row r="1518" spans="2:9" ht="15" x14ac:dyDescent="0.35">
      <c r="B1518" s="512" t="s">
        <v>6219</v>
      </c>
      <c r="C1518" s="512" t="s">
        <v>6224</v>
      </c>
      <c r="D1518" s="512" t="s">
        <v>6244</v>
      </c>
      <c r="E1518" s="513">
        <v>5769</v>
      </c>
      <c r="F1518" s="512" t="s">
        <v>1535</v>
      </c>
      <c r="G1518" s="513" t="s">
        <v>29</v>
      </c>
      <c r="H1518" s="514">
        <v>17763</v>
      </c>
      <c r="I1518" s="515" t="s">
        <v>6915</v>
      </c>
    </row>
    <row r="1519" spans="2:9" ht="15" x14ac:dyDescent="0.35">
      <c r="B1519" s="512" t="s">
        <v>6219</v>
      </c>
      <c r="C1519" s="512" t="s">
        <v>6224</v>
      </c>
      <c r="D1519" s="512" t="s">
        <v>6244</v>
      </c>
      <c r="E1519" s="513">
        <v>5770</v>
      </c>
      <c r="F1519" s="512" t="s">
        <v>1536</v>
      </c>
      <c r="G1519" s="513" t="s">
        <v>29</v>
      </c>
      <c r="H1519" s="514">
        <v>43137</v>
      </c>
      <c r="I1519" s="515" t="s">
        <v>6915</v>
      </c>
    </row>
    <row r="1520" spans="2:9" ht="15" x14ac:dyDescent="0.35">
      <c r="B1520" s="512" t="s">
        <v>6219</v>
      </c>
      <c r="C1520" s="512" t="s">
        <v>6224</v>
      </c>
      <c r="D1520" s="512" t="s">
        <v>6244</v>
      </c>
      <c r="E1520" s="513">
        <v>5771</v>
      </c>
      <c r="F1520" s="512" t="s">
        <v>1537</v>
      </c>
      <c r="G1520" s="513" t="s">
        <v>26</v>
      </c>
      <c r="H1520" s="514">
        <v>11928</v>
      </c>
      <c r="I1520" s="515" t="s">
        <v>6915</v>
      </c>
    </row>
    <row r="1521" spans="2:9" ht="15" x14ac:dyDescent="0.35">
      <c r="B1521" s="512" t="s">
        <v>6219</v>
      </c>
      <c r="C1521" s="512" t="s">
        <v>6224</v>
      </c>
      <c r="D1521" s="512" t="s">
        <v>6244</v>
      </c>
      <c r="E1521" s="513">
        <v>5772</v>
      </c>
      <c r="F1521" s="512" t="s">
        <v>1538</v>
      </c>
      <c r="G1521" s="513" t="s">
        <v>29</v>
      </c>
      <c r="H1521" s="516">
        <v>17763</v>
      </c>
      <c r="I1521" s="512" t="s">
        <v>6915</v>
      </c>
    </row>
    <row r="1522" spans="2:9" ht="15" x14ac:dyDescent="0.35">
      <c r="B1522" s="512" t="s">
        <v>6219</v>
      </c>
      <c r="C1522" s="512" t="s">
        <v>6224</v>
      </c>
      <c r="D1522" s="512" t="s">
        <v>6244</v>
      </c>
      <c r="E1522" s="513">
        <v>5773</v>
      </c>
      <c r="F1522" s="512" t="s">
        <v>1539</v>
      </c>
      <c r="G1522" s="513" t="s">
        <v>29</v>
      </c>
      <c r="H1522" s="516">
        <v>64298</v>
      </c>
      <c r="I1522" s="512" t="s">
        <v>6915</v>
      </c>
    </row>
    <row r="1523" spans="2:9" ht="15" x14ac:dyDescent="0.35">
      <c r="B1523" s="512" t="s">
        <v>6219</v>
      </c>
      <c r="C1523" s="512" t="s">
        <v>6224</v>
      </c>
      <c r="D1523" s="512" t="s">
        <v>6244</v>
      </c>
      <c r="E1523" s="513">
        <v>5774</v>
      </c>
      <c r="F1523" s="512" t="s">
        <v>1540</v>
      </c>
      <c r="G1523" s="513" t="s">
        <v>26</v>
      </c>
      <c r="H1523" s="514">
        <v>13351</v>
      </c>
      <c r="I1523" s="515" t="s">
        <v>6915</v>
      </c>
    </row>
    <row r="1524" spans="2:9" ht="15" x14ac:dyDescent="0.35">
      <c r="B1524" s="512" t="s">
        <v>6219</v>
      </c>
      <c r="C1524" s="512" t="s">
        <v>6224</v>
      </c>
      <c r="D1524" s="512" t="s">
        <v>6244</v>
      </c>
      <c r="E1524" s="513">
        <v>5775</v>
      </c>
      <c r="F1524" s="512" t="s">
        <v>1541</v>
      </c>
      <c r="G1524" s="513" t="s">
        <v>29</v>
      </c>
      <c r="H1524" s="516">
        <v>31015</v>
      </c>
      <c r="I1524" s="512" t="s">
        <v>6915</v>
      </c>
    </row>
    <row r="1525" spans="2:9" ht="15" x14ac:dyDescent="0.35">
      <c r="B1525" s="512" t="s">
        <v>6219</v>
      </c>
      <c r="C1525" s="512" t="s">
        <v>6224</v>
      </c>
      <c r="D1525" s="512" t="s">
        <v>6244</v>
      </c>
      <c r="E1525" s="513">
        <v>5776</v>
      </c>
      <c r="F1525" s="512" t="s">
        <v>1542</v>
      </c>
      <c r="G1525" s="513" t="s">
        <v>26</v>
      </c>
      <c r="H1525" s="514">
        <v>11723</v>
      </c>
      <c r="I1525" s="515" t="s">
        <v>6915</v>
      </c>
    </row>
    <row r="1526" spans="2:9" ht="15" x14ac:dyDescent="0.35">
      <c r="B1526" s="512" t="s">
        <v>6219</v>
      </c>
      <c r="C1526" s="512" t="s">
        <v>6224</v>
      </c>
      <c r="D1526" s="512" t="s">
        <v>6244</v>
      </c>
      <c r="E1526" s="513">
        <v>5777</v>
      </c>
      <c r="F1526" s="512" t="s">
        <v>1543</v>
      </c>
      <c r="G1526" s="513" t="s">
        <v>29</v>
      </c>
      <c r="H1526" s="514">
        <v>28003</v>
      </c>
      <c r="I1526" s="515" t="s">
        <v>6915</v>
      </c>
    </row>
    <row r="1527" spans="2:9" ht="15" x14ac:dyDescent="0.35">
      <c r="B1527" s="512" t="s">
        <v>6219</v>
      </c>
      <c r="C1527" s="512" t="s">
        <v>6224</v>
      </c>
      <c r="D1527" s="512" t="s">
        <v>6244</v>
      </c>
      <c r="E1527" s="513">
        <v>5778</v>
      </c>
      <c r="F1527" s="512" t="s">
        <v>1544</v>
      </c>
      <c r="G1527" s="513" t="s">
        <v>29</v>
      </c>
      <c r="H1527" s="514">
        <v>398730</v>
      </c>
      <c r="I1527" s="515" t="s">
        <v>6915</v>
      </c>
    </row>
    <row r="1528" spans="2:9" ht="15" x14ac:dyDescent="0.35">
      <c r="B1528" s="512" t="s">
        <v>6219</v>
      </c>
      <c r="C1528" s="512" t="s">
        <v>6224</v>
      </c>
      <c r="D1528" s="512" t="s">
        <v>6244</v>
      </c>
      <c r="E1528" s="513">
        <v>5779</v>
      </c>
      <c r="F1528" s="512" t="s">
        <v>1545</v>
      </c>
      <c r="G1528" s="513" t="s">
        <v>26</v>
      </c>
      <c r="H1528" s="514">
        <v>117708</v>
      </c>
      <c r="I1528" s="515" t="s">
        <v>6915</v>
      </c>
    </row>
    <row r="1529" spans="2:9" ht="15" x14ac:dyDescent="0.35">
      <c r="B1529" s="512" t="s">
        <v>6219</v>
      </c>
      <c r="C1529" s="512" t="s">
        <v>6224</v>
      </c>
      <c r="D1529" s="512" t="s">
        <v>6244</v>
      </c>
      <c r="E1529" s="513">
        <v>5780</v>
      </c>
      <c r="F1529" s="512" t="s">
        <v>1546</v>
      </c>
      <c r="G1529" s="513" t="s">
        <v>26</v>
      </c>
      <c r="H1529" s="514">
        <v>87481</v>
      </c>
      <c r="I1529" s="515" t="s">
        <v>6915</v>
      </c>
    </row>
    <row r="1530" spans="2:9" ht="15" x14ac:dyDescent="0.35">
      <c r="B1530" s="512" t="s">
        <v>6219</v>
      </c>
      <c r="C1530" s="512" t="s">
        <v>6224</v>
      </c>
      <c r="D1530" s="512" t="s">
        <v>6244</v>
      </c>
      <c r="E1530" s="513">
        <v>5781</v>
      </c>
      <c r="F1530" s="512" t="s">
        <v>1547</v>
      </c>
      <c r="G1530" s="513" t="s">
        <v>26</v>
      </c>
      <c r="H1530" s="516">
        <v>53926</v>
      </c>
      <c r="I1530" s="512" t="s">
        <v>6915</v>
      </c>
    </row>
    <row r="1531" spans="2:9" ht="15" x14ac:dyDescent="0.35">
      <c r="B1531" s="512" t="s">
        <v>6219</v>
      </c>
      <c r="C1531" s="512" t="s">
        <v>6224</v>
      </c>
      <c r="D1531" s="512" t="s">
        <v>6244</v>
      </c>
      <c r="E1531" s="513">
        <v>5782</v>
      </c>
      <c r="F1531" s="512" t="s">
        <v>1548</v>
      </c>
      <c r="G1531" s="513" t="s">
        <v>26</v>
      </c>
      <c r="H1531" s="514">
        <v>52891</v>
      </c>
      <c r="I1531" s="515" t="s">
        <v>6915</v>
      </c>
    </row>
    <row r="1532" spans="2:9" ht="15" x14ac:dyDescent="0.35">
      <c r="B1532" s="512" t="s">
        <v>6219</v>
      </c>
      <c r="C1532" s="512" t="s">
        <v>6224</v>
      </c>
      <c r="D1532" s="512" t="s">
        <v>6244</v>
      </c>
      <c r="E1532" s="513">
        <v>5783</v>
      </c>
      <c r="F1532" s="512" t="s">
        <v>1549</v>
      </c>
      <c r="G1532" s="513" t="s">
        <v>26</v>
      </c>
      <c r="H1532" s="514">
        <v>39608</v>
      </c>
      <c r="I1532" s="515" t="s">
        <v>6915</v>
      </c>
    </row>
    <row r="1533" spans="2:9" ht="15" x14ac:dyDescent="0.35">
      <c r="B1533" s="512" t="s">
        <v>6219</v>
      </c>
      <c r="C1533" s="512" t="s">
        <v>6224</v>
      </c>
      <c r="D1533" s="512" t="s">
        <v>6244</v>
      </c>
      <c r="E1533" s="513">
        <v>5784</v>
      </c>
      <c r="F1533" s="512" t="s">
        <v>1550</v>
      </c>
      <c r="G1533" s="513" t="s">
        <v>26</v>
      </c>
      <c r="H1533" s="514">
        <v>43884</v>
      </c>
      <c r="I1533" s="515" t="s">
        <v>6915</v>
      </c>
    </row>
    <row r="1534" spans="2:9" ht="15" x14ac:dyDescent="0.35">
      <c r="B1534" s="512" t="s">
        <v>6219</v>
      </c>
      <c r="C1534" s="512" t="s">
        <v>6224</v>
      </c>
      <c r="D1534" s="512" t="s">
        <v>6244</v>
      </c>
      <c r="E1534" s="513">
        <v>5785</v>
      </c>
      <c r="F1534" s="512" t="s">
        <v>1551</v>
      </c>
      <c r="G1534" s="513" t="s">
        <v>26</v>
      </c>
      <c r="H1534" s="514">
        <v>141255</v>
      </c>
      <c r="I1534" s="515" t="s">
        <v>6915</v>
      </c>
    </row>
    <row r="1535" spans="2:9" ht="15" x14ac:dyDescent="0.35">
      <c r="B1535" s="512" t="s">
        <v>6219</v>
      </c>
      <c r="C1535" s="512" t="s">
        <v>6224</v>
      </c>
      <c r="D1535" s="512" t="s">
        <v>6244</v>
      </c>
      <c r="E1535" s="513">
        <v>5786</v>
      </c>
      <c r="F1535" s="512" t="s">
        <v>1552</v>
      </c>
      <c r="G1535" s="513" t="s">
        <v>26</v>
      </c>
      <c r="H1535" s="514">
        <v>255824</v>
      </c>
      <c r="I1535" s="515" t="s">
        <v>6915</v>
      </c>
    </row>
    <row r="1536" spans="2:9" ht="15" x14ac:dyDescent="0.35">
      <c r="B1536" s="512" t="s">
        <v>6219</v>
      </c>
      <c r="C1536" s="512" t="s">
        <v>6224</v>
      </c>
      <c r="D1536" s="512" t="s">
        <v>6244</v>
      </c>
      <c r="E1536" s="513">
        <v>5788</v>
      </c>
      <c r="F1536" s="512" t="s">
        <v>1553</v>
      </c>
      <c r="G1536" s="513" t="s">
        <v>29</v>
      </c>
      <c r="H1536" s="514">
        <v>343799</v>
      </c>
      <c r="I1536" s="515" t="s">
        <v>6915</v>
      </c>
    </row>
    <row r="1537" spans="2:9" ht="15" x14ac:dyDescent="0.35">
      <c r="B1537" s="512" t="s">
        <v>6219</v>
      </c>
      <c r="C1537" s="512" t="s">
        <v>6224</v>
      </c>
      <c r="D1537" s="512" t="s">
        <v>6244</v>
      </c>
      <c r="E1537" s="513">
        <v>5789</v>
      </c>
      <c r="F1537" s="512" t="s">
        <v>1554</v>
      </c>
      <c r="G1537" s="513" t="s">
        <v>29</v>
      </c>
      <c r="H1537" s="516">
        <v>354336</v>
      </c>
      <c r="I1537" s="512" t="s">
        <v>6915</v>
      </c>
    </row>
    <row r="1538" spans="2:9" ht="15" x14ac:dyDescent="0.35">
      <c r="B1538" s="512" t="s">
        <v>6219</v>
      </c>
      <c r="C1538" s="512" t="s">
        <v>6224</v>
      </c>
      <c r="D1538" s="512" t="s">
        <v>6244</v>
      </c>
      <c r="E1538" s="513">
        <v>5790</v>
      </c>
      <c r="F1538" s="512" t="s">
        <v>1555</v>
      </c>
      <c r="G1538" s="513" t="s">
        <v>29</v>
      </c>
      <c r="H1538" s="514">
        <v>206899</v>
      </c>
      <c r="I1538" s="512" t="s">
        <v>6915</v>
      </c>
    </row>
    <row r="1539" spans="2:9" ht="15" x14ac:dyDescent="0.35">
      <c r="B1539" s="512" t="s">
        <v>6219</v>
      </c>
      <c r="C1539" s="512" t="s">
        <v>6224</v>
      </c>
      <c r="D1539" s="512" t="s">
        <v>6244</v>
      </c>
      <c r="E1539" s="513">
        <v>5791</v>
      </c>
      <c r="F1539" s="512" t="s">
        <v>1556</v>
      </c>
      <c r="G1539" s="513" t="s">
        <v>29</v>
      </c>
      <c r="H1539" s="516">
        <v>110390</v>
      </c>
      <c r="I1539" s="512" t="s">
        <v>6915</v>
      </c>
    </row>
    <row r="1540" spans="2:9" ht="15" x14ac:dyDescent="0.35">
      <c r="B1540" s="512" t="s">
        <v>6219</v>
      </c>
      <c r="C1540" s="512" t="s">
        <v>6224</v>
      </c>
      <c r="D1540" s="512" t="s">
        <v>6244</v>
      </c>
      <c r="E1540" s="513">
        <v>5792</v>
      </c>
      <c r="F1540" s="512" t="s">
        <v>1557</v>
      </c>
      <c r="G1540" s="513" t="s">
        <v>26</v>
      </c>
      <c r="H1540" s="514">
        <v>56671</v>
      </c>
      <c r="I1540" s="512" t="s">
        <v>6915</v>
      </c>
    </row>
    <row r="1541" spans="2:9" ht="15" x14ac:dyDescent="0.35">
      <c r="B1541" s="512" t="s">
        <v>6219</v>
      </c>
      <c r="C1541" s="512" t="s">
        <v>6224</v>
      </c>
      <c r="D1541" s="512" t="s">
        <v>6244</v>
      </c>
      <c r="E1541" s="513">
        <v>5793</v>
      </c>
      <c r="F1541" s="512" t="s">
        <v>1558</v>
      </c>
      <c r="G1541" s="513" t="s">
        <v>26</v>
      </c>
      <c r="H1541" s="514">
        <v>87795</v>
      </c>
      <c r="I1541" s="515" t="s">
        <v>6915</v>
      </c>
    </row>
    <row r="1542" spans="2:9" ht="15" x14ac:dyDescent="0.35">
      <c r="B1542" s="512" t="s">
        <v>6219</v>
      </c>
      <c r="C1542" s="512" t="s">
        <v>6224</v>
      </c>
      <c r="D1542" s="512" t="s">
        <v>6244</v>
      </c>
      <c r="E1542" s="513">
        <v>5794</v>
      </c>
      <c r="F1542" s="512" t="s">
        <v>1559</v>
      </c>
      <c r="G1542" s="513" t="s">
        <v>26</v>
      </c>
      <c r="H1542" s="514">
        <v>179694</v>
      </c>
      <c r="I1542" s="515" t="s">
        <v>6915</v>
      </c>
    </row>
    <row r="1543" spans="2:9" ht="15" x14ac:dyDescent="0.35">
      <c r="B1543" s="512" t="s">
        <v>6263</v>
      </c>
      <c r="C1543" s="512" t="s">
        <v>6252</v>
      </c>
      <c r="D1543" s="512" t="s">
        <v>6252</v>
      </c>
      <c r="E1543" s="513">
        <v>5798</v>
      </c>
      <c r="F1543" s="512" t="s">
        <v>1560</v>
      </c>
      <c r="G1543" s="513" t="s">
        <v>21</v>
      </c>
      <c r="H1543" s="514">
        <v>590104</v>
      </c>
      <c r="I1543" s="515" t="s">
        <v>6915</v>
      </c>
    </row>
    <row r="1544" spans="2:9" ht="15" x14ac:dyDescent="0.35">
      <c r="B1544" s="512" t="s">
        <v>6263</v>
      </c>
      <c r="C1544" s="512" t="s">
        <v>6252</v>
      </c>
      <c r="D1544" s="512" t="s">
        <v>6252</v>
      </c>
      <c r="E1544" s="513">
        <v>5799</v>
      </c>
      <c r="F1544" s="512" t="s">
        <v>1561</v>
      </c>
      <c r="G1544" s="513" t="s">
        <v>21</v>
      </c>
      <c r="H1544" s="514">
        <v>134364</v>
      </c>
      <c r="I1544" s="515" t="s">
        <v>6915</v>
      </c>
    </row>
    <row r="1545" spans="2:9" ht="15" x14ac:dyDescent="0.35">
      <c r="B1545" s="512" t="s">
        <v>6263</v>
      </c>
      <c r="C1545" s="512" t="s">
        <v>6252</v>
      </c>
      <c r="D1545" s="512" t="s">
        <v>6252</v>
      </c>
      <c r="E1545" s="513">
        <v>5800</v>
      </c>
      <c r="F1545" s="512" t="s">
        <v>1562</v>
      </c>
      <c r="G1545" s="513" t="s">
        <v>21</v>
      </c>
      <c r="H1545" s="516">
        <v>458831</v>
      </c>
      <c r="I1545" s="512" t="s">
        <v>6915</v>
      </c>
    </row>
    <row r="1546" spans="2:9" ht="15" x14ac:dyDescent="0.35">
      <c r="B1546" s="512" t="s">
        <v>6263</v>
      </c>
      <c r="C1546" s="512" t="s">
        <v>6252</v>
      </c>
      <c r="D1546" s="512" t="s">
        <v>6252</v>
      </c>
      <c r="E1546" s="513">
        <v>5801</v>
      </c>
      <c r="F1546" s="512" t="s">
        <v>1563</v>
      </c>
      <c r="G1546" s="513" t="s">
        <v>21</v>
      </c>
      <c r="H1546" s="516">
        <v>310286</v>
      </c>
      <c r="I1546" s="512" t="s">
        <v>6915</v>
      </c>
    </row>
    <row r="1547" spans="2:9" ht="15" x14ac:dyDescent="0.35">
      <c r="B1547" s="512" t="s">
        <v>6263</v>
      </c>
      <c r="C1547" s="512" t="s">
        <v>6252</v>
      </c>
      <c r="D1547" s="512" t="s">
        <v>6252</v>
      </c>
      <c r="E1547" s="513">
        <v>5802</v>
      </c>
      <c r="F1547" s="512" t="s">
        <v>1564</v>
      </c>
      <c r="G1547" s="513" t="s">
        <v>21</v>
      </c>
      <c r="H1547" s="514">
        <v>282043</v>
      </c>
      <c r="I1547" s="515" t="s">
        <v>6915</v>
      </c>
    </row>
    <row r="1548" spans="2:9" ht="15" x14ac:dyDescent="0.35">
      <c r="B1548" s="512" t="s">
        <v>6219</v>
      </c>
      <c r="C1548" s="512" t="s">
        <v>6224</v>
      </c>
      <c r="D1548" s="512" t="s">
        <v>6244</v>
      </c>
      <c r="E1548" s="513">
        <v>5825</v>
      </c>
      <c r="F1548" s="512" t="s">
        <v>1565</v>
      </c>
      <c r="G1548" s="513" t="s">
        <v>29</v>
      </c>
      <c r="H1548" s="516">
        <v>1124193</v>
      </c>
      <c r="I1548" s="512" t="s">
        <v>6915</v>
      </c>
    </row>
    <row r="1549" spans="2:9" ht="15" x14ac:dyDescent="0.35">
      <c r="B1549" s="512" t="s">
        <v>6219</v>
      </c>
      <c r="C1549" s="512" t="s">
        <v>6224</v>
      </c>
      <c r="D1549" s="512" t="s">
        <v>6244</v>
      </c>
      <c r="E1549" s="513">
        <v>5826</v>
      </c>
      <c r="F1549" s="512" t="s">
        <v>1566</v>
      </c>
      <c r="G1549" s="513" t="s">
        <v>29</v>
      </c>
      <c r="H1549" s="514">
        <v>1234629</v>
      </c>
      <c r="I1549" s="515" t="s">
        <v>6915</v>
      </c>
    </row>
    <row r="1550" spans="2:9" ht="15" x14ac:dyDescent="0.35">
      <c r="B1550" s="512" t="s">
        <v>6219</v>
      </c>
      <c r="C1550" s="512" t="s">
        <v>6224</v>
      </c>
      <c r="D1550" s="512" t="s">
        <v>6244</v>
      </c>
      <c r="E1550" s="513">
        <v>5827</v>
      </c>
      <c r="F1550" s="512" t="s">
        <v>1567</v>
      </c>
      <c r="G1550" s="513" t="s">
        <v>29</v>
      </c>
      <c r="H1550" s="514">
        <v>294370</v>
      </c>
      <c r="I1550" s="515" t="s">
        <v>6915</v>
      </c>
    </row>
    <row r="1551" spans="2:9" ht="15" x14ac:dyDescent="0.35">
      <c r="B1551" s="512" t="s">
        <v>6219</v>
      </c>
      <c r="C1551" s="512" t="s">
        <v>6224</v>
      </c>
      <c r="D1551" s="512" t="s">
        <v>6244</v>
      </c>
      <c r="E1551" s="513">
        <v>5831</v>
      </c>
      <c r="F1551" s="512" t="s">
        <v>1568</v>
      </c>
      <c r="G1551" s="513" t="s">
        <v>26</v>
      </c>
      <c r="H1551" s="514">
        <v>53829</v>
      </c>
      <c r="I1551" s="515" t="s">
        <v>6915</v>
      </c>
    </row>
    <row r="1552" spans="2:9" ht="15" x14ac:dyDescent="0.35">
      <c r="B1552" s="512" t="s">
        <v>6219</v>
      </c>
      <c r="C1552" s="512" t="s">
        <v>6224</v>
      </c>
      <c r="D1552" s="512" t="s">
        <v>6244</v>
      </c>
      <c r="E1552" s="513">
        <v>5832</v>
      </c>
      <c r="F1552" s="512" t="s">
        <v>1569</v>
      </c>
      <c r="G1552" s="513" t="s">
        <v>26</v>
      </c>
      <c r="H1552" s="516">
        <v>49576</v>
      </c>
      <c r="I1552" s="512" t="s">
        <v>6915</v>
      </c>
    </row>
    <row r="1553" spans="2:9" ht="15" x14ac:dyDescent="0.35">
      <c r="B1553" s="512" t="s">
        <v>6219</v>
      </c>
      <c r="C1553" s="512" t="s">
        <v>6224</v>
      </c>
      <c r="D1553" s="512" t="s">
        <v>6244</v>
      </c>
      <c r="E1553" s="513">
        <v>5833</v>
      </c>
      <c r="F1553" s="512" t="s">
        <v>1570</v>
      </c>
      <c r="G1553" s="513" t="s">
        <v>26</v>
      </c>
      <c r="H1553" s="516">
        <v>98146</v>
      </c>
      <c r="I1553" s="512" t="s">
        <v>6915</v>
      </c>
    </row>
    <row r="1554" spans="2:9" ht="15" x14ac:dyDescent="0.35">
      <c r="B1554" s="512" t="s">
        <v>6219</v>
      </c>
      <c r="C1554" s="512" t="s">
        <v>6224</v>
      </c>
      <c r="D1554" s="512" t="s">
        <v>6244</v>
      </c>
      <c r="E1554" s="513">
        <v>5834</v>
      </c>
      <c r="F1554" s="512" t="s">
        <v>1571</v>
      </c>
      <c r="G1554" s="513" t="s">
        <v>26</v>
      </c>
      <c r="H1554" s="516">
        <v>38711</v>
      </c>
      <c r="I1554" s="512" t="s">
        <v>6915</v>
      </c>
    </row>
    <row r="1555" spans="2:9" ht="15" x14ac:dyDescent="0.35">
      <c r="B1555" s="512" t="s">
        <v>6219</v>
      </c>
      <c r="C1555" s="512" t="s">
        <v>6224</v>
      </c>
      <c r="D1555" s="512" t="s">
        <v>6244</v>
      </c>
      <c r="E1555" s="513">
        <v>5835</v>
      </c>
      <c r="F1555" s="512" t="s">
        <v>1572</v>
      </c>
      <c r="G1555" s="513" t="s">
        <v>26</v>
      </c>
      <c r="H1555" s="516">
        <v>73315</v>
      </c>
      <c r="I1555" s="512" t="s">
        <v>6915</v>
      </c>
    </row>
    <row r="1556" spans="2:9" ht="15" x14ac:dyDescent="0.35">
      <c r="B1556" s="512" t="s">
        <v>6219</v>
      </c>
      <c r="C1556" s="512" t="s">
        <v>6224</v>
      </c>
      <c r="D1556" s="512" t="s">
        <v>6244</v>
      </c>
      <c r="E1556" s="513">
        <v>5836</v>
      </c>
      <c r="F1556" s="512" t="s">
        <v>1573</v>
      </c>
      <c r="G1556" s="513" t="s">
        <v>26</v>
      </c>
      <c r="H1556" s="516">
        <v>106345</v>
      </c>
      <c r="I1556" s="512" t="s">
        <v>6915</v>
      </c>
    </row>
    <row r="1557" spans="2:9" ht="15" x14ac:dyDescent="0.35">
      <c r="B1557" s="512" t="s">
        <v>6219</v>
      </c>
      <c r="C1557" s="512" t="s">
        <v>6224</v>
      </c>
      <c r="D1557" s="512" t="s">
        <v>6244</v>
      </c>
      <c r="E1557" s="513">
        <v>5837</v>
      </c>
      <c r="F1557" s="512" t="s">
        <v>1574</v>
      </c>
      <c r="G1557" s="513" t="s">
        <v>26</v>
      </c>
      <c r="H1557" s="514">
        <v>69078</v>
      </c>
      <c r="I1557" s="515" t="s">
        <v>6915</v>
      </c>
    </row>
    <row r="1558" spans="2:9" ht="15" x14ac:dyDescent="0.35">
      <c r="B1558" s="512" t="s">
        <v>6219</v>
      </c>
      <c r="C1558" s="512" t="s">
        <v>6224</v>
      </c>
      <c r="D1558" s="512" t="s">
        <v>6244</v>
      </c>
      <c r="E1558" s="513">
        <v>5838</v>
      </c>
      <c r="F1558" s="512" t="s">
        <v>1575</v>
      </c>
      <c r="G1558" s="513" t="s">
        <v>26</v>
      </c>
      <c r="H1558" s="514">
        <v>182631</v>
      </c>
      <c r="I1558" s="512" t="s">
        <v>6915</v>
      </c>
    </row>
    <row r="1559" spans="2:9" ht="15" x14ac:dyDescent="0.35">
      <c r="B1559" s="512" t="s">
        <v>6219</v>
      </c>
      <c r="C1559" s="512" t="s">
        <v>6224</v>
      </c>
      <c r="D1559" s="512" t="s">
        <v>6244</v>
      </c>
      <c r="E1559" s="513">
        <v>5839</v>
      </c>
      <c r="F1559" s="512" t="s">
        <v>1576</v>
      </c>
      <c r="G1559" s="513" t="s">
        <v>26</v>
      </c>
      <c r="H1559" s="516">
        <v>144778</v>
      </c>
      <c r="I1559" s="512" t="s">
        <v>6915</v>
      </c>
    </row>
    <row r="1560" spans="2:9" ht="15" x14ac:dyDescent="0.35">
      <c r="B1560" s="512" t="s">
        <v>6219</v>
      </c>
      <c r="C1560" s="512" t="s">
        <v>6224</v>
      </c>
      <c r="D1560" s="512" t="s">
        <v>6244</v>
      </c>
      <c r="E1560" s="513">
        <v>5840</v>
      </c>
      <c r="F1560" s="512" t="s">
        <v>1577</v>
      </c>
      <c r="G1560" s="513" t="s">
        <v>26</v>
      </c>
      <c r="H1560" s="516">
        <v>30750</v>
      </c>
      <c r="I1560" s="512" t="s">
        <v>6915</v>
      </c>
    </row>
    <row r="1561" spans="2:9" ht="15" x14ac:dyDescent="0.35">
      <c r="B1561" s="512" t="s">
        <v>6219</v>
      </c>
      <c r="C1561" s="512" t="s">
        <v>6224</v>
      </c>
      <c r="D1561" s="512" t="s">
        <v>6244</v>
      </c>
      <c r="E1561" s="513">
        <v>5841</v>
      </c>
      <c r="F1561" s="512" t="s">
        <v>1578</v>
      </c>
      <c r="G1561" s="513" t="s">
        <v>26</v>
      </c>
      <c r="H1561" s="514">
        <v>184376</v>
      </c>
      <c r="I1561" s="512" t="s">
        <v>6915</v>
      </c>
    </row>
    <row r="1562" spans="2:9" ht="15" x14ac:dyDescent="0.35">
      <c r="B1562" s="512" t="s">
        <v>6219</v>
      </c>
      <c r="C1562" s="512" t="s">
        <v>6220</v>
      </c>
      <c r="D1562" s="512" t="s">
        <v>6221</v>
      </c>
      <c r="E1562" s="513">
        <v>5842</v>
      </c>
      <c r="F1562" s="512" t="s">
        <v>1579</v>
      </c>
      <c r="G1562" s="513" t="s">
        <v>23</v>
      </c>
      <c r="H1562" s="514">
        <v>29667</v>
      </c>
      <c r="I1562" s="512" t="s">
        <v>6915</v>
      </c>
    </row>
    <row r="1563" spans="2:9" ht="15" x14ac:dyDescent="0.35">
      <c r="B1563" s="512" t="s">
        <v>6219</v>
      </c>
      <c r="C1563" s="512" t="s">
        <v>6258</v>
      </c>
      <c r="D1563" s="512" t="s">
        <v>6282</v>
      </c>
      <c r="E1563" s="513">
        <v>5843</v>
      </c>
      <c r="F1563" s="512" t="s">
        <v>1580</v>
      </c>
      <c r="G1563" s="513" t="s">
        <v>21</v>
      </c>
      <c r="H1563" s="514">
        <v>33937</v>
      </c>
      <c r="I1563" s="515" t="s">
        <v>6915</v>
      </c>
    </row>
    <row r="1564" spans="2:9" ht="15" x14ac:dyDescent="0.35">
      <c r="B1564" s="512" t="s">
        <v>6219</v>
      </c>
      <c r="C1564" s="512" t="s">
        <v>6258</v>
      </c>
      <c r="D1564" s="512" t="s">
        <v>6282</v>
      </c>
      <c r="E1564" s="513">
        <v>5844</v>
      </c>
      <c r="F1564" s="512" t="s">
        <v>1581</v>
      </c>
      <c r="G1564" s="513" t="s">
        <v>21</v>
      </c>
      <c r="H1564" s="514">
        <v>28765</v>
      </c>
      <c r="I1564" s="515" t="s">
        <v>6915</v>
      </c>
    </row>
    <row r="1565" spans="2:9" ht="15" x14ac:dyDescent="0.35">
      <c r="B1565" s="512" t="s">
        <v>6219</v>
      </c>
      <c r="C1565" s="512" t="s">
        <v>6258</v>
      </c>
      <c r="D1565" s="512" t="s">
        <v>6282</v>
      </c>
      <c r="E1565" s="513">
        <v>5845</v>
      </c>
      <c r="F1565" s="512" t="s">
        <v>1582</v>
      </c>
      <c r="G1565" s="513" t="s">
        <v>26</v>
      </c>
      <c r="H1565" s="514">
        <v>141521</v>
      </c>
      <c r="I1565" s="512" t="s">
        <v>6915</v>
      </c>
    </row>
    <row r="1566" spans="2:9" ht="15" x14ac:dyDescent="0.35">
      <c r="B1566" s="512" t="s">
        <v>6219</v>
      </c>
      <c r="C1566" s="512" t="s">
        <v>6237</v>
      </c>
      <c r="D1566" s="512" t="s">
        <v>6276</v>
      </c>
      <c r="E1566" s="513">
        <v>5846</v>
      </c>
      <c r="F1566" s="512" t="s">
        <v>1583</v>
      </c>
      <c r="G1566" s="513" t="s">
        <v>29</v>
      </c>
      <c r="H1566" s="514">
        <v>207986</v>
      </c>
      <c r="I1566" s="515" t="s">
        <v>6915</v>
      </c>
    </row>
    <row r="1567" spans="2:9" ht="15" x14ac:dyDescent="0.35">
      <c r="B1567" s="512" t="s">
        <v>6219</v>
      </c>
      <c r="C1567" s="512" t="s">
        <v>6237</v>
      </c>
      <c r="D1567" s="512" t="s">
        <v>6276</v>
      </c>
      <c r="E1567" s="513">
        <v>5847</v>
      </c>
      <c r="F1567" s="512" t="s">
        <v>1584</v>
      </c>
      <c r="G1567" s="513" t="s">
        <v>29</v>
      </c>
      <c r="H1567" s="514">
        <v>225078</v>
      </c>
      <c r="I1567" s="515" t="s">
        <v>6915</v>
      </c>
    </row>
    <row r="1568" spans="2:9" ht="15" x14ac:dyDescent="0.35">
      <c r="B1568" s="512" t="s">
        <v>6219</v>
      </c>
      <c r="C1568" s="512" t="s">
        <v>6237</v>
      </c>
      <c r="D1568" s="512" t="s">
        <v>6276</v>
      </c>
      <c r="E1568" s="513">
        <v>5848</v>
      </c>
      <c r="F1568" s="512" t="s">
        <v>1585</v>
      </c>
      <c r="G1568" s="513" t="s">
        <v>29</v>
      </c>
      <c r="H1568" s="514">
        <v>61765</v>
      </c>
      <c r="I1568" s="515" t="s">
        <v>6915</v>
      </c>
    </row>
    <row r="1569" spans="2:9" ht="15" x14ac:dyDescent="0.35">
      <c r="B1569" s="512" t="s">
        <v>6219</v>
      </c>
      <c r="C1569" s="512" t="s">
        <v>6237</v>
      </c>
      <c r="D1569" s="512" t="s">
        <v>6238</v>
      </c>
      <c r="E1569" s="513">
        <v>5850</v>
      </c>
      <c r="F1569" s="512" t="s">
        <v>1586</v>
      </c>
      <c r="G1569" s="513" t="s">
        <v>29</v>
      </c>
      <c r="H1569" s="514">
        <v>274200</v>
      </c>
      <c r="I1569" s="515" t="s">
        <v>6915</v>
      </c>
    </row>
    <row r="1570" spans="2:9" ht="15" x14ac:dyDescent="0.35">
      <c r="B1570" s="512" t="s">
        <v>6219</v>
      </c>
      <c r="C1570" s="512" t="s">
        <v>6237</v>
      </c>
      <c r="D1570" s="512" t="s">
        <v>6238</v>
      </c>
      <c r="E1570" s="513">
        <v>5851</v>
      </c>
      <c r="F1570" s="512" t="s">
        <v>1587</v>
      </c>
      <c r="G1570" s="513" t="s">
        <v>29</v>
      </c>
      <c r="H1570" s="514">
        <v>734946</v>
      </c>
      <c r="I1570" s="515" t="s">
        <v>6915</v>
      </c>
    </row>
    <row r="1571" spans="2:9" ht="15" x14ac:dyDescent="0.35">
      <c r="B1571" s="512" t="s">
        <v>6219</v>
      </c>
      <c r="C1571" s="512" t="s">
        <v>6237</v>
      </c>
      <c r="D1571" s="512" t="s">
        <v>6238</v>
      </c>
      <c r="E1571" s="513">
        <v>5852</v>
      </c>
      <c r="F1571" s="512" t="s">
        <v>1588</v>
      </c>
      <c r="G1571" s="513" t="s">
        <v>29</v>
      </c>
      <c r="H1571" s="516">
        <v>567319</v>
      </c>
      <c r="I1571" s="512" t="s">
        <v>6915</v>
      </c>
    </row>
    <row r="1572" spans="2:9" ht="15" x14ac:dyDescent="0.35">
      <c r="B1572" s="512" t="s">
        <v>6219</v>
      </c>
      <c r="C1572" s="512" t="s">
        <v>6237</v>
      </c>
      <c r="D1572" s="512" t="s">
        <v>6238</v>
      </c>
      <c r="E1572" s="513">
        <v>5854</v>
      </c>
      <c r="F1572" s="512" t="s">
        <v>1589</v>
      </c>
      <c r="G1572" s="513" t="s">
        <v>29</v>
      </c>
      <c r="H1572" s="516">
        <v>261555</v>
      </c>
      <c r="I1572" s="512" t="s">
        <v>6915</v>
      </c>
    </row>
    <row r="1573" spans="2:9" ht="15" x14ac:dyDescent="0.35">
      <c r="B1573" s="512" t="s">
        <v>6219</v>
      </c>
      <c r="C1573" s="512" t="s">
        <v>6237</v>
      </c>
      <c r="D1573" s="512" t="s">
        <v>6238</v>
      </c>
      <c r="E1573" s="513">
        <v>5856</v>
      </c>
      <c r="F1573" s="512" t="s">
        <v>1590</v>
      </c>
      <c r="G1573" s="513" t="s">
        <v>21</v>
      </c>
      <c r="H1573" s="516">
        <v>187646</v>
      </c>
      <c r="I1573" s="512" t="s">
        <v>6915</v>
      </c>
    </row>
    <row r="1574" spans="2:9" ht="15" x14ac:dyDescent="0.35">
      <c r="B1574" s="512" t="s">
        <v>6219</v>
      </c>
      <c r="C1574" s="512" t="s">
        <v>6237</v>
      </c>
      <c r="D1574" s="512" t="s">
        <v>6238</v>
      </c>
      <c r="E1574" s="513">
        <v>5858</v>
      </c>
      <c r="F1574" s="512" t="s">
        <v>1591</v>
      </c>
      <c r="G1574" s="513" t="s">
        <v>26</v>
      </c>
      <c r="H1574" s="514">
        <v>110337</v>
      </c>
      <c r="I1574" s="515" t="s">
        <v>6915</v>
      </c>
    </row>
    <row r="1575" spans="2:9" ht="15" x14ac:dyDescent="0.35">
      <c r="B1575" s="512" t="s">
        <v>6219</v>
      </c>
      <c r="C1575" s="512" t="s">
        <v>6237</v>
      </c>
      <c r="D1575" s="512" t="s">
        <v>6238</v>
      </c>
      <c r="E1575" s="513">
        <v>5860</v>
      </c>
      <c r="F1575" s="512" t="s">
        <v>1592</v>
      </c>
      <c r="G1575" s="513" t="s">
        <v>21</v>
      </c>
      <c r="H1575" s="514">
        <v>118910</v>
      </c>
      <c r="I1575" s="515" t="s">
        <v>6915</v>
      </c>
    </row>
    <row r="1576" spans="2:9" ht="15" x14ac:dyDescent="0.35">
      <c r="B1576" s="512" t="s">
        <v>6219</v>
      </c>
      <c r="C1576" s="512" t="s">
        <v>6237</v>
      </c>
      <c r="D1576" s="512" t="s">
        <v>6238</v>
      </c>
      <c r="E1576" s="513">
        <v>5862</v>
      </c>
      <c r="F1576" s="512" t="s">
        <v>1593</v>
      </c>
      <c r="G1576" s="513" t="s">
        <v>26</v>
      </c>
      <c r="H1576" s="514">
        <v>58204</v>
      </c>
      <c r="I1576" s="515" t="s">
        <v>6915</v>
      </c>
    </row>
    <row r="1577" spans="2:9" ht="15" x14ac:dyDescent="0.35">
      <c r="B1577" s="512" t="s">
        <v>6219</v>
      </c>
      <c r="C1577" s="512" t="s">
        <v>6237</v>
      </c>
      <c r="D1577" s="512" t="s">
        <v>6238</v>
      </c>
      <c r="E1577" s="513">
        <v>5864</v>
      </c>
      <c r="F1577" s="512" t="s">
        <v>1594</v>
      </c>
      <c r="G1577" s="513" t="s">
        <v>26</v>
      </c>
      <c r="H1577" s="514">
        <v>58204</v>
      </c>
      <c r="I1577" s="515" t="s">
        <v>6915</v>
      </c>
    </row>
    <row r="1578" spans="2:9" ht="15" x14ac:dyDescent="0.35">
      <c r="B1578" s="512" t="s">
        <v>6219</v>
      </c>
      <c r="C1578" s="512" t="s">
        <v>6237</v>
      </c>
      <c r="D1578" s="512" t="s">
        <v>6238</v>
      </c>
      <c r="E1578" s="513">
        <v>5866</v>
      </c>
      <c r="F1578" s="512" t="s">
        <v>1595</v>
      </c>
      <c r="G1578" s="513" t="s">
        <v>29</v>
      </c>
      <c r="H1578" s="514">
        <v>1021616</v>
      </c>
      <c r="I1578" s="515" t="s">
        <v>6915</v>
      </c>
    </row>
    <row r="1579" spans="2:9" ht="15" x14ac:dyDescent="0.35">
      <c r="B1579" s="512" t="s">
        <v>6219</v>
      </c>
      <c r="C1579" s="512" t="s">
        <v>6237</v>
      </c>
      <c r="D1579" s="512" t="s">
        <v>6238</v>
      </c>
      <c r="E1579" s="513">
        <v>5868</v>
      </c>
      <c r="F1579" s="512" t="s">
        <v>1596</v>
      </c>
      <c r="G1579" s="513" t="s">
        <v>21</v>
      </c>
      <c r="H1579" s="514">
        <v>177098</v>
      </c>
      <c r="I1579" s="515" t="s">
        <v>6915</v>
      </c>
    </row>
    <row r="1580" spans="2:9" ht="15" x14ac:dyDescent="0.35">
      <c r="B1580" s="512" t="s">
        <v>6219</v>
      </c>
      <c r="C1580" s="512" t="s">
        <v>6237</v>
      </c>
      <c r="D1580" s="512" t="s">
        <v>6238</v>
      </c>
      <c r="E1580" s="513">
        <v>5870</v>
      </c>
      <c r="F1580" s="512" t="s">
        <v>1597</v>
      </c>
      <c r="G1580" s="513" t="s">
        <v>29</v>
      </c>
      <c r="H1580" s="514">
        <v>60248</v>
      </c>
      <c r="I1580" s="515" t="s">
        <v>6915</v>
      </c>
    </row>
    <row r="1581" spans="2:9" ht="15" x14ac:dyDescent="0.35">
      <c r="B1581" s="512" t="s">
        <v>6219</v>
      </c>
      <c r="C1581" s="512" t="s">
        <v>6240</v>
      </c>
      <c r="D1581" s="512" t="s">
        <v>6241</v>
      </c>
      <c r="E1581" s="513">
        <v>5871</v>
      </c>
      <c r="F1581" s="512" t="s">
        <v>1598</v>
      </c>
      <c r="G1581" s="513" t="s">
        <v>29</v>
      </c>
      <c r="H1581" s="514">
        <v>598677</v>
      </c>
      <c r="I1581" s="515" t="s">
        <v>6915</v>
      </c>
    </row>
    <row r="1582" spans="2:9" ht="15" x14ac:dyDescent="0.35">
      <c r="B1582" s="512" t="s">
        <v>6219</v>
      </c>
      <c r="C1582" s="512" t="s">
        <v>6240</v>
      </c>
      <c r="D1582" s="512" t="s">
        <v>6241</v>
      </c>
      <c r="E1582" s="513">
        <v>5872</v>
      </c>
      <c r="F1582" s="512" t="s">
        <v>1599</v>
      </c>
      <c r="G1582" s="513" t="s">
        <v>29</v>
      </c>
      <c r="H1582" s="516">
        <v>631741</v>
      </c>
      <c r="I1582" s="512" t="s">
        <v>6915</v>
      </c>
    </row>
    <row r="1583" spans="2:9" ht="15" x14ac:dyDescent="0.35">
      <c r="B1583" s="512" t="s">
        <v>6219</v>
      </c>
      <c r="C1583" s="512" t="s">
        <v>6233</v>
      </c>
      <c r="D1583" s="512" t="s">
        <v>6234</v>
      </c>
      <c r="E1583" s="513">
        <v>5873</v>
      </c>
      <c r="F1583" s="512" t="s">
        <v>1600</v>
      </c>
      <c r="G1583" s="513" t="s">
        <v>29</v>
      </c>
      <c r="H1583" s="514">
        <v>31161</v>
      </c>
      <c r="I1583" s="515" t="s">
        <v>6915</v>
      </c>
    </row>
    <row r="1584" spans="2:9" ht="15" x14ac:dyDescent="0.35">
      <c r="B1584" s="512" t="s">
        <v>6219</v>
      </c>
      <c r="C1584" s="512" t="s">
        <v>6240</v>
      </c>
      <c r="D1584" s="512" t="s">
        <v>6241</v>
      </c>
      <c r="E1584" s="513">
        <v>5874</v>
      </c>
      <c r="F1584" s="512" t="s">
        <v>1601</v>
      </c>
      <c r="G1584" s="513" t="s">
        <v>29</v>
      </c>
      <c r="H1584" s="514">
        <v>285661</v>
      </c>
      <c r="I1584" s="515" t="s">
        <v>6915</v>
      </c>
    </row>
    <row r="1585" spans="2:9" ht="15" x14ac:dyDescent="0.35">
      <c r="B1585" s="512" t="s">
        <v>6219</v>
      </c>
      <c r="C1585" s="512" t="s">
        <v>6233</v>
      </c>
      <c r="D1585" s="512" t="s">
        <v>6234</v>
      </c>
      <c r="E1585" s="513">
        <v>5875</v>
      </c>
      <c r="F1585" s="512" t="s">
        <v>1602</v>
      </c>
      <c r="G1585" s="513" t="s">
        <v>29</v>
      </c>
      <c r="H1585" s="514">
        <v>223041</v>
      </c>
      <c r="I1585" s="515" t="s">
        <v>6915</v>
      </c>
    </row>
    <row r="1586" spans="2:9" ht="15" x14ac:dyDescent="0.35">
      <c r="B1586" s="512" t="s">
        <v>6219</v>
      </c>
      <c r="C1586" s="512" t="s">
        <v>6233</v>
      </c>
      <c r="D1586" s="512" t="s">
        <v>6234</v>
      </c>
      <c r="E1586" s="513">
        <v>5876</v>
      </c>
      <c r="F1586" s="512" t="s">
        <v>1603</v>
      </c>
      <c r="G1586" s="513" t="s">
        <v>29</v>
      </c>
      <c r="H1586" s="516">
        <v>355150</v>
      </c>
      <c r="I1586" s="512" t="s">
        <v>6915</v>
      </c>
    </row>
    <row r="1587" spans="2:9" ht="15" x14ac:dyDescent="0.35">
      <c r="B1587" s="512" t="s">
        <v>6219</v>
      </c>
      <c r="C1587" s="512" t="s">
        <v>6233</v>
      </c>
      <c r="D1587" s="512" t="s">
        <v>6234</v>
      </c>
      <c r="E1587" s="513">
        <v>5877</v>
      </c>
      <c r="F1587" s="512" t="s">
        <v>1604</v>
      </c>
      <c r="G1587" s="513" t="s">
        <v>29</v>
      </c>
      <c r="H1587" s="514">
        <v>90840</v>
      </c>
      <c r="I1587" s="515" t="s">
        <v>6915</v>
      </c>
    </row>
    <row r="1588" spans="2:9" ht="15" x14ac:dyDescent="0.35">
      <c r="B1588" s="512" t="s">
        <v>6219</v>
      </c>
      <c r="C1588" s="512" t="s">
        <v>6233</v>
      </c>
      <c r="D1588" s="512" t="s">
        <v>6234</v>
      </c>
      <c r="E1588" s="513">
        <v>5878</v>
      </c>
      <c r="F1588" s="512" t="s">
        <v>1605</v>
      </c>
      <c r="G1588" s="513" t="s">
        <v>29</v>
      </c>
      <c r="H1588" s="514">
        <v>4691424</v>
      </c>
      <c r="I1588" s="515" t="s">
        <v>6915</v>
      </c>
    </row>
    <row r="1589" spans="2:9" ht="15" x14ac:dyDescent="0.35">
      <c r="B1589" s="512" t="s">
        <v>6219</v>
      </c>
      <c r="C1589" s="512" t="s">
        <v>6233</v>
      </c>
      <c r="D1589" s="512" t="s">
        <v>6234</v>
      </c>
      <c r="E1589" s="513">
        <v>5879</v>
      </c>
      <c r="F1589" s="512" t="s">
        <v>1606</v>
      </c>
      <c r="G1589" s="513" t="s">
        <v>29</v>
      </c>
      <c r="H1589" s="514">
        <v>416693</v>
      </c>
      <c r="I1589" s="515" t="s">
        <v>6915</v>
      </c>
    </row>
    <row r="1590" spans="2:9" ht="15" x14ac:dyDescent="0.35">
      <c r="B1590" s="512" t="s">
        <v>6219</v>
      </c>
      <c r="C1590" s="512" t="s">
        <v>6233</v>
      </c>
      <c r="D1590" s="512" t="s">
        <v>6234</v>
      </c>
      <c r="E1590" s="513">
        <v>5880</v>
      </c>
      <c r="F1590" s="512" t="s">
        <v>1607</v>
      </c>
      <c r="G1590" s="513" t="s">
        <v>29</v>
      </c>
      <c r="H1590" s="514">
        <v>520860</v>
      </c>
      <c r="I1590" s="512" t="s">
        <v>6915</v>
      </c>
    </row>
    <row r="1591" spans="2:9" ht="15" x14ac:dyDescent="0.35">
      <c r="B1591" s="512" t="s">
        <v>6219</v>
      </c>
      <c r="C1591" s="512" t="s">
        <v>6233</v>
      </c>
      <c r="D1591" s="512" t="s">
        <v>6234</v>
      </c>
      <c r="E1591" s="513">
        <v>5881</v>
      </c>
      <c r="F1591" s="512" t="s">
        <v>1608</v>
      </c>
      <c r="G1591" s="513" t="s">
        <v>29</v>
      </c>
      <c r="H1591" s="514">
        <v>4677</v>
      </c>
      <c r="I1591" s="512" t="s">
        <v>6915</v>
      </c>
    </row>
    <row r="1592" spans="2:9" ht="15" x14ac:dyDescent="0.35">
      <c r="B1592" s="512" t="s">
        <v>6219</v>
      </c>
      <c r="C1592" s="512" t="s">
        <v>6240</v>
      </c>
      <c r="D1592" s="512" t="s">
        <v>6275</v>
      </c>
      <c r="E1592" s="513">
        <v>5882</v>
      </c>
      <c r="F1592" s="512" t="s">
        <v>1609</v>
      </c>
      <c r="G1592" s="513" t="s">
        <v>29</v>
      </c>
      <c r="H1592" s="514">
        <v>182320</v>
      </c>
      <c r="I1592" s="515" t="s">
        <v>6915</v>
      </c>
    </row>
    <row r="1593" spans="2:9" ht="15" x14ac:dyDescent="0.35">
      <c r="B1593" s="512" t="s">
        <v>6219</v>
      </c>
      <c r="C1593" s="512" t="s">
        <v>6233</v>
      </c>
      <c r="D1593" s="512" t="s">
        <v>6234</v>
      </c>
      <c r="E1593" s="513">
        <v>5883</v>
      </c>
      <c r="F1593" s="512" t="s">
        <v>1610</v>
      </c>
      <c r="G1593" s="513" t="s">
        <v>29</v>
      </c>
      <c r="H1593" s="514">
        <v>15225</v>
      </c>
      <c r="I1593" s="515" t="s">
        <v>6915</v>
      </c>
    </row>
    <row r="1594" spans="2:9" ht="15" x14ac:dyDescent="0.35">
      <c r="B1594" s="512" t="s">
        <v>6219</v>
      </c>
      <c r="C1594" s="512" t="s">
        <v>6240</v>
      </c>
      <c r="D1594" s="512" t="s">
        <v>6256</v>
      </c>
      <c r="E1594" s="513">
        <v>5884</v>
      </c>
      <c r="F1594" s="512" t="s">
        <v>1611</v>
      </c>
      <c r="G1594" s="513" t="s">
        <v>29</v>
      </c>
      <c r="H1594" s="514">
        <v>119808</v>
      </c>
      <c r="I1594" s="515" t="s">
        <v>6915</v>
      </c>
    </row>
    <row r="1595" spans="2:9" ht="15" x14ac:dyDescent="0.35">
      <c r="B1595" s="512" t="s">
        <v>6219</v>
      </c>
      <c r="C1595" s="512" t="s">
        <v>6240</v>
      </c>
      <c r="D1595" s="512" t="s">
        <v>6256</v>
      </c>
      <c r="E1595" s="513">
        <v>5885</v>
      </c>
      <c r="F1595" s="512" t="s">
        <v>1612</v>
      </c>
      <c r="G1595" s="513" t="s">
        <v>29</v>
      </c>
      <c r="H1595" s="516">
        <v>129366</v>
      </c>
      <c r="I1595" s="512" t="s">
        <v>6915</v>
      </c>
    </row>
    <row r="1596" spans="2:9" ht="15" x14ac:dyDescent="0.35">
      <c r="B1596" s="512" t="s">
        <v>6219</v>
      </c>
      <c r="C1596" s="512" t="s">
        <v>6232</v>
      </c>
      <c r="D1596" s="512" t="s">
        <v>6232</v>
      </c>
      <c r="E1596" s="513">
        <v>5886</v>
      </c>
      <c r="F1596" s="512" t="s">
        <v>1613</v>
      </c>
      <c r="G1596" s="513" t="s">
        <v>26</v>
      </c>
      <c r="H1596" s="514">
        <v>393536</v>
      </c>
      <c r="I1596" s="515" t="s">
        <v>6915</v>
      </c>
    </row>
    <row r="1597" spans="2:9" ht="15" x14ac:dyDescent="0.35">
      <c r="B1597" s="512" t="s">
        <v>6219</v>
      </c>
      <c r="C1597" s="512" t="s">
        <v>6232</v>
      </c>
      <c r="D1597" s="512" t="s">
        <v>6232</v>
      </c>
      <c r="E1597" s="513">
        <v>5887</v>
      </c>
      <c r="F1597" s="512" t="s">
        <v>1614</v>
      </c>
      <c r="G1597" s="513" t="s">
        <v>26</v>
      </c>
      <c r="H1597" s="514">
        <v>721992</v>
      </c>
      <c r="I1597" s="512" t="s">
        <v>6915</v>
      </c>
    </row>
    <row r="1598" spans="2:9" ht="15" x14ac:dyDescent="0.35">
      <c r="B1598" s="512" t="s">
        <v>6219</v>
      </c>
      <c r="C1598" s="512" t="s">
        <v>6232</v>
      </c>
      <c r="D1598" s="512" t="s">
        <v>6232</v>
      </c>
      <c r="E1598" s="513">
        <v>5888</v>
      </c>
      <c r="F1598" s="512" t="s">
        <v>1615</v>
      </c>
      <c r="G1598" s="513" t="s">
        <v>26</v>
      </c>
      <c r="H1598" s="514">
        <v>868607</v>
      </c>
      <c r="I1598" s="515" t="s">
        <v>6915</v>
      </c>
    </row>
    <row r="1599" spans="2:9" ht="15" x14ac:dyDescent="0.35">
      <c r="B1599" s="512" t="s">
        <v>6219</v>
      </c>
      <c r="C1599" s="512" t="s">
        <v>6232</v>
      </c>
      <c r="D1599" s="512" t="s">
        <v>6232</v>
      </c>
      <c r="E1599" s="513">
        <v>5889</v>
      </c>
      <c r="F1599" s="512" t="s">
        <v>1616</v>
      </c>
      <c r="G1599" s="513" t="s">
        <v>26</v>
      </c>
      <c r="H1599" s="514">
        <v>1004601</v>
      </c>
      <c r="I1599" s="515" t="s">
        <v>6915</v>
      </c>
    </row>
    <row r="1600" spans="2:9" ht="15" x14ac:dyDescent="0.35">
      <c r="B1600" s="512" t="s">
        <v>6219</v>
      </c>
      <c r="C1600" s="512" t="s">
        <v>6220</v>
      </c>
      <c r="D1600" s="512" t="s">
        <v>6270</v>
      </c>
      <c r="E1600" s="513">
        <v>5890</v>
      </c>
      <c r="F1600" s="512" t="s">
        <v>1617</v>
      </c>
      <c r="G1600" s="513" t="s">
        <v>21</v>
      </c>
      <c r="H1600" s="514">
        <v>42201</v>
      </c>
      <c r="I1600" s="515" t="s">
        <v>6915</v>
      </c>
    </row>
    <row r="1601" spans="2:9" ht="15" x14ac:dyDescent="0.35">
      <c r="B1601" s="512" t="s">
        <v>6219</v>
      </c>
      <c r="C1601" s="512" t="s">
        <v>6220</v>
      </c>
      <c r="D1601" s="512" t="s">
        <v>6222</v>
      </c>
      <c r="E1601" s="513">
        <v>5891</v>
      </c>
      <c r="F1601" s="512" t="s">
        <v>1618</v>
      </c>
      <c r="G1601" s="513" t="s">
        <v>23</v>
      </c>
      <c r="H1601" s="514">
        <v>6598</v>
      </c>
      <c r="I1601" s="515" t="s">
        <v>6915</v>
      </c>
    </row>
    <row r="1602" spans="2:9" ht="15" x14ac:dyDescent="0.35">
      <c r="B1602" s="512" t="s">
        <v>6219</v>
      </c>
      <c r="C1602" s="512" t="s">
        <v>6232</v>
      </c>
      <c r="D1602" s="512" t="s">
        <v>6232</v>
      </c>
      <c r="E1602" s="513">
        <v>5892</v>
      </c>
      <c r="F1602" s="512" t="s">
        <v>1619</v>
      </c>
      <c r="G1602" s="513" t="s">
        <v>29</v>
      </c>
      <c r="H1602" s="514">
        <v>488577</v>
      </c>
      <c r="I1602" s="515" t="s">
        <v>6915</v>
      </c>
    </row>
    <row r="1603" spans="2:9" ht="15" x14ac:dyDescent="0.35">
      <c r="B1603" s="512" t="s">
        <v>6219</v>
      </c>
      <c r="C1603" s="512" t="s">
        <v>6232</v>
      </c>
      <c r="D1603" s="512" t="s">
        <v>6232</v>
      </c>
      <c r="E1603" s="513">
        <v>5893</v>
      </c>
      <c r="F1603" s="512" t="s">
        <v>1620</v>
      </c>
      <c r="G1603" s="513" t="s">
        <v>29</v>
      </c>
      <c r="H1603" s="514">
        <v>547350</v>
      </c>
      <c r="I1603" s="515" t="s">
        <v>6915</v>
      </c>
    </row>
    <row r="1604" spans="2:9" ht="15" x14ac:dyDescent="0.35">
      <c r="B1604" s="512" t="s">
        <v>6219</v>
      </c>
      <c r="C1604" s="512" t="s">
        <v>6232</v>
      </c>
      <c r="D1604" s="512" t="s">
        <v>6232</v>
      </c>
      <c r="E1604" s="513">
        <v>5894</v>
      </c>
      <c r="F1604" s="512" t="s">
        <v>1621</v>
      </c>
      <c r="G1604" s="513" t="s">
        <v>29</v>
      </c>
      <c r="H1604" s="516">
        <v>2541740</v>
      </c>
      <c r="I1604" s="512" t="s">
        <v>6915</v>
      </c>
    </row>
    <row r="1605" spans="2:9" ht="15" x14ac:dyDescent="0.35">
      <c r="B1605" s="512" t="s">
        <v>6219</v>
      </c>
      <c r="C1605" s="512" t="s">
        <v>6235</v>
      </c>
      <c r="D1605" s="512" t="s">
        <v>6245</v>
      </c>
      <c r="E1605" s="513">
        <v>5921</v>
      </c>
      <c r="F1605" s="512" t="s">
        <v>1622</v>
      </c>
      <c r="G1605" s="513" t="s">
        <v>29</v>
      </c>
      <c r="H1605" s="514">
        <v>554805</v>
      </c>
      <c r="I1605" s="515" t="s">
        <v>6915</v>
      </c>
    </row>
    <row r="1606" spans="2:9" ht="15" x14ac:dyDescent="0.35">
      <c r="B1606" s="512" t="s">
        <v>6219</v>
      </c>
      <c r="C1606" s="512" t="s">
        <v>6235</v>
      </c>
      <c r="D1606" s="512" t="s">
        <v>6245</v>
      </c>
      <c r="E1606" s="513">
        <v>5922</v>
      </c>
      <c r="F1606" s="512" t="s">
        <v>1623</v>
      </c>
      <c r="G1606" s="513" t="s">
        <v>29</v>
      </c>
      <c r="H1606" s="516">
        <v>94674</v>
      </c>
      <c r="I1606" s="512" t="s">
        <v>6915</v>
      </c>
    </row>
    <row r="1607" spans="2:9" ht="15" x14ac:dyDescent="0.35">
      <c r="B1607" s="512" t="s">
        <v>6219</v>
      </c>
      <c r="C1607" s="512" t="s">
        <v>6235</v>
      </c>
      <c r="D1607" s="512" t="s">
        <v>6245</v>
      </c>
      <c r="E1607" s="513">
        <v>5923</v>
      </c>
      <c r="F1607" s="512" t="s">
        <v>1624</v>
      </c>
      <c r="G1607" s="513" t="s">
        <v>29</v>
      </c>
      <c r="H1607" s="514">
        <v>117738</v>
      </c>
      <c r="I1607" s="515" t="s">
        <v>6915</v>
      </c>
    </row>
    <row r="1608" spans="2:9" ht="15" x14ac:dyDescent="0.35">
      <c r="B1608" s="512" t="s">
        <v>6219</v>
      </c>
      <c r="C1608" s="512" t="s">
        <v>6235</v>
      </c>
      <c r="D1608" s="512" t="s">
        <v>6245</v>
      </c>
      <c r="E1608" s="513">
        <v>5924</v>
      </c>
      <c r="F1608" s="512" t="s">
        <v>1625</v>
      </c>
      <c r="G1608" s="513" t="s">
        <v>29</v>
      </c>
      <c r="H1608" s="516">
        <v>31249</v>
      </c>
      <c r="I1608" s="512" t="s">
        <v>6915</v>
      </c>
    </row>
    <row r="1609" spans="2:9" ht="15" x14ac:dyDescent="0.35">
      <c r="B1609" s="512" t="s">
        <v>6219</v>
      </c>
      <c r="C1609" s="512" t="s">
        <v>6268</v>
      </c>
      <c r="D1609" s="512" t="s">
        <v>6268</v>
      </c>
      <c r="E1609" s="513">
        <v>5927</v>
      </c>
      <c r="F1609" s="512" t="s">
        <v>1626</v>
      </c>
      <c r="G1609" s="513" t="s">
        <v>29</v>
      </c>
      <c r="H1609" s="514">
        <v>573905</v>
      </c>
      <c r="I1609" s="515" t="s">
        <v>6915</v>
      </c>
    </row>
    <row r="1610" spans="2:9" ht="15" x14ac:dyDescent="0.35">
      <c r="B1610" s="512" t="s">
        <v>6219</v>
      </c>
      <c r="C1610" s="512" t="s">
        <v>6268</v>
      </c>
      <c r="D1610" s="512" t="s">
        <v>6268</v>
      </c>
      <c r="E1610" s="513">
        <v>5928</v>
      </c>
      <c r="F1610" s="512" t="s">
        <v>1627</v>
      </c>
      <c r="G1610" s="513" t="s">
        <v>1628</v>
      </c>
      <c r="H1610" s="514">
        <v>28694</v>
      </c>
      <c r="I1610" s="515" t="s">
        <v>6915</v>
      </c>
    </row>
    <row r="1611" spans="2:9" ht="15" x14ac:dyDescent="0.35">
      <c r="B1611" s="512" t="s">
        <v>6219</v>
      </c>
      <c r="C1611" s="512" t="s">
        <v>6272</v>
      </c>
      <c r="D1611" s="512" t="s">
        <v>6278</v>
      </c>
      <c r="E1611" s="513">
        <v>5933</v>
      </c>
      <c r="F1611" s="512" t="s">
        <v>1629</v>
      </c>
      <c r="G1611" s="513" t="s">
        <v>21</v>
      </c>
      <c r="H1611" s="514">
        <v>360963</v>
      </c>
      <c r="I1611" s="515" t="s">
        <v>6915</v>
      </c>
    </row>
    <row r="1612" spans="2:9" ht="15" x14ac:dyDescent="0.35">
      <c r="B1612" s="512" t="s">
        <v>6219</v>
      </c>
      <c r="C1612" s="512" t="s">
        <v>6272</v>
      </c>
      <c r="D1612" s="512" t="s">
        <v>6278</v>
      </c>
      <c r="E1612" s="513">
        <v>5935</v>
      </c>
      <c r="F1612" s="512" t="s">
        <v>1630</v>
      </c>
      <c r="G1612" s="513" t="s">
        <v>21</v>
      </c>
      <c r="H1612" s="514">
        <v>624501</v>
      </c>
      <c r="I1612" s="515" t="s">
        <v>6915</v>
      </c>
    </row>
    <row r="1613" spans="2:9" ht="15" x14ac:dyDescent="0.35">
      <c r="B1613" s="512" t="s">
        <v>6219</v>
      </c>
      <c r="C1613" s="512" t="s">
        <v>6272</v>
      </c>
      <c r="D1613" s="512" t="s">
        <v>6278</v>
      </c>
      <c r="E1613" s="513">
        <v>5936</v>
      </c>
      <c r="F1613" s="512" t="s">
        <v>1631</v>
      </c>
      <c r="G1613" s="513" t="s">
        <v>21</v>
      </c>
      <c r="H1613" s="514">
        <v>298470</v>
      </c>
      <c r="I1613" s="515" t="s">
        <v>6915</v>
      </c>
    </row>
    <row r="1614" spans="2:9" ht="15" x14ac:dyDescent="0.35">
      <c r="B1614" s="512" t="s">
        <v>6219</v>
      </c>
      <c r="C1614" s="512" t="s">
        <v>6240</v>
      </c>
      <c r="D1614" s="512" t="s">
        <v>6241</v>
      </c>
      <c r="E1614" s="513">
        <v>5939</v>
      </c>
      <c r="F1614" s="512" t="s">
        <v>1632</v>
      </c>
      <c r="G1614" s="513" t="s">
        <v>26</v>
      </c>
      <c r="H1614" s="514">
        <v>254247</v>
      </c>
      <c r="I1614" s="512" t="s">
        <v>6915</v>
      </c>
    </row>
    <row r="1615" spans="2:9" ht="15" x14ac:dyDescent="0.35">
      <c r="B1615" s="512" t="s">
        <v>6219</v>
      </c>
      <c r="C1615" s="512" t="s">
        <v>6240</v>
      </c>
      <c r="D1615" s="512" t="s">
        <v>6241</v>
      </c>
      <c r="E1615" s="513">
        <v>5940</v>
      </c>
      <c r="F1615" s="512" t="s">
        <v>1633</v>
      </c>
      <c r="G1615" s="513" t="s">
        <v>23</v>
      </c>
      <c r="H1615" s="514">
        <v>1062719</v>
      </c>
      <c r="I1615" s="515" t="s">
        <v>6915</v>
      </c>
    </row>
    <row r="1616" spans="2:9" ht="15" x14ac:dyDescent="0.35">
      <c r="B1616" s="512" t="s">
        <v>6219</v>
      </c>
      <c r="C1616" s="512" t="s">
        <v>6240</v>
      </c>
      <c r="D1616" s="512" t="s">
        <v>6241</v>
      </c>
      <c r="E1616" s="513">
        <v>5941</v>
      </c>
      <c r="F1616" s="512" t="s">
        <v>1634</v>
      </c>
      <c r="G1616" s="513" t="s">
        <v>23</v>
      </c>
      <c r="H1616" s="514">
        <v>1065598</v>
      </c>
      <c r="I1616" s="515" t="s">
        <v>6915</v>
      </c>
    </row>
    <row r="1617" spans="2:9" ht="15" x14ac:dyDescent="0.35">
      <c r="B1617" s="512" t="s">
        <v>6219</v>
      </c>
      <c r="C1617" s="512" t="s">
        <v>6240</v>
      </c>
      <c r="D1617" s="512" t="s">
        <v>6241</v>
      </c>
      <c r="E1617" s="513">
        <v>5945</v>
      </c>
      <c r="F1617" s="512" t="s">
        <v>1635</v>
      </c>
      <c r="G1617" s="513" t="s">
        <v>23</v>
      </c>
      <c r="H1617" s="514">
        <v>1007613</v>
      </c>
      <c r="I1617" s="515" t="s">
        <v>6915</v>
      </c>
    </row>
    <row r="1618" spans="2:9" ht="15" x14ac:dyDescent="0.35">
      <c r="B1618" s="512" t="s">
        <v>6219</v>
      </c>
      <c r="C1618" s="512" t="s">
        <v>6240</v>
      </c>
      <c r="D1618" s="512" t="s">
        <v>6241</v>
      </c>
      <c r="E1618" s="513">
        <v>5946</v>
      </c>
      <c r="F1618" s="512" t="s">
        <v>1636</v>
      </c>
      <c r="G1618" s="513" t="s">
        <v>23</v>
      </c>
      <c r="H1618" s="514">
        <v>1349300</v>
      </c>
      <c r="I1618" s="515" t="s">
        <v>6915</v>
      </c>
    </row>
    <row r="1619" spans="2:9" ht="15" x14ac:dyDescent="0.35">
      <c r="B1619" s="512" t="s">
        <v>6219</v>
      </c>
      <c r="C1619" s="512" t="s">
        <v>6240</v>
      </c>
      <c r="D1619" s="512" t="s">
        <v>6241</v>
      </c>
      <c r="E1619" s="513">
        <v>5948</v>
      </c>
      <c r="F1619" s="512" t="s">
        <v>1637</v>
      </c>
      <c r="G1619" s="513" t="s">
        <v>23</v>
      </c>
      <c r="H1619" s="514">
        <v>1203787</v>
      </c>
      <c r="I1619" s="512" t="s">
        <v>6915</v>
      </c>
    </row>
    <row r="1620" spans="2:9" ht="15" x14ac:dyDescent="0.35">
      <c r="B1620" s="512" t="s">
        <v>6219</v>
      </c>
      <c r="C1620" s="512" t="s">
        <v>6240</v>
      </c>
      <c r="D1620" s="512" t="s">
        <v>6241</v>
      </c>
      <c r="E1620" s="513">
        <v>5949</v>
      </c>
      <c r="F1620" s="512" t="s">
        <v>1638</v>
      </c>
      <c r="G1620" s="513" t="s">
        <v>23</v>
      </c>
      <c r="H1620" s="514">
        <v>1083522</v>
      </c>
      <c r="I1620" s="515" t="s">
        <v>6915</v>
      </c>
    </row>
    <row r="1621" spans="2:9" ht="15" x14ac:dyDescent="0.35">
      <c r="B1621" s="512" t="s">
        <v>6219</v>
      </c>
      <c r="C1621" s="512" t="s">
        <v>6240</v>
      </c>
      <c r="D1621" s="512" t="s">
        <v>6241</v>
      </c>
      <c r="E1621" s="513">
        <v>5950</v>
      </c>
      <c r="F1621" s="512" t="s">
        <v>1639</v>
      </c>
      <c r="G1621" s="513" t="s">
        <v>23</v>
      </c>
      <c r="H1621" s="514">
        <v>2561909</v>
      </c>
      <c r="I1621" s="515" t="s">
        <v>6915</v>
      </c>
    </row>
    <row r="1622" spans="2:9" ht="15" x14ac:dyDescent="0.35">
      <c r="B1622" s="512" t="s">
        <v>6219</v>
      </c>
      <c r="C1622" s="512" t="s">
        <v>6235</v>
      </c>
      <c r="D1622" s="512" t="s">
        <v>6245</v>
      </c>
      <c r="E1622" s="513">
        <v>5952</v>
      </c>
      <c r="F1622" s="512" t="s">
        <v>1640</v>
      </c>
      <c r="G1622" s="513" t="s">
        <v>26</v>
      </c>
      <c r="H1622" s="514">
        <v>474810</v>
      </c>
      <c r="I1622" s="515" t="s">
        <v>6915</v>
      </c>
    </row>
    <row r="1623" spans="2:9" ht="15" x14ac:dyDescent="0.35">
      <c r="B1623" s="512" t="s">
        <v>6219</v>
      </c>
      <c r="C1623" s="512" t="s">
        <v>6239</v>
      </c>
      <c r="D1623" s="512" t="s">
        <v>6239</v>
      </c>
      <c r="E1623" s="513">
        <v>5953</v>
      </c>
      <c r="F1623" s="512" t="s">
        <v>6170</v>
      </c>
      <c r="G1623" s="513" t="s">
        <v>26</v>
      </c>
      <c r="H1623" s="516">
        <v>871759</v>
      </c>
      <c r="I1623" s="512" t="s">
        <v>6915</v>
      </c>
    </row>
    <row r="1624" spans="2:9" ht="15" x14ac:dyDescent="0.35">
      <c r="B1624" s="512" t="s">
        <v>6219</v>
      </c>
      <c r="C1624" s="512" t="s">
        <v>6224</v>
      </c>
      <c r="D1624" s="512" t="s">
        <v>6262</v>
      </c>
      <c r="E1624" s="513">
        <v>5954</v>
      </c>
      <c r="F1624" s="512" t="s">
        <v>1641</v>
      </c>
      <c r="G1624" s="513" t="s">
        <v>26</v>
      </c>
      <c r="H1624" s="514">
        <v>1345327</v>
      </c>
      <c r="I1624" s="515" t="s">
        <v>6915</v>
      </c>
    </row>
    <row r="1625" spans="2:9" ht="15" x14ac:dyDescent="0.35">
      <c r="B1625" s="512" t="s">
        <v>6219</v>
      </c>
      <c r="C1625" s="512" t="s">
        <v>6237</v>
      </c>
      <c r="D1625" s="512" t="s">
        <v>6247</v>
      </c>
      <c r="E1625" s="513">
        <v>5955</v>
      </c>
      <c r="F1625" s="512" t="s">
        <v>1642</v>
      </c>
      <c r="G1625" s="513" t="s">
        <v>29</v>
      </c>
      <c r="H1625" s="514">
        <v>514697</v>
      </c>
      <c r="I1625" s="515" t="s">
        <v>6915</v>
      </c>
    </row>
    <row r="1626" spans="2:9" ht="15" x14ac:dyDescent="0.35">
      <c r="B1626" s="512" t="s">
        <v>6263</v>
      </c>
      <c r="C1626" s="512" t="s">
        <v>6252</v>
      </c>
      <c r="D1626" s="512" t="s">
        <v>6252</v>
      </c>
      <c r="E1626" s="513">
        <v>5966</v>
      </c>
      <c r="F1626" s="512" t="s">
        <v>1643</v>
      </c>
      <c r="G1626" s="513" t="s">
        <v>21</v>
      </c>
      <c r="H1626" s="514">
        <v>4934</v>
      </c>
      <c r="I1626" s="515" t="s">
        <v>6915</v>
      </c>
    </row>
    <row r="1627" spans="2:9" ht="15" x14ac:dyDescent="0.35">
      <c r="B1627" s="512" t="s">
        <v>6263</v>
      </c>
      <c r="C1627" s="512" t="s">
        <v>6252</v>
      </c>
      <c r="D1627" s="512" t="s">
        <v>6252</v>
      </c>
      <c r="E1627" s="513">
        <v>5967</v>
      </c>
      <c r="F1627" s="512" t="s">
        <v>1644</v>
      </c>
      <c r="G1627" s="513" t="s">
        <v>21</v>
      </c>
      <c r="H1627" s="514">
        <v>33172</v>
      </c>
      <c r="I1627" s="515" t="s">
        <v>6915</v>
      </c>
    </row>
    <row r="1628" spans="2:9" ht="15" x14ac:dyDescent="0.35">
      <c r="B1628" s="512" t="s">
        <v>6263</v>
      </c>
      <c r="C1628" s="512" t="s">
        <v>6252</v>
      </c>
      <c r="D1628" s="512" t="s">
        <v>6252</v>
      </c>
      <c r="E1628" s="513">
        <v>5968</v>
      </c>
      <c r="F1628" s="512" t="s">
        <v>1645</v>
      </c>
      <c r="G1628" s="513" t="s">
        <v>21</v>
      </c>
      <c r="H1628" s="516">
        <v>109679</v>
      </c>
      <c r="I1628" s="512" t="s">
        <v>6915</v>
      </c>
    </row>
    <row r="1629" spans="2:9" ht="15" x14ac:dyDescent="0.35">
      <c r="B1629" s="512" t="s">
        <v>6263</v>
      </c>
      <c r="C1629" s="512" t="s">
        <v>6252</v>
      </c>
      <c r="D1629" s="512" t="s">
        <v>6252</v>
      </c>
      <c r="E1629" s="513">
        <v>5969</v>
      </c>
      <c r="F1629" s="512" t="s">
        <v>1646</v>
      </c>
      <c r="G1629" s="513" t="s">
        <v>21</v>
      </c>
      <c r="H1629" s="516">
        <v>108171</v>
      </c>
      <c r="I1629" s="512" t="s">
        <v>6915</v>
      </c>
    </row>
    <row r="1630" spans="2:9" ht="15" x14ac:dyDescent="0.35">
      <c r="B1630" s="512" t="s">
        <v>6263</v>
      </c>
      <c r="C1630" s="512" t="s">
        <v>6252</v>
      </c>
      <c r="D1630" s="512" t="s">
        <v>6252</v>
      </c>
      <c r="E1630" s="513">
        <v>5970</v>
      </c>
      <c r="F1630" s="512" t="s">
        <v>1647</v>
      </c>
      <c r="G1630" s="513" t="s">
        <v>21</v>
      </c>
      <c r="H1630" s="516">
        <v>382242</v>
      </c>
      <c r="I1630" s="512" t="s">
        <v>6915</v>
      </c>
    </row>
    <row r="1631" spans="2:9" ht="15" x14ac:dyDescent="0.35">
      <c r="B1631" s="512" t="s">
        <v>6263</v>
      </c>
      <c r="C1631" s="512" t="s">
        <v>6252</v>
      </c>
      <c r="D1631" s="512" t="s">
        <v>6252</v>
      </c>
      <c r="E1631" s="513">
        <v>5971</v>
      </c>
      <c r="F1631" s="512" t="s">
        <v>1648</v>
      </c>
      <c r="G1631" s="513" t="s">
        <v>21</v>
      </c>
      <c r="H1631" s="516">
        <v>465916</v>
      </c>
      <c r="I1631" s="512" t="s">
        <v>6915</v>
      </c>
    </row>
    <row r="1632" spans="2:9" ht="15" x14ac:dyDescent="0.35">
      <c r="B1632" s="512" t="s">
        <v>6263</v>
      </c>
      <c r="C1632" s="512" t="s">
        <v>6252</v>
      </c>
      <c r="D1632" s="512" t="s">
        <v>6252</v>
      </c>
      <c r="E1632" s="513">
        <v>5972</v>
      </c>
      <c r="F1632" s="512" t="s">
        <v>1649</v>
      </c>
      <c r="G1632" s="513" t="s">
        <v>21</v>
      </c>
      <c r="H1632" s="516">
        <v>439772</v>
      </c>
      <c r="I1632" s="512" t="s">
        <v>6915</v>
      </c>
    </row>
    <row r="1633" spans="2:9" ht="15" x14ac:dyDescent="0.35">
      <c r="B1633" s="512" t="s">
        <v>6219</v>
      </c>
      <c r="C1633" s="512" t="s">
        <v>6253</v>
      </c>
      <c r="D1633" s="512" t="s">
        <v>6254</v>
      </c>
      <c r="E1633" s="513">
        <v>5975</v>
      </c>
      <c r="F1633" s="512" t="s">
        <v>1650</v>
      </c>
      <c r="G1633" s="513" t="s">
        <v>676</v>
      </c>
      <c r="H1633" s="516">
        <v>47729</v>
      </c>
      <c r="I1633" s="512" t="s">
        <v>6915</v>
      </c>
    </row>
    <row r="1634" spans="2:9" ht="15" x14ac:dyDescent="0.35">
      <c r="B1634" s="512" t="s">
        <v>6219</v>
      </c>
      <c r="C1634" s="512" t="s">
        <v>6240</v>
      </c>
      <c r="D1634" s="512" t="s">
        <v>6275</v>
      </c>
      <c r="E1634" s="513">
        <v>5976</v>
      </c>
      <c r="F1634" s="512" t="s">
        <v>1651</v>
      </c>
      <c r="G1634" s="513" t="s">
        <v>26</v>
      </c>
      <c r="H1634" s="514">
        <v>75160</v>
      </c>
      <c r="I1634" s="515" t="s">
        <v>6915</v>
      </c>
    </row>
    <row r="1635" spans="2:9" ht="15" x14ac:dyDescent="0.35">
      <c r="B1635" s="512" t="s">
        <v>6219</v>
      </c>
      <c r="C1635" s="512" t="s">
        <v>6232</v>
      </c>
      <c r="D1635" s="512" t="s">
        <v>6232</v>
      </c>
      <c r="E1635" s="513">
        <v>5992</v>
      </c>
      <c r="F1635" s="512" t="s">
        <v>1652</v>
      </c>
      <c r="G1635" s="513" t="s">
        <v>26</v>
      </c>
      <c r="H1635" s="514">
        <v>1280812</v>
      </c>
      <c r="I1635" s="515" t="s">
        <v>6915</v>
      </c>
    </row>
    <row r="1636" spans="2:9" ht="15" x14ac:dyDescent="0.35">
      <c r="B1636" s="512" t="s">
        <v>6219</v>
      </c>
      <c r="C1636" s="512" t="s">
        <v>6237</v>
      </c>
      <c r="D1636" s="512" t="s">
        <v>6276</v>
      </c>
      <c r="E1636" s="513">
        <v>5993</v>
      </c>
      <c r="F1636" s="512" t="s">
        <v>1653</v>
      </c>
      <c r="G1636" s="513" t="s">
        <v>1106</v>
      </c>
      <c r="H1636" s="514">
        <v>5252493</v>
      </c>
      <c r="I1636" s="515" t="s">
        <v>6425</v>
      </c>
    </row>
    <row r="1637" spans="2:9" ht="15" x14ac:dyDescent="0.35">
      <c r="B1637" s="512" t="s">
        <v>6219</v>
      </c>
      <c r="C1637" s="512" t="s">
        <v>6232</v>
      </c>
      <c r="D1637" s="512" t="s">
        <v>6232</v>
      </c>
      <c r="E1637" s="513">
        <v>5994</v>
      </c>
      <c r="F1637" s="512" t="s">
        <v>1654</v>
      </c>
      <c r="G1637" s="513" t="s">
        <v>26</v>
      </c>
      <c r="H1637" s="514">
        <v>302855</v>
      </c>
      <c r="I1637" s="515" t="s">
        <v>6915</v>
      </c>
    </row>
    <row r="1638" spans="2:9" ht="15" x14ac:dyDescent="0.35">
      <c r="B1638" s="512" t="s">
        <v>6219</v>
      </c>
      <c r="C1638" s="512" t="s">
        <v>6232</v>
      </c>
      <c r="D1638" s="512" t="s">
        <v>6232</v>
      </c>
      <c r="E1638" s="513">
        <v>5995</v>
      </c>
      <c r="F1638" s="512" t="s">
        <v>1655</v>
      </c>
      <c r="G1638" s="513" t="s">
        <v>26</v>
      </c>
      <c r="H1638" s="514">
        <v>618981</v>
      </c>
      <c r="I1638" s="515" t="s">
        <v>6915</v>
      </c>
    </row>
    <row r="1639" spans="2:9" ht="15" x14ac:dyDescent="0.35">
      <c r="B1639" s="512" t="s">
        <v>6219</v>
      </c>
      <c r="C1639" s="512" t="s">
        <v>6242</v>
      </c>
      <c r="D1639" s="512" t="s">
        <v>6255</v>
      </c>
      <c r="E1639" s="513">
        <v>5996</v>
      </c>
      <c r="F1639" s="512" t="s">
        <v>1656</v>
      </c>
      <c r="G1639" s="513" t="s">
        <v>26</v>
      </c>
      <c r="H1639" s="514">
        <v>59866</v>
      </c>
      <c r="I1639" s="515" t="s">
        <v>6915</v>
      </c>
    </row>
    <row r="1640" spans="2:9" ht="15" x14ac:dyDescent="0.35">
      <c r="B1640" s="512" t="s">
        <v>6219</v>
      </c>
      <c r="C1640" s="512" t="s">
        <v>6227</v>
      </c>
      <c r="D1640" s="512" t="s">
        <v>6229</v>
      </c>
      <c r="E1640" s="513">
        <v>5997</v>
      </c>
      <c r="F1640" s="512" t="s">
        <v>1657</v>
      </c>
      <c r="G1640" s="513" t="s">
        <v>21</v>
      </c>
      <c r="H1640" s="514">
        <v>109884</v>
      </c>
      <c r="I1640" s="515" t="s">
        <v>6915</v>
      </c>
    </row>
    <row r="1641" spans="2:9" ht="15" x14ac:dyDescent="0.35">
      <c r="B1641" s="512" t="s">
        <v>6219</v>
      </c>
      <c r="C1641" s="512" t="s">
        <v>6239</v>
      </c>
      <c r="D1641" s="512" t="s">
        <v>6239</v>
      </c>
      <c r="E1641" s="513">
        <v>5998</v>
      </c>
      <c r="F1641" s="512" t="s">
        <v>1658</v>
      </c>
      <c r="G1641" s="513" t="s">
        <v>29</v>
      </c>
      <c r="H1641" s="514">
        <v>205456</v>
      </c>
      <c r="I1641" s="515" t="s">
        <v>6915</v>
      </c>
    </row>
    <row r="1642" spans="2:9" ht="15" x14ac:dyDescent="0.35">
      <c r="B1642" s="512" t="s">
        <v>6219</v>
      </c>
      <c r="C1642" s="512" t="s">
        <v>6239</v>
      </c>
      <c r="D1642" s="512" t="s">
        <v>6239</v>
      </c>
      <c r="E1642" s="513">
        <v>5999</v>
      </c>
      <c r="F1642" s="512" t="s">
        <v>1659</v>
      </c>
      <c r="G1642" s="513" t="s">
        <v>29</v>
      </c>
      <c r="H1642" s="514">
        <v>1667960</v>
      </c>
      <c r="I1642" s="515" t="s">
        <v>6915</v>
      </c>
    </row>
    <row r="1643" spans="2:9" ht="15" x14ac:dyDescent="0.35">
      <c r="B1643" s="512" t="s">
        <v>6219</v>
      </c>
      <c r="C1643" s="512" t="s">
        <v>6233</v>
      </c>
      <c r="D1643" s="512" t="s">
        <v>6234</v>
      </c>
      <c r="E1643" s="513">
        <v>6004</v>
      </c>
      <c r="F1643" s="512" t="s">
        <v>1660</v>
      </c>
      <c r="G1643" s="513" t="s">
        <v>29</v>
      </c>
      <c r="H1643" s="514">
        <v>18350267</v>
      </c>
      <c r="I1643" s="515" t="s">
        <v>6425</v>
      </c>
    </row>
    <row r="1644" spans="2:9" ht="15" x14ac:dyDescent="0.35">
      <c r="B1644" s="512" t="s">
        <v>6219</v>
      </c>
      <c r="C1644" s="512" t="s">
        <v>6233</v>
      </c>
      <c r="D1644" s="512" t="s">
        <v>6234</v>
      </c>
      <c r="E1644" s="513">
        <v>6006</v>
      </c>
      <c r="F1644" s="512" t="s">
        <v>1661</v>
      </c>
      <c r="G1644" s="513" t="s">
        <v>29</v>
      </c>
      <c r="H1644" s="514">
        <v>2453976</v>
      </c>
      <c r="I1644" s="512" t="s">
        <v>6915</v>
      </c>
    </row>
    <row r="1645" spans="2:9" ht="15" x14ac:dyDescent="0.35">
      <c r="B1645" s="512" t="s">
        <v>6219</v>
      </c>
      <c r="C1645" s="512" t="s">
        <v>6240</v>
      </c>
      <c r="D1645" s="512" t="s">
        <v>6241</v>
      </c>
      <c r="E1645" s="513">
        <v>6007</v>
      </c>
      <c r="F1645" s="512" t="s">
        <v>1662</v>
      </c>
      <c r="G1645" s="513" t="s">
        <v>23</v>
      </c>
      <c r="H1645" s="514">
        <v>2067347</v>
      </c>
      <c r="I1645" s="515" t="s">
        <v>6915</v>
      </c>
    </row>
    <row r="1646" spans="2:9" ht="15" x14ac:dyDescent="0.35">
      <c r="B1646" s="512" t="s">
        <v>6219</v>
      </c>
      <c r="C1646" s="512" t="s">
        <v>6272</v>
      </c>
      <c r="D1646" s="512" t="s">
        <v>6281</v>
      </c>
      <c r="E1646" s="513">
        <v>6008</v>
      </c>
      <c r="F1646" s="512" t="s">
        <v>1663</v>
      </c>
      <c r="G1646" s="513" t="s">
        <v>21</v>
      </c>
      <c r="H1646" s="514">
        <v>3451</v>
      </c>
      <c r="I1646" s="515" t="s">
        <v>6915</v>
      </c>
    </row>
    <row r="1647" spans="2:9" ht="15" x14ac:dyDescent="0.35">
      <c r="B1647" s="512" t="s">
        <v>6219</v>
      </c>
      <c r="C1647" s="512" t="s">
        <v>6272</v>
      </c>
      <c r="D1647" s="512" t="s">
        <v>6281</v>
      </c>
      <c r="E1647" s="513">
        <v>6009</v>
      </c>
      <c r="F1647" s="512" t="s">
        <v>1664</v>
      </c>
      <c r="G1647" s="513" t="s">
        <v>21</v>
      </c>
      <c r="H1647" s="514">
        <v>3695</v>
      </c>
      <c r="I1647" s="515" t="s">
        <v>6915</v>
      </c>
    </row>
    <row r="1648" spans="2:9" ht="15" x14ac:dyDescent="0.35">
      <c r="B1648" s="512" t="s">
        <v>6219</v>
      </c>
      <c r="C1648" s="512" t="s">
        <v>6223</v>
      </c>
      <c r="D1648" s="512" t="s">
        <v>6223</v>
      </c>
      <c r="E1648" s="513">
        <v>6010</v>
      </c>
      <c r="F1648" s="512" t="s">
        <v>1665</v>
      </c>
      <c r="G1648" s="513" t="s">
        <v>26</v>
      </c>
      <c r="H1648" s="514">
        <v>47880</v>
      </c>
      <c r="I1648" s="515" t="s">
        <v>6915</v>
      </c>
    </row>
    <row r="1649" spans="2:9" ht="15" x14ac:dyDescent="0.35">
      <c r="B1649" s="512" t="s">
        <v>6219</v>
      </c>
      <c r="C1649" s="512" t="s">
        <v>6242</v>
      </c>
      <c r="D1649" s="512" t="s">
        <v>6257</v>
      </c>
      <c r="E1649" s="513">
        <v>6011</v>
      </c>
      <c r="F1649" s="512" t="s">
        <v>1666</v>
      </c>
      <c r="G1649" s="513" t="s">
        <v>29</v>
      </c>
      <c r="H1649" s="514">
        <v>206791</v>
      </c>
      <c r="I1649" s="515" t="s">
        <v>6915</v>
      </c>
    </row>
    <row r="1650" spans="2:9" ht="15" x14ac:dyDescent="0.35">
      <c r="B1650" s="512" t="s">
        <v>6219</v>
      </c>
      <c r="C1650" s="512" t="s">
        <v>6220</v>
      </c>
      <c r="D1650" s="512" t="s">
        <v>6270</v>
      </c>
      <c r="E1650" s="513">
        <v>6015</v>
      </c>
      <c r="F1650" s="512" t="s">
        <v>1667</v>
      </c>
      <c r="G1650" s="513" t="s">
        <v>21</v>
      </c>
      <c r="H1650" s="514">
        <v>60149</v>
      </c>
      <c r="I1650" s="512" t="s">
        <v>6915</v>
      </c>
    </row>
    <row r="1651" spans="2:9" ht="15" x14ac:dyDescent="0.35">
      <c r="B1651" s="512" t="s">
        <v>6219</v>
      </c>
      <c r="C1651" s="512" t="s">
        <v>6227</v>
      </c>
      <c r="D1651" s="512" t="s">
        <v>6248</v>
      </c>
      <c r="E1651" s="513">
        <v>6016</v>
      </c>
      <c r="F1651" s="512" t="s">
        <v>1668</v>
      </c>
      <c r="G1651" s="513" t="s">
        <v>23</v>
      </c>
      <c r="H1651" s="516">
        <v>148762</v>
      </c>
      <c r="I1651" s="512" t="s">
        <v>6915</v>
      </c>
    </row>
    <row r="1652" spans="2:9" ht="15" x14ac:dyDescent="0.35">
      <c r="B1652" s="512" t="s">
        <v>6219</v>
      </c>
      <c r="C1652" s="512" t="s">
        <v>6227</v>
      </c>
      <c r="D1652" s="512" t="s">
        <v>6229</v>
      </c>
      <c r="E1652" s="513">
        <v>6020</v>
      </c>
      <c r="F1652" s="512" t="s">
        <v>1669</v>
      </c>
      <c r="G1652" s="513" t="s">
        <v>23</v>
      </c>
      <c r="H1652" s="516">
        <v>49980</v>
      </c>
      <c r="I1652" s="512" t="s">
        <v>6915</v>
      </c>
    </row>
    <row r="1653" spans="2:9" ht="15" x14ac:dyDescent="0.35">
      <c r="B1653" s="512" t="s">
        <v>6219</v>
      </c>
      <c r="C1653" s="512" t="s">
        <v>6240</v>
      </c>
      <c r="D1653" s="512" t="s">
        <v>6241</v>
      </c>
      <c r="E1653" s="513">
        <v>6021</v>
      </c>
      <c r="F1653" s="512" t="s">
        <v>1670</v>
      </c>
      <c r="G1653" s="513" t="s">
        <v>23</v>
      </c>
      <c r="H1653" s="516">
        <v>840181</v>
      </c>
      <c r="I1653" s="512" t="s">
        <v>6915</v>
      </c>
    </row>
    <row r="1654" spans="2:9" ht="15" x14ac:dyDescent="0.35">
      <c r="B1654" s="512" t="s">
        <v>6219</v>
      </c>
      <c r="C1654" s="512" t="s">
        <v>6237</v>
      </c>
      <c r="D1654" s="512" t="s">
        <v>6247</v>
      </c>
      <c r="E1654" s="513">
        <v>6029</v>
      </c>
      <c r="F1654" s="512" t="s">
        <v>1671</v>
      </c>
      <c r="G1654" s="513" t="s">
        <v>29</v>
      </c>
      <c r="H1654" s="516">
        <v>609462</v>
      </c>
      <c r="I1654" s="512" t="s">
        <v>6915</v>
      </c>
    </row>
    <row r="1655" spans="2:9" ht="15" x14ac:dyDescent="0.35">
      <c r="B1655" s="512" t="s">
        <v>6219</v>
      </c>
      <c r="C1655" s="512" t="s">
        <v>6237</v>
      </c>
      <c r="D1655" s="512" t="s">
        <v>6247</v>
      </c>
      <c r="E1655" s="513">
        <v>6030</v>
      </c>
      <c r="F1655" s="512" t="s">
        <v>1672</v>
      </c>
      <c r="G1655" s="513" t="s">
        <v>29</v>
      </c>
      <c r="H1655" s="516">
        <v>599695</v>
      </c>
      <c r="I1655" s="512" t="s">
        <v>6915</v>
      </c>
    </row>
    <row r="1656" spans="2:9" ht="15" x14ac:dyDescent="0.35">
      <c r="B1656" s="512" t="s">
        <v>6219</v>
      </c>
      <c r="C1656" s="512" t="s">
        <v>6237</v>
      </c>
      <c r="D1656" s="512" t="s">
        <v>6247</v>
      </c>
      <c r="E1656" s="513">
        <v>6031</v>
      </c>
      <c r="F1656" s="512" t="s">
        <v>1673</v>
      </c>
      <c r="G1656" s="513" t="s">
        <v>29</v>
      </c>
      <c r="H1656" s="516">
        <v>588248</v>
      </c>
      <c r="I1656" s="512" t="s">
        <v>6915</v>
      </c>
    </row>
    <row r="1657" spans="2:9" ht="15" x14ac:dyDescent="0.35">
      <c r="B1657" s="512" t="s">
        <v>6219</v>
      </c>
      <c r="C1657" s="512" t="s">
        <v>6237</v>
      </c>
      <c r="D1657" s="512" t="s">
        <v>6247</v>
      </c>
      <c r="E1657" s="513">
        <v>6032</v>
      </c>
      <c r="F1657" s="512" t="s">
        <v>1674</v>
      </c>
      <c r="G1657" s="513" t="s">
        <v>29</v>
      </c>
      <c r="H1657" s="516">
        <v>599695</v>
      </c>
      <c r="I1657" s="512" t="s">
        <v>6915</v>
      </c>
    </row>
    <row r="1658" spans="2:9" ht="15" x14ac:dyDescent="0.35">
      <c r="B1658" s="512" t="s">
        <v>6219</v>
      </c>
      <c r="C1658" s="512" t="s">
        <v>6237</v>
      </c>
      <c r="D1658" s="512" t="s">
        <v>6247</v>
      </c>
      <c r="E1658" s="513">
        <v>6033</v>
      </c>
      <c r="F1658" s="512" t="s">
        <v>1675</v>
      </c>
      <c r="G1658" s="513" t="s">
        <v>29</v>
      </c>
      <c r="H1658" s="516">
        <v>599695</v>
      </c>
      <c r="I1658" s="512" t="s">
        <v>6915</v>
      </c>
    </row>
    <row r="1659" spans="2:9" ht="15" x14ac:dyDescent="0.35">
      <c r="B1659" s="512" t="s">
        <v>6219</v>
      </c>
      <c r="C1659" s="512" t="s">
        <v>6237</v>
      </c>
      <c r="D1659" s="512" t="s">
        <v>6247</v>
      </c>
      <c r="E1659" s="513">
        <v>6034</v>
      </c>
      <c r="F1659" s="512" t="s">
        <v>1676</v>
      </c>
      <c r="G1659" s="513" t="s">
        <v>29</v>
      </c>
      <c r="H1659" s="516">
        <v>514698</v>
      </c>
      <c r="I1659" s="512" t="s">
        <v>6915</v>
      </c>
    </row>
    <row r="1660" spans="2:9" ht="15" x14ac:dyDescent="0.35">
      <c r="B1660" s="512" t="s">
        <v>6219</v>
      </c>
      <c r="C1660" s="512" t="s">
        <v>6224</v>
      </c>
      <c r="D1660" s="512" t="s">
        <v>6244</v>
      </c>
      <c r="E1660" s="513">
        <v>6036</v>
      </c>
      <c r="F1660" s="512" t="s">
        <v>1677</v>
      </c>
      <c r="G1660" s="513" t="s">
        <v>29</v>
      </c>
      <c r="H1660" s="516">
        <v>8159484</v>
      </c>
      <c r="I1660" s="512" t="s">
        <v>6915</v>
      </c>
    </row>
    <row r="1661" spans="2:9" ht="15" x14ac:dyDescent="0.35">
      <c r="B1661" s="512" t="s">
        <v>6219</v>
      </c>
      <c r="C1661" s="512" t="s">
        <v>6224</v>
      </c>
      <c r="D1661" s="512" t="s">
        <v>6244</v>
      </c>
      <c r="E1661" s="513">
        <v>6037</v>
      </c>
      <c r="F1661" s="512" t="s">
        <v>1678</v>
      </c>
      <c r="G1661" s="513" t="s">
        <v>29</v>
      </c>
      <c r="H1661" s="516">
        <v>6102128</v>
      </c>
      <c r="I1661" s="512" t="s">
        <v>6915</v>
      </c>
    </row>
    <row r="1662" spans="2:9" ht="15" x14ac:dyDescent="0.35">
      <c r="B1662" s="512" t="s">
        <v>6219</v>
      </c>
      <c r="C1662" s="512" t="s">
        <v>6224</v>
      </c>
      <c r="D1662" s="512" t="s">
        <v>6244</v>
      </c>
      <c r="E1662" s="513">
        <v>6038</v>
      </c>
      <c r="F1662" s="512" t="s">
        <v>1679</v>
      </c>
      <c r="G1662" s="513" t="s">
        <v>29</v>
      </c>
      <c r="H1662" s="516">
        <v>7533627</v>
      </c>
      <c r="I1662" s="512" t="s">
        <v>6915</v>
      </c>
    </row>
    <row r="1663" spans="2:9" ht="15" x14ac:dyDescent="0.35">
      <c r="B1663" s="512" t="s">
        <v>6219</v>
      </c>
      <c r="C1663" s="512" t="s">
        <v>6224</v>
      </c>
      <c r="D1663" s="512" t="s">
        <v>6244</v>
      </c>
      <c r="E1663" s="513">
        <v>6039</v>
      </c>
      <c r="F1663" s="512" t="s">
        <v>1680</v>
      </c>
      <c r="G1663" s="513" t="s">
        <v>29</v>
      </c>
      <c r="H1663" s="516">
        <v>10265922</v>
      </c>
      <c r="I1663" s="512" t="s">
        <v>6915</v>
      </c>
    </row>
    <row r="1664" spans="2:9" ht="15" x14ac:dyDescent="0.35">
      <c r="B1664" s="512" t="s">
        <v>6219</v>
      </c>
      <c r="C1664" s="512" t="s">
        <v>6224</v>
      </c>
      <c r="D1664" s="512" t="s">
        <v>6244</v>
      </c>
      <c r="E1664" s="513">
        <v>6040</v>
      </c>
      <c r="F1664" s="512" t="s">
        <v>1681</v>
      </c>
      <c r="G1664" s="513" t="s">
        <v>29</v>
      </c>
      <c r="H1664" s="516">
        <v>18781392</v>
      </c>
      <c r="I1664" s="512" t="s">
        <v>6915</v>
      </c>
    </row>
    <row r="1665" spans="2:9" ht="15" x14ac:dyDescent="0.35">
      <c r="B1665" s="512" t="s">
        <v>6219</v>
      </c>
      <c r="C1665" s="512" t="s">
        <v>6233</v>
      </c>
      <c r="D1665" s="512" t="s">
        <v>6234</v>
      </c>
      <c r="E1665" s="513">
        <v>6041</v>
      </c>
      <c r="F1665" s="512" t="s">
        <v>1682</v>
      </c>
      <c r="G1665" s="513" t="s">
        <v>29</v>
      </c>
      <c r="H1665" s="516">
        <v>4695143</v>
      </c>
      <c r="I1665" s="512" t="s">
        <v>6915</v>
      </c>
    </row>
    <row r="1666" spans="2:9" ht="15" x14ac:dyDescent="0.35">
      <c r="B1666" s="512" t="s">
        <v>6219</v>
      </c>
      <c r="C1666" s="512" t="s">
        <v>6233</v>
      </c>
      <c r="D1666" s="512" t="s">
        <v>6234</v>
      </c>
      <c r="E1666" s="513">
        <v>6042</v>
      </c>
      <c r="F1666" s="512" t="s">
        <v>1683</v>
      </c>
      <c r="G1666" s="513" t="s">
        <v>29</v>
      </c>
      <c r="H1666" s="514">
        <v>5214824</v>
      </c>
      <c r="I1666" s="515" t="s">
        <v>6915</v>
      </c>
    </row>
    <row r="1667" spans="2:9" ht="15" x14ac:dyDescent="0.35">
      <c r="B1667" s="512" t="s">
        <v>6219</v>
      </c>
      <c r="C1667" s="512" t="s">
        <v>6233</v>
      </c>
      <c r="D1667" s="512" t="s">
        <v>6234</v>
      </c>
      <c r="E1667" s="513">
        <v>6043</v>
      </c>
      <c r="F1667" s="512" t="s">
        <v>1684</v>
      </c>
      <c r="G1667" s="513" t="s">
        <v>29</v>
      </c>
      <c r="H1667" s="516">
        <v>5090150</v>
      </c>
      <c r="I1667" s="512" t="s">
        <v>6915</v>
      </c>
    </row>
    <row r="1668" spans="2:9" ht="15" x14ac:dyDescent="0.35">
      <c r="B1668" s="512" t="s">
        <v>6219</v>
      </c>
      <c r="C1668" s="512" t="s">
        <v>6233</v>
      </c>
      <c r="D1668" s="512" t="s">
        <v>6234</v>
      </c>
      <c r="E1668" s="513">
        <v>6044</v>
      </c>
      <c r="F1668" s="512" t="s">
        <v>1685</v>
      </c>
      <c r="G1668" s="513" t="s">
        <v>29</v>
      </c>
      <c r="H1668" s="514">
        <v>4744518</v>
      </c>
      <c r="I1668" s="515" t="s">
        <v>6915</v>
      </c>
    </row>
    <row r="1669" spans="2:9" ht="15" x14ac:dyDescent="0.35">
      <c r="B1669" s="512" t="s">
        <v>6219</v>
      </c>
      <c r="C1669" s="512" t="s">
        <v>6233</v>
      </c>
      <c r="D1669" s="512" t="s">
        <v>6234</v>
      </c>
      <c r="E1669" s="513">
        <v>6045</v>
      </c>
      <c r="F1669" s="512" t="s">
        <v>1686</v>
      </c>
      <c r="G1669" s="513" t="s">
        <v>29</v>
      </c>
      <c r="H1669" s="514">
        <v>6284758</v>
      </c>
      <c r="I1669" s="515" t="s">
        <v>6915</v>
      </c>
    </row>
    <row r="1670" spans="2:9" ht="15" x14ac:dyDescent="0.35">
      <c r="B1670" s="512" t="s">
        <v>6219</v>
      </c>
      <c r="C1670" s="512" t="s">
        <v>6237</v>
      </c>
      <c r="D1670" s="512" t="s">
        <v>6238</v>
      </c>
      <c r="E1670" s="513">
        <v>6046</v>
      </c>
      <c r="F1670" s="512" t="s">
        <v>1687</v>
      </c>
      <c r="G1670" s="513" t="s">
        <v>29</v>
      </c>
      <c r="H1670" s="514">
        <v>743708</v>
      </c>
      <c r="I1670" s="515" t="s">
        <v>6915</v>
      </c>
    </row>
    <row r="1671" spans="2:9" ht="15" x14ac:dyDescent="0.35">
      <c r="B1671" s="512" t="s">
        <v>6219</v>
      </c>
      <c r="C1671" s="512" t="s">
        <v>6252</v>
      </c>
      <c r="D1671" s="512" t="s">
        <v>6252</v>
      </c>
      <c r="E1671" s="513">
        <v>6053</v>
      </c>
      <c r="F1671" s="512" t="s">
        <v>1688</v>
      </c>
      <c r="G1671" s="513" t="s">
        <v>23</v>
      </c>
      <c r="H1671" s="516">
        <v>128511</v>
      </c>
      <c r="I1671" s="512" t="s">
        <v>6915</v>
      </c>
    </row>
    <row r="1672" spans="2:9" ht="15" x14ac:dyDescent="0.35">
      <c r="B1672" s="512" t="s">
        <v>6219</v>
      </c>
      <c r="C1672" s="512" t="s">
        <v>6233</v>
      </c>
      <c r="D1672" s="512" t="s">
        <v>6234</v>
      </c>
      <c r="E1672" s="513">
        <v>6057</v>
      </c>
      <c r="F1672" s="512" t="s">
        <v>1689</v>
      </c>
      <c r="G1672" s="513" t="s">
        <v>1106</v>
      </c>
      <c r="H1672" s="516">
        <v>193539</v>
      </c>
      <c r="I1672" s="512" t="s">
        <v>6915</v>
      </c>
    </row>
    <row r="1673" spans="2:9" ht="15" x14ac:dyDescent="0.35">
      <c r="B1673" s="512" t="s">
        <v>6219</v>
      </c>
      <c r="C1673" s="512" t="s">
        <v>6233</v>
      </c>
      <c r="D1673" s="512" t="s">
        <v>6234</v>
      </c>
      <c r="E1673" s="513">
        <v>6058</v>
      </c>
      <c r="F1673" s="512" t="s">
        <v>1690</v>
      </c>
      <c r="G1673" s="513" t="s">
        <v>1106</v>
      </c>
      <c r="H1673" s="516">
        <v>138859</v>
      </c>
      <c r="I1673" s="512" t="s">
        <v>6915</v>
      </c>
    </row>
    <row r="1674" spans="2:9" ht="15" x14ac:dyDescent="0.35">
      <c r="B1674" s="512" t="s">
        <v>6219</v>
      </c>
      <c r="C1674" s="512" t="s">
        <v>6237</v>
      </c>
      <c r="D1674" s="512" t="s">
        <v>6247</v>
      </c>
      <c r="E1674" s="513">
        <v>6059</v>
      </c>
      <c r="F1674" s="512" t="s">
        <v>1691</v>
      </c>
      <c r="G1674" s="513" t="s">
        <v>1106</v>
      </c>
      <c r="H1674" s="516">
        <v>75837</v>
      </c>
      <c r="I1674" s="512" t="s">
        <v>6915</v>
      </c>
    </row>
    <row r="1675" spans="2:9" ht="15" x14ac:dyDescent="0.35">
      <c r="B1675" s="512" t="s">
        <v>6219</v>
      </c>
      <c r="C1675" s="512" t="s">
        <v>6240</v>
      </c>
      <c r="D1675" s="512" t="s">
        <v>6241</v>
      </c>
      <c r="E1675" s="513">
        <v>6062</v>
      </c>
      <c r="F1675" s="512" t="s">
        <v>1692</v>
      </c>
      <c r="G1675" s="513" t="s">
        <v>23</v>
      </c>
      <c r="H1675" s="516">
        <v>945422</v>
      </c>
      <c r="I1675" s="512" t="s">
        <v>6915</v>
      </c>
    </row>
    <row r="1676" spans="2:9" ht="15" x14ac:dyDescent="0.35">
      <c r="B1676" s="512" t="s">
        <v>6219</v>
      </c>
      <c r="C1676" s="512" t="s">
        <v>6240</v>
      </c>
      <c r="D1676" s="512" t="s">
        <v>6275</v>
      </c>
      <c r="E1676" s="513">
        <v>6065</v>
      </c>
      <c r="F1676" s="512" t="s">
        <v>1693</v>
      </c>
      <c r="G1676" s="513" t="s">
        <v>29</v>
      </c>
      <c r="H1676" s="516">
        <v>1723122</v>
      </c>
      <c r="I1676" s="512" t="s">
        <v>6915</v>
      </c>
    </row>
    <row r="1677" spans="2:9" ht="15" x14ac:dyDescent="0.35">
      <c r="B1677" s="512" t="s">
        <v>6219</v>
      </c>
      <c r="C1677" s="512" t="s">
        <v>6272</v>
      </c>
      <c r="D1677" s="512" t="s">
        <v>6273</v>
      </c>
      <c r="E1677" s="513">
        <v>6070</v>
      </c>
      <c r="F1677" s="512" t="s">
        <v>1694</v>
      </c>
      <c r="G1677" s="513" t="s">
        <v>21</v>
      </c>
      <c r="H1677" s="516">
        <v>150439</v>
      </c>
      <c r="I1677" s="512" t="s">
        <v>6915</v>
      </c>
    </row>
    <row r="1678" spans="2:9" ht="15" x14ac:dyDescent="0.35">
      <c r="B1678" s="512" t="s">
        <v>6219</v>
      </c>
      <c r="C1678" s="512" t="s">
        <v>6272</v>
      </c>
      <c r="D1678" s="512" t="s">
        <v>6273</v>
      </c>
      <c r="E1678" s="513">
        <v>6073</v>
      </c>
      <c r="F1678" s="512" t="s">
        <v>1695</v>
      </c>
      <c r="G1678" s="513" t="s">
        <v>29</v>
      </c>
      <c r="H1678" s="516">
        <v>6645212</v>
      </c>
      <c r="I1678" s="512" t="s">
        <v>6915</v>
      </c>
    </row>
    <row r="1679" spans="2:9" ht="15" x14ac:dyDescent="0.35">
      <c r="B1679" s="512" t="s">
        <v>6219</v>
      </c>
      <c r="C1679" s="512" t="s">
        <v>6272</v>
      </c>
      <c r="D1679" s="512" t="s">
        <v>6273</v>
      </c>
      <c r="E1679" s="513">
        <v>6074</v>
      </c>
      <c r="F1679" s="512" t="s">
        <v>1696</v>
      </c>
      <c r="G1679" s="513" t="s">
        <v>29</v>
      </c>
      <c r="H1679" s="516">
        <v>3261784</v>
      </c>
      <c r="I1679" s="512" t="s">
        <v>6915</v>
      </c>
    </row>
    <row r="1680" spans="2:9" ht="15" x14ac:dyDescent="0.35">
      <c r="B1680" s="512" t="s">
        <v>6219</v>
      </c>
      <c r="C1680" s="512" t="s">
        <v>6272</v>
      </c>
      <c r="D1680" s="512" t="s">
        <v>6272</v>
      </c>
      <c r="E1680" s="513">
        <v>6078</v>
      </c>
      <c r="F1680" s="512" t="s">
        <v>1697</v>
      </c>
      <c r="G1680" s="513" t="s">
        <v>21</v>
      </c>
      <c r="H1680" s="516">
        <v>195235</v>
      </c>
      <c r="I1680" s="512" t="s">
        <v>6915</v>
      </c>
    </row>
    <row r="1681" spans="2:9" ht="15" x14ac:dyDescent="0.35">
      <c r="B1681" s="512" t="s">
        <v>6219</v>
      </c>
      <c r="C1681" s="512" t="s">
        <v>6272</v>
      </c>
      <c r="D1681" s="512" t="s">
        <v>6272</v>
      </c>
      <c r="E1681" s="513">
        <v>6079</v>
      </c>
      <c r="F1681" s="512" t="s">
        <v>1698</v>
      </c>
      <c r="G1681" s="513" t="s">
        <v>21</v>
      </c>
      <c r="H1681" s="516">
        <v>188786</v>
      </c>
      <c r="I1681" s="512" t="s">
        <v>6915</v>
      </c>
    </row>
    <row r="1682" spans="2:9" ht="15" x14ac:dyDescent="0.35">
      <c r="B1682" s="512" t="s">
        <v>6219</v>
      </c>
      <c r="C1682" s="512" t="s">
        <v>6272</v>
      </c>
      <c r="D1682" s="512" t="s">
        <v>6272</v>
      </c>
      <c r="E1682" s="513">
        <v>6082</v>
      </c>
      <c r="F1682" s="512" t="s">
        <v>5427</v>
      </c>
      <c r="G1682" s="513" t="s">
        <v>21</v>
      </c>
      <c r="H1682" s="516">
        <v>81414</v>
      </c>
      <c r="I1682" s="512" t="s">
        <v>6915</v>
      </c>
    </row>
    <row r="1683" spans="2:9" ht="15" x14ac:dyDescent="0.35">
      <c r="B1683" s="512" t="s">
        <v>6219</v>
      </c>
      <c r="C1683" s="512" t="s">
        <v>6268</v>
      </c>
      <c r="D1683" s="512" t="s">
        <v>6268</v>
      </c>
      <c r="E1683" s="513">
        <v>6084</v>
      </c>
      <c r="F1683" s="512" t="s">
        <v>1699</v>
      </c>
      <c r="G1683" s="513" t="s">
        <v>29</v>
      </c>
      <c r="H1683" s="516">
        <v>1227</v>
      </c>
      <c r="I1683" s="512" t="s">
        <v>6915</v>
      </c>
    </row>
    <row r="1684" spans="2:9" ht="15" x14ac:dyDescent="0.35">
      <c r="B1684" s="512" t="s">
        <v>6219</v>
      </c>
      <c r="C1684" s="512" t="s">
        <v>6268</v>
      </c>
      <c r="D1684" s="512" t="s">
        <v>6268</v>
      </c>
      <c r="E1684" s="513">
        <v>6085</v>
      </c>
      <c r="F1684" s="512" t="s">
        <v>1700</v>
      </c>
      <c r="G1684" s="513" t="s">
        <v>1701</v>
      </c>
      <c r="H1684" s="516">
        <v>49301</v>
      </c>
      <c r="I1684" s="512" t="s">
        <v>6915</v>
      </c>
    </row>
    <row r="1685" spans="2:9" ht="15" x14ac:dyDescent="0.35">
      <c r="B1685" s="512" t="s">
        <v>6219</v>
      </c>
      <c r="C1685" s="512" t="s">
        <v>6269</v>
      </c>
      <c r="D1685" s="512" t="s">
        <v>6269</v>
      </c>
      <c r="E1685" s="513">
        <v>6086</v>
      </c>
      <c r="F1685" s="512" t="s">
        <v>1702</v>
      </c>
      <c r="G1685" s="513" t="s">
        <v>29</v>
      </c>
      <c r="H1685" s="516">
        <v>17030</v>
      </c>
      <c r="I1685" s="512" t="s">
        <v>6915</v>
      </c>
    </row>
    <row r="1686" spans="2:9" ht="15" x14ac:dyDescent="0.35">
      <c r="B1686" s="512" t="s">
        <v>6219</v>
      </c>
      <c r="C1686" s="512" t="s">
        <v>6269</v>
      </c>
      <c r="D1686" s="512" t="s">
        <v>6269</v>
      </c>
      <c r="E1686" s="513">
        <v>6087</v>
      </c>
      <c r="F1686" s="512" t="s">
        <v>1703</v>
      </c>
      <c r="G1686" s="513" t="s">
        <v>29</v>
      </c>
      <c r="H1686" s="516">
        <v>15756</v>
      </c>
      <c r="I1686" s="512" t="s">
        <v>6915</v>
      </c>
    </row>
    <row r="1687" spans="2:9" ht="15" x14ac:dyDescent="0.35">
      <c r="B1687" s="512" t="s">
        <v>6219</v>
      </c>
      <c r="C1687" s="512" t="s">
        <v>6269</v>
      </c>
      <c r="D1687" s="512" t="s">
        <v>6269</v>
      </c>
      <c r="E1687" s="513">
        <v>6088</v>
      </c>
      <c r="F1687" s="512" t="s">
        <v>1704</v>
      </c>
      <c r="G1687" s="513" t="s">
        <v>1705</v>
      </c>
      <c r="H1687" s="516">
        <v>27367</v>
      </c>
      <c r="I1687" s="512" t="s">
        <v>6915</v>
      </c>
    </row>
    <row r="1688" spans="2:9" ht="15" x14ac:dyDescent="0.35">
      <c r="B1688" s="512" t="s">
        <v>6219</v>
      </c>
      <c r="C1688" s="512" t="s">
        <v>6233</v>
      </c>
      <c r="D1688" s="512" t="s">
        <v>6234</v>
      </c>
      <c r="E1688" s="513">
        <v>6089</v>
      </c>
      <c r="F1688" s="512" t="s">
        <v>1706</v>
      </c>
      <c r="G1688" s="513" t="s">
        <v>29</v>
      </c>
      <c r="H1688" s="516">
        <v>3424421</v>
      </c>
      <c r="I1688" s="512" t="s">
        <v>6915</v>
      </c>
    </row>
    <row r="1689" spans="2:9" ht="15" x14ac:dyDescent="0.35">
      <c r="B1689" s="512" t="s">
        <v>6219</v>
      </c>
      <c r="C1689" s="512" t="s">
        <v>6233</v>
      </c>
      <c r="D1689" s="512" t="s">
        <v>6234</v>
      </c>
      <c r="E1689" s="513">
        <v>6090</v>
      </c>
      <c r="F1689" s="512" t="s">
        <v>1707</v>
      </c>
      <c r="G1689" s="513" t="s">
        <v>29</v>
      </c>
      <c r="H1689" s="516">
        <v>3598561</v>
      </c>
      <c r="I1689" s="512" t="s">
        <v>6915</v>
      </c>
    </row>
    <row r="1690" spans="2:9" ht="15" x14ac:dyDescent="0.35">
      <c r="B1690" s="512" t="s">
        <v>6219</v>
      </c>
      <c r="C1690" s="512" t="s">
        <v>6233</v>
      </c>
      <c r="D1690" s="512" t="s">
        <v>6234</v>
      </c>
      <c r="E1690" s="513">
        <v>6091</v>
      </c>
      <c r="F1690" s="512" t="s">
        <v>1708</v>
      </c>
      <c r="G1690" s="513" t="s">
        <v>29</v>
      </c>
      <c r="H1690" s="516">
        <v>1713208</v>
      </c>
      <c r="I1690" s="512" t="s">
        <v>6915</v>
      </c>
    </row>
    <row r="1691" spans="2:9" ht="15" x14ac:dyDescent="0.35">
      <c r="B1691" s="512" t="s">
        <v>6219</v>
      </c>
      <c r="C1691" s="512" t="s">
        <v>6239</v>
      </c>
      <c r="D1691" s="512" t="s">
        <v>6239</v>
      </c>
      <c r="E1691" s="513">
        <v>6092</v>
      </c>
      <c r="F1691" s="512" t="s">
        <v>1709</v>
      </c>
      <c r="G1691" s="513" t="s">
        <v>29</v>
      </c>
      <c r="H1691" s="516">
        <v>490996</v>
      </c>
      <c r="I1691" s="512" t="s">
        <v>6915</v>
      </c>
    </row>
    <row r="1692" spans="2:9" ht="15" x14ac:dyDescent="0.35">
      <c r="B1692" s="512" t="s">
        <v>6219</v>
      </c>
      <c r="C1692" s="512" t="s">
        <v>6239</v>
      </c>
      <c r="D1692" s="512" t="s">
        <v>6239</v>
      </c>
      <c r="E1692" s="513">
        <v>6093</v>
      </c>
      <c r="F1692" s="512" t="s">
        <v>1710</v>
      </c>
      <c r="G1692" s="513" t="s">
        <v>29</v>
      </c>
      <c r="H1692" s="514">
        <v>513408</v>
      </c>
      <c r="I1692" s="515" t="s">
        <v>6915</v>
      </c>
    </row>
    <row r="1693" spans="2:9" ht="15" x14ac:dyDescent="0.35">
      <c r="B1693" s="512" t="s">
        <v>6219</v>
      </c>
      <c r="C1693" s="512" t="s">
        <v>6239</v>
      </c>
      <c r="D1693" s="512" t="s">
        <v>6239</v>
      </c>
      <c r="E1693" s="513">
        <v>6094</v>
      </c>
      <c r="F1693" s="512" t="s">
        <v>1711</v>
      </c>
      <c r="G1693" s="513" t="s">
        <v>29</v>
      </c>
      <c r="H1693" s="514">
        <v>501493</v>
      </c>
      <c r="I1693" s="515" t="s">
        <v>6915</v>
      </c>
    </row>
    <row r="1694" spans="2:9" ht="15" x14ac:dyDescent="0.35">
      <c r="B1694" s="512" t="s">
        <v>6219</v>
      </c>
      <c r="C1694" s="512" t="s">
        <v>6242</v>
      </c>
      <c r="D1694" s="512" t="s">
        <v>6260</v>
      </c>
      <c r="E1694" s="513">
        <v>6098</v>
      </c>
      <c r="F1694" s="512" t="s">
        <v>1712</v>
      </c>
      <c r="G1694" s="513" t="s">
        <v>21</v>
      </c>
      <c r="H1694" s="516">
        <v>150522</v>
      </c>
      <c r="I1694" s="512" t="s">
        <v>6915</v>
      </c>
    </row>
    <row r="1695" spans="2:9" ht="15" x14ac:dyDescent="0.35">
      <c r="B1695" s="512" t="s">
        <v>6219</v>
      </c>
      <c r="C1695" s="512" t="s">
        <v>6230</v>
      </c>
      <c r="D1695" s="512" t="s">
        <v>6250</v>
      </c>
      <c r="E1695" s="513">
        <v>6100</v>
      </c>
      <c r="F1695" s="512" t="s">
        <v>1713</v>
      </c>
      <c r="G1695" s="513" t="s">
        <v>26</v>
      </c>
      <c r="H1695" s="516">
        <v>16525</v>
      </c>
      <c r="I1695" s="512" t="s">
        <v>6915</v>
      </c>
    </row>
    <row r="1696" spans="2:9" ht="15" x14ac:dyDescent="0.35">
      <c r="B1696" s="512" t="s">
        <v>6219</v>
      </c>
      <c r="C1696" s="512" t="s">
        <v>6230</v>
      </c>
      <c r="D1696" s="512" t="s">
        <v>6250</v>
      </c>
      <c r="E1696" s="513">
        <v>6101</v>
      </c>
      <c r="F1696" s="512" t="s">
        <v>1714</v>
      </c>
      <c r="G1696" s="513" t="s">
        <v>26</v>
      </c>
      <c r="H1696" s="516">
        <v>19574</v>
      </c>
      <c r="I1696" s="512" t="s">
        <v>6915</v>
      </c>
    </row>
    <row r="1697" spans="2:9" ht="15" x14ac:dyDescent="0.35">
      <c r="B1697" s="512" t="s">
        <v>6219</v>
      </c>
      <c r="C1697" s="512" t="s">
        <v>6230</v>
      </c>
      <c r="D1697" s="512" t="s">
        <v>6250</v>
      </c>
      <c r="E1697" s="513">
        <v>6102</v>
      </c>
      <c r="F1697" s="512" t="s">
        <v>1715</v>
      </c>
      <c r="G1697" s="513" t="s">
        <v>26</v>
      </c>
      <c r="H1697" s="516">
        <v>49918</v>
      </c>
      <c r="I1697" s="512" t="s">
        <v>6915</v>
      </c>
    </row>
    <row r="1698" spans="2:9" ht="15" x14ac:dyDescent="0.35">
      <c r="B1698" s="512" t="s">
        <v>6219</v>
      </c>
      <c r="C1698" s="512" t="s">
        <v>6232</v>
      </c>
      <c r="D1698" s="512" t="s">
        <v>6232</v>
      </c>
      <c r="E1698" s="513">
        <v>6103</v>
      </c>
      <c r="F1698" s="512" t="s">
        <v>1716</v>
      </c>
      <c r="G1698" s="513" t="s">
        <v>26</v>
      </c>
      <c r="H1698" s="514">
        <v>190731</v>
      </c>
      <c r="I1698" s="512" t="s">
        <v>6915</v>
      </c>
    </row>
    <row r="1699" spans="2:9" ht="15" x14ac:dyDescent="0.35">
      <c r="B1699" s="512" t="s">
        <v>6219</v>
      </c>
      <c r="C1699" s="512" t="s">
        <v>6272</v>
      </c>
      <c r="D1699" s="512" t="s">
        <v>6279</v>
      </c>
      <c r="E1699" s="513">
        <v>6104</v>
      </c>
      <c r="F1699" s="512" t="s">
        <v>1717</v>
      </c>
      <c r="G1699" s="513" t="s">
        <v>21</v>
      </c>
      <c r="H1699" s="514">
        <v>129352</v>
      </c>
      <c r="I1699" s="512" t="s">
        <v>6915</v>
      </c>
    </row>
    <row r="1700" spans="2:9" ht="15" x14ac:dyDescent="0.35">
      <c r="B1700" s="512" t="s">
        <v>6219</v>
      </c>
      <c r="C1700" s="512" t="s">
        <v>6232</v>
      </c>
      <c r="D1700" s="512" t="s">
        <v>6232</v>
      </c>
      <c r="E1700" s="513">
        <v>6115</v>
      </c>
      <c r="F1700" s="512" t="s">
        <v>1718</v>
      </c>
      <c r="G1700" s="513" t="s">
        <v>26</v>
      </c>
      <c r="H1700" s="514">
        <v>1070021</v>
      </c>
      <c r="I1700" s="515" t="s">
        <v>6915</v>
      </c>
    </row>
    <row r="1701" spans="2:9" ht="15" x14ac:dyDescent="0.35">
      <c r="B1701" s="512" t="s">
        <v>6219</v>
      </c>
      <c r="C1701" s="512" t="s">
        <v>6232</v>
      </c>
      <c r="D1701" s="512" t="s">
        <v>6232</v>
      </c>
      <c r="E1701" s="513">
        <v>6116</v>
      </c>
      <c r="F1701" s="512" t="s">
        <v>1719</v>
      </c>
      <c r="G1701" s="513" t="s">
        <v>26</v>
      </c>
      <c r="H1701" s="514">
        <v>1423057</v>
      </c>
      <c r="I1701" s="515" t="s">
        <v>6915</v>
      </c>
    </row>
    <row r="1702" spans="2:9" ht="15" x14ac:dyDescent="0.35">
      <c r="B1702" s="512" t="s">
        <v>6219</v>
      </c>
      <c r="C1702" s="512" t="s">
        <v>6232</v>
      </c>
      <c r="D1702" s="512" t="s">
        <v>6232</v>
      </c>
      <c r="E1702" s="513">
        <v>6118</v>
      </c>
      <c r="F1702" s="512" t="s">
        <v>1720</v>
      </c>
      <c r="G1702" s="513" t="s">
        <v>26</v>
      </c>
      <c r="H1702" s="514">
        <v>2752055</v>
      </c>
      <c r="I1702" s="515" t="s">
        <v>6915</v>
      </c>
    </row>
    <row r="1703" spans="2:9" ht="15" x14ac:dyDescent="0.35">
      <c r="B1703" s="512" t="s">
        <v>6219</v>
      </c>
      <c r="C1703" s="512" t="s">
        <v>6240</v>
      </c>
      <c r="D1703" s="512" t="s">
        <v>6275</v>
      </c>
      <c r="E1703" s="513">
        <v>6120</v>
      </c>
      <c r="F1703" s="512" t="s">
        <v>1721</v>
      </c>
      <c r="G1703" s="513" t="s">
        <v>26</v>
      </c>
      <c r="H1703" s="514">
        <v>416272</v>
      </c>
      <c r="I1703" s="512" t="s">
        <v>6915</v>
      </c>
    </row>
    <row r="1704" spans="2:9" ht="15" x14ac:dyDescent="0.35">
      <c r="B1704" s="512" t="s">
        <v>6219</v>
      </c>
      <c r="C1704" s="512" t="s">
        <v>6239</v>
      </c>
      <c r="D1704" s="512" t="s">
        <v>6239</v>
      </c>
      <c r="E1704" s="513">
        <v>6121</v>
      </c>
      <c r="F1704" s="512" t="s">
        <v>1722</v>
      </c>
      <c r="G1704" s="513" t="s">
        <v>29</v>
      </c>
      <c r="H1704" s="514">
        <v>2923519</v>
      </c>
      <c r="I1704" s="515" t="s">
        <v>6915</v>
      </c>
    </row>
    <row r="1705" spans="2:9" ht="15" x14ac:dyDescent="0.35">
      <c r="B1705" s="512" t="s">
        <v>6219</v>
      </c>
      <c r="C1705" s="512" t="s">
        <v>6253</v>
      </c>
      <c r="D1705" s="512" t="s">
        <v>6254</v>
      </c>
      <c r="E1705" s="513">
        <v>6126</v>
      </c>
      <c r="F1705" s="512" t="s">
        <v>1723</v>
      </c>
      <c r="G1705" s="513" t="s">
        <v>389</v>
      </c>
      <c r="H1705" s="516">
        <v>437250</v>
      </c>
      <c r="I1705" s="512" t="s">
        <v>5686</v>
      </c>
    </row>
    <row r="1706" spans="2:9" ht="15" x14ac:dyDescent="0.35">
      <c r="B1706" s="512" t="s">
        <v>6219</v>
      </c>
      <c r="C1706" s="512" t="s">
        <v>6224</v>
      </c>
      <c r="D1706" s="512" t="s">
        <v>6244</v>
      </c>
      <c r="E1706" s="513">
        <v>6127</v>
      </c>
      <c r="F1706" s="512" t="s">
        <v>1724</v>
      </c>
      <c r="G1706" s="513" t="s">
        <v>29</v>
      </c>
      <c r="H1706" s="516">
        <v>107403</v>
      </c>
      <c r="I1706" s="512" t="s">
        <v>6915</v>
      </c>
    </row>
    <row r="1707" spans="2:9" ht="15" x14ac:dyDescent="0.35">
      <c r="B1707" s="512" t="s">
        <v>6219</v>
      </c>
      <c r="C1707" s="512" t="s">
        <v>6240</v>
      </c>
      <c r="D1707" s="512" t="s">
        <v>6241</v>
      </c>
      <c r="E1707" s="513">
        <v>6135</v>
      </c>
      <c r="F1707" s="512" t="s">
        <v>1725</v>
      </c>
      <c r="G1707" s="513" t="s">
        <v>23</v>
      </c>
      <c r="H1707" s="514">
        <v>1321721</v>
      </c>
      <c r="I1707" s="515" t="s">
        <v>6915</v>
      </c>
    </row>
    <row r="1708" spans="2:9" ht="15" x14ac:dyDescent="0.35">
      <c r="B1708" s="512" t="s">
        <v>6219</v>
      </c>
      <c r="C1708" s="512" t="s">
        <v>6235</v>
      </c>
      <c r="D1708" s="512" t="s">
        <v>6245</v>
      </c>
      <c r="E1708" s="513">
        <v>6136</v>
      </c>
      <c r="F1708" s="512" t="s">
        <v>1726</v>
      </c>
      <c r="G1708" s="513" t="s">
        <v>29</v>
      </c>
      <c r="H1708" s="514">
        <v>314656</v>
      </c>
      <c r="I1708" s="515" t="s">
        <v>6915</v>
      </c>
    </row>
    <row r="1709" spans="2:9" ht="15" x14ac:dyDescent="0.35">
      <c r="B1709" s="512" t="s">
        <v>6219</v>
      </c>
      <c r="C1709" s="512" t="s">
        <v>6223</v>
      </c>
      <c r="D1709" s="512" t="s">
        <v>6223</v>
      </c>
      <c r="E1709" s="513">
        <v>6141</v>
      </c>
      <c r="F1709" s="512" t="s">
        <v>1727</v>
      </c>
      <c r="G1709" s="513" t="s">
        <v>21</v>
      </c>
      <c r="H1709" s="514">
        <v>52639</v>
      </c>
      <c r="I1709" s="515" t="s">
        <v>6915</v>
      </c>
    </row>
    <row r="1710" spans="2:9" ht="15" x14ac:dyDescent="0.35">
      <c r="B1710" s="512" t="s">
        <v>6219</v>
      </c>
      <c r="C1710" s="512" t="s">
        <v>6223</v>
      </c>
      <c r="D1710" s="512" t="s">
        <v>6223</v>
      </c>
      <c r="E1710" s="513">
        <v>6142</v>
      </c>
      <c r="F1710" s="512" t="s">
        <v>1728</v>
      </c>
      <c r="G1710" s="513" t="s">
        <v>21</v>
      </c>
      <c r="H1710" s="516">
        <v>56235</v>
      </c>
      <c r="I1710" s="512" t="s">
        <v>6915</v>
      </c>
    </row>
    <row r="1711" spans="2:9" ht="15" x14ac:dyDescent="0.35">
      <c r="B1711" s="512" t="s">
        <v>6219</v>
      </c>
      <c r="C1711" s="512" t="s">
        <v>6223</v>
      </c>
      <c r="D1711" s="512" t="s">
        <v>6223</v>
      </c>
      <c r="E1711" s="513">
        <v>6143</v>
      </c>
      <c r="F1711" s="512" t="s">
        <v>1729</v>
      </c>
      <c r="G1711" s="513" t="s">
        <v>21</v>
      </c>
      <c r="H1711" s="516">
        <v>101302</v>
      </c>
      <c r="I1711" s="512" t="s">
        <v>6915</v>
      </c>
    </row>
    <row r="1712" spans="2:9" ht="15" x14ac:dyDescent="0.35">
      <c r="B1712" s="512" t="s">
        <v>6219</v>
      </c>
      <c r="C1712" s="512" t="s">
        <v>6223</v>
      </c>
      <c r="D1712" s="512" t="s">
        <v>6223</v>
      </c>
      <c r="E1712" s="513">
        <v>6144</v>
      </c>
      <c r="F1712" s="512" t="s">
        <v>1730</v>
      </c>
      <c r="G1712" s="513" t="s">
        <v>21</v>
      </c>
      <c r="H1712" s="516">
        <v>121143</v>
      </c>
      <c r="I1712" s="512" t="s">
        <v>6915</v>
      </c>
    </row>
    <row r="1713" spans="2:9" ht="15" x14ac:dyDescent="0.35">
      <c r="B1713" s="512" t="s">
        <v>6219</v>
      </c>
      <c r="C1713" s="512" t="s">
        <v>6223</v>
      </c>
      <c r="D1713" s="512" t="s">
        <v>6223</v>
      </c>
      <c r="E1713" s="513">
        <v>6145</v>
      </c>
      <c r="F1713" s="512" t="s">
        <v>1731</v>
      </c>
      <c r="G1713" s="513" t="s">
        <v>21</v>
      </c>
      <c r="H1713" s="516">
        <v>68177</v>
      </c>
      <c r="I1713" s="512" t="s">
        <v>6915</v>
      </c>
    </row>
    <row r="1714" spans="2:9" ht="15" x14ac:dyDescent="0.35">
      <c r="B1714" s="512" t="s">
        <v>6219</v>
      </c>
      <c r="C1714" s="512" t="s">
        <v>6223</v>
      </c>
      <c r="D1714" s="512" t="s">
        <v>6223</v>
      </c>
      <c r="E1714" s="513">
        <v>6146</v>
      </c>
      <c r="F1714" s="512" t="s">
        <v>1732</v>
      </c>
      <c r="G1714" s="513" t="s">
        <v>21</v>
      </c>
      <c r="H1714" s="514">
        <v>47292</v>
      </c>
      <c r="I1714" s="515" t="s">
        <v>6915</v>
      </c>
    </row>
    <row r="1715" spans="2:9" ht="15" x14ac:dyDescent="0.35">
      <c r="B1715" s="512" t="s">
        <v>6219</v>
      </c>
      <c r="C1715" s="512" t="s">
        <v>6252</v>
      </c>
      <c r="D1715" s="512" t="s">
        <v>6252</v>
      </c>
      <c r="E1715" s="513">
        <v>6148</v>
      </c>
      <c r="F1715" s="512" t="s">
        <v>1733</v>
      </c>
      <c r="G1715" s="513" t="s">
        <v>26</v>
      </c>
      <c r="H1715" s="514">
        <v>65878</v>
      </c>
      <c r="I1715" s="515" t="s">
        <v>6915</v>
      </c>
    </row>
    <row r="1716" spans="2:9" ht="15" x14ac:dyDescent="0.35">
      <c r="B1716" s="512" t="s">
        <v>6219</v>
      </c>
      <c r="C1716" s="512" t="s">
        <v>6272</v>
      </c>
      <c r="D1716" s="512" t="s">
        <v>6279</v>
      </c>
      <c r="E1716" s="513">
        <v>6149</v>
      </c>
      <c r="F1716" s="512" t="s">
        <v>1734</v>
      </c>
      <c r="G1716" s="513" t="s">
        <v>26</v>
      </c>
      <c r="H1716" s="514">
        <v>296847</v>
      </c>
      <c r="I1716" s="515" t="s">
        <v>6915</v>
      </c>
    </row>
    <row r="1717" spans="2:9" ht="15" x14ac:dyDescent="0.35">
      <c r="B1717" s="512" t="s">
        <v>6219</v>
      </c>
      <c r="C1717" s="512" t="s">
        <v>6240</v>
      </c>
      <c r="D1717" s="512" t="s">
        <v>6275</v>
      </c>
      <c r="E1717" s="513">
        <v>6150</v>
      </c>
      <c r="F1717" s="512" t="s">
        <v>1735</v>
      </c>
      <c r="G1717" s="513" t="s">
        <v>26</v>
      </c>
      <c r="H1717" s="516">
        <v>586452</v>
      </c>
      <c r="I1717" s="512" t="s">
        <v>6915</v>
      </c>
    </row>
    <row r="1718" spans="2:9" ht="15" x14ac:dyDescent="0.35">
      <c r="B1718" s="512" t="s">
        <v>6219</v>
      </c>
      <c r="C1718" s="512" t="s">
        <v>6220</v>
      </c>
      <c r="D1718" s="512" t="s">
        <v>6221</v>
      </c>
      <c r="E1718" s="513">
        <v>6151</v>
      </c>
      <c r="F1718" s="512" t="s">
        <v>1736</v>
      </c>
      <c r="G1718" s="513" t="s">
        <v>23</v>
      </c>
      <c r="H1718" s="516">
        <v>10805</v>
      </c>
      <c r="I1718" s="512" t="s">
        <v>6915</v>
      </c>
    </row>
    <row r="1719" spans="2:9" ht="15" x14ac:dyDescent="0.35">
      <c r="B1719" s="512" t="s">
        <v>6219</v>
      </c>
      <c r="C1719" s="512" t="s">
        <v>6252</v>
      </c>
      <c r="D1719" s="512" t="s">
        <v>6252</v>
      </c>
      <c r="E1719" s="513">
        <v>6152</v>
      </c>
      <c r="F1719" s="512" t="s">
        <v>1737</v>
      </c>
      <c r="G1719" s="513" t="s">
        <v>21</v>
      </c>
      <c r="H1719" s="516">
        <v>624</v>
      </c>
      <c r="I1719" s="512" t="s">
        <v>6915</v>
      </c>
    </row>
    <row r="1720" spans="2:9" ht="15" x14ac:dyDescent="0.35">
      <c r="B1720" s="512" t="s">
        <v>6219</v>
      </c>
      <c r="C1720" s="512" t="s">
        <v>6252</v>
      </c>
      <c r="D1720" s="512" t="s">
        <v>6252</v>
      </c>
      <c r="E1720" s="513">
        <v>6153</v>
      </c>
      <c r="F1720" s="512" t="s">
        <v>1738</v>
      </c>
      <c r="G1720" s="513" t="s">
        <v>21</v>
      </c>
      <c r="H1720" s="516">
        <v>1374</v>
      </c>
      <c r="I1720" s="512" t="s">
        <v>6915</v>
      </c>
    </row>
    <row r="1721" spans="2:9" ht="15" x14ac:dyDescent="0.35">
      <c r="B1721" s="512" t="s">
        <v>6219</v>
      </c>
      <c r="C1721" s="512" t="s">
        <v>6252</v>
      </c>
      <c r="D1721" s="512" t="s">
        <v>6252</v>
      </c>
      <c r="E1721" s="513">
        <v>6154</v>
      </c>
      <c r="F1721" s="512" t="s">
        <v>1739</v>
      </c>
      <c r="G1721" s="513" t="s">
        <v>21</v>
      </c>
      <c r="H1721" s="516">
        <v>470</v>
      </c>
      <c r="I1721" s="512" t="s">
        <v>6915</v>
      </c>
    </row>
    <row r="1722" spans="2:9" ht="15" x14ac:dyDescent="0.35">
      <c r="B1722" s="512" t="s">
        <v>6219</v>
      </c>
      <c r="C1722" s="512" t="s">
        <v>6252</v>
      </c>
      <c r="D1722" s="512" t="s">
        <v>6252</v>
      </c>
      <c r="E1722" s="513">
        <v>6156</v>
      </c>
      <c r="F1722" s="512" t="s">
        <v>1740</v>
      </c>
      <c r="G1722" s="513" t="s">
        <v>21</v>
      </c>
      <c r="H1722" s="516">
        <v>324</v>
      </c>
      <c r="I1722" s="512" t="s">
        <v>6915</v>
      </c>
    </row>
    <row r="1723" spans="2:9" ht="15" x14ac:dyDescent="0.35">
      <c r="B1723" s="512" t="s">
        <v>6219</v>
      </c>
      <c r="C1723" s="512" t="s">
        <v>6252</v>
      </c>
      <c r="D1723" s="512" t="s">
        <v>6252</v>
      </c>
      <c r="E1723" s="513">
        <v>6157</v>
      </c>
      <c r="F1723" s="512" t="s">
        <v>1741</v>
      </c>
      <c r="G1723" s="513" t="s">
        <v>21</v>
      </c>
      <c r="H1723" s="516">
        <v>1018</v>
      </c>
      <c r="I1723" s="512" t="s">
        <v>6915</v>
      </c>
    </row>
    <row r="1724" spans="2:9" ht="15" x14ac:dyDescent="0.35">
      <c r="B1724" s="512" t="s">
        <v>6219</v>
      </c>
      <c r="C1724" s="512" t="s">
        <v>6252</v>
      </c>
      <c r="D1724" s="512" t="s">
        <v>6252</v>
      </c>
      <c r="E1724" s="513">
        <v>6159</v>
      </c>
      <c r="F1724" s="512" t="s">
        <v>1742</v>
      </c>
      <c r="G1724" s="513" t="s">
        <v>21</v>
      </c>
      <c r="H1724" s="516">
        <v>132</v>
      </c>
      <c r="I1724" s="512" t="s">
        <v>6915</v>
      </c>
    </row>
    <row r="1725" spans="2:9" ht="15" x14ac:dyDescent="0.35">
      <c r="B1725" s="512" t="s">
        <v>6219</v>
      </c>
      <c r="C1725" s="512" t="s">
        <v>6232</v>
      </c>
      <c r="D1725" s="512" t="s">
        <v>6232</v>
      </c>
      <c r="E1725" s="513">
        <v>6160</v>
      </c>
      <c r="F1725" s="512" t="s">
        <v>1743</v>
      </c>
      <c r="G1725" s="513" t="s">
        <v>26</v>
      </c>
      <c r="H1725" s="514">
        <v>15500</v>
      </c>
      <c r="I1725" s="515" t="s">
        <v>6915</v>
      </c>
    </row>
    <row r="1726" spans="2:9" ht="15" x14ac:dyDescent="0.35">
      <c r="B1726" s="512" t="s">
        <v>6219</v>
      </c>
      <c r="C1726" s="512" t="s">
        <v>6232</v>
      </c>
      <c r="D1726" s="512" t="s">
        <v>6232</v>
      </c>
      <c r="E1726" s="513">
        <v>6161</v>
      </c>
      <c r="F1726" s="512" t="s">
        <v>1744</v>
      </c>
      <c r="G1726" s="513" t="s">
        <v>26</v>
      </c>
      <c r="H1726" s="516">
        <v>14999</v>
      </c>
      <c r="I1726" s="515" t="s">
        <v>6915</v>
      </c>
    </row>
    <row r="1727" spans="2:9" ht="15" x14ac:dyDescent="0.35">
      <c r="B1727" s="512" t="s">
        <v>6219</v>
      </c>
      <c r="C1727" s="512" t="s">
        <v>6252</v>
      </c>
      <c r="D1727" s="512" t="s">
        <v>6252</v>
      </c>
      <c r="E1727" s="513">
        <v>6162</v>
      </c>
      <c r="F1727" s="512" t="s">
        <v>1745</v>
      </c>
      <c r="G1727" s="513" t="s">
        <v>21</v>
      </c>
      <c r="H1727" s="516">
        <v>191</v>
      </c>
      <c r="I1727" s="512" t="s">
        <v>6915</v>
      </c>
    </row>
    <row r="1728" spans="2:9" ht="15" x14ac:dyDescent="0.35">
      <c r="B1728" s="512" t="s">
        <v>6219</v>
      </c>
      <c r="C1728" s="512" t="s">
        <v>6252</v>
      </c>
      <c r="D1728" s="512" t="s">
        <v>6252</v>
      </c>
      <c r="E1728" s="513">
        <v>6163</v>
      </c>
      <c r="F1728" s="512" t="s">
        <v>1746</v>
      </c>
      <c r="G1728" s="513" t="s">
        <v>21</v>
      </c>
      <c r="H1728" s="514">
        <v>341856</v>
      </c>
      <c r="I1728" s="515" t="s">
        <v>6915</v>
      </c>
    </row>
    <row r="1729" spans="2:9" ht="15" x14ac:dyDescent="0.35">
      <c r="B1729" s="512" t="s">
        <v>6219</v>
      </c>
      <c r="C1729" s="512" t="s">
        <v>6252</v>
      </c>
      <c r="D1729" s="512" t="s">
        <v>6252</v>
      </c>
      <c r="E1729" s="513">
        <v>6164</v>
      </c>
      <c r="F1729" s="512" t="s">
        <v>1747</v>
      </c>
      <c r="G1729" s="513" t="s">
        <v>21</v>
      </c>
      <c r="H1729" s="516">
        <v>344945</v>
      </c>
      <c r="I1729" s="512" t="s">
        <v>6915</v>
      </c>
    </row>
    <row r="1730" spans="2:9" ht="15" x14ac:dyDescent="0.35">
      <c r="B1730" s="512" t="s">
        <v>6219</v>
      </c>
      <c r="C1730" s="512" t="s">
        <v>6235</v>
      </c>
      <c r="D1730" s="512" t="s">
        <v>6245</v>
      </c>
      <c r="E1730" s="513">
        <v>6165</v>
      </c>
      <c r="F1730" s="512" t="s">
        <v>1748</v>
      </c>
      <c r="G1730" s="513" t="s">
        <v>29</v>
      </c>
      <c r="H1730" s="516">
        <v>41156</v>
      </c>
      <c r="I1730" s="512" t="s">
        <v>6915</v>
      </c>
    </row>
    <row r="1731" spans="2:9" ht="15" x14ac:dyDescent="0.35">
      <c r="B1731" s="512" t="s">
        <v>6263</v>
      </c>
      <c r="C1731" s="512" t="s">
        <v>6230</v>
      </c>
      <c r="D1731" s="512" t="s">
        <v>6231</v>
      </c>
      <c r="E1731" s="513">
        <v>6168</v>
      </c>
      <c r="F1731" s="512" t="s">
        <v>1749</v>
      </c>
      <c r="G1731" s="513" t="s">
        <v>26</v>
      </c>
      <c r="H1731" s="516">
        <v>27294</v>
      </c>
      <c r="I1731" s="512" t="s">
        <v>6915</v>
      </c>
    </row>
    <row r="1732" spans="2:9" ht="15" x14ac:dyDescent="0.35">
      <c r="B1732" s="512" t="s">
        <v>6219</v>
      </c>
      <c r="C1732" s="512" t="s">
        <v>6253</v>
      </c>
      <c r="D1732" s="512" t="s">
        <v>6283</v>
      </c>
      <c r="E1732" s="513">
        <v>6169</v>
      </c>
      <c r="F1732" s="512" t="s">
        <v>1750</v>
      </c>
      <c r="G1732" s="513" t="s">
        <v>1106</v>
      </c>
      <c r="H1732" s="514">
        <v>11639</v>
      </c>
      <c r="I1732" s="515" t="s">
        <v>6915</v>
      </c>
    </row>
    <row r="1733" spans="2:9" ht="15" x14ac:dyDescent="0.35">
      <c r="B1733" s="512" t="s">
        <v>6219</v>
      </c>
      <c r="C1733" s="512" t="s">
        <v>6253</v>
      </c>
      <c r="D1733" s="512" t="s">
        <v>6283</v>
      </c>
      <c r="E1733" s="513">
        <v>6170</v>
      </c>
      <c r="F1733" s="512" t="s">
        <v>1751</v>
      </c>
      <c r="G1733" s="513" t="s">
        <v>1106</v>
      </c>
      <c r="H1733" s="514">
        <v>10519</v>
      </c>
      <c r="I1733" s="515" t="s">
        <v>6915</v>
      </c>
    </row>
    <row r="1734" spans="2:9" ht="15" x14ac:dyDescent="0.35">
      <c r="B1734" s="512" t="s">
        <v>6219</v>
      </c>
      <c r="C1734" s="512" t="s">
        <v>6253</v>
      </c>
      <c r="D1734" s="512" t="s">
        <v>6283</v>
      </c>
      <c r="E1734" s="513">
        <v>6172</v>
      </c>
      <c r="F1734" s="512" t="s">
        <v>1752</v>
      </c>
      <c r="G1734" s="513" t="s">
        <v>1106</v>
      </c>
      <c r="H1734" s="516">
        <v>3039</v>
      </c>
      <c r="I1734" s="515" t="s">
        <v>6915</v>
      </c>
    </row>
    <row r="1735" spans="2:9" ht="15" x14ac:dyDescent="0.35">
      <c r="B1735" s="512" t="s">
        <v>6219</v>
      </c>
      <c r="C1735" s="512" t="s">
        <v>6237</v>
      </c>
      <c r="D1735" s="512" t="s">
        <v>6247</v>
      </c>
      <c r="E1735" s="513">
        <v>6178</v>
      </c>
      <c r="F1735" s="512" t="s">
        <v>1753</v>
      </c>
      <c r="G1735" s="513" t="s">
        <v>1106</v>
      </c>
      <c r="H1735" s="516">
        <v>24980</v>
      </c>
      <c r="I1735" s="512" t="s">
        <v>6915</v>
      </c>
    </row>
    <row r="1736" spans="2:9" ht="15" x14ac:dyDescent="0.35">
      <c r="B1736" s="512" t="s">
        <v>6219</v>
      </c>
      <c r="C1736" s="512" t="s">
        <v>6237</v>
      </c>
      <c r="D1736" s="512" t="s">
        <v>6247</v>
      </c>
      <c r="E1736" s="513">
        <v>6179</v>
      </c>
      <c r="F1736" s="512" t="s">
        <v>1754</v>
      </c>
      <c r="G1736" s="513" t="s">
        <v>1106</v>
      </c>
      <c r="H1736" s="514">
        <v>19957</v>
      </c>
      <c r="I1736" s="515" t="s">
        <v>6915</v>
      </c>
    </row>
    <row r="1737" spans="2:9" ht="15" x14ac:dyDescent="0.35">
      <c r="B1737" s="512" t="s">
        <v>6219</v>
      </c>
      <c r="C1737" s="512" t="s">
        <v>6237</v>
      </c>
      <c r="D1737" s="512" t="s">
        <v>6247</v>
      </c>
      <c r="E1737" s="513">
        <v>6180</v>
      </c>
      <c r="F1737" s="512" t="s">
        <v>1755</v>
      </c>
      <c r="G1737" s="513" t="s">
        <v>1106</v>
      </c>
      <c r="H1737" s="514">
        <v>32515</v>
      </c>
      <c r="I1737" s="515" t="s">
        <v>6915</v>
      </c>
    </row>
    <row r="1738" spans="2:9" ht="15" x14ac:dyDescent="0.35">
      <c r="B1738" s="512" t="s">
        <v>6219</v>
      </c>
      <c r="C1738" s="512" t="s">
        <v>6237</v>
      </c>
      <c r="D1738" s="512" t="s">
        <v>6247</v>
      </c>
      <c r="E1738" s="513">
        <v>6181</v>
      </c>
      <c r="F1738" s="512" t="s">
        <v>1756</v>
      </c>
      <c r="G1738" s="513" t="s">
        <v>1106</v>
      </c>
      <c r="H1738" s="514">
        <v>2824</v>
      </c>
      <c r="I1738" s="515" t="s">
        <v>6915</v>
      </c>
    </row>
    <row r="1739" spans="2:9" ht="15" x14ac:dyDescent="0.35">
      <c r="B1739" s="512" t="s">
        <v>6263</v>
      </c>
      <c r="C1739" s="512" t="s">
        <v>6252</v>
      </c>
      <c r="D1739" s="512" t="s">
        <v>6252</v>
      </c>
      <c r="E1739" s="513">
        <v>6184</v>
      </c>
      <c r="F1739" s="512" t="s">
        <v>1757</v>
      </c>
      <c r="G1739" s="513" t="s">
        <v>21</v>
      </c>
      <c r="H1739" s="514">
        <v>23730</v>
      </c>
      <c r="I1739" s="515" t="s">
        <v>6915</v>
      </c>
    </row>
    <row r="1740" spans="2:9" ht="15" x14ac:dyDescent="0.35">
      <c r="B1740" s="512" t="s">
        <v>6219</v>
      </c>
      <c r="C1740" s="512" t="s">
        <v>6232</v>
      </c>
      <c r="D1740" s="512" t="s">
        <v>6232</v>
      </c>
      <c r="E1740" s="513">
        <v>6185</v>
      </c>
      <c r="F1740" s="512" t="s">
        <v>1758</v>
      </c>
      <c r="G1740" s="513" t="s">
        <v>29</v>
      </c>
      <c r="H1740" s="514">
        <v>959614</v>
      </c>
      <c r="I1740" s="515" t="s">
        <v>6915</v>
      </c>
    </row>
    <row r="1741" spans="2:9" ht="15" x14ac:dyDescent="0.35">
      <c r="B1741" s="512" t="s">
        <v>6219</v>
      </c>
      <c r="C1741" s="512" t="s">
        <v>6237</v>
      </c>
      <c r="D1741" s="512" t="s">
        <v>6276</v>
      </c>
      <c r="E1741" s="513">
        <v>6186</v>
      </c>
      <c r="F1741" s="512" t="s">
        <v>1759</v>
      </c>
      <c r="G1741" s="513" t="s">
        <v>1106</v>
      </c>
      <c r="H1741" s="514">
        <v>20609</v>
      </c>
      <c r="I1741" s="515" t="s">
        <v>6915</v>
      </c>
    </row>
    <row r="1742" spans="2:9" ht="15" x14ac:dyDescent="0.35">
      <c r="B1742" s="512" t="s">
        <v>6219</v>
      </c>
      <c r="C1742" s="512" t="s">
        <v>6237</v>
      </c>
      <c r="D1742" s="512" t="s">
        <v>6247</v>
      </c>
      <c r="E1742" s="513">
        <v>6187</v>
      </c>
      <c r="F1742" s="512" t="s">
        <v>1760</v>
      </c>
      <c r="G1742" s="513" t="s">
        <v>1106</v>
      </c>
      <c r="H1742" s="514">
        <v>246254</v>
      </c>
      <c r="I1742" s="515" t="s">
        <v>6915</v>
      </c>
    </row>
    <row r="1743" spans="2:9" ht="15" x14ac:dyDescent="0.35">
      <c r="B1743" s="512" t="s">
        <v>6219</v>
      </c>
      <c r="C1743" s="512" t="s">
        <v>6237</v>
      </c>
      <c r="D1743" s="512" t="s">
        <v>6247</v>
      </c>
      <c r="E1743" s="513">
        <v>6189</v>
      </c>
      <c r="F1743" s="512" t="s">
        <v>1761</v>
      </c>
      <c r="G1743" s="513" t="s">
        <v>1108</v>
      </c>
      <c r="H1743" s="516">
        <v>4489688</v>
      </c>
      <c r="I1743" s="512" t="s">
        <v>6915</v>
      </c>
    </row>
    <row r="1744" spans="2:9" ht="15" x14ac:dyDescent="0.35">
      <c r="B1744" s="512" t="s">
        <v>6219</v>
      </c>
      <c r="C1744" s="512" t="s">
        <v>6268</v>
      </c>
      <c r="D1744" s="512" t="s">
        <v>6268</v>
      </c>
      <c r="E1744" s="513">
        <v>6190</v>
      </c>
      <c r="F1744" s="512" t="s">
        <v>1762</v>
      </c>
      <c r="G1744" s="513" t="s">
        <v>1763</v>
      </c>
      <c r="H1744" s="516">
        <v>797</v>
      </c>
      <c r="I1744" s="512" t="s">
        <v>6915</v>
      </c>
    </row>
    <row r="1745" spans="2:9" ht="15" x14ac:dyDescent="0.35">
      <c r="B1745" s="512" t="s">
        <v>6219</v>
      </c>
      <c r="C1745" s="512" t="s">
        <v>6264</v>
      </c>
      <c r="D1745" s="512" t="s">
        <v>6264</v>
      </c>
      <c r="E1745" s="513">
        <v>6191</v>
      </c>
      <c r="F1745" s="512" t="s">
        <v>1764</v>
      </c>
      <c r="G1745" s="513" t="s">
        <v>21</v>
      </c>
      <c r="H1745" s="516">
        <v>140931</v>
      </c>
      <c r="I1745" s="512" t="s">
        <v>6915</v>
      </c>
    </row>
    <row r="1746" spans="2:9" ht="15" x14ac:dyDescent="0.35">
      <c r="B1746" s="512" t="s">
        <v>6219</v>
      </c>
      <c r="C1746" s="512" t="s">
        <v>6264</v>
      </c>
      <c r="D1746" s="512" t="s">
        <v>6264</v>
      </c>
      <c r="E1746" s="513">
        <v>6192</v>
      </c>
      <c r="F1746" s="512" t="s">
        <v>1765</v>
      </c>
      <c r="G1746" s="513" t="s">
        <v>21</v>
      </c>
      <c r="H1746" s="516">
        <v>123158</v>
      </c>
      <c r="I1746" s="512" t="s">
        <v>6915</v>
      </c>
    </row>
    <row r="1747" spans="2:9" ht="15" x14ac:dyDescent="0.35">
      <c r="B1747" s="512" t="s">
        <v>6219</v>
      </c>
      <c r="C1747" s="512" t="s">
        <v>6240</v>
      </c>
      <c r="D1747" s="512" t="s">
        <v>6241</v>
      </c>
      <c r="E1747" s="513">
        <v>6193</v>
      </c>
      <c r="F1747" s="512" t="s">
        <v>1766</v>
      </c>
      <c r="G1747" s="513" t="s">
        <v>23</v>
      </c>
      <c r="H1747" s="516">
        <v>871744</v>
      </c>
      <c r="I1747" s="512" t="s">
        <v>6915</v>
      </c>
    </row>
    <row r="1748" spans="2:9" ht="15" x14ac:dyDescent="0.35">
      <c r="B1748" s="512" t="s">
        <v>6219</v>
      </c>
      <c r="C1748" s="512" t="s">
        <v>6264</v>
      </c>
      <c r="D1748" s="512" t="s">
        <v>6265</v>
      </c>
      <c r="E1748" s="513">
        <v>6194</v>
      </c>
      <c r="F1748" s="512" t="s">
        <v>1767</v>
      </c>
      <c r="G1748" s="513" t="s">
        <v>26</v>
      </c>
      <c r="H1748" s="516">
        <v>676117</v>
      </c>
      <c r="I1748" s="515" t="s">
        <v>6915</v>
      </c>
    </row>
    <row r="1749" spans="2:9" ht="15" x14ac:dyDescent="0.35">
      <c r="B1749" s="512" t="s">
        <v>6219</v>
      </c>
      <c r="C1749" s="512" t="s">
        <v>6240</v>
      </c>
      <c r="D1749" s="512" t="s">
        <v>6241</v>
      </c>
      <c r="E1749" s="513">
        <v>6198</v>
      </c>
      <c r="F1749" s="512" t="s">
        <v>1768</v>
      </c>
      <c r="G1749" s="513" t="s">
        <v>26</v>
      </c>
      <c r="H1749" s="516">
        <v>278092</v>
      </c>
      <c r="I1749" s="512" t="s">
        <v>6915</v>
      </c>
    </row>
    <row r="1750" spans="2:9" ht="15" x14ac:dyDescent="0.35">
      <c r="B1750" s="512" t="s">
        <v>6219</v>
      </c>
      <c r="C1750" s="512" t="s">
        <v>6240</v>
      </c>
      <c r="D1750" s="512" t="s">
        <v>6241</v>
      </c>
      <c r="E1750" s="513">
        <v>6200</v>
      </c>
      <c r="F1750" s="512" t="s">
        <v>1769</v>
      </c>
      <c r="G1750" s="513" t="s">
        <v>23</v>
      </c>
      <c r="H1750" s="516">
        <v>1071257</v>
      </c>
      <c r="I1750" s="512" t="s">
        <v>6915</v>
      </c>
    </row>
    <row r="1751" spans="2:9" ht="15" x14ac:dyDescent="0.35">
      <c r="B1751" s="512" t="s">
        <v>6219</v>
      </c>
      <c r="C1751" s="512" t="s">
        <v>6240</v>
      </c>
      <c r="D1751" s="512" t="s">
        <v>6241</v>
      </c>
      <c r="E1751" s="513">
        <v>6201</v>
      </c>
      <c r="F1751" s="512" t="s">
        <v>1770</v>
      </c>
      <c r="G1751" s="513" t="s">
        <v>23</v>
      </c>
      <c r="H1751" s="516">
        <v>1204001</v>
      </c>
      <c r="I1751" s="515" t="s">
        <v>6915</v>
      </c>
    </row>
    <row r="1752" spans="2:9" ht="15" x14ac:dyDescent="0.35">
      <c r="B1752" s="512" t="s">
        <v>6219</v>
      </c>
      <c r="C1752" s="512" t="s">
        <v>6272</v>
      </c>
      <c r="D1752" s="512" t="s">
        <v>6273</v>
      </c>
      <c r="E1752" s="513">
        <v>6202</v>
      </c>
      <c r="F1752" s="512" t="s">
        <v>1771</v>
      </c>
      <c r="G1752" s="513" t="s">
        <v>26</v>
      </c>
      <c r="H1752" s="514">
        <v>37357</v>
      </c>
      <c r="I1752" s="515" t="s">
        <v>6915</v>
      </c>
    </row>
    <row r="1753" spans="2:9" ht="15" x14ac:dyDescent="0.35">
      <c r="B1753" s="512" t="s">
        <v>6219</v>
      </c>
      <c r="C1753" s="512" t="s">
        <v>6252</v>
      </c>
      <c r="D1753" s="512" t="s">
        <v>6252</v>
      </c>
      <c r="E1753" s="513">
        <v>6203</v>
      </c>
      <c r="F1753" s="512" t="s">
        <v>1772</v>
      </c>
      <c r="G1753" s="513" t="s">
        <v>21</v>
      </c>
      <c r="H1753" s="516">
        <v>31746</v>
      </c>
      <c r="I1753" s="512" t="s">
        <v>6915</v>
      </c>
    </row>
    <row r="1754" spans="2:9" ht="15" x14ac:dyDescent="0.35">
      <c r="B1754" s="512" t="s">
        <v>6219</v>
      </c>
      <c r="C1754" s="512" t="s">
        <v>6252</v>
      </c>
      <c r="D1754" s="512" t="s">
        <v>6252</v>
      </c>
      <c r="E1754" s="513">
        <v>6204</v>
      </c>
      <c r="F1754" s="512" t="s">
        <v>1773</v>
      </c>
      <c r="G1754" s="513" t="s">
        <v>26</v>
      </c>
      <c r="H1754" s="516">
        <v>32578</v>
      </c>
      <c r="I1754" s="512" t="s">
        <v>6915</v>
      </c>
    </row>
    <row r="1755" spans="2:9" ht="15" x14ac:dyDescent="0.35">
      <c r="B1755" s="512" t="s">
        <v>6219</v>
      </c>
      <c r="C1755" s="512" t="s">
        <v>6272</v>
      </c>
      <c r="D1755" s="512" t="s">
        <v>6273</v>
      </c>
      <c r="E1755" s="513">
        <v>6206</v>
      </c>
      <c r="F1755" s="512" t="s">
        <v>1774</v>
      </c>
      <c r="G1755" s="513" t="s">
        <v>26</v>
      </c>
      <c r="H1755" s="516">
        <v>145900</v>
      </c>
      <c r="I1755" s="512" t="s">
        <v>6915</v>
      </c>
    </row>
    <row r="1756" spans="2:9" ht="15" x14ac:dyDescent="0.35">
      <c r="B1756" s="512" t="s">
        <v>6219</v>
      </c>
      <c r="C1756" s="512" t="s">
        <v>6272</v>
      </c>
      <c r="D1756" s="512" t="s">
        <v>6279</v>
      </c>
      <c r="E1756" s="513">
        <v>6207</v>
      </c>
      <c r="F1756" s="512" t="s">
        <v>1775</v>
      </c>
      <c r="G1756" s="513" t="s">
        <v>21</v>
      </c>
      <c r="H1756" s="514">
        <v>183307</v>
      </c>
      <c r="I1756" s="515" t="s">
        <v>6915</v>
      </c>
    </row>
    <row r="1757" spans="2:9" ht="15" x14ac:dyDescent="0.35">
      <c r="B1757" s="512" t="s">
        <v>6219</v>
      </c>
      <c r="C1757" s="512" t="s">
        <v>6253</v>
      </c>
      <c r="D1757" s="512" t="s">
        <v>6284</v>
      </c>
      <c r="E1757" s="513">
        <v>6212</v>
      </c>
      <c r="F1757" s="512" t="s">
        <v>1776</v>
      </c>
      <c r="G1757" s="513" t="s">
        <v>26</v>
      </c>
      <c r="H1757" s="516">
        <v>16873</v>
      </c>
      <c r="I1757" s="512" t="s">
        <v>6915</v>
      </c>
    </row>
    <row r="1758" spans="2:9" ht="15" x14ac:dyDescent="0.35">
      <c r="B1758" s="512" t="s">
        <v>6219</v>
      </c>
      <c r="C1758" s="512" t="s">
        <v>6252</v>
      </c>
      <c r="D1758" s="512" t="s">
        <v>6252</v>
      </c>
      <c r="E1758" s="513">
        <v>6213</v>
      </c>
      <c r="F1758" s="512" t="s">
        <v>1777</v>
      </c>
      <c r="G1758" s="513" t="s">
        <v>26</v>
      </c>
      <c r="H1758" s="514">
        <v>21521</v>
      </c>
      <c r="I1758" s="515" t="s">
        <v>6915</v>
      </c>
    </row>
    <row r="1759" spans="2:9" ht="15" x14ac:dyDescent="0.35">
      <c r="B1759" s="512" t="s">
        <v>6219</v>
      </c>
      <c r="C1759" s="512" t="s">
        <v>6224</v>
      </c>
      <c r="D1759" s="512" t="s">
        <v>6244</v>
      </c>
      <c r="E1759" s="513">
        <v>6214</v>
      </c>
      <c r="F1759" s="512" t="s">
        <v>1778</v>
      </c>
      <c r="G1759" s="513" t="s">
        <v>26</v>
      </c>
      <c r="H1759" s="514">
        <v>46145</v>
      </c>
      <c r="I1759" s="515" t="s">
        <v>6915</v>
      </c>
    </row>
    <row r="1760" spans="2:9" ht="15" x14ac:dyDescent="0.35">
      <c r="B1760" s="512" t="s">
        <v>6219</v>
      </c>
      <c r="C1760" s="512" t="s">
        <v>6224</v>
      </c>
      <c r="D1760" s="512" t="s">
        <v>6244</v>
      </c>
      <c r="E1760" s="513">
        <v>6215</v>
      </c>
      <c r="F1760" s="512" t="s">
        <v>1779</v>
      </c>
      <c r="G1760" s="513" t="s">
        <v>26</v>
      </c>
      <c r="H1760" s="514">
        <v>21531</v>
      </c>
      <c r="I1760" s="515" t="s">
        <v>6915</v>
      </c>
    </row>
    <row r="1761" spans="2:9" ht="15" x14ac:dyDescent="0.35">
      <c r="B1761" s="512" t="s">
        <v>6219</v>
      </c>
      <c r="C1761" s="512" t="s">
        <v>6220</v>
      </c>
      <c r="D1761" s="512" t="s">
        <v>6221</v>
      </c>
      <c r="E1761" s="513">
        <v>6216</v>
      </c>
      <c r="F1761" s="512" t="s">
        <v>1780</v>
      </c>
      <c r="G1761" s="513" t="s">
        <v>23</v>
      </c>
      <c r="H1761" s="514">
        <v>76247</v>
      </c>
      <c r="I1761" s="512" t="s">
        <v>6915</v>
      </c>
    </row>
    <row r="1762" spans="2:9" ht="15" x14ac:dyDescent="0.35">
      <c r="B1762" s="512" t="s">
        <v>6219</v>
      </c>
      <c r="C1762" s="512" t="s">
        <v>6220</v>
      </c>
      <c r="D1762" s="512" t="s">
        <v>6221</v>
      </c>
      <c r="E1762" s="513">
        <v>6217</v>
      </c>
      <c r="F1762" s="512" t="s">
        <v>1781</v>
      </c>
      <c r="G1762" s="513" t="s">
        <v>29</v>
      </c>
      <c r="H1762" s="514">
        <v>27520</v>
      </c>
      <c r="I1762" s="515" t="s">
        <v>6915</v>
      </c>
    </row>
    <row r="1763" spans="2:9" ht="15" x14ac:dyDescent="0.35">
      <c r="B1763" s="512" t="s">
        <v>6219</v>
      </c>
      <c r="C1763" s="512" t="s">
        <v>6220</v>
      </c>
      <c r="D1763" s="512" t="s">
        <v>6221</v>
      </c>
      <c r="E1763" s="513">
        <v>6218</v>
      </c>
      <c r="F1763" s="512" t="s">
        <v>1782</v>
      </c>
      <c r="G1763" s="513" t="s">
        <v>29</v>
      </c>
      <c r="H1763" s="514">
        <v>30780</v>
      </c>
      <c r="I1763" s="515" t="s">
        <v>6915</v>
      </c>
    </row>
    <row r="1764" spans="2:9" ht="15" x14ac:dyDescent="0.35">
      <c r="B1764" s="512" t="s">
        <v>6219</v>
      </c>
      <c r="C1764" s="512" t="s">
        <v>6235</v>
      </c>
      <c r="D1764" s="512" t="s">
        <v>6236</v>
      </c>
      <c r="E1764" s="513">
        <v>6219</v>
      </c>
      <c r="F1764" s="512" t="s">
        <v>1783</v>
      </c>
      <c r="G1764" s="513" t="s">
        <v>29</v>
      </c>
      <c r="H1764" s="514">
        <v>903520</v>
      </c>
      <c r="I1764" s="515" t="s">
        <v>6915</v>
      </c>
    </row>
    <row r="1765" spans="2:9" ht="15" x14ac:dyDescent="0.35">
      <c r="B1765" s="512" t="s">
        <v>6219</v>
      </c>
      <c r="C1765" s="512" t="s">
        <v>6264</v>
      </c>
      <c r="D1765" s="512" t="s">
        <v>6265</v>
      </c>
      <c r="E1765" s="513">
        <v>6221</v>
      </c>
      <c r="F1765" s="512" t="s">
        <v>1784</v>
      </c>
      <c r="G1765" s="513" t="s">
        <v>21</v>
      </c>
      <c r="H1765" s="516">
        <v>554886</v>
      </c>
      <c r="I1765" s="512" t="s">
        <v>6915</v>
      </c>
    </row>
    <row r="1766" spans="2:9" ht="15" x14ac:dyDescent="0.35">
      <c r="B1766" s="512" t="s">
        <v>6219</v>
      </c>
      <c r="C1766" s="512" t="s">
        <v>6264</v>
      </c>
      <c r="D1766" s="512" t="s">
        <v>6264</v>
      </c>
      <c r="E1766" s="513">
        <v>6224</v>
      </c>
      <c r="F1766" s="512" t="s">
        <v>1785</v>
      </c>
      <c r="G1766" s="513" t="s">
        <v>21</v>
      </c>
      <c r="H1766" s="514">
        <v>14744</v>
      </c>
      <c r="I1766" s="515" t="s">
        <v>6915</v>
      </c>
    </row>
    <row r="1767" spans="2:9" ht="15" x14ac:dyDescent="0.35">
      <c r="B1767" s="512" t="s">
        <v>6219</v>
      </c>
      <c r="C1767" s="512" t="s">
        <v>6223</v>
      </c>
      <c r="D1767" s="512" t="s">
        <v>6223</v>
      </c>
      <c r="E1767" s="513">
        <v>6225</v>
      </c>
      <c r="F1767" s="512" t="s">
        <v>1786</v>
      </c>
      <c r="G1767" s="513" t="s">
        <v>26</v>
      </c>
      <c r="H1767" s="514">
        <v>24541</v>
      </c>
      <c r="I1767" s="515" t="s">
        <v>6915</v>
      </c>
    </row>
    <row r="1768" spans="2:9" ht="15" x14ac:dyDescent="0.35">
      <c r="B1768" s="512" t="s">
        <v>6219</v>
      </c>
      <c r="C1768" s="512" t="s">
        <v>6223</v>
      </c>
      <c r="D1768" s="512" t="s">
        <v>6223</v>
      </c>
      <c r="E1768" s="513">
        <v>6226</v>
      </c>
      <c r="F1768" s="512" t="s">
        <v>1787</v>
      </c>
      <c r="G1768" s="513" t="s">
        <v>21</v>
      </c>
      <c r="H1768" s="514">
        <v>12594</v>
      </c>
      <c r="I1768" s="515" t="s">
        <v>6915</v>
      </c>
    </row>
    <row r="1769" spans="2:9" ht="15" x14ac:dyDescent="0.35">
      <c r="B1769" s="512" t="s">
        <v>6219</v>
      </c>
      <c r="C1769" s="512" t="s">
        <v>6223</v>
      </c>
      <c r="D1769" s="512" t="s">
        <v>6223</v>
      </c>
      <c r="E1769" s="513">
        <v>6227</v>
      </c>
      <c r="F1769" s="512" t="s">
        <v>1788</v>
      </c>
      <c r="G1769" s="513" t="s">
        <v>23</v>
      </c>
      <c r="H1769" s="514">
        <v>80037</v>
      </c>
      <c r="I1769" s="515" t="s">
        <v>6915</v>
      </c>
    </row>
    <row r="1770" spans="2:9" ht="15" x14ac:dyDescent="0.35">
      <c r="B1770" s="512" t="s">
        <v>6219</v>
      </c>
      <c r="C1770" s="512" t="s">
        <v>6223</v>
      </c>
      <c r="D1770" s="512" t="s">
        <v>6223</v>
      </c>
      <c r="E1770" s="513">
        <v>6228</v>
      </c>
      <c r="F1770" s="512" t="s">
        <v>1789</v>
      </c>
      <c r="G1770" s="513" t="s">
        <v>23</v>
      </c>
      <c r="H1770" s="514">
        <v>82997</v>
      </c>
      <c r="I1770" s="515" t="s">
        <v>6915</v>
      </c>
    </row>
    <row r="1771" spans="2:9" ht="15" x14ac:dyDescent="0.35">
      <c r="B1771" s="512" t="s">
        <v>6219</v>
      </c>
      <c r="C1771" s="512" t="s">
        <v>6223</v>
      </c>
      <c r="D1771" s="512" t="s">
        <v>6223</v>
      </c>
      <c r="E1771" s="513">
        <v>6229</v>
      </c>
      <c r="F1771" s="512" t="s">
        <v>1790</v>
      </c>
      <c r="G1771" s="513" t="s">
        <v>21</v>
      </c>
      <c r="H1771" s="516">
        <v>12675</v>
      </c>
      <c r="I1771" s="512" t="s">
        <v>6915</v>
      </c>
    </row>
    <row r="1772" spans="2:9" ht="15" x14ac:dyDescent="0.35">
      <c r="B1772" s="512" t="s">
        <v>6219</v>
      </c>
      <c r="C1772" s="512" t="s">
        <v>6223</v>
      </c>
      <c r="D1772" s="512" t="s">
        <v>6223</v>
      </c>
      <c r="E1772" s="513">
        <v>6230</v>
      </c>
      <c r="F1772" s="512" t="s">
        <v>1791</v>
      </c>
      <c r="G1772" s="513" t="s">
        <v>21</v>
      </c>
      <c r="H1772" s="514">
        <v>10378</v>
      </c>
      <c r="I1772" s="515" t="s">
        <v>6915</v>
      </c>
    </row>
    <row r="1773" spans="2:9" ht="15" x14ac:dyDescent="0.35">
      <c r="B1773" s="512" t="s">
        <v>6219</v>
      </c>
      <c r="C1773" s="512" t="s">
        <v>6223</v>
      </c>
      <c r="D1773" s="512" t="s">
        <v>6223</v>
      </c>
      <c r="E1773" s="513">
        <v>6231</v>
      </c>
      <c r="F1773" s="512" t="s">
        <v>1792</v>
      </c>
      <c r="G1773" s="513" t="s">
        <v>21</v>
      </c>
      <c r="H1773" s="514">
        <v>14174</v>
      </c>
      <c r="I1773" s="515" t="s">
        <v>6915</v>
      </c>
    </row>
    <row r="1774" spans="2:9" ht="15" x14ac:dyDescent="0.35">
      <c r="B1774" s="512" t="s">
        <v>6219</v>
      </c>
      <c r="C1774" s="512" t="s">
        <v>6223</v>
      </c>
      <c r="D1774" s="512" t="s">
        <v>6223</v>
      </c>
      <c r="E1774" s="513">
        <v>6232</v>
      </c>
      <c r="F1774" s="512" t="s">
        <v>1793</v>
      </c>
      <c r="G1774" s="513" t="s">
        <v>23</v>
      </c>
      <c r="H1774" s="514">
        <v>122482</v>
      </c>
      <c r="I1774" s="515" t="s">
        <v>6915</v>
      </c>
    </row>
    <row r="1775" spans="2:9" ht="15" x14ac:dyDescent="0.35">
      <c r="B1775" s="512" t="s">
        <v>6219</v>
      </c>
      <c r="C1775" s="512" t="s">
        <v>6223</v>
      </c>
      <c r="D1775" s="512" t="s">
        <v>6223</v>
      </c>
      <c r="E1775" s="513">
        <v>6233</v>
      </c>
      <c r="F1775" s="512" t="s">
        <v>1794</v>
      </c>
      <c r="G1775" s="513" t="s">
        <v>23</v>
      </c>
      <c r="H1775" s="514">
        <v>142313</v>
      </c>
      <c r="I1775" s="515" t="s">
        <v>6915</v>
      </c>
    </row>
    <row r="1776" spans="2:9" ht="15" x14ac:dyDescent="0.35">
      <c r="B1776" s="512" t="s">
        <v>6219</v>
      </c>
      <c r="C1776" s="512" t="s">
        <v>6223</v>
      </c>
      <c r="D1776" s="512" t="s">
        <v>6223</v>
      </c>
      <c r="E1776" s="513">
        <v>6234</v>
      </c>
      <c r="F1776" s="512" t="s">
        <v>1795</v>
      </c>
      <c r="G1776" s="513" t="s">
        <v>23</v>
      </c>
      <c r="H1776" s="514">
        <v>116535</v>
      </c>
      <c r="I1776" s="515" t="s">
        <v>6915</v>
      </c>
    </row>
    <row r="1777" spans="2:9" ht="15" x14ac:dyDescent="0.35">
      <c r="B1777" s="512" t="s">
        <v>6219</v>
      </c>
      <c r="C1777" s="512" t="s">
        <v>6223</v>
      </c>
      <c r="D1777" s="512" t="s">
        <v>6223</v>
      </c>
      <c r="E1777" s="513">
        <v>6235</v>
      </c>
      <c r="F1777" s="512" t="s">
        <v>1796</v>
      </c>
      <c r="G1777" s="513" t="s">
        <v>21</v>
      </c>
      <c r="H1777" s="514">
        <v>17104</v>
      </c>
      <c r="I1777" s="515" t="s">
        <v>6915</v>
      </c>
    </row>
    <row r="1778" spans="2:9" ht="15" x14ac:dyDescent="0.35">
      <c r="B1778" s="512" t="s">
        <v>6219</v>
      </c>
      <c r="C1778" s="512" t="s">
        <v>6223</v>
      </c>
      <c r="D1778" s="512" t="s">
        <v>6223</v>
      </c>
      <c r="E1778" s="513">
        <v>6236</v>
      </c>
      <c r="F1778" s="512" t="s">
        <v>1797</v>
      </c>
      <c r="G1778" s="513" t="s">
        <v>26</v>
      </c>
      <c r="H1778" s="516">
        <v>34603</v>
      </c>
      <c r="I1778" s="512" t="s">
        <v>6915</v>
      </c>
    </row>
    <row r="1779" spans="2:9" ht="15" x14ac:dyDescent="0.35">
      <c r="B1779" s="512" t="s">
        <v>6219</v>
      </c>
      <c r="C1779" s="512" t="s">
        <v>6223</v>
      </c>
      <c r="D1779" s="512" t="s">
        <v>6223</v>
      </c>
      <c r="E1779" s="513">
        <v>6237</v>
      </c>
      <c r="F1779" s="512" t="s">
        <v>1798</v>
      </c>
      <c r="G1779" s="513" t="s">
        <v>26</v>
      </c>
      <c r="H1779" s="516">
        <v>34399</v>
      </c>
      <c r="I1779" s="512" t="s">
        <v>6915</v>
      </c>
    </row>
    <row r="1780" spans="2:9" ht="15" x14ac:dyDescent="0.35">
      <c r="B1780" s="512" t="s">
        <v>6219</v>
      </c>
      <c r="C1780" s="512" t="s">
        <v>6223</v>
      </c>
      <c r="D1780" s="512" t="s">
        <v>6223</v>
      </c>
      <c r="E1780" s="513">
        <v>6238</v>
      </c>
      <c r="F1780" s="512" t="s">
        <v>1799</v>
      </c>
      <c r="G1780" s="513" t="s">
        <v>26</v>
      </c>
      <c r="H1780" s="516">
        <v>10068</v>
      </c>
      <c r="I1780" s="512" t="s">
        <v>6915</v>
      </c>
    </row>
    <row r="1781" spans="2:9" ht="15" x14ac:dyDescent="0.35">
      <c r="B1781" s="512" t="s">
        <v>6219</v>
      </c>
      <c r="C1781" s="512" t="s">
        <v>6240</v>
      </c>
      <c r="D1781" s="512" t="s">
        <v>6240</v>
      </c>
      <c r="E1781" s="513">
        <v>6239</v>
      </c>
      <c r="F1781" s="512" t="s">
        <v>1800</v>
      </c>
      <c r="G1781" s="513" t="s">
        <v>21</v>
      </c>
      <c r="H1781" s="516">
        <v>100218</v>
      </c>
      <c r="I1781" s="512" t="s">
        <v>6915</v>
      </c>
    </row>
    <row r="1782" spans="2:9" ht="15" x14ac:dyDescent="0.35">
      <c r="B1782" s="512" t="s">
        <v>6219</v>
      </c>
      <c r="C1782" s="512" t="s">
        <v>6242</v>
      </c>
      <c r="D1782" s="512" t="s">
        <v>6243</v>
      </c>
      <c r="E1782" s="513">
        <v>6246</v>
      </c>
      <c r="F1782" s="512" t="s">
        <v>1801</v>
      </c>
      <c r="G1782" s="513" t="s">
        <v>21</v>
      </c>
      <c r="H1782" s="514">
        <v>313197</v>
      </c>
      <c r="I1782" s="515" t="s">
        <v>6915</v>
      </c>
    </row>
    <row r="1783" spans="2:9" ht="15" x14ac:dyDescent="0.35">
      <c r="B1783" s="512" t="s">
        <v>6219</v>
      </c>
      <c r="C1783" s="512" t="s">
        <v>6240</v>
      </c>
      <c r="D1783" s="512" t="s">
        <v>6275</v>
      </c>
      <c r="E1783" s="513">
        <v>6247</v>
      </c>
      <c r="F1783" s="512" t="s">
        <v>1802</v>
      </c>
      <c r="G1783" s="513" t="s">
        <v>1803</v>
      </c>
      <c r="H1783" s="514">
        <v>2479</v>
      </c>
      <c r="I1783" s="515" t="s">
        <v>6915</v>
      </c>
    </row>
    <row r="1784" spans="2:9" ht="15" x14ac:dyDescent="0.35">
      <c r="B1784" s="512" t="s">
        <v>6219</v>
      </c>
      <c r="C1784" s="512" t="s">
        <v>6240</v>
      </c>
      <c r="D1784" s="512" t="s">
        <v>6275</v>
      </c>
      <c r="E1784" s="513">
        <v>6249</v>
      </c>
      <c r="F1784" s="512" t="s">
        <v>1804</v>
      </c>
      <c r="G1784" s="513" t="s">
        <v>1803</v>
      </c>
      <c r="H1784" s="516">
        <v>2320</v>
      </c>
      <c r="I1784" s="512" t="s">
        <v>6915</v>
      </c>
    </row>
    <row r="1785" spans="2:9" ht="15" x14ac:dyDescent="0.35">
      <c r="B1785" s="512" t="s">
        <v>6219</v>
      </c>
      <c r="C1785" s="512" t="s">
        <v>6240</v>
      </c>
      <c r="D1785" s="512" t="s">
        <v>6275</v>
      </c>
      <c r="E1785" s="513">
        <v>6250</v>
      </c>
      <c r="F1785" s="512" t="s">
        <v>1805</v>
      </c>
      <c r="G1785" s="513" t="s">
        <v>1803</v>
      </c>
      <c r="H1785" s="516">
        <v>2737</v>
      </c>
      <c r="I1785" s="512" t="s">
        <v>6915</v>
      </c>
    </row>
    <row r="1786" spans="2:9" ht="15" x14ac:dyDescent="0.35">
      <c r="B1786" s="512" t="s">
        <v>6219</v>
      </c>
      <c r="C1786" s="512" t="s">
        <v>6240</v>
      </c>
      <c r="D1786" s="512" t="s">
        <v>6275</v>
      </c>
      <c r="E1786" s="513">
        <v>6251</v>
      </c>
      <c r="F1786" s="512" t="s">
        <v>1806</v>
      </c>
      <c r="G1786" s="513" t="s">
        <v>1803</v>
      </c>
      <c r="H1786" s="516">
        <v>3352</v>
      </c>
      <c r="I1786" s="512" t="s">
        <v>6915</v>
      </c>
    </row>
    <row r="1787" spans="2:9" ht="15" x14ac:dyDescent="0.35">
      <c r="B1787" s="512" t="s">
        <v>6219</v>
      </c>
      <c r="C1787" s="512" t="s">
        <v>6240</v>
      </c>
      <c r="D1787" s="512" t="s">
        <v>6256</v>
      </c>
      <c r="E1787" s="513">
        <v>6262</v>
      </c>
      <c r="F1787" s="512" t="s">
        <v>1807</v>
      </c>
      <c r="G1787" s="513" t="s">
        <v>21</v>
      </c>
      <c r="H1787" s="516">
        <v>51519</v>
      </c>
      <c r="I1787" s="512" t="s">
        <v>6915</v>
      </c>
    </row>
    <row r="1788" spans="2:9" ht="15" x14ac:dyDescent="0.35">
      <c r="B1788" s="512" t="s">
        <v>6219</v>
      </c>
      <c r="C1788" s="512" t="s">
        <v>6240</v>
      </c>
      <c r="D1788" s="512" t="s">
        <v>6256</v>
      </c>
      <c r="E1788" s="513">
        <v>6263</v>
      </c>
      <c r="F1788" s="512" t="s">
        <v>1808</v>
      </c>
      <c r="G1788" s="513" t="s">
        <v>21</v>
      </c>
      <c r="H1788" s="514">
        <v>12522</v>
      </c>
      <c r="I1788" s="515" t="s">
        <v>6915</v>
      </c>
    </row>
    <row r="1789" spans="2:9" ht="15" x14ac:dyDescent="0.35">
      <c r="B1789" s="512" t="s">
        <v>6219</v>
      </c>
      <c r="C1789" s="512" t="s">
        <v>6240</v>
      </c>
      <c r="D1789" s="512" t="s">
        <v>6275</v>
      </c>
      <c r="E1789" s="513">
        <v>6264</v>
      </c>
      <c r="F1789" s="512" t="s">
        <v>1809</v>
      </c>
      <c r="G1789" s="513" t="s">
        <v>29</v>
      </c>
      <c r="H1789" s="516">
        <v>12465</v>
      </c>
      <c r="I1789" s="512" t="s">
        <v>6915</v>
      </c>
    </row>
    <row r="1790" spans="2:9" ht="15" x14ac:dyDescent="0.35">
      <c r="B1790" s="512" t="s">
        <v>6219</v>
      </c>
      <c r="C1790" s="512" t="s">
        <v>6240</v>
      </c>
      <c r="D1790" s="512" t="s">
        <v>6256</v>
      </c>
      <c r="E1790" s="513">
        <v>6265</v>
      </c>
      <c r="F1790" s="512" t="s">
        <v>1810</v>
      </c>
      <c r="G1790" s="513" t="s">
        <v>21</v>
      </c>
      <c r="H1790" s="514">
        <v>20620</v>
      </c>
      <c r="I1790" s="515" t="s">
        <v>6915</v>
      </c>
    </row>
    <row r="1791" spans="2:9" ht="15" x14ac:dyDescent="0.35">
      <c r="B1791" s="512" t="s">
        <v>6219</v>
      </c>
      <c r="C1791" s="512" t="s">
        <v>6240</v>
      </c>
      <c r="D1791" s="512" t="s">
        <v>6256</v>
      </c>
      <c r="E1791" s="513">
        <v>6266</v>
      </c>
      <c r="F1791" s="512" t="s">
        <v>1811</v>
      </c>
      <c r="G1791" s="513" t="s">
        <v>21</v>
      </c>
      <c r="H1791" s="514">
        <v>27456</v>
      </c>
      <c r="I1791" s="515" t="s">
        <v>6915</v>
      </c>
    </row>
    <row r="1792" spans="2:9" ht="15" x14ac:dyDescent="0.35">
      <c r="B1792" s="512" t="s">
        <v>6219</v>
      </c>
      <c r="C1792" s="512" t="s">
        <v>6230</v>
      </c>
      <c r="D1792" s="512" t="s">
        <v>6250</v>
      </c>
      <c r="E1792" s="513">
        <v>6269</v>
      </c>
      <c r="F1792" s="512" t="s">
        <v>1812</v>
      </c>
      <c r="G1792" s="513" t="s">
        <v>21</v>
      </c>
      <c r="H1792" s="516">
        <v>74813</v>
      </c>
      <c r="I1792" s="512" t="s">
        <v>6915</v>
      </c>
    </row>
    <row r="1793" spans="2:9" ht="15" x14ac:dyDescent="0.35">
      <c r="B1793" s="512" t="s">
        <v>6219</v>
      </c>
      <c r="C1793" s="512" t="s">
        <v>6240</v>
      </c>
      <c r="D1793" s="512" t="s">
        <v>6275</v>
      </c>
      <c r="E1793" s="513">
        <v>6273</v>
      </c>
      <c r="F1793" s="512" t="s">
        <v>1813</v>
      </c>
      <c r="G1793" s="513" t="s">
        <v>1814</v>
      </c>
      <c r="H1793" s="514">
        <v>3940</v>
      </c>
      <c r="I1793" s="515" t="s">
        <v>6915</v>
      </c>
    </row>
    <row r="1794" spans="2:9" ht="15" x14ac:dyDescent="0.35">
      <c r="B1794" s="512" t="s">
        <v>6219</v>
      </c>
      <c r="C1794" s="512" t="s">
        <v>6264</v>
      </c>
      <c r="D1794" s="512" t="s">
        <v>6265</v>
      </c>
      <c r="E1794" s="513">
        <v>6275</v>
      </c>
      <c r="F1794" s="512" t="s">
        <v>1815</v>
      </c>
      <c r="G1794" s="513" t="s">
        <v>26</v>
      </c>
      <c r="H1794" s="514">
        <v>160730</v>
      </c>
      <c r="I1794" s="515" t="s">
        <v>6915</v>
      </c>
    </row>
    <row r="1795" spans="2:9" ht="15" x14ac:dyDescent="0.35">
      <c r="B1795" s="512" t="s">
        <v>6219</v>
      </c>
      <c r="C1795" s="512" t="s">
        <v>6264</v>
      </c>
      <c r="D1795" s="512" t="s">
        <v>6265</v>
      </c>
      <c r="E1795" s="513">
        <v>6276</v>
      </c>
      <c r="F1795" s="512" t="s">
        <v>1816</v>
      </c>
      <c r="G1795" s="513" t="s">
        <v>26</v>
      </c>
      <c r="H1795" s="514">
        <v>169840</v>
      </c>
      <c r="I1795" s="515" t="s">
        <v>6915</v>
      </c>
    </row>
    <row r="1796" spans="2:9" ht="15" x14ac:dyDescent="0.35">
      <c r="B1796" s="512" t="s">
        <v>6219</v>
      </c>
      <c r="C1796" s="512" t="s">
        <v>6264</v>
      </c>
      <c r="D1796" s="512" t="s">
        <v>6265</v>
      </c>
      <c r="E1796" s="513">
        <v>6278</v>
      </c>
      <c r="F1796" s="512" t="s">
        <v>1817</v>
      </c>
      <c r="G1796" s="513" t="s">
        <v>26</v>
      </c>
      <c r="H1796" s="514">
        <v>60124</v>
      </c>
      <c r="I1796" s="515" t="s">
        <v>6915</v>
      </c>
    </row>
    <row r="1797" spans="2:9" ht="15" x14ac:dyDescent="0.35">
      <c r="B1797" s="512" t="s">
        <v>6219</v>
      </c>
      <c r="C1797" s="512" t="s">
        <v>6264</v>
      </c>
      <c r="D1797" s="512" t="s">
        <v>6265</v>
      </c>
      <c r="E1797" s="513">
        <v>6279</v>
      </c>
      <c r="F1797" s="512" t="s">
        <v>1818</v>
      </c>
      <c r="G1797" s="513" t="s">
        <v>26</v>
      </c>
      <c r="H1797" s="514">
        <v>56319</v>
      </c>
      <c r="I1797" s="515" t="s">
        <v>6915</v>
      </c>
    </row>
    <row r="1798" spans="2:9" ht="15" x14ac:dyDescent="0.35">
      <c r="B1798" s="512" t="s">
        <v>6219</v>
      </c>
      <c r="C1798" s="512" t="s">
        <v>6264</v>
      </c>
      <c r="D1798" s="512" t="s">
        <v>6265</v>
      </c>
      <c r="E1798" s="513">
        <v>6280</v>
      </c>
      <c r="F1798" s="512" t="s">
        <v>1819</v>
      </c>
      <c r="G1798" s="513" t="s">
        <v>21</v>
      </c>
      <c r="H1798" s="514">
        <v>218684</v>
      </c>
      <c r="I1798" s="515" t="s">
        <v>6915</v>
      </c>
    </row>
    <row r="1799" spans="2:9" ht="15" x14ac:dyDescent="0.35">
      <c r="B1799" s="512" t="s">
        <v>6219</v>
      </c>
      <c r="C1799" s="512" t="s">
        <v>6264</v>
      </c>
      <c r="D1799" s="512" t="s">
        <v>6265</v>
      </c>
      <c r="E1799" s="513">
        <v>6281</v>
      </c>
      <c r="F1799" s="512" t="s">
        <v>1820</v>
      </c>
      <c r="G1799" s="513" t="s">
        <v>21</v>
      </c>
      <c r="H1799" s="514">
        <v>60857</v>
      </c>
      <c r="I1799" s="515" t="s">
        <v>6915</v>
      </c>
    </row>
    <row r="1800" spans="2:9" ht="15" x14ac:dyDescent="0.35">
      <c r="B1800" s="512" t="s">
        <v>6219</v>
      </c>
      <c r="C1800" s="512" t="s">
        <v>6264</v>
      </c>
      <c r="D1800" s="512" t="s">
        <v>6265</v>
      </c>
      <c r="E1800" s="513">
        <v>6282</v>
      </c>
      <c r="F1800" s="512" t="s">
        <v>1821</v>
      </c>
      <c r="G1800" s="513" t="s">
        <v>21</v>
      </c>
      <c r="H1800" s="514">
        <v>80047</v>
      </c>
      <c r="I1800" s="515" t="s">
        <v>6915</v>
      </c>
    </row>
    <row r="1801" spans="2:9" ht="15" x14ac:dyDescent="0.35">
      <c r="B1801" s="512" t="s">
        <v>6219</v>
      </c>
      <c r="C1801" s="512" t="s">
        <v>6264</v>
      </c>
      <c r="D1801" s="512" t="s">
        <v>6265</v>
      </c>
      <c r="E1801" s="513">
        <v>6283</v>
      </c>
      <c r="F1801" s="512" t="s">
        <v>1822</v>
      </c>
      <c r="G1801" s="513" t="s">
        <v>21</v>
      </c>
      <c r="H1801" s="514">
        <v>152911</v>
      </c>
      <c r="I1801" s="515" t="s">
        <v>6915</v>
      </c>
    </row>
    <row r="1802" spans="2:9" ht="15" x14ac:dyDescent="0.35">
      <c r="B1802" s="512" t="s">
        <v>6219</v>
      </c>
      <c r="C1802" s="512" t="s">
        <v>6264</v>
      </c>
      <c r="D1802" s="512" t="s">
        <v>6265</v>
      </c>
      <c r="E1802" s="513">
        <v>6284</v>
      </c>
      <c r="F1802" s="512" t="s">
        <v>1823</v>
      </c>
      <c r="G1802" s="513" t="s">
        <v>21</v>
      </c>
      <c r="H1802" s="516">
        <v>61159</v>
      </c>
      <c r="I1802" s="512" t="s">
        <v>6915</v>
      </c>
    </row>
    <row r="1803" spans="2:9" ht="15" x14ac:dyDescent="0.35">
      <c r="B1803" s="512" t="s">
        <v>6219</v>
      </c>
      <c r="C1803" s="512" t="s">
        <v>6264</v>
      </c>
      <c r="D1803" s="512" t="s">
        <v>6265</v>
      </c>
      <c r="E1803" s="513">
        <v>6285</v>
      </c>
      <c r="F1803" s="512" t="s">
        <v>1824</v>
      </c>
      <c r="G1803" s="513" t="s">
        <v>23</v>
      </c>
      <c r="H1803" s="514">
        <v>737631</v>
      </c>
      <c r="I1803" s="515" t="s">
        <v>6915</v>
      </c>
    </row>
    <row r="1804" spans="2:9" ht="15" x14ac:dyDescent="0.35">
      <c r="B1804" s="512" t="s">
        <v>6219</v>
      </c>
      <c r="C1804" s="512" t="s">
        <v>6264</v>
      </c>
      <c r="D1804" s="512" t="s">
        <v>6265</v>
      </c>
      <c r="E1804" s="513">
        <v>6286</v>
      </c>
      <c r="F1804" s="512" t="s">
        <v>1825</v>
      </c>
      <c r="G1804" s="513" t="s">
        <v>21</v>
      </c>
      <c r="H1804" s="514">
        <v>132849</v>
      </c>
      <c r="I1804" s="515" t="s">
        <v>6915</v>
      </c>
    </row>
    <row r="1805" spans="2:9" ht="15" x14ac:dyDescent="0.35">
      <c r="B1805" s="512" t="s">
        <v>6219</v>
      </c>
      <c r="C1805" s="512" t="s">
        <v>6264</v>
      </c>
      <c r="D1805" s="512" t="s">
        <v>6265</v>
      </c>
      <c r="E1805" s="513">
        <v>6287</v>
      </c>
      <c r="F1805" s="512" t="s">
        <v>1826</v>
      </c>
      <c r="G1805" s="513" t="s">
        <v>26</v>
      </c>
      <c r="H1805" s="514">
        <v>28782</v>
      </c>
      <c r="I1805" s="515" t="s">
        <v>6915</v>
      </c>
    </row>
    <row r="1806" spans="2:9" ht="15" x14ac:dyDescent="0.35">
      <c r="B1806" s="512" t="s">
        <v>6219</v>
      </c>
      <c r="C1806" s="512" t="s">
        <v>6264</v>
      </c>
      <c r="D1806" s="512" t="s">
        <v>6265</v>
      </c>
      <c r="E1806" s="513">
        <v>6288</v>
      </c>
      <c r="F1806" s="512" t="s">
        <v>1827</v>
      </c>
      <c r="G1806" s="513" t="s">
        <v>26</v>
      </c>
      <c r="H1806" s="514">
        <v>21516</v>
      </c>
      <c r="I1806" s="515" t="s">
        <v>6915</v>
      </c>
    </row>
    <row r="1807" spans="2:9" ht="15" x14ac:dyDescent="0.35">
      <c r="B1807" s="512" t="s">
        <v>6219</v>
      </c>
      <c r="C1807" s="512" t="s">
        <v>6264</v>
      </c>
      <c r="D1807" s="512" t="s">
        <v>6265</v>
      </c>
      <c r="E1807" s="513">
        <v>6289</v>
      </c>
      <c r="F1807" s="512" t="s">
        <v>1828</v>
      </c>
      <c r="G1807" s="513" t="s">
        <v>26</v>
      </c>
      <c r="H1807" s="516">
        <v>31555</v>
      </c>
      <c r="I1807" s="512" t="s">
        <v>6915</v>
      </c>
    </row>
    <row r="1808" spans="2:9" ht="15" x14ac:dyDescent="0.35">
      <c r="B1808" s="512" t="s">
        <v>6219</v>
      </c>
      <c r="C1808" s="512" t="s">
        <v>6264</v>
      </c>
      <c r="D1808" s="512" t="s">
        <v>6265</v>
      </c>
      <c r="E1808" s="513">
        <v>6290</v>
      </c>
      <c r="F1808" s="512" t="s">
        <v>1829</v>
      </c>
      <c r="G1808" s="513" t="s">
        <v>367</v>
      </c>
      <c r="H1808" s="514">
        <v>29519</v>
      </c>
      <c r="I1808" s="515" t="s">
        <v>6915</v>
      </c>
    </row>
    <row r="1809" spans="2:9" ht="15" x14ac:dyDescent="0.35">
      <c r="B1809" s="512" t="s">
        <v>6219</v>
      </c>
      <c r="C1809" s="512" t="s">
        <v>6264</v>
      </c>
      <c r="D1809" s="512" t="s">
        <v>6265</v>
      </c>
      <c r="E1809" s="513">
        <v>6291</v>
      </c>
      <c r="F1809" s="512" t="s">
        <v>1830</v>
      </c>
      <c r="G1809" s="513" t="s">
        <v>26</v>
      </c>
      <c r="H1809" s="516">
        <v>22654</v>
      </c>
      <c r="I1809" s="512" t="s">
        <v>6915</v>
      </c>
    </row>
    <row r="1810" spans="2:9" ht="15" x14ac:dyDescent="0.35">
      <c r="B1810" s="512" t="s">
        <v>6219</v>
      </c>
      <c r="C1810" s="512" t="s">
        <v>6264</v>
      </c>
      <c r="D1810" s="512" t="s">
        <v>6265</v>
      </c>
      <c r="E1810" s="513">
        <v>6292</v>
      </c>
      <c r="F1810" s="512" t="s">
        <v>1831</v>
      </c>
      <c r="G1810" s="513" t="s">
        <v>367</v>
      </c>
      <c r="H1810" s="516">
        <v>35668</v>
      </c>
      <c r="I1810" s="512" t="s">
        <v>6915</v>
      </c>
    </row>
    <row r="1811" spans="2:9" ht="15" x14ac:dyDescent="0.35">
      <c r="B1811" s="512" t="s">
        <v>6219</v>
      </c>
      <c r="C1811" s="512" t="s">
        <v>6264</v>
      </c>
      <c r="D1811" s="512" t="s">
        <v>6265</v>
      </c>
      <c r="E1811" s="513">
        <v>6294</v>
      </c>
      <c r="F1811" s="512" t="s">
        <v>1832</v>
      </c>
      <c r="G1811" s="513" t="s">
        <v>26</v>
      </c>
      <c r="H1811" s="516">
        <v>44832</v>
      </c>
      <c r="I1811" s="512" t="s">
        <v>6915</v>
      </c>
    </row>
    <row r="1812" spans="2:9" ht="15" x14ac:dyDescent="0.35">
      <c r="B1812" s="512" t="s">
        <v>6219</v>
      </c>
      <c r="C1812" s="512" t="s">
        <v>6264</v>
      </c>
      <c r="D1812" s="512" t="s">
        <v>6265</v>
      </c>
      <c r="E1812" s="513">
        <v>6295</v>
      </c>
      <c r="F1812" s="512" t="s">
        <v>1833</v>
      </c>
      <c r="G1812" s="513" t="s">
        <v>26</v>
      </c>
      <c r="H1812" s="516">
        <v>44791</v>
      </c>
      <c r="I1812" s="512" t="s">
        <v>6915</v>
      </c>
    </row>
    <row r="1813" spans="2:9" ht="15" x14ac:dyDescent="0.35">
      <c r="B1813" s="512" t="s">
        <v>6219</v>
      </c>
      <c r="C1813" s="512" t="s">
        <v>6264</v>
      </c>
      <c r="D1813" s="512" t="s">
        <v>6265</v>
      </c>
      <c r="E1813" s="513">
        <v>6296</v>
      </c>
      <c r="F1813" s="512" t="s">
        <v>1834</v>
      </c>
      <c r="G1813" s="513" t="s">
        <v>26</v>
      </c>
      <c r="H1813" s="514">
        <v>73769</v>
      </c>
      <c r="I1813" s="515" t="s">
        <v>6915</v>
      </c>
    </row>
    <row r="1814" spans="2:9" ht="15" x14ac:dyDescent="0.35">
      <c r="B1814" s="512" t="s">
        <v>6219</v>
      </c>
      <c r="C1814" s="512" t="s">
        <v>6264</v>
      </c>
      <c r="D1814" s="512" t="s">
        <v>6265</v>
      </c>
      <c r="E1814" s="513">
        <v>6297</v>
      </c>
      <c r="F1814" s="512" t="s">
        <v>1835</v>
      </c>
      <c r="G1814" s="513" t="s">
        <v>23</v>
      </c>
      <c r="H1814" s="514">
        <v>847639</v>
      </c>
      <c r="I1814" s="515" t="s">
        <v>6915</v>
      </c>
    </row>
    <row r="1815" spans="2:9" ht="15" x14ac:dyDescent="0.35">
      <c r="B1815" s="512" t="s">
        <v>6219</v>
      </c>
      <c r="C1815" s="512" t="s">
        <v>6264</v>
      </c>
      <c r="D1815" s="512" t="s">
        <v>6265</v>
      </c>
      <c r="E1815" s="513">
        <v>6298</v>
      </c>
      <c r="F1815" s="512" t="s">
        <v>1836</v>
      </c>
      <c r="G1815" s="513" t="s">
        <v>23</v>
      </c>
      <c r="H1815" s="516">
        <v>744381</v>
      </c>
      <c r="I1815" s="512" t="s">
        <v>6915</v>
      </c>
    </row>
    <row r="1816" spans="2:9" ht="15" x14ac:dyDescent="0.35">
      <c r="B1816" s="512" t="s">
        <v>6219</v>
      </c>
      <c r="C1816" s="512" t="s">
        <v>6230</v>
      </c>
      <c r="D1816" s="512" t="s">
        <v>6246</v>
      </c>
      <c r="E1816" s="513">
        <v>6299</v>
      </c>
      <c r="F1816" s="512" t="s">
        <v>1837</v>
      </c>
      <c r="G1816" s="513" t="s">
        <v>23</v>
      </c>
      <c r="H1816" s="516">
        <v>727244</v>
      </c>
      <c r="I1816" s="512" t="s">
        <v>6915</v>
      </c>
    </row>
    <row r="1817" spans="2:9" ht="15" x14ac:dyDescent="0.35">
      <c r="B1817" s="512" t="s">
        <v>6219</v>
      </c>
      <c r="C1817" s="512" t="s">
        <v>6264</v>
      </c>
      <c r="D1817" s="512" t="s">
        <v>6265</v>
      </c>
      <c r="E1817" s="513">
        <v>6301</v>
      </c>
      <c r="F1817" s="512" t="s">
        <v>1838</v>
      </c>
      <c r="G1817" s="513" t="s">
        <v>23</v>
      </c>
      <c r="H1817" s="516">
        <v>1137969</v>
      </c>
      <c r="I1817" s="512" t="s">
        <v>6915</v>
      </c>
    </row>
    <row r="1818" spans="2:9" ht="15" x14ac:dyDescent="0.35">
      <c r="B1818" s="512" t="s">
        <v>6219</v>
      </c>
      <c r="C1818" s="512" t="s">
        <v>6264</v>
      </c>
      <c r="D1818" s="512" t="s">
        <v>6265</v>
      </c>
      <c r="E1818" s="513">
        <v>6302</v>
      </c>
      <c r="F1818" s="512" t="s">
        <v>1839</v>
      </c>
      <c r="G1818" s="513" t="s">
        <v>23</v>
      </c>
      <c r="H1818" s="516">
        <v>885685</v>
      </c>
      <c r="I1818" s="512" t="s">
        <v>6915</v>
      </c>
    </row>
    <row r="1819" spans="2:9" ht="15" x14ac:dyDescent="0.35">
      <c r="B1819" s="512" t="s">
        <v>6219</v>
      </c>
      <c r="C1819" s="512" t="s">
        <v>6242</v>
      </c>
      <c r="D1819" s="512" t="s">
        <v>6257</v>
      </c>
      <c r="E1819" s="513">
        <v>6303</v>
      </c>
      <c r="F1819" s="512" t="s">
        <v>1840</v>
      </c>
      <c r="G1819" s="513" t="s">
        <v>21</v>
      </c>
      <c r="H1819" s="514">
        <v>10518</v>
      </c>
      <c r="I1819" s="515" t="s">
        <v>6915</v>
      </c>
    </row>
    <row r="1820" spans="2:9" ht="15" x14ac:dyDescent="0.35">
      <c r="B1820" s="512" t="s">
        <v>6219</v>
      </c>
      <c r="C1820" s="512" t="s">
        <v>6252</v>
      </c>
      <c r="D1820" s="512" t="s">
        <v>6252</v>
      </c>
      <c r="E1820" s="513">
        <v>6304</v>
      </c>
      <c r="F1820" s="512" t="s">
        <v>1841</v>
      </c>
      <c r="G1820" s="513" t="s">
        <v>21</v>
      </c>
      <c r="H1820" s="514">
        <v>10623</v>
      </c>
      <c r="I1820" s="515" t="s">
        <v>6915</v>
      </c>
    </row>
    <row r="1821" spans="2:9" ht="15" x14ac:dyDescent="0.35">
      <c r="B1821" s="512" t="s">
        <v>6219</v>
      </c>
      <c r="C1821" s="512" t="s">
        <v>6252</v>
      </c>
      <c r="D1821" s="512" t="s">
        <v>6252</v>
      </c>
      <c r="E1821" s="513">
        <v>6308</v>
      </c>
      <c r="F1821" s="512" t="s">
        <v>5428</v>
      </c>
      <c r="G1821" s="513" t="s">
        <v>21</v>
      </c>
      <c r="H1821" s="514">
        <v>5574</v>
      </c>
      <c r="I1821" s="515" t="s">
        <v>6915</v>
      </c>
    </row>
    <row r="1822" spans="2:9" ht="15" x14ac:dyDescent="0.35">
      <c r="B1822" s="512" t="s">
        <v>6219</v>
      </c>
      <c r="C1822" s="512" t="s">
        <v>6258</v>
      </c>
      <c r="D1822" s="512" t="s">
        <v>6259</v>
      </c>
      <c r="E1822" s="513">
        <v>6309</v>
      </c>
      <c r="F1822" s="512" t="s">
        <v>1842</v>
      </c>
      <c r="G1822" s="513" t="s">
        <v>21</v>
      </c>
      <c r="H1822" s="514">
        <v>18622</v>
      </c>
      <c r="I1822" s="515" t="s">
        <v>6915</v>
      </c>
    </row>
    <row r="1823" spans="2:9" ht="15" x14ac:dyDescent="0.35">
      <c r="B1823" s="512" t="s">
        <v>6263</v>
      </c>
      <c r="C1823" s="512" t="s">
        <v>6252</v>
      </c>
      <c r="D1823" s="512" t="s">
        <v>6252</v>
      </c>
      <c r="E1823" s="513">
        <v>6311</v>
      </c>
      <c r="F1823" s="512" t="s">
        <v>1843</v>
      </c>
      <c r="G1823" s="513" t="s">
        <v>21</v>
      </c>
      <c r="H1823" s="516">
        <v>547912</v>
      </c>
      <c r="I1823" s="512" t="s">
        <v>6915</v>
      </c>
    </row>
    <row r="1824" spans="2:9" ht="15" x14ac:dyDescent="0.35">
      <c r="B1824" s="512" t="s">
        <v>6219</v>
      </c>
      <c r="C1824" s="512" t="s">
        <v>6242</v>
      </c>
      <c r="D1824" s="512" t="s">
        <v>6257</v>
      </c>
      <c r="E1824" s="513">
        <v>6313</v>
      </c>
      <c r="F1824" s="512" t="s">
        <v>1844</v>
      </c>
      <c r="G1824" s="513" t="s">
        <v>23</v>
      </c>
      <c r="H1824" s="516">
        <v>1358843</v>
      </c>
      <c r="I1824" s="512" t="s">
        <v>6915</v>
      </c>
    </row>
    <row r="1825" spans="2:9" ht="15" x14ac:dyDescent="0.35">
      <c r="B1825" s="512" t="s">
        <v>6219</v>
      </c>
      <c r="C1825" s="512" t="s">
        <v>6242</v>
      </c>
      <c r="D1825" s="512" t="s">
        <v>6257</v>
      </c>
      <c r="E1825" s="513">
        <v>6314</v>
      </c>
      <c r="F1825" s="512" t="s">
        <v>1845</v>
      </c>
      <c r="G1825" s="513" t="s">
        <v>23</v>
      </c>
      <c r="H1825" s="516">
        <v>1364839</v>
      </c>
      <c r="I1825" s="512" t="s">
        <v>6915</v>
      </c>
    </row>
    <row r="1826" spans="2:9" ht="15" x14ac:dyDescent="0.35">
      <c r="B1826" s="512" t="s">
        <v>6219</v>
      </c>
      <c r="C1826" s="512" t="s">
        <v>6242</v>
      </c>
      <c r="D1826" s="512" t="s">
        <v>6257</v>
      </c>
      <c r="E1826" s="513">
        <v>6315</v>
      </c>
      <c r="F1826" s="512" t="s">
        <v>1846</v>
      </c>
      <c r="G1826" s="513" t="s">
        <v>23</v>
      </c>
      <c r="H1826" s="514">
        <v>1393188</v>
      </c>
      <c r="I1826" s="515" t="s">
        <v>6915</v>
      </c>
    </row>
    <row r="1827" spans="2:9" ht="15" x14ac:dyDescent="0.35">
      <c r="B1827" s="512" t="s">
        <v>6219</v>
      </c>
      <c r="C1827" s="512" t="s">
        <v>6242</v>
      </c>
      <c r="D1827" s="512" t="s">
        <v>6257</v>
      </c>
      <c r="E1827" s="513">
        <v>6316</v>
      </c>
      <c r="F1827" s="512" t="s">
        <v>1847</v>
      </c>
      <c r="G1827" s="513" t="s">
        <v>23</v>
      </c>
      <c r="H1827" s="514">
        <v>1491249</v>
      </c>
      <c r="I1827" s="515" t="s">
        <v>6915</v>
      </c>
    </row>
    <row r="1828" spans="2:9" ht="15" x14ac:dyDescent="0.35">
      <c r="B1828" s="512" t="s">
        <v>6219</v>
      </c>
      <c r="C1828" s="512" t="s">
        <v>6240</v>
      </c>
      <c r="D1828" s="512" t="s">
        <v>6241</v>
      </c>
      <c r="E1828" s="513">
        <v>6317</v>
      </c>
      <c r="F1828" s="512" t="s">
        <v>1848</v>
      </c>
      <c r="G1828" s="513" t="s">
        <v>26</v>
      </c>
      <c r="H1828" s="516">
        <v>6048637</v>
      </c>
      <c r="I1828" s="512" t="s">
        <v>6915</v>
      </c>
    </row>
    <row r="1829" spans="2:9" ht="15" x14ac:dyDescent="0.35">
      <c r="B1829" s="512" t="s">
        <v>6219</v>
      </c>
      <c r="C1829" s="512" t="s">
        <v>6253</v>
      </c>
      <c r="D1829" s="512" t="s">
        <v>6283</v>
      </c>
      <c r="E1829" s="513">
        <v>6318</v>
      </c>
      <c r="F1829" s="512" t="s">
        <v>1849</v>
      </c>
      <c r="G1829" s="513" t="s">
        <v>1106</v>
      </c>
      <c r="H1829" s="516">
        <v>124818</v>
      </c>
      <c r="I1829" s="512" t="s">
        <v>6915</v>
      </c>
    </row>
    <row r="1830" spans="2:9" ht="15" x14ac:dyDescent="0.35">
      <c r="B1830" s="512" t="s">
        <v>6219</v>
      </c>
      <c r="C1830" s="512" t="s">
        <v>6240</v>
      </c>
      <c r="D1830" s="512" t="s">
        <v>6241</v>
      </c>
      <c r="E1830" s="513">
        <v>6319</v>
      </c>
      <c r="F1830" s="512" t="s">
        <v>1850</v>
      </c>
      <c r="G1830" s="513" t="s">
        <v>26</v>
      </c>
      <c r="H1830" s="516">
        <v>3960223</v>
      </c>
      <c r="I1830" s="512" t="s">
        <v>6915</v>
      </c>
    </row>
    <row r="1831" spans="2:9" ht="15" x14ac:dyDescent="0.35">
      <c r="B1831" s="512" t="s">
        <v>6219</v>
      </c>
      <c r="C1831" s="512" t="s">
        <v>6224</v>
      </c>
      <c r="D1831" s="512" t="s">
        <v>6244</v>
      </c>
      <c r="E1831" s="513">
        <v>6320</v>
      </c>
      <c r="F1831" s="512" t="s">
        <v>1851</v>
      </c>
      <c r="G1831" s="513" t="s">
        <v>29</v>
      </c>
      <c r="H1831" s="514">
        <v>5431387</v>
      </c>
      <c r="I1831" s="515" t="s">
        <v>6915</v>
      </c>
    </row>
    <row r="1832" spans="2:9" ht="15" x14ac:dyDescent="0.35">
      <c r="B1832" s="512" t="s">
        <v>6219</v>
      </c>
      <c r="C1832" s="512" t="s">
        <v>6240</v>
      </c>
      <c r="D1832" s="512" t="s">
        <v>6241</v>
      </c>
      <c r="E1832" s="513">
        <v>6321</v>
      </c>
      <c r="F1832" s="512" t="s">
        <v>6439</v>
      </c>
      <c r="G1832" s="513" t="s">
        <v>23</v>
      </c>
      <c r="H1832" s="514">
        <v>1049603</v>
      </c>
      <c r="I1832" s="515" t="s">
        <v>6915</v>
      </c>
    </row>
    <row r="1833" spans="2:9" ht="15" x14ac:dyDescent="0.35">
      <c r="B1833" s="512" t="s">
        <v>6219</v>
      </c>
      <c r="C1833" s="512" t="s">
        <v>6240</v>
      </c>
      <c r="D1833" s="512" t="s">
        <v>6241</v>
      </c>
      <c r="E1833" s="513">
        <v>6323</v>
      </c>
      <c r="F1833" s="512" t="s">
        <v>1852</v>
      </c>
      <c r="G1833" s="513" t="s">
        <v>26</v>
      </c>
      <c r="H1833" s="516">
        <v>946451</v>
      </c>
      <c r="I1833" s="512" t="s">
        <v>6915</v>
      </c>
    </row>
    <row r="1834" spans="2:9" ht="15" x14ac:dyDescent="0.35">
      <c r="B1834" s="512" t="s">
        <v>6219</v>
      </c>
      <c r="C1834" s="512" t="s">
        <v>6224</v>
      </c>
      <c r="D1834" s="512" t="s">
        <v>6262</v>
      </c>
      <c r="E1834" s="513">
        <v>6325</v>
      </c>
      <c r="F1834" s="512" t="s">
        <v>1853</v>
      </c>
      <c r="G1834" s="513" t="s">
        <v>29</v>
      </c>
      <c r="H1834" s="514">
        <v>86202</v>
      </c>
      <c r="I1834" s="515" t="s">
        <v>6915</v>
      </c>
    </row>
    <row r="1835" spans="2:9" ht="15" x14ac:dyDescent="0.35">
      <c r="B1835" s="512" t="s">
        <v>6219</v>
      </c>
      <c r="C1835" s="512" t="s">
        <v>6252</v>
      </c>
      <c r="D1835" s="512" t="s">
        <v>6252</v>
      </c>
      <c r="E1835" s="513">
        <v>6326</v>
      </c>
      <c r="F1835" s="512" t="s">
        <v>1854</v>
      </c>
      <c r="G1835" s="513" t="s">
        <v>23</v>
      </c>
      <c r="H1835" s="514">
        <v>218969</v>
      </c>
      <c r="I1835" s="515" t="s">
        <v>6915</v>
      </c>
    </row>
    <row r="1836" spans="2:9" ht="15" x14ac:dyDescent="0.35">
      <c r="B1836" s="512" t="s">
        <v>6219</v>
      </c>
      <c r="C1836" s="512" t="s">
        <v>6232</v>
      </c>
      <c r="D1836" s="512" t="s">
        <v>6232</v>
      </c>
      <c r="E1836" s="513">
        <v>6327</v>
      </c>
      <c r="F1836" s="512" t="s">
        <v>1855</v>
      </c>
      <c r="G1836" s="513" t="s">
        <v>1856</v>
      </c>
      <c r="H1836" s="514">
        <v>600000</v>
      </c>
      <c r="I1836" s="515" t="s">
        <v>6915</v>
      </c>
    </row>
    <row r="1837" spans="2:9" ht="15" x14ac:dyDescent="0.35">
      <c r="B1837" s="512" t="s">
        <v>6219</v>
      </c>
      <c r="C1837" s="512" t="s">
        <v>6232</v>
      </c>
      <c r="D1837" s="512" t="s">
        <v>6232</v>
      </c>
      <c r="E1837" s="513">
        <v>6328</v>
      </c>
      <c r="F1837" s="512" t="s">
        <v>1857</v>
      </c>
      <c r="G1837" s="513" t="s">
        <v>1856</v>
      </c>
      <c r="H1837" s="514">
        <v>714000</v>
      </c>
      <c r="I1837" s="515" t="s">
        <v>6915</v>
      </c>
    </row>
    <row r="1838" spans="2:9" ht="15" x14ac:dyDescent="0.35">
      <c r="B1838" s="512" t="s">
        <v>6219</v>
      </c>
      <c r="C1838" s="512" t="s">
        <v>6232</v>
      </c>
      <c r="D1838" s="512" t="s">
        <v>6232</v>
      </c>
      <c r="E1838" s="513">
        <v>6329</v>
      </c>
      <c r="F1838" s="512" t="s">
        <v>1858</v>
      </c>
      <c r="G1838" s="513" t="s">
        <v>1856</v>
      </c>
      <c r="H1838" s="516">
        <v>952000</v>
      </c>
      <c r="I1838" s="515" t="s">
        <v>6915</v>
      </c>
    </row>
    <row r="1839" spans="2:9" ht="15" x14ac:dyDescent="0.35">
      <c r="B1839" s="512" t="s">
        <v>6219</v>
      </c>
      <c r="C1839" s="512" t="s">
        <v>6252</v>
      </c>
      <c r="D1839" s="512" t="s">
        <v>6252</v>
      </c>
      <c r="E1839" s="513">
        <v>6333</v>
      </c>
      <c r="F1839" s="512" t="s">
        <v>1859</v>
      </c>
      <c r="G1839" s="513" t="s">
        <v>23</v>
      </c>
      <c r="H1839" s="514">
        <v>288388</v>
      </c>
      <c r="I1839" s="515" t="s">
        <v>6915</v>
      </c>
    </row>
    <row r="1840" spans="2:9" ht="15" x14ac:dyDescent="0.35">
      <c r="B1840" s="512" t="s">
        <v>6219</v>
      </c>
      <c r="C1840" s="512" t="s">
        <v>6240</v>
      </c>
      <c r="D1840" s="512" t="s">
        <v>6275</v>
      </c>
      <c r="E1840" s="513">
        <v>6335</v>
      </c>
      <c r="F1840" s="512" t="s">
        <v>1860</v>
      </c>
      <c r="G1840" s="513" t="s">
        <v>26</v>
      </c>
      <c r="H1840" s="514">
        <v>130572</v>
      </c>
      <c r="I1840" s="515" t="s">
        <v>6915</v>
      </c>
    </row>
    <row r="1841" spans="2:9" ht="15" x14ac:dyDescent="0.35">
      <c r="B1841" s="512" t="s">
        <v>6219</v>
      </c>
      <c r="C1841" s="512" t="s">
        <v>6264</v>
      </c>
      <c r="D1841" s="512" t="s">
        <v>6265</v>
      </c>
      <c r="E1841" s="513">
        <v>6339</v>
      </c>
      <c r="F1841" s="512" t="s">
        <v>1861</v>
      </c>
      <c r="G1841" s="513" t="s">
        <v>29</v>
      </c>
      <c r="H1841" s="514">
        <v>6999127</v>
      </c>
      <c r="I1841" s="515" t="s">
        <v>6915</v>
      </c>
    </row>
    <row r="1842" spans="2:9" ht="15" x14ac:dyDescent="0.35">
      <c r="B1842" s="512" t="s">
        <v>6219</v>
      </c>
      <c r="C1842" s="512" t="s">
        <v>6252</v>
      </c>
      <c r="D1842" s="512" t="s">
        <v>6252</v>
      </c>
      <c r="E1842" s="513">
        <v>6340</v>
      </c>
      <c r="F1842" s="512" t="s">
        <v>1862</v>
      </c>
      <c r="G1842" s="513" t="s">
        <v>23</v>
      </c>
      <c r="H1842" s="514">
        <v>326568</v>
      </c>
      <c r="I1842" s="515" t="s">
        <v>6915</v>
      </c>
    </row>
    <row r="1843" spans="2:9" ht="15" x14ac:dyDescent="0.35">
      <c r="B1843" s="512" t="s">
        <v>6219</v>
      </c>
      <c r="C1843" s="512" t="s">
        <v>6232</v>
      </c>
      <c r="D1843" s="512" t="s">
        <v>6232</v>
      </c>
      <c r="E1843" s="513">
        <v>6341</v>
      </c>
      <c r="F1843" s="512" t="s">
        <v>1863</v>
      </c>
      <c r="G1843" s="513" t="s">
        <v>29</v>
      </c>
      <c r="H1843" s="514">
        <v>955221</v>
      </c>
      <c r="I1843" s="515" t="s">
        <v>6915</v>
      </c>
    </row>
    <row r="1844" spans="2:9" ht="15" x14ac:dyDescent="0.35">
      <c r="B1844" s="512" t="s">
        <v>6219</v>
      </c>
      <c r="C1844" s="512" t="s">
        <v>6232</v>
      </c>
      <c r="D1844" s="512" t="s">
        <v>6232</v>
      </c>
      <c r="E1844" s="513">
        <v>6342</v>
      </c>
      <c r="F1844" s="512" t="s">
        <v>1864</v>
      </c>
      <c r="G1844" s="513" t="s">
        <v>29</v>
      </c>
      <c r="H1844" s="516">
        <v>9547850</v>
      </c>
      <c r="I1844" s="512" t="s">
        <v>6915</v>
      </c>
    </row>
    <row r="1845" spans="2:9" ht="15" x14ac:dyDescent="0.35">
      <c r="B1845" s="512" t="s">
        <v>6219</v>
      </c>
      <c r="C1845" s="512" t="s">
        <v>6223</v>
      </c>
      <c r="D1845" s="512" t="s">
        <v>6223</v>
      </c>
      <c r="E1845" s="513">
        <v>6346</v>
      </c>
      <c r="F1845" s="512" t="s">
        <v>1865</v>
      </c>
      <c r="G1845" s="513" t="s">
        <v>26</v>
      </c>
      <c r="H1845" s="514">
        <v>42416</v>
      </c>
      <c r="I1845" s="515" t="s">
        <v>6915</v>
      </c>
    </row>
    <row r="1846" spans="2:9" ht="15" x14ac:dyDescent="0.35">
      <c r="B1846" s="512" t="s">
        <v>6219</v>
      </c>
      <c r="C1846" s="512" t="s">
        <v>6237</v>
      </c>
      <c r="D1846" s="512" t="s">
        <v>6238</v>
      </c>
      <c r="E1846" s="513">
        <v>6352</v>
      </c>
      <c r="F1846" s="512" t="s">
        <v>1866</v>
      </c>
      <c r="G1846" s="513" t="s">
        <v>21</v>
      </c>
      <c r="H1846" s="514">
        <v>110297</v>
      </c>
      <c r="I1846" s="515" t="s">
        <v>6915</v>
      </c>
    </row>
    <row r="1847" spans="2:9" ht="15" x14ac:dyDescent="0.35">
      <c r="B1847" s="512" t="s">
        <v>6219</v>
      </c>
      <c r="C1847" s="512" t="s">
        <v>6240</v>
      </c>
      <c r="D1847" s="512" t="s">
        <v>6275</v>
      </c>
      <c r="E1847" s="513">
        <v>6353</v>
      </c>
      <c r="F1847" s="512" t="s">
        <v>1867</v>
      </c>
      <c r="G1847" s="513" t="s">
        <v>1803</v>
      </c>
      <c r="H1847" s="514">
        <v>3023</v>
      </c>
      <c r="I1847" s="515" t="s">
        <v>6915</v>
      </c>
    </row>
    <row r="1848" spans="2:9" ht="15" x14ac:dyDescent="0.35">
      <c r="B1848" s="512" t="s">
        <v>6219</v>
      </c>
      <c r="C1848" s="512" t="s">
        <v>6237</v>
      </c>
      <c r="D1848" s="512" t="s">
        <v>6276</v>
      </c>
      <c r="E1848" s="513">
        <v>6364</v>
      </c>
      <c r="F1848" s="512" t="s">
        <v>1868</v>
      </c>
      <c r="G1848" s="513" t="s">
        <v>29</v>
      </c>
      <c r="H1848" s="514">
        <v>8230084</v>
      </c>
      <c r="I1848" s="515" t="s">
        <v>6915</v>
      </c>
    </row>
    <row r="1849" spans="2:9" ht="15" x14ac:dyDescent="0.35">
      <c r="B1849" s="512" t="s">
        <v>6219</v>
      </c>
      <c r="C1849" s="512" t="s">
        <v>6237</v>
      </c>
      <c r="D1849" s="512" t="s">
        <v>6276</v>
      </c>
      <c r="E1849" s="513">
        <v>6365</v>
      </c>
      <c r="F1849" s="512" t="s">
        <v>1869</v>
      </c>
      <c r="G1849" s="513" t="s">
        <v>29</v>
      </c>
      <c r="H1849" s="514">
        <v>1228761</v>
      </c>
      <c r="I1849" s="515" t="s">
        <v>6915</v>
      </c>
    </row>
    <row r="1850" spans="2:9" ht="15" x14ac:dyDescent="0.35">
      <c r="B1850" s="512" t="s">
        <v>6219</v>
      </c>
      <c r="C1850" s="512" t="s">
        <v>6237</v>
      </c>
      <c r="D1850" s="512" t="s">
        <v>6276</v>
      </c>
      <c r="E1850" s="513">
        <v>6366</v>
      </c>
      <c r="F1850" s="512" t="s">
        <v>1870</v>
      </c>
      <c r="G1850" s="513" t="s">
        <v>29</v>
      </c>
      <c r="H1850" s="516">
        <v>798514</v>
      </c>
      <c r="I1850" s="512" t="s">
        <v>6915</v>
      </c>
    </row>
    <row r="1851" spans="2:9" ht="15" x14ac:dyDescent="0.35">
      <c r="B1851" s="512" t="s">
        <v>6219</v>
      </c>
      <c r="C1851" s="512" t="s">
        <v>6237</v>
      </c>
      <c r="D1851" s="512" t="s">
        <v>6276</v>
      </c>
      <c r="E1851" s="513">
        <v>6367</v>
      </c>
      <c r="F1851" s="512" t="s">
        <v>1871</v>
      </c>
      <c r="G1851" s="513" t="s">
        <v>29</v>
      </c>
      <c r="H1851" s="514">
        <v>697596</v>
      </c>
      <c r="I1851" s="515" t="s">
        <v>6915</v>
      </c>
    </row>
    <row r="1852" spans="2:9" ht="15" x14ac:dyDescent="0.35">
      <c r="B1852" s="512" t="s">
        <v>6219</v>
      </c>
      <c r="C1852" s="512" t="s">
        <v>6237</v>
      </c>
      <c r="D1852" s="512" t="s">
        <v>6276</v>
      </c>
      <c r="E1852" s="513">
        <v>6371</v>
      </c>
      <c r="F1852" s="512" t="s">
        <v>1872</v>
      </c>
      <c r="G1852" s="513" t="s">
        <v>29</v>
      </c>
      <c r="H1852" s="514">
        <v>8230084</v>
      </c>
      <c r="I1852" s="512" t="s">
        <v>6915</v>
      </c>
    </row>
    <row r="1853" spans="2:9" ht="15" x14ac:dyDescent="0.35">
      <c r="B1853" s="512" t="s">
        <v>6219</v>
      </c>
      <c r="C1853" s="512" t="s">
        <v>6237</v>
      </c>
      <c r="D1853" s="512" t="s">
        <v>6276</v>
      </c>
      <c r="E1853" s="513">
        <v>6372</v>
      </c>
      <c r="F1853" s="512" t="s">
        <v>1873</v>
      </c>
      <c r="G1853" s="513" t="s">
        <v>29</v>
      </c>
      <c r="H1853" s="514">
        <v>9360420</v>
      </c>
      <c r="I1853" s="515" t="s">
        <v>6915</v>
      </c>
    </row>
    <row r="1854" spans="2:9" ht="15" x14ac:dyDescent="0.35">
      <c r="B1854" s="512" t="s">
        <v>6219</v>
      </c>
      <c r="C1854" s="512" t="s">
        <v>6237</v>
      </c>
      <c r="D1854" s="512" t="s">
        <v>6276</v>
      </c>
      <c r="E1854" s="513">
        <v>6373</v>
      </c>
      <c r="F1854" s="512" t="s">
        <v>1874</v>
      </c>
      <c r="G1854" s="513" t="s">
        <v>29</v>
      </c>
      <c r="H1854" s="514">
        <v>5163569</v>
      </c>
      <c r="I1854" s="515" t="s">
        <v>6915</v>
      </c>
    </row>
    <row r="1855" spans="2:9" ht="15" x14ac:dyDescent="0.35">
      <c r="B1855" s="512" t="s">
        <v>6219</v>
      </c>
      <c r="C1855" s="512" t="s">
        <v>6237</v>
      </c>
      <c r="D1855" s="512" t="s">
        <v>6276</v>
      </c>
      <c r="E1855" s="513">
        <v>6374</v>
      </c>
      <c r="F1855" s="512" t="s">
        <v>1875</v>
      </c>
      <c r="G1855" s="513" t="s">
        <v>29</v>
      </c>
      <c r="H1855" s="516">
        <v>642928</v>
      </c>
      <c r="I1855" s="512" t="s">
        <v>6915</v>
      </c>
    </row>
    <row r="1856" spans="2:9" ht="15" x14ac:dyDescent="0.35">
      <c r="B1856" s="512" t="s">
        <v>6219</v>
      </c>
      <c r="C1856" s="512" t="s">
        <v>6237</v>
      </c>
      <c r="D1856" s="512" t="s">
        <v>6276</v>
      </c>
      <c r="E1856" s="513">
        <v>6375</v>
      </c>
      <c r="F1856" s="512" t="s">
        <v>1876</v>
      </c>
      <c r="G1856" s="513" t="s">
        <v>29</v>
      </c>
      <c r="H1856" s="516">
        <v>753436</v>
      </c>
      <c r="I1856" s="512" t="s">
        <v>6915</v>
      </c>
    </row>
    <row r="1857" spans="2:9" ht="15" x14ac:dyDescent="0.35">
      <c r="B1857" s="512" t="s">
        <v>6219</v>
      </c>
      <c r="C1857" s="512" t="s">
        <v>6237</v>
      </c>
      <c r="D1857" s="512" t="s">
        <v>6276</v>
      </c>
      <c r="E1857" s="513">
        <v>6376</v>
      </c>
      <c r="F1857" s="512" t="s">
        <v>1877</v>
      </c>
      <c r="G1857" s="513" t="s">
        <v>29</v>
      </c>
      <c r="H1857" s="516">
        <v>787852</v>
      </c>
      <c r="I1857" s="512" t="s">
        <v>6915</v>
      </c>
    </row>
    <row r="1858" spans="2:9" ht="15" x14ac:dyDescent="0.35">
      <c r="B1858" s="512" t="s">
        <v>6219</v>
      </c>
      <c r="C1858" s="512" t="s">
        <v>6237</v>
      </c>
      <c r="D1858" s="512" t="s">
        <v>6276</v>
      </c>
      <c r="E1858" s="513">
        <v>6377</v>
      </c>
      <c r="F1858" s="512" t="s">
        <v>1878</v>
      </c>
      <c r="G1858" s="513" t="s">
        <v>29</v>
      </c>
      <c r="H1858" s="514">
        <v>753436</v>
      </c>
      <c r="I1858" s="512" t="s">
        <v>6915</v>
      </c>
    </row>
    <row r="1859" spans="2:9" ht="15" x14ac:dyDescent="0.35">
      <c r="B1859" s="512" t="s">
        <v>6219</v>
      </c>
      <c r="C1859" s="512" t="s">
        <v>6237</v>
      </c>
      <c r="D1859" s="512" t="s">
        <v>6276</v>
      </c>
      <c r="E1859" s="513">
        <v>6379</v>
      </c>
      <c r="F1859" s="512" t="s">
        <v>1879</v>
      </c>
      <c r="G1859" s="513" t="s">
        <v>29</v>
      </c>
      <c r="H1859" s="514">
        <v>723814</v>
      </c>
      <c r="I1859" s="512" t="s">
        <v>6915</v>
      </c>
    </row>
    <row r="1860" spans="2:9" ht="15" x14ac:dyDescent="0.35">
      <c r="B1860" s="512" t="s">
        <v>6219</v>
      </c>
      <c r="C1860" s="512" t="s">
        <v>6224</v>
      </c>
      <c r="D1860" s="512" t="s">
        <v>6244</v>
      </c>
      <c r="E1860" s="513">
        <v>6380</v>
      </c>
      <c r="F1860" s="512" t="s">
        <v>1880</v>
      </c>
      <c r="G1860" s="513" t="s">
        <v>26</v>
      </c>
      <c r="H1860" s="514">
        <v>106303</v>
      </c>
      <c r="I1860" s="512" t="s">
        <v>6915</v>
      </c>
    </row>
    <row r="1861" spans="2:9" ht="15" x14ac:dyDescent="0.35">
      <c r="B1861" s="512" t="s">
        <v>6219</v>
      </c>
      <c r="C1861" s="512" t="s">
        <v>6224</v>
      </c>
      <c r="D1861" s="512" t="s">
        <v>6244</v>
      </c>
      <c r="E1861" s="513">
        <v>6381</v>
      </c>
      <c r="F1861" s="512" t="s">
        <v>1881</v>
      </c>
      <c r="G1861" s="513" t="s">
        <v>26</v>
      </c>
      <c r="H1861" s="514">
        <v>5303205</v>
      </c>
      <c r="I1861" s="515" t="s">
        <v>6915</v>
      </c>
    </row>
    <row r="1862" spans="2:9" ht="15" x14ac:dyDescent="0.35">
      <c r="B1862" s="512" t="s">
        <v>6219</v>
      </c>
      <c r="C1862" s="512" t="s">
        <v>6239</v>
      </c>
      <c r="D1862" s="512" t="s">
        <v>6239</v>
      </c>
      <c r="E1862" s="513">
        <v>6382</v>
      </c>
      <c r="F1862" s="512" t="s">
        <v>1882</v>
      </c>
      <c r="G1862" s="513" t="s">
        <v>26</v>
      </c>
      <c r="H1862" s="514">
        <v>641522</v>
      </c>
      <c r="I1862" s="515" t="s">
        <v>6915</v>
      </c>
    </row>
    <row r="1863" spans="2:9" ht="15" x14ac:dyDescent="0.35">
      <c r="B1863" s="512" t="s">
        <v>6219</v>
      </c>
      <c r="C1863" s="512" t="s">
        <v>6224</v>
      </c>
      <c r="D1863" s="512" t="s">
        <v>6244</v>
      </c>
      <c r="E1863" s="513">
        <v>6383</v>
      </c>
      <c r="F1863" s="512" t="s">
        <v>1883</v>
      </c>
      <c r="G1863" s="513" t="s">
        <v>26</v>
      </c>
      <c r="H1863" s="516">
        <v>649111</v>
      </c>
      <c r="I1863" s="512" t="s">
        <v>6915</v>
      </c>
    </row>
    <row r="1864" spans="2:9" ht="15" x14ac:dyDescent="0.35">
      <c r="B1864" s="512" t="s">
        <v>6219</v>
      </c>
      <c r="C1864" s="512" t="s">
        <v>6232</v>
      </c>
      <c r="D1864" s="512" t="s">
        <v>6232</v>
      </c>
      <c r="E1864" s="513">
        <v>6387</v>
      </c>
      <c r="F1864" s="512" t="s">
        <v>1884</v>
      </c>
      <c r="G1864" s="513" t="s">
        <v>29</v>
      </c>
      <c r="H1864" s="516">
        <v>22407806</v>
      </c>
      <c r="I1864" s="512" t="s">
        <v>6915</v>
      </c>
    </row>
    <row r="1865" spans="2:9" ht="15" x14ac:dyDescent="0.35">
      <c r="B1865" s="512" t="s">
        <v>6219</v>
      </c>
      <c r="C1865" s="512" t="s">
        <v>6232</v>
      </c>
      <c r="D1865" s="512" t="s">
        <v>6232</v>
      </c>
      <c r="E1865" s="513">
        <v>6388</v>
      </c>
      <c r="F1865" s="512" t="s">
        <v>1885</v>
      </c>
      <c r="G1865" s="513" t="s">
        <v>29</v>
      </c>
      <c r="H1865" s="514">
        <v>28488759</v>
      </c>
      <c r="I1865" s="515" t="s">
        <v>6915</v>
      </c>
    </row>
    <row r="1866" spans="2:9" ht="15" x14ac:dyDescent="0.35">
      <c r="B1866" s="512" t="s">
        <v>6219</v>
      </c>
      <c r="C1866" s="512" t="s">
        <v>6232</v>
      </c>
      <c r="D1866" s="512" t="s">
        <v>6232</v>
      </c>
      <c r="E1866" s="513">
        <v>6389</v>
      </c>
      <c r="F1866" s="512" t="s">
        <v>1886</v>
      </c>
      <c r="G1866" s="513" t="s">
        <v>29</v>
      </c>
      <c r="H1866" s="516">
        <v>30487316</v>
      </c>
      <c r="I1866" s="512" t="s">
        <v>6915</v>
      </c>
    </row>
    <row r="1867" spans="2:9" ht="15" x14ac:dyDescent="0.35">
      <c r="B1867" s="512" t="s">
        <v>6219</v>
      </c>
      <c r="C1867" s="512" t="s">
        <v>6240</v>
      </c>
      <c r="D1867" s="512" t="s">
        <v>6241</v>
      </c>
      <c r="E1867" s="513">
        <v>6392</v>
      </c>
      <c r="F1867" s="512" t="s">
        <v>1887</v>
      </c>
      <c r="G1867" s="513" t="s">
        <v>23</v>
      </c>
      <c r="H1867" s="514">
        <v>2523113</v>
      </c>
      <c r="I1867" s="515" t="s">
        <v>6915</v>
      </c>
    </row>
    <row r="1868" spans="2:9" ht="15" x14ac:dyDescent="0.35">
      <c r="B1868" s="512" t="s">
        <v>6219</v>
      </c>
      <c r="C1868" s="512" t="s">
        <v>6240</v>
      </c>
      <c r="D1868" s="512" t="s">
        <v>6241</v>
      </c>
      <c r="E1868" s="513">
        <v>6393</v>
      </c>
      <c r="F1868" s="512" t="s">
        <v>1888</v>
      </c>
      <c r="G1868" s="513" t="s">
        <v>23</v>
      </c>
      <c r="H1868" s="514">
        <v>2727446</v>
      </c>
      <c r="I1868" s="515" t="s">
        <v>6915</v>
      </c>
    </row>
    <row r="1869" spans="2:9" ht="15" x14ac:dyDescent="0.35">
      <c r="B1869" s="512" t="s">
        <v>6219</v>
      </c>
      <c r="C1869" s="512" t="s">
        <v>6240</v>
      </c>
      <c r="D1869" s="512" t="s">
        <v>6241</v>
      </c>
      <c r="E1869" s="513">
        <v>6395</v>
      </c>
      <c r="F1869" s="512" t="s">
        <v>1889</v>
      </c>
      <c r="G1869" s="513" t="s">
        <v>23</v>
      </c>
      <c r="H1869" s="516">
        <v>3553131</v>
      </c>
      <c r="I1869" s="512" t="s">
        <v>6915</v>
      </c>
    </row>
    <row r="1870" spans="2:9" ht="15" x14ac:dyDescent="0.35">
      <c r="B1870" s="512" t="s">
        <v>6219</v>
      </c>
      <c r="C1870" s="512" t="s">
        <v>6258</v>
      </c>
      <c r="D1870" s="512" t="s">
        <v>6282</v>
      </c>
      <c r="E1870" s="513">
        <v>6396</v>
      </c>
      <c r="F1870" s="512" t="s">
        <v>1890</v>
      </c>
      <c r="G1870" s="513" t="s">
        <v>29</v>
      </c>
      <c r="H1870" s="514">
        <v>504695</v>
      </c>
      <c r="I1870" s="515" t="s">
        <v>6915</v>
      </c>
    </row>
    <row r="1871" spans="2:9" ht="15" x14ac:dyDescent="0.35">
      <c r="B1871" s="512" t="s">
        <v>6219</v>
      </c>
      <c r="C1871" s="512" t="s">
        <v>6258</v>
      </c>
      <c r="D1871" s="512" t="s">
        <v>6282</v>
      </c>
      <c r="E1871" s="513">
        <v>6397</v>
      </c>
      <c r="F1871" s="512" t="s">
        <v>1891</v>
      </c>
      <c r="G1871" s="513" t="s">
        <v>29</v>
      </c>
      <c r="H1871" s="514">
        <v>301631</v>
      </c>
      <c r="I1871" s="515" t="s">
        <v>6915</v>
      </c>
    </row>
    <row r="1872" spans="2:9" ht="15" x14ac:dyDescent="0.35">
      <c r="B1872" s="512" t="s">
        <v>6219</v>
      </c>
      <c r="C1872" s="512" t="s">
        <v>6220</v>
      </c>
      <c r="D1872" s="512" t="s">
        <v>6222</v>
      </c>
      <c r="E1872" s="513">
        <v>6400</v>
      </c>
      <c r="F1872" s="512" t="s">
        <v>1892</v>
      </c>
      <c r="G1872" s="513" t="s">
        <v>26</v>
      </c>
      <c r="H1872" s="514">
        <v>1155312</v>
      </c>
      <c r="I1872" s="515" t="s">
        <v>6915</v>
      </c>
    </row>
    <row r="1873" spans="2:9" ht="15" x14ac:dyDescent="0.35">
      <c r="B1873" s="512" t="s">
        <v>6219</v>
      </c>
      <c r="C1873" s="512" t="s">
        <v>6272</v>
      </c>
      <c r="D1873" s="512" t="s">
        <v>6278</v>
      </c>
      <c r="E1873" s="513">
        <v>6407</v>
      </c>
      <c r="F1873" s="512" t="s">
        <v>1893</v>
      </c>
      <c r="G1873" s="513" t="s">
        <v>21</v>
      </c>
      <c r="H1873" s="514">
        <v>244664</v>
      </c>
      <c r="I1873" s="515" t="s">
        <v>6915</v>
      </c>
    </row>
    <row r="1874" spans="2:9" ht="15" x14ac:dyDescent="0.35">
      <c r="B1874" s="512" t="s">
        <v>6219</v>
      </c>
      <c r="C1874" s="512" t="s">
        <v>6237</v>
      </c>
      <c r="D1874" s="512" t="s">
        <v>6276</v>
      </c>
      <c r="E1874" s="513">
        <v>6413</v>
      </c>
      <c r="F1874" s="512" t="s">
        <v>1894</v>
      </c>
      <c r="G1874" s="513" t="s">
        <v>29</v>
      </c>
      <c r="H1874" s="514">
        <v>1898705</v>
      </c>
      <c r="I1874" s="515" t="s">
        <v>6915</v>
      </c>
    </row>
    <row r="1875" spans="2:9" ht="15" x14ac:dyDescent="0.35">
      <c r="B1875" s="512" t="s">
        <v>6219</v>
      </c>
      <c r="C1875" s="512" t="s">
        <v>6272</v>
      </c>
      <c r="D1875" s="512" t="s">
        <v>6274</v>
      </c>
      <c r="E1875" s="513">
        <v>6416</v>
      </c>
      <c r="F1875" s="512" t="s">
        <v>1895</v>
      </c>
      <c r="G1875" s="513" t="s">
        <v>21</v>
      </c>
      <c r="H1875" s="514">
        <v>102204</v>
      </c>
      <c r="I1875" s="515" t="s">
        <v>6915</v>
      </c>
    </row>
    <row r="1876" spans="2:9" ht="15" x14ac:dyDescent="0.35">
      <c r="B1876" s="512" t="s">
        <v>6219</v>
      </c>
      <c r="C1876" s="512" t="s">
        <v>6240</v>
      </c>
      <c r="D1876" s="512" t="s">
        <v>6241</v>
      </c>
      <c r="E1876" s="513">
        <v>6421</v>
      </c>
      <c r="F1876" s="512" t="s">
        <v>1896</v>
      </c>
      <c r="G1876" s="513" t="s">
        <v>26</v>
      </c>
      <c r="H1876" s="514">
        <v>61413</v>
      </c>
      <c r="I1876" s="515" t="s">
        <v>6915</v>
      </c>
    </row>
    <row r="1877" spans="2:9" ht="15" x14ac:dyDescent="0.35">
      <c r="B1877" s="512" t="s">
        <v>6219</v>
      </c>
      <c r="C1877" s="512" t="s">
        <v>6232</v>
      </c>
      <c r="D1877" s="512" t="s">
        <v>6232</v>
      </c>
      <c r="E1877" s="513">
        <v>6422</v>
      </c>
      <c r="F1877" s="512" t="s">
        <v>1897</v>
      </c>
      <c r="G1877" s="513" t="s">
        <v>29</v>
      </c>
      <c r="H1877" s="514">
        <v>96916</v>
      </c>
      <c r="I1877" s="515" t="s">
        <v>6915</v>
      </c>
    </row>
    <row r="1878" spans="2:9" ht="15" x14ac:dyDescent="0.35">
      <c r="B1878" s="512" t="s">
        <v>6219</v>
      </c>
      <c r="C1878" s="512" t="s">
        <v>6224</v>
      </c>
      <c r="D1878" s="512" t="s">
        <v>6225</v>
      </c>
      <c r="E1878" s="513">
        <v>6423</v>
      </c>
      <c r="F1878" s="512" t="s">
        <v>1898</v>
      </c>
      <c r="G1878" s="513" t="s">
        <v>29</v>
      </c>
      <c r="H1878" s="514">
        <v>3357295</v>
      </c>
      <c r="I1878" s="515" t="s">
        <v>6915</v>
      </c>
    </row>
    <row r="1879" spans="2:9" ht="15" x14ac:dyDescent="0.35">
      <c r="B1879" s="512" t="s">
        <v>6219</v>
      </c>
      <c r="C1879" s="512" t="s">
        <v>6258</v>
      </c>
      <c r="D1879" s="512" t="s">
        <v>6259</v>
      </c>
      <c r="E1879" s="513">
        <v>6425</v>
      </c>
      <c r="F1879" s="512" t="s">
        <v>1899</v>
      </c>
      <c r="G1879" s="513" t="s">
        <v>26</v>
      </c>
      <c r="H1879" s="514">
        <v>171740</v>
      </c>
      <c r="I1879" s="515" t="s">
        <v>6915</v>
      </c>
    </row>
    <row r="1880" spans="2:9" ht="15" x14ac:dyDescent="0.35">
      <c r="B1880" s="512" t="s">
        <v>6219</v>
      </c>
      <c r="C1880" s="512" t="s">
        <v>6235</v>
      </c>
      <c r="D1880" s="512" t="s">
        <v>6245</v>
      </c>
      <c r="E1880" s="513">
        <v>6426</v>
      </c>
      <c r="F1880" s="512" t="s">
        <v>1900</v>
      </c>
      <c r="G1880" s="513" t="s">
        <v>29</v>
      </c>
      <c r="H1880" s="514">
        <v>1525991</v>
      </c>
      <c r="I1880" s="515" t="s">
        <v>6915</v>
      </c>
    </row>
    <row r="1881" spans="2:9" ht="15" x14ac:dyDescent="0.35">
      <c r="B1881" s="512" t="s">
        <v>6219</v>
      </c>
      <c r="C1881" s="512" t="s">
        <v>6230</v>
      </c>
      <c r="D1881" s="512" t="s">
        <v>6231</v>
      </c>
      <c r="E1881" s="513">
        <v>6427</v>
      </c>
      <c r="F1881" s="512" t="s">
        <v>1901</v>
      </c>
      <c r="G1881" s="513" t="s">
        <v>26</v>
      </c>
      <c r="H1881" s="514">
        <v>46591</v>
      </c>
      <c r="I1881" s="515" t="s">
        <v>6915</v>
      </c>
    </row>
    <row r="1882" spans="2:9" ht="15" x14ac:dyDescent="0.35">
      <c r="B1882" s="512" t="s">
        <v>6219</v>
      </c>
      <c r="C1882" s="512" t="s">
        <v>6240</v>
      </c>
      <c r="D1882" s="512" t="s">
        <v>6241</v>
      </c>
      <c r="E1882" s="513">
        <v>6428</v>
      </c>
      <c r="F1882" s="512" t="s">
        <v>1902</v>
      </c>
      <c r="G1882" s="513" t="s">
        <v>23</v>
      </c>
      <c r="H1882" s="514">
        <v>1282925</v>
      </c>
      <c r="I1882" s="515" t="s">
        <v>6915</v>
      </c>
    </row>
    <row r="1883" spans="2:9" ht="15" x14ac:dyDescent="0.35">
      <c r="B1883" s="512" t="s">
        <v>6219</v>
      </c>
      <c r="C1883" s="512" t="s">
        <v>6253</v>
      </c>
      <c r="D1883" s="512" t="s">
        <v>6285</v>
      </c>
      <c r="E1883" s="513">
        <v>6429</v>
      </c>
      <c r="F1883" s="512" t="s">
        <v>1903</v>
      </c>
      <c r="G1883" s="513" t="s">
        <v>26</v>
      </c>
      <c r="H1883" s="514">
        <v>63416</v>
      </c>
      <c r="I1883" s="515" t="s">
        <v>6915</v>
      </c>
    </row>
    <row r="1884" spans="2:9" ht="15" x14ac:dyDescent="0.35">
      <c r="B1884" s="512" t="s">
        <v>6219</v>
      </c>
      <c r="C1884" s="512" t="s">
        <v>6252</v>
      </c>
      <c r="D1884" s="512" t="s">
        <v>6252</v>
      </c>
      <c r="E1884" s="513">
        <v>6431</v>
      </c>
      <c r="F1884" s="512" t="s">
        <v>1904</v>
      </c>
      <c r="G1884" s="513" t="s">
        <v>23</v>
      </c>
      <c r="H1884" s="514">
        <v>1614731</v>
      </c>
      <c r="I1884" s="515" t="s">
        <v>6915</v>
      </c>
    </row>
    <row r="1885" spans="2:9" ht="15" x14ac:dyDescent="0.35">
      <c r="B1885" s="512" t="s">
        <v>6219</v>
      </c>
      <c r="C1885" s="512" t="s">
        <v>6240</v>
      </c>
      <c r="D1885" s="512" t="s">
        <v>6275</v>
      </c>
      <c r="E1885" s="513">
        <v>6433</v>
      </c>
      <c r="F1885" s="512" t="s">
        <v>1905</v>
      </c>
      <c r="G1885" s="513" t="s">
        <v>367</v>
      </c>
      <c r="H1885" s="514">
        <v>21800</v>
      </c>
      <c r="I1885" s="515" t="s">
        <v>6915</v>
      </c>
    </row>
    <row r="1886" spans="2:9" ht="15" x14ac:dyDescent="0.35">
      <c r="B1886" s="512" t="s">
        <v>6219</v>
      </c>
      <c r="C1886" s="512" t="s">
        <v>6240</v>
      </c>
      <c r="D1886" s="512" t="s">
        <v>6275</v>
      </c>
      <c r="E1886" s="513">
        <v>6434</v>
      </c>
      <c r="F1886" s="512" t="s">
        <v>1906</v>
      </c>
      <c r="G1886" s="513" t="s">
        <v>367</v>
      </c>
      <c r="H1886" s="514">
        <v>20111</v>
      </c>
      <c r="I1886" s="515" t="s">
        <v>6425</v>
      </c>
    </row>
    <row r="1887" spans="2:9" ht="15" x14ac:dyDescent="0.35">
      <c r="B1887" s="512" t="s">
        <v>6219</v>
      </c>
      <c r="C1887" s="512" t="s">
        <v>6240</v>
      </c>
      <c r="D1887" s="512" t="s">
        <v>6275</v>
      </c>
      <c r="E1887" s="513">
        <v>6435</v>
      </c>
      <c r="F1887" s="512" t="s">
        <v>1907</v>
      </c>
      <c r="G1887" s="513" t="s">
        <v>367</v>
      </c>
      <c r="H1887" s="514">
        <v>21150</v>
      </c>
      <c r="I1887" s="515" t="s">
        <v>6915</v>
      </c>
    </row>
    <row r="1888" spans="2:9" ht="15" x14ac:dyDescent="0.35">
      <c r="B1888" s="512" t="s">
        <v>6219</v>
      </c>
      <c r="C1888" s="512" t="s">
        <v>6240</v>
      </c>
      <c r="D1888" s="512" t="s">
        <v>6275</v>
      </c>
      <c r="E1888" s="513">
        <v>6436</v>
      </c>
      <c r="F1888" s="512" t="s">
        <v>1908</v>
      </c>
      <c r="G1888" s="513" t="s">
        <v>367</v>
      </c>
      <c r="H1888" s="514">
        <v>20944</v>
      </c>
      <c r="I1888" s="515" t="s">
        <v>6425</v>
      </c>
    </row>
    <row r="1889" spans="2:9" ht="15" x14ac:dyDescent="0.35">
      <c r="B1889" s="512" t="s">
        <v>6219</v>
      </c>
      <c r="C1889" s="512" t="s">
        <v>6240</v>
      </c>
      <c r="D1889" s="512" t="s">
        <v>6275</v>
      </c>
      <c r="E1889" s="513">
        <v>6437</v>
      </c>
      <c r="F1889" s="512" t="s">
        <v>1909</v>
      </c>
      <c r="G1889" s="513" t="s">
        <v>367</v>
      </c>
      <c r="H1889" s="514">
        <v>20944</v>
      </c>
      <c r="I1889" s="515" t="s">
        <v>6425</v>
      </c>
    </row>
    <row r="1890" spans="2:9" ht="15" x14ac:dyDescent="0.35">
      <c r="B1890" s="512" t="s">
        <v>6219</v>
      </c>
      <c r="C1890" s="512" t="s">
        <v>6232</v>
      </c>
      <c r="D1890" s="512" t="s">
        <v>6232</v>
      </c>
      <c r="E1890" s="513">
        <v>6438</v>
      </c>
      <c r="F1890" s="512" t="s">
        <v>1910</v>
      </c>
      <c r="G1890" s="513" t="s">
        <v>26</v>
      </c>
      <c r="H1890" s="514">
        <v>39270</v>
      </c>
      <c r="I1890" s="515" t="s">
        <v>6915</v>
      </c>
    </row>
    <row r="1891" spans="2:9" ht="15" x14ac:dyDescent="0.35">
      <c r="B1891" s="512" t="s">
        <v>6219</v>
      </c>
      <c r="C1891" s="512" t="s">
        <v>6232</v>
      </c>
      <c r="D1891" s="512" t="s">
        <v>6232</v>
      </c>
      <c r="E1891" s="513">
        <v>6439</v>
      </c>
      <c r="F1891" s="512" t="s">
        <v>1911</v>
      </c>
      <c r="G1891" s="513" t="s">
        <v>26</v>
      </c>
      <c r="H1891" s="514">
        <v>45220</v>
      </c>
      <c r="I1891" s="515" t="s">
        <v>6915</v>
      </c>
    </row>
    <row r="1892" spans="2:9" ht="15" x14ac:dyDescent="0.35">
      <c r="B1892" s="512" t="s">
        <v>6219</v>
      </c>
      <c r="C1892" s="512" t="s">
        <v>6240</v>
      </c>
      <c r="D1892" s="512" t="s">
        <v>6275</v>
      </c>
      <c r="E1892" s="513">
        <v>6440</v>
      </c>
      <c r="F1892" s="512" t="s">
        <v>1912</v>
      </c>
      <c r="G1892" s="513" t="s">
        <v>367</v>
      </c>
      <c r="H1892" s="514">
        <v>714</v>
      </c>
      <c r="I1892" s="515" t="s">
        <v>6425</v>
      </c>
    </row>
    <row r="1893" spans="2:9" ht="15" x14ac:dyDescent="0.35">
      <c r="B1893" s="512" t="s">
        <v>6219</v>
      </c>
      <c r="C1893" s="512" t="s">
        <v>6240</v>
      </c>
      <c r="D1893" s="512" t="s">
        <v>6275</v>
      </c>
      <c r="E1893" s="513">
        <v>6441</v>
      </c>
      <c r="F1893" s="512" t="s">
        <v>1913</v>
      </c>
      <c r="G1893" s="513" t="s">
        <v>367</v>
      </c>
      <c r="H1893" s="516">
        <v>781</v>
      </c>
      <c r="I1893" s="512" t="s">
        <v>6915</v>
      </c>
    </row>
    <row r="1894" spans="2:9" ht="15" x14ac:dyDescent="0.35">
      <c r="B1894" s="512" t="s">
        <v>6219</v>
      </c>
      <c r="C1894" s="512" t="s">
        <v>6240</v>
      </c>
      <c r="D1894" s="512" t="s">
        <v>6275</v>
      </c>
      <c r="E1894" s="513">
        <v>6442</v>
      </c>
      <c r="F1894" s="512" t="s">
        <v>1914</v>
      </c>
      <c r="G1894" s="513" t="s">
        <v>367</v>
      </c>
      <c r="H1894" s="514">
        <v>901</v>
      </c>
      <c r="I1894" s="515" t="s">
        <v>6915</v>
      </c>
    </row>
    <row r="1895" spans="2:9" ht="15" x14ac:dyDescent="0.35">
      <c r="B1895" s="512" t="s">
        <v>6219</v>
      </c>
      <c r="C1895" s="512" t="s">
        <v>6240</v>
      </c>
      <c r="D1895" s="512" t="s">
        <v>6275</v>
      </c>
      <c r="E1895" s="513">
        <v>6443</v>
      </c>
      <c r="F1895" s="512" t="s">
        <v>1915</v>
      </c>
      <c r="G1895" s="513" t="s">
        <v>367</v>
      </c>
      <c r="H1895" s="514">
        <v>1309</v>
      </c>
      <c r="I1895" s="512" t="s">
        <v>6425</v>
      </c>
    </row>
    <row r="1896" spans="2:9" ht="15" x14ac:dyDescent="0.35">
      <c r="B1896" s="512" t="s">
        <v>6219</v>
      </c>
      <c r="C1896" s="512" t="s">
        <v>6240</v>
      </c>
      <c r="D1896" s="512" t="s">
        <v>6275</v>
      </c>
      <c r="E1896" s="513">
        <v>6444</v>
      </c>
      <c r="F1896" s="512" t="s">
        <v>1916</v>
      </c>
      <c r="G1896" s="513" t="s">
        <v>367</v>
      </c>
      <c r="H1896" s="514">
        <v>1488</v>
      </c>
      <c r="I1896" s="512" t="s">
        <v>6425</v>
      </c>
    </row>
    <row r="1897" spans="2:9" ht="15" x14ac:dyDescent="0.35">
      <c r="B1897" s="512" t="s">
        <v>6219</v>
      </c>
      <c r="C1897" s="512" t="s">
        <v>6240</v>
      </c>
      <c r="D1897" s="512" t="s">
        <v>6275</v>
      </c>
      <c r="E1897" s="513">
        <v>6445</v>
      </c>
      <c r="F1897" s="512" t="s">
        <v>1917</v>
      </c>
      <c r="G1897" s="513" t="s">
        <v>367</v>
      </c>
      <c r="H1897" s="514">
        <v>1726</v>
      </c>
      <c r="I1897" s="515" t="s">
        <v>6425</v>
      </c>
    </row>
    <row r="1898" spans="2:9" ht="15" x14ac:dyDescent="0.35">
      <c r="B1898" s="512" t="s">
        <v>6219</v>
      </c>
      <c r="C1898" s="512" t="s">
        <v>6240</v>
      </c>
      <c r="D1898" s="512" t="s">
        <v>6275</v>
      </c>
      <c r="E1898" s="513">
        <v>6446</v>
      </c>
      <c r="F1898" s="512" t="s">
        <v>1918</v>
      </c>
      <c r="G1898" s="513" t="s">
        <v>367</v>
      </c>
      <c r="H1898" s="516">
        <v>1964</v>
      </c>
      <c r="I1898" s="512" t="s">
        <v>6425</v>
      </c>
    </row>
    <row r="1899" spans="2:9" ht="15" x14ac:dyDescent="0.35">
      <c r="B1899" s="512" t="s">
        <v>6219</v>
      </c>
      <c r="C1899" s="512" t="s">
        <v>6239</v>
      </c>
      <c r="D1899" s="512" t="s">
        <v>6239</v>
      </c>
      <c r="E1899" s="513">
        <v>6448</v>
      </c>
      <c r="F1899" s="512" t="s">
        <v>1919</v>
      </c>
      <c r="G1899" s="513" t="s">
        <v>29</v>
      </c>
      <c r="H1899" s="514">
        <v>2005623</v>
      </c>
      <c r="I1899" s="515" t="s">
        <v>6915</v>
      </c>
    </row>
    <row r="1900" spans="2:9" ht="15" x14ac:dyDescent="0.35">
      <c r="B1900" s="512" t="s">
        <v>6219</v>
      </c>
      <c r="C1900" s="512" t="s">
        <v>6232</v>
      </c>
      <c r="D1900" s="512" t="s">
        <v>6232</v>
      </c>
      <c r="E1900" s="513">
        <v>6449</v>
      </c>
      <c r="F1900" s="512" t="s">
        <v>1920</v>
      </c>
      <c r="G1900" s="513" t="s">
        <v>29</v>
      </c>
      <c r="H1900" s="514">
        <v>698249</v>
      </c>
      <c r="I1900" s="515" t="s">
        <v>6915</v>
      </c>
    </row>
    <row r="1901" spans="2:9" ht="15" x14ac:dyDescent="0.35">
      <c r="B1901" s="512" t="s">
        <v>6219</v>
      </c>
      <c r="C1901" s="512" t="s">
        <v>6252</v>
      </c>
      <c r="D1901" s="512" t="s">
        <v>6252</v>
      </c>
      <c r="E1901" s="513">
        <v>6450</v>
      </c>
      <c r="F1901" s="512" t="s">
        <v>1921</v>
      </c>
      <c r="G1901" s="513" t="s">
        <v>21</v>
      </c>
      <c r="H1901" s="516">
        <v>5167</v>
      </c>
      <c r="I1901" s="512" t="s">
        <v>6915</v>
      </c>
    </row>
    <row r="1902" spans="2:9" ht="15" x14ac:dyDescent="0.35">
      <c r="B1902" s="512" t="s">
        <v>6219</v>
      </c>
      <c r="C1902" s="512" t="s">
        <v>6252</v>
      </c>
      <c r="D1902" s="512" t="s">
        <v>6252</v>
      </c>
      <c r="E1902" s="513">
        <v>6451</v>
      </c>
      <c r="F1902" s="512" t="s">
        <v>1922</v>
      </c>
      <c r="G1902" s="513" t="s">
        <v>26</v>
      </c>
      <c r="H1902" s="514">
        <v>17636</v>
      </c>
      <c r="I1902" s="515" t="s">
        <v>6915</v>
      </c>
    </row>
    <row r="1903" spans="2:9" ht="15" x14ac:dyDescent="0.35">
      <c r="B1903" s="512" t="s">
        <v>6219</v>
      </c>
      <c r="C1903" s="512" t="s">
        <v>6242</v>
      </c>
      <c r="D1903" s="512" t="s">
        <v>6257</v>
      </c>
      <c r="E1903" s="513">
        <v>6456</v>
      </c>
      <c r="F1903" s="512" t="s">
        <v>1923</v>
      </c>
      <c r="G1903" s="513" t="s">
        <v>23</v>
      </c>
      <c r="H1903" s="514">
        <v>1425077</v>
      </c>
      <c r="I1903" s="515" t="s">
        <v>6915</v>
      </c>
    </row>
    <row r="1904" spans="2:9" ht="15" x14ac:dyDescent="0.35">
      <c r="B1904" s="512" t="s">
        <v>6219</v>
      </c>
      <c r="C1904" s="512" t="s">
        <v>6253</v>
      </c>
      <c r="D1904" s="512" t="s">
        <v>6254</v>
      </c>
      <c r="E1904" s="513">
        <v>6457</v>
      </c>
      <c r="F1904" s="512" t="s">
        <v>1924</v>
      </c>
      <c r="G1904" s="513" t="s">
        <v>676</v>
      </c>
      <c r="H1904" s="514">
        <v>136102</v>
      </c>
      <c r="I1904" s="515" t="s">
        <v>6915</v>
      </c>
    </row>
    <row r="1905" spans="2:9" ht="15" x14ac:dyDescent="0.35">
      <c r="B1905" s="512" t="s">
        <v>6219</v>
      </c>
      <c r="C1905" s="512" t="s">
        <v>6237</v>
      </c>
      <c r="D1905" s="512" t="s">
        <v>6238</v>
      </c>
      <c r="E1905" s="513">
        <v>6458</v>
      </c>
      <c r="F1905" s="512" t="s">
        <v>1925</v>
      </c>
      <c r="G1905" s="513" t="s">
        <v>26</v>
      </c>
      <c r="H1905" s="514">
        <v>16660</v>
      </c>
      <c r="I1905" s="515" t="s">
        <v>6915</v>
      </c>
    </row>
    <row r="1906" spans="2:9" ht="15" x14ac:dyDescent="0.35">
      <c r="B1906" s="512" t="s">
        <v>6219</v>
      </c>
      <c r="C1906" s="512" t="s">
        <v>6242</v>
      </c>
      <c r="D1906" s="512" t="s">
        <v>6260</v>
      </c>
      <c r="E1906" s="513">
        <v>6459</v>
      </c>
      <c r="F1906" s="512" t="s">
        <v>1926</v>
      </c>
      <c r="G1906" s="513" t="s">
        <v>21</v>
      </c>
      <c r="H1906" s="514">
        <v>66101</v>
      </c>
      <c r="I1906" s="515" t="s">
        <v>6915</v>
      </c>
    </row>
    <row r="1907" spans="2:9" ht="15" x14ac:dyDescent="0.35">
      <c r="B1907" s="512" t="s">
        <v>6219</v>
      </c>
      <c r="C1907" s="512" t="s">
        <v>6268</v>
      </c>
      <c r="D1907" s="512" t="s">
        <v>6268</v>
      </c>
      <c r="E1907" s="513">
        <v>6461</v>
      </c>
      <c r="F1907" s="512" t="s">
        <v>1927</v>
      </c>
      <c r="G1907" s="513" t="s">
        <v>1106</v>
      </c>
      <c r="H1907" s="514">
        <v>7929</v>
      </c>
      <c r="I1907" s="512" t="s">
        <v>6915</v>
      </c>
    </row>
    <row r="1908" spans="2:9" ht="15" x14ac:dyDescent="0.35">
      <c r="B1908" s="512" t="s">
        <v>6286</v>
      </c>
      <c r="C1908" s="512" t="s">
        <v>6226</v>
      </c>
      <c r="D1908" s="512" t="s">
        <v>6226</v>
      </c>
      <c r="E1908" s="513">
        <v>6462</v>
      </c>
      <c r="F1908" s="512" t="s">
        <v>1928</v>
      </c>
      <c r="G1908" s="513" t="s">
        <v>1929</v>
      </c>
      <c r="H1908" s="516">
        <v>1800</v>
      </c>
      <c r="I1908" s="512" t="s">
        <v>6915</v>
      </c>
    </row>
    <row r="1909" spans="2:9" ht="15" x14ac:dyDescent="0.35">
      <c r="B1909" s="512" t="s">
        <v>6286</v>
      </c>
      <c r="C1909" s="512" t="s">
        <v>6226</v>
      </c>
      <c r="D1909" s="512" t="s">
        <v>6226</v>
      </c>
      <c r="E1909" s="513">
        <v>6463</v>
      </c>
      <c r="F1909" s="512" t="s">
        <v>1930</v>
      </c>
      <c r="G1909" s="513" t="s">
        <v>23</v>
      </c>
      <c r="H1909" s="516">
        <v>7934</v>
      </c>
      <c r="I1909" s="512" t="s">
        <v>6425</v>
      </c>
    </row>
    <row r="1910" spans="2:9" ht="15" x14ac:dyDescent="0.35">
      <c r="B1910" s="512" t="s">
        <v>6286</v>
      </c>
      <c r="C1910" s="512" t="s">
        <v>6242</v>
      </c>
      <c r="D1910" s="512" t="s">
        <v>6257</v>
      </c>
      <c r="E1910" s="513">
        <v>6464</v>
      </c>
      <c r="F1910" s="512" t="s">
        <v>1931</v>
      </c>
      <c r="G1910" s="513" t="s">
        <v>21</v>
      </c>
      <c r="H1910" s="516">
        <v>3784</v>
      </c>
      <c r="I1910" s="512" t="s">
        <v>6915</v>
      </c>
    </row>
    <row r="1911" spans="2:9" ht="15" x14ac:dyDescent="0.35">
      <c r="B1911" s="512" t="s">
        <v>6286</v>
      </c>
      <c r="C1911" s="512" t="s">
        <v>6253</v>
      </c>
      <c r="D1911" s="512" t="s">
        <v>6254</v>
      </c>
      <c r="E1911" s="513">
        <v>6465</v>
      </c>
      <c r="F1911" s="512" t="s">
        <v>1932</v>
      </c>
      <c r="G1911" s="513" t="s">
        <v>676</v>
      </c>
      <c r="H1911" s="514">
        <v>37574</v>
      </c>
      <c r="I1911" s="512" t="s">
        <v>6915</v>
      </c>
    </row>
    <row r="1912" spans="2:9" ht="15" x14ac:dyDescent="0.35">
      <c r="B1912" s="512" t="s">
        <v>6286</v>
      </c>
      <c r="C1912" s="512" t="s">
        <v>6242</v>
      </c>
      <c r="D1912" s="512" t="s">
        <v>6257</v>
      </c>
      <c r="E1912" s="513">
        <v>6466</v>
      </c>
      <c r="F1912" s="512" t="s">
        <v>1933</v>
      </c>
      <c r="G1912" s="513" t="s">
        <v>23</v>
      </c>
      <c r="H1912" s="514">
        <v>1428681</v>
      </c>
      <c r="I1912" s="512" t="s">
        <v>6915</v>
      </c>
    </row>
    <row r="1913" spans="2:9" ht="15" x14ac:dyDescent="0.35">
      <c r="B1913" s="512" t="s">
        <v>6286</v>
      </c>
      <c r="C1913" s="512" t="s">
        <v>6237</v>
      </c>
      <c r="D1913" s="512" t="s">
        <v>6238</v>
      </c>
      <c r="E1913" s="513">
        <v>6467</v>
      </c>
      <c r="F1913" s="512" t="s">
        <v>1934</v>
      </c>
      <c r="G1913" s="513" t="s">
        <v>26</v>
      </c>
      <c r="H1913" s="514">
        <v>16084</v>
      </c>
      <c r="I1913" s="512" t="s">
        <v>6915</v>
      </c>
    </row>
    <row r="1914" spans="2:9" ht="15" x14ac:dyDescent="0.35">
      <c r="B1914" s="512" t="s">
        <v>6286</v>
      </c>
      <c r="C1914" s="512" t="s">
        <v>6272</v>
      </c>
      <c r="D1914" s="512" t="s">
        <v>6278</v>
      </c>
      <c r="E1914" s="513">
        <v>6469</v>
      </c>
      <c r="F1914" s="512" t="s">
        <v>1935</v>
      </c>
      <c r="G1914" s="513" t="s">
        <v>21</v>
      </c>
      <c r="H1914" s="514">
        <v>344300</v>
      </c>
      <c r="I1914" s="515" t="s">
        <v>6915</v>
      </c>
    </row>
    <row r="1915" spans="2:9" ht="15" x14ac:dyDescent="0.35">
      <c r="B1915" s="512" t="s">
        <v>6286</v>
      </c>
      <c r="C1915" s="512" t="s">
        <v>6227</v>
      </c>
      <c r="D1915" s="512" t="s">
        <v>6248</v>
      </c>
      <c r="E1915" s="513">
        <v>6471</v>
      </c>
      <c r="F1915" s="512" t="s">
        <v>1936</v>
      </c>
      <c r="G1915" s="513" t="s">
        <v>23</v>
      </c>
      <c r="H1915" s="514">
        <v>199033</v>
      </c>
      <c r="I1915" s="512" t="s">
        <v>6915</v>
      </c>
    </row>
    <row r="1916" spans="2:9" ht="15" x14ac:dyDescent="0.35">
      <c r="B1916" s="512" t="s">
        <v>6286</v>
      </c>
      <c r="C1916" s="512" t="s">
        <v>6242</v>
      </c>
      <c r="D1916" s="512" t="s">
        <v>6257</v>
      </c>
      <c r="E1916" s="513">
        <v>6472</v>
      </c>
      <c r="F1916" s="512" t="s">
        <v>1937</v>
      </c>
      <c r="G1916" s="513" t="s">
        <v>23</v>
      </c>
      <c r="H1916" s="516">
        <v>1571576</v>
      </c>
      <c r="I1916" s="512" t="s">
        <v>6915</v>
      </c>
    </row>
    <row r="1917" spans="2:9" ht="15" x14ac:dyDescent="0.35">
      <c r="B1917" s="512" t="s">
        <v>6286</v>
      </c>
      <c r="C1917" s="512" t="s">
        <v>6227</v>
      </c>
      <c r="D1917" s="512" t="s">
        <v>6248</v>
      </c>
      <c r="E1917" s="513">
        <v>6473</v>
      </c>
      <c r="F1917" s="512" t="s">
        <v>1938</v>
      </c>
      <c r="G1917" s="513" t="s">
        <v>23</v>
      </c>
      <c r="H1917" s="514">
        <v>164138</v>
      </c>
      <c r="I1917" s="512" t="s">
        <v>6915</v>
      </c>
    </row>
    <row r="1918" spans="2:9" ht="15" x14ac:dyDescent="0.35">
      <c r="B1918" s="512" t="s">
        <v>6286</v>
      </c>
      <c r="C1918" s="512" t="s">
        <v>6227</v>
      </c>
      <c r="D1918" s="512" t="s">
        <v>6248</v>
      </c>
      <c r="E1918" s="513">
        <v>6474</v>
      </c>
      <c r="F1918" s="512" t="s">
        <v>1939</v>
      </c>
      <c r="G1918" s="513" t="s">
        <v>23</v>
      </c>
      <c r="H1918" s="514">
        <v>219444</v>
      </c>
      <c r="I1918" s="512" t="s">
        <v>6915</v>
      </c>
    </row>
    <row r="1919" spans="2:9" ht="15" x14ac:dyDescent="0.35">
      <c r="B1919" s="512" t="s">
        <v>6286</v>
      </c>
      <c r="C1919" s="512" t="s">
        <v>6230</v>
      </c>
      <c r="D1919" s="512" t="s">
        <v>6231</v>
      </c>
      <c r="E1919" s="513">
        <v>6475</v>
      </c>
      <c r="F1919" s="512" t="s">
        <v>1940</v>
      </c>
      <c r="G1919" s="513" t="s">
        <v>26</v>
      </c>
      <c r="H1919" s="514">
        <v>89764</v>
      </c>
      <c r="I1919" s="512" t="s">
        <v>6915</v>
      </c>
    </row>
    <row r="1920" spans="2:9" ht="15" x14ac:dyDescent="0.35">
      <c r="B1920" s="512" t="s">
        <v>6286</v>
      </c>
      <c r="C1920" s="512" t="s">
        <v>6252</v>
      </c>
      <c r="D1920" s="512" t="s">
        <v>6252</v>
      </c>
      <c r="E1920" s="513">
        <v>6476</v>
      </c>
      <c r="F1920" s="512" t="s">
        <v>1941</v>
      </c>
      <c r="G1920" s="513" t="s">
        <v>21</v>
      </c>
      <c r="H1920" s="516">
        <v>224188</v>
      </c>
      <c r="I1920" s="512" t="s">
        <v>6915</v>
      </c>
    </row>
    <row r="1921" spans="2:9" ht="15" x14ac:dyDescent="0.35">
      <c r="B1921" s="512" t="s">
        <v>6286</v>
      </c>
      <c r="C1921" s="512" t="s">
        <v>6277</v>
      </c>
      <c r="D1921" s="512" t="s">
        <v>6277</v>
      </c>
      <c r="E1921" s="513">
        <v>6482</v>
      </c>
      <c r="F1921" s="512" t="s">
        <v>1942</v>
      </c>
      <c r="G1921" s="513" t="s">
        <v>676</v>
      </c>
      <c r="H1921" s="514">
        <v>134808</v>
      </c>
      <c r="I1921" s="515" t="s">
        <v>6915</v>
      </c>
    </row>
    <row r="1922" spans="2:9" ht="15" x14ac:dyDescent="0.35">
      <c r="B1922" s="512" t="s">
        <v>6286</v>
      </c>
      <c r="C1922" s="512" t="s">
        <v>6237</v>
      </c>
      <c r="D1922" s="512" t="s">
        <v>6247</v>
      </c>
      <c r="E1922" s="513">
        <v>6483</v>
      </c>
      <c r="F1922" s="512" t="s">
        <v>1943</v>
      </c>
      <c r="G1922" s="513" t="s">
        <v>1106</v>
      </c>
      <c r="H1922" s="514">
        <v>58405</v>
      </c>
      <c r="I1922" s="515" t="s">
        <v>6915</v>
      </c>
    </row>
    <row r="1923" spans="2:9" ht="15" x14ac:dyDescent="0.35">
      <c r="B1923" s="512" t="s">
        <v>6286</v>
      </c>
      <c r="C1923" s="512" t="s">
        <v>6237</v>
      </c>
      <c r="D1923" s="512" t="s">
        <v>6247</v>
      </c>
      <c r="E1923" s="513">
        <v>6484</v>
      </c>
      <c r="F1923" s="512" t="s">
        <v>1944</v>
      </c>
      <c r="G1923" s="513" t="s">
        <v>1106</v>
      </c>
      <c r="H1923" s="516">
        <v>218965</v>
      </c>
      <c r="I1923" s="512" t="s">
        <v>6915</v>
      </c>
    </row>
    <row r="1924" spans="2:9" ht="15" x14ac:dyDescent="0.35">
      <c r="B1924" s="512" t="s">
        <v>6286</v>
      </c>
      <c r="C1924" s="512" t="s">
        <v>6224</v>
      </c>
      <c r="D1924" s="512" t="s">
        <v>6225</v>
      </c>
      <c r="E1924" s="513">
        <v>6485</v>
      </c>
      <c r="F1924" s="512" t="s">
        <v>1945</v>
      </c>
      <c r="G1924" s="513" t="s">
        <v>29</v>
      </c>
      <c r="H1924" s="514">
        <v>62398</v>
      </c>
      <c r="I1924" s="515" t="s">
        <v>6915</v>
      </c>
    </row>
    <row r="1925" spans="2:9" ht="15" x14ac:dyDescent="0.35">
      <c r="B1925" s="512" t="s">
        <v>6286</v>
      </c>
      <c r="C1925" s="512" t="s">
        <v>6227</v>
      </c>
      <c r="D1925" s="512" t="s">
        <v>6248</v>
      </c>
      <c r="E1925" s="513">
        <v>6486</v>
      </c>
      <c r="F1925" s="512" t="s">
        <v>1946</v>
      </c>
      <c r="G1925" s="513" t="s">
        <v>23</v>
      </c>
      <c r="H1925" s="516">
        <v>63924</v>
      </c>
      <c r="I1925" s="512" t="s">
        <v>6915</v>
      </c>
    </row>
    <row r="1926" spans="2:9" ht="15" x14ac:dyDescent="0.35">
      <c r="B1926" s="512" t="s">
        <v>6286</v>
      </c>
      <c r="C1926" s="512" t="s">
        <v>6224</v>
      </c>
      <c r="D1926" s="512" t="s">
        <v>6244</v>
      </c>
      <c r="E1926" s="513">
        <v>6488</v>
      </c>
      <c r="F1926" s="512" t="s">
        <v>1947</v>
      </c>
      <c r="G1926" s="513" t="s">
        <v>26</v>
      </c>
      <c r="H1926" s="514">
        <v>308430</v>
      </c>
      <c r="I1926" s="515" t="s">
        <v>6915</v>
      </c>
    </row>
    <row r="1927" spans="2:9" ht="15" x14ac:dyDescent="0.35">
      <c r="B1927" s="512" t="s">
        <v>6286</v>
      </c>
      <c r="C1927" s="512" t="s">
        <v>6224</v>
      </c>
      <c r="D1927" s="512" t="s">
        <v>6244</v>
      </c>
      <c r="E1927" s="513">
        <v>6489</v>
      </c>
      <c r="F1927" s="512" t="s">
        <v>1948</v>
      </c>
      <c r="G1927" s="513" t="s">
        <v>26</v>
      </c>
      <c r="H1927" s="516">
        <v>118748</v>
      </c>
      <c r="I1927" s="512" t="s">
        <v>6915</v>
      </c>
    </row>
    <row r="1928" spans="2:9" ht="15" x14ac:dyDescent="0.35">
      <c r="B1928" s="512" t="s">
        <v>6286</v>
      </c>
      <c r="C1928" s="512" t="s">
        <v>6224</v>
      </c>
      <c r="D1928" s="512" t="s">
        <v>6244</v>
      </c>
      <c r="E1928" s="513">
        <v>6494</v>
      </c>
      <c r="F1928" s="512" t="s">
        <v>1949</v>
      </c>
      <c r="G1928" s="513" t="s">
        <v>26</v>
      </c>
      <c r="H1928" s="516">
        <v>316053</v>
      </c>
      <c r="I1928" s="512" t="s">
        <v>6915</v>
      </c>
    </row>
    <row r="1929" spans="2:9" ht="15" x14ac:dyDescent="0.35">
      <c r="B1929" s="512" t="s">
        <v>6286</v>
      </c>
      <c r="C1929" s="512" t="s">
        <v>6224</v>
      </c>
      <c r="D1929" s="512" t="s">
        <v>6244</v>
      </c>
      <c r="E1929" s="513">
        <v>6495</v>
      </c>
      <c r="F1929" s="512" t="s">
        <v>1950</v>
      </c>
      <c r="G1929" s="513" t="s">
        <v>26</v>
      </c>
      <c r="H1929" s="516">
        <v>316053</v>
      </c>
      <c r="I1929" s="515" t="s">
        <v>6915</v>
      </c>
    </row>
    <row r="1930" spans="2:9" ht="15" x14ac:dyDescent="0.35">
      <c r="B1930" s="512" t="s">
        <v>6286</v>
      </c>
      <c r="C1930" s="512" t="s">
        <v>6224</v>
      </c>
      <c r="D1930" s="512" t="s">
        <v>6244</v>
      </c>
      <c r="E1930" s="513">
        <v>6498</v>
      </c>
      <c r="F1930" s="512" t="s">
        <v>1951</v>
      </c>
      <c r="G1930" s="513" t="s">
        <v>29</v>
      </c>
      <c r="H1930" s="516">
        <v>19783</v>
      </c>
      <c r="I1930" s="512" t="s">
        <v>6915</v>
      </c>
    </row>
    <row r="1931" spans="2:9" ht="15" x14ac:dyDescent="0.35">
      <c r="B1931" s="512" t="s">
        <v>6286</v>
      </c>
      <c r="C1931" s="512" t="s">
        <v>6224</v>
      </c>
      <c r="D1931" s="512" t="s">
        <v>6244</v>
      </c>
      <c r="E1931" s="513">
        <v>6499</v>
      </c>
      <c r="F1931" s="512" t="s">
        <v>1952</v>
      </c>
      <c r="G1931" s="513" t="s">
        <v>26</v>
      </c>
      <c r="H1931" s="516">
        <v>17498</v>
      </c>
      <c r="I1931" s="512" t="s">
        <v>6915</v>
      </c>
    </row>
    <row r="1932" spans="2:9" ht="15" x14ac:dyDescent="0.35">
      <c r="B1932" s="512" t="s">
        <v>6286</v>
      </c>
      <c r="C1932" s="512" t="s">
        <v>6224</v>
      </c>
      <c r="D1932" s="512" t="s">
        <v>6244</v>
      </c>
      <c r="E1932" s="513">
        <v>6500</v>
      </c>
      <c r="F1932" s="512" t="s">
        <v>1953</v>
      </c>
      <c r="G1932" s="513" t="s">
        <v>29</v>
      </c>
      <c r="H1932" s="514">
        <v>241552</v>
      </c>
      <c r="I1932" s="515" t="s">
        <v>6915</v>
      </c>
    </row>
    <row r="1933" spans="2:9" ht="15" x14ac:dyDescent="0.35">
      <c r="B1933" s="512" t="s">
        <v>6286</v>
      </c>
      <c r="C1933" s="512" t="s">
        <v>6224</v>
      </c>
      <c r="D1933" s="512" t="s">
        <v>6244</v>
      </c>
      <c r="E1933" s="513">
        <v>6501</v>
      </c>
      <c r="F1933" s="512" t="s">
        <v>1954</v>
      </c>
      <c r="G1933" s="513" t="s">
        <v>29</v>
      </c>
      <c r="H1933" s="516">
        <v>348028</v>
      </c>
      <c r="I1933" s="512" t="s">
        <v>6915</v>
      </c>
    </row>
    <row r="1934" spans="2:9" ht="15" x14ac:dyDescent="0.35">
      <c r="B1934" s="512" t="s">
        <v>6286</v>
      </c>
      <c r="C1934" s="512" t="s">
        <v>6252</v>
      </c>
      <c r="D1934" s="512" t="s">
        <v>6252</v>
      </c>
      <c r="E1934" s="513">
        <v>6505</v>
      </c>
      <c r="F1934" s="512" t="s">
        <v>1955</v>
      </c>
      <c r="G1934" s="513" t="s">
        <v>21</v>
      </c>
      <c r="H1934" s="516">
        <v>3241</v>
      </c>
      <c r="I1934" s="512" t="s">
        <v>6915</v>
      </c>
    </row>
    <row r="1935" spans="2:9" ht="15" x14ac:dyDescent="0.35">
      <c r="B1935" s="512" t="s">
        <v>6286</v>
      </c>
      <c r="C1935" s="512" t="s">
        <v>6253</v>
      </c>
      <c r="D1935" s="512" t="s">
        <v>6284</v>
      </c>
      <c r="E1935" s="513">
        <v>6506</v>
      </c>
      <c r="F1935" s="512" t="s">
        <v>1956</v>
      </c>
      <c r="G1935" s="513" t="s">
        <v>26</v>
      </c>
      <c r="H1935" s="516">
        <v>218840</v>
      </c>
      <c r="I1935" s="512" t="s">
        <v>6915</v>
      </c>
    </row>
    <row r="1936" spans="2:9" ht="15" x14ac:dyDescent="0.35">
      <c r="B1936" s="512" t="s">
        <v>6286</v>
      </c>
      <c r="C1936" s="512" t="s">
        <v>6272</v>
      </c>
      <c r="D1936" s="512" t="s">
        <v>6273</v>
      </c>
      <c r="E1936" s="513">
        <v>6507</v>
      </c>
      <c r="F1936" s="512" t="s">
        <v>1957</v>
      </c>
      <c r="G1936" s="513" t="s">
        <v>21</v>
      </c>
      <c r="H1936" s="514">
        <v>272057</v>
      </c>
      <c r="I1936" s="512" t="s">
        <v>6915</v>
      </c>
    </row>
    <row r="1937" spans="2:9" ht="15" x14ac:dyDescent="0.35">
      <c r="B1937" s="512" t="s">
        <v>6286</v>
      </c>
      <c r="C1937" s="512" t="s">
        <v>6230</v>
      </c>
      <c r="D1937" s="512" t="s">
        <v>6231</v>
      </c>
      <c r="E1937" s="513">
        <v>6510</v>
      </c>
      <c r="F1937" s="512" t="s">
        <v>1958</v>
      </c>
      <c r="G1937" s="513" t="s">
        <v>26</v>
      </c>
      <c r="H1937" s="516">
        <v>67124</v>
      </c>
      <c r="I1937" s="512" t="s">
        <v>6915</v>
      </c>
    </row>
    <row r="1938" spans="2:9" ht="15" x14ac:dyDescent="0.35">
      <c r="B1938" s="512" t="s">
        <v>6286</v>
      </c>
      <c r="C1938" s="512" t="s">
        <v>6272</v>
      </c>
      <c r="D1938" s="512" t="s">
        <v>6280</v>
      </c>
      <c r="E1938" s="513">
        <v>6511</v>
      </c>
      <c r="F1938" s="512" t="s">
        <v>1959</v>
      </c>
      <c r="G1938" s="513" t="s">
        <v>21</v>
      </c>
      <c r="H1938" s="514">
        <v>362432</v>
      </c>
      <c r="I1938" s="515" t="s">
        <v>6915</v>
      </c>
    </row>
    <row r="1939" spans="2:9" ht="15" x14ac:dyDescent="0.35">
      <c r="B1939" s="512" t="s">
        <v>6286</v>
      </c>
      <c r="C1939" s="512" t="s">
        <v>6240</v>
      </c>
      <c r="D1939" s="512" t="s">
        <v>6241</v>
      </c>
      <c r="E1939" s="513">
        <v>6512</v>
      </c>
      <c r="F1939" s="512" t="s">
        <v>1960</v>
      </c>
      <c r="G1939" s="513" t="s">
        <v>23</v>
      </c>
      <c r="H1939" s="516">
        <v>711482</v>
      </c>
      <c r="I1939" s="512" t="s">
        <v>6915</v>
      </c>
    </row>
    <row r="1940" spans="2:9" ht="15" x14ac:dyDescent="0.35">
      <c r="B1940" s="512" t="s">
        <v>6286</v>
      </c>
      <c r="C1940" s="512" t="s">
        <v>6239</v>
      </c>
      <c r="D1940" s="512" t="s">
        <v>6239</v>
      </c>
      <c r="E1940" s="513">
        <v>6514</v>
      </c>
      <c r="F1940" s="512" t="s">
        <v>1961</v>
      </c>
      <c r="G1940" s="513" t="s">
        <v>29</v>
      </c>
      <c r="H1940" s="516">
        <v>4367</v>
      </c>
      <c r="I1940" s="512" t="s">
        <v>6915</v>
      </c>
    </row>
    <row r="1941" spans="2:9" ht="15" x14ac:dyDescent="0.35">
      <c r="B1941" s="512" t="s">
        <v>6286</v>
      </c>
      <c r="C1941" s="512" t="s">
        <v>6224</v>
      </c>
      <c r="D1941" s="512" t="s">
        <v>6244</v>
      </c>
      <c r="E1941" s="513">
        <v>6515</v>
      </c>
      <c r="F1941" s="512" t="s">
        <v>1962</v>
      </c>
      <c r="G1941" s="513" t="s">
        <v>26</v>
      </c>
      <c r="H1941" s="516">
        <v>10092</v>
      </c>
      <c r="I1941" s="512" t="s">
        <v>6915</v>
      </c>
    </row>
    <row r="1942" spans="2:9" ht="15" x14ac:dyDescent="0.35">
      <c r="B1942" s="512" t="s">
        <v>6286</v>
      </c>
      <c r="C1942" s="512" t="s">
        <v>6240</v>
      </c>
      <c r="D1942" s="512" t="s">
        <v>6275</v>
      </c>
      <c r="E1942" s="513">
        <v>6517</v>
      </c>
      <c r="F1942" s="512" t="s">
        <v>1963</v>
      </c>
      <c r="G1942" s="513" t="s">
        <v>367</v>
      </c>
      <c r="H1942" s="516">
        <v>15446</v>
      </c>
      <c r="I1942" s="512" t="s">
        <v>6915</v>
      </c>
    </row>
    <row r="1943" spans="2:9" ht="15" x14ac:dyDescent="0.35">
      <c r="B1943" s="512" t="s">
        <v>6286</v>
      </c>
      <c r="C1943" s="512" t="s">
        <v>6232</v>
      </c>
      <c r="D1943" s="512" t="s">
        <v>6232</v>
      </c>
      <c r="E1943" s="513">
        <v>6518</v>
      </c>
      <c r="F1943" s="512" t="s">
        <v>1964</v>
      </c>
      <c r="G1943" s="513" t="s">
        <v>29</v>
      </c>
      <c r="H1943" s="516">
        <v>171850</v>
      </c>
      <c r="I1943" s="512" t="s">
        <v>6915</v>
      </c>
    </row>
    <row r="1944" spans="2:9" ht="15" x14ac:dyDescent="0.35">
      <c r="B1944" s="512" t="s">
        <v>6286</v>
      </c>
      <c r="C1944" s="512" t="s">
        <v>6232</v>
      </c>
      <c r="D1944" s="512" t="s">
        <v>6232</v>
      </c>
      <c r="E1944" s="513">
        <v>6519</v>
      </c>
      <c r="F1944" s="512" t="s">
        <v>1965</v>
      </c>
      <c r="G1944" s="513" t="s">
        <v>29</v>
      </c>
      <c r="H1944" s="516">
        <v>27415</v>
      </c>
      <c r="I1944" s="512" t="s">
        <v>6915</v>
      </c>
    </row>
    <row r="1945" spans="2:9" ht="15" x14ac:dyDescent="0.35">
      <c r="B1945" s="512" t="s">
        <v>6286</v>
      </c>
      <c r="C1945" s="512" t="s">
        <v>6232</v>
      </c>
      <c r="D1945" s="512" t="s">
        <v>6232</v>
      </c>
      <c r="E1945" s="513">
        <v>6520</v>
      </c>
      <c r="F1945" s="512" t="s">
        <v>1966</v>
      </c>
      <c r="G1945" s="513" t="s">
        <v>29</v>
      </c>
      <c r="H1945" s="514">
        <v>14265</v>
      </c>
      <c r="I1945" s="515" t="s">
        <v>6915</v>
      </c>
    </row>
    <row r="1946" spans="2:9" ht="15" x14ac:dyDescent="0.35">
      <c r="B1946" s="512" t="s">
        <v>6286</v>
      </c>
      <c r="C1946" s="512" t="s">
        <v>6232</v>
      </c>
      <c r="D1946" s="512" t="s">
        <v>6232</v>
      </c>
      <c r="E1946" s="513">
        <v>6521</v>
      </c>
      <c r="F1946" s="512" t="s">
        <v>1967</v>
      </c>
      <c r="G1946" s="513" t="s">
        <v>29</v>
      </c>
      <c r="H1946" s="516">
        <v>8284</v>
      </c>
      <c r="I1946" s="512" t="s">
        <v>6915</v>
      </c>
    </row>
    <row r="1947" spans="2:9" ht="15" x14ac:dyDescent="0.35">
      <c r="B1947" s="512" t="s">
        <v>6286</v>
      </c>
      <c r="C1947" s="512" t="s">
        <v>6239</v>
      </c>
      <c r="D1947" s="512" t="s">
        <v>6239</v>
      </c>
      <c r="E1947" s="513">
        <v>6523</v>
      </c>
      <c r="F1947" s="512" t="s">
        <v>1968</v>
      </c>
      <c r="G1947" s="513" t="s">
        <v>29</v>
      </c>
      <c r="H1947" s="516">
        <v>16236</v>
      </c>
      <c r="I1947" s="512" t="s">
        <v>6915</v>
      </c>
    </row>
    <row r="1948" spans="2:9" ht="15" x14ac:dyDescent="0.35">
      <c r="B1948" s="512" t="s">
        <v>6286</v>
      </c>
      <c r="C1948" s="512" t="s">
        <v>6239</v>
      </c>
      <c r="D1948" s="512" t="s">
        <v>6239</v>
      </c>
      <c r="E1948" s="513">
        <v>6524</v>
      </c>
      <c r="F1948" s="512" t="s">
        <v>1969</v>
      </c>
      <c r="G1948" s="513" t="s">
        <v>29</v>
      </c>
      <c r="H1948" s="516">
        <v>67462</v>
      </c>
      <c r="I1948" s="512" t="s">
        <v>6915</v>
      </c>
    </row>
    <row r="1949" spans="2:9" ht="15" x14ac:dyDescent="0.35">
      <c r="B1949" s="512" t="s">
        <v>6286</v>
      </c>
      <c r="C1949" s="512" t="s">
        <v>6239</v>
      </c>
      <c r="D1949" s="512" t="s">
        <v>6239</v>
      </c>
      <c r="E1949" s="513">
        <v>6525</v>
      </c>
      <c r="F1949" s="512" t="s">
        <v>1970</v>
      </c>
      <c r="G1949" s="513" t="s">
        <v>29</v>
      </c>
      <c r="H1949" s="514">
        <v>199266</v>
      </c>
      <c r="I1949" s="515" t="s">
        <v>6915</v>
      </c>
    </row>
    <row r="1950" spans="2:9" ht="15" x14ac:dyDescent="0.35">
      <c r="B1950" s="512" t="s">
        <v>6286</v>
      </c>
      <c r="C1950" s="512" t="s">
        <v>6224</v>
      </c>
      <c r="D1950" s="512" t="s">
        <v>6225</v>
      </c>
      <c r="E1950" s="513">
        <v>6527</v>
      </c>
      <c r="F1950" s="512" t="s">
        <v>1971</v>
      </c>
      <c r="G1950" s="513" t="s">
        <v>29</v>
      </c>
      <c r="H1950" s="514">
        <v>609274</v>
      </c>
      <c r="I1950" s="515" t="s">
        <v>6915</v>
      </c>
    </row>
    <row r="1951" spans="2:9" ht="15" x14ac:dyDescent="0.35">
      <c r="B1951" s="512" t="s">
        <v>6286</v>
      </c>
      <c r="C1951" s="512" t="s">
        <v>6224</v>
      </c>
      <c r="D1951" s="512" t="s">
        <v>6225</v>
      </c>
      <c r="E1951" s="513">
        <v>6528</v>
      </c>
      <c r="F1951" s="512" t="s">
        <v>1972</v>
      </c>
      <c r="G1951" s="513" t="s">
        <v>26</v>
      </c>
      <c r="H1951" s="516">
        <v>318758</v>
      </c>
      <c r="I1951" s="512" t="s">
        <v>6915</v>
      </c>
    </row>
    <row r="1952" spans="2:9" ht="15" x14ac:dyDescent="0.35">
      <c r="B1952" s="512" t="s">
        <v>6286</v>
      </c>
      <c r="C1952" s="512" t="s">
        <v>6224</v>
      </c>
      <c r="D1952" s="512" t="s">
        <v>6225</v>
      </c>
      <c r="E1952" s="513">
        <v>6529</v>
      </c>
      <c r="F1952" s="512" t="s">
        <v>1973</v>
      </c>
      <c r="G1952" s="513" t="s">
        <v>26</v>
      </c>
      <c r="H1952" s="514">
        <v>324507</v>
      </c>
      <c r="I1952" s="515" t="s">
        <v>6915</v>
      </c>
    </row>
    <row r="1953" spans="2:9" ht="15" x14ac:dyDescent="0.35">
      <c r="B1953" s="512" t="s">
        <v>6286</v>
      </c>
      <c r="C1953" s="512" t="s">
        <v>6224</v>
      </c>
      <c r="D1953" s="512" t="s">
        <v>6225</v>
      </c>
      <c r="E1953" s="513">
        <v>6532</v>
      </c>
      <c r="F1953" s="512" t="s">
        <v>1974</v>
      </c>
      <c r="G1953" s="513" t="s">
        <v>29</v>
      </c>
      <c r="H1953" s="514">
        <v>72606</v>
      </c>
      <c r="I1953" s="515" t="s">
        <v>6915</v>
      </c>
    </row>
    <row r="1954" spans="2:9" ht="15" x14ac:dyDescent="0.35">
      <c r="B1954" s="512" t="s">
        <v>6286</v>
      </c>
      <c r="C1954" s="512" t="s">
        <v>6237</v>
      </c>
      <c r="D1954" s="512" t="s">
        <v>6238</v>
      </c>
      <c r="E1954" s="513">
        <v>6533</v>
      </c>
      <c r="F1954" s="512" t="s">
        <v>1975</v>
      </c>
      <c r="G1954" s="513" t="s">
        <v>21</v>
      </c>
      <c r="H1954" s="514">
        <v>34469</v>
      </c>
      <c r="I1954" s="515" t="s">
        <v>6915</v>
      </c>
    </row>
    <row r="1955" spans="2:9" ht="15" x14ac:dyDescent="0.35">
      <c r="B1955" s="512" t="s">
        <v>6286</v>
      </c>
      <c r="C1955" s="512" t="s">
        <v>6272</v>
      </c>
      <c r="D1955" s="512" t="s">
        <v>6280</v>
      </c>
      <c r="E1955" s="513">
        <v>6534</v>
      </c>
      <c r="F1955" s="512" t="s">
        <v>1976</v>
      </c>
      <c r="G1955" s="513" t="s">
        <v>21</v>
      </c>
      <c r="H1955" s="516">
        <v>304034</v>
      </c>
      <c r="I1955" s="512" t="s">
        <v>6915</v>
      </c>
    </row>
    <row r="1956" spans="2:9" ht="15" x14ac:dyDescent="0.35">
      <c r="B1956" s="512" t="s">
        <v>6286</v>
      </c>
      <c r="C1956" s="512" t="s">
        <v>6272</v>
      </c>
      <c r="D1956" s="512" t="s">
        <v>6280</v>
      </c>
      <c r="E1956" s="513">
        <v>6535</v>
      </c>
      <c r="F1956" s="512" t="s">
        <v>1977</v>
      </c>
      <c r="G1956" s="513" t="s">
        <v>21</v>
      </c>
      <c r="H1956" s="514">
        <v>54475</v>
      </c>
      <c r="I1956" s="515" t="s">
        <v>6915</v>
      </c>
    </row>
    <row r="1957" spans="2:9" ht="15" x14ac:dyDescent="0.35">
      <c r="B1957" s="512" t="s">
        <v>6286</v>
      </c>
      <c r="C1957" s="512" t="s">
        <v>6272</v>
      </c>
      <c r="D1957" s="512" t="s">
        <v>6273</v>
      </c>
      <c r="E1957" s="513">
        <v>6536</v>
      </c>
      <c r="F1957" s="512" t="s">
        <v>1978</v>
      </c>
      <c r="G1957" s="513" t="s">
        <v>21</v>
      </c>
      <c r="H1957" s="516">
        <v>55103</v>
      </c>
      <c r="I1957" s="512" t="s">
        <v>6915</v>
      </c>
    </row>
    <row r="1958" spans="2:9" ht="15" x14ac:dyDescent="0.35">
      <c r="B1958" s="512" t="s">
        <v>6286</v>
      </c>
      <c r="C1958" s="512" t="s">
        <v>6232</v>
      </c>
      <c r="D1958" s="512" t="s">
        <v>6232</v>
      </c>
      <c r="E1958" s="513">
        <v>6538</v>
      </c>
      <c r="F1958" s="512" t="s">
        <v>1979</v>
      </c>
      <c r="G1958" s="513" t="s">
        <v>26</v>
      </c>
      <c r="H1958" s="514">
        <v>262156</v>
      </c>
      <c r="I1958" s="515" t="s">
        <v>6915</v>
      </c>
    </row>
    <row r="1959" spans="2:9" ht="15" x14ac:dyDescent="0.35">
      <c r="B1959" s="512" t="s">
        <v>6286</v>
      </c>
      <c r="C1959" s="512" t="s">
        <v>6240</v>
      </c>
      <c r="D1959" s="512" t="s">
        <v>6275</v>
      </c>
      <c r="E1959" s="513">
        <v>6541</v>
      </c>
      <c r="F1959" s="512" t="s">
        <v>6440</v>
      </c>
      <c r="G1959" s="513" t="s">
        <v>26</v>
      </c>
      <c r="H1959" s="514">
        <v>330076</v>
      </c>
      <c r="I1959" s="515" t="s">
        <v>6915</v>
      </c>
    </row>
    <row r="1960" spans="2:9" ht="15" x14ac:dyDescent="0.35">
      <c r="B1960" s="512" t="s">
        <v>6286</v>
      </c>
      <c r="C1960" s="512" t="s">
        <v>6232</v>
      </c>
      <c r="D1960" s="512" t="s">
        <v>6232</v>
      </c>
      <c r="E1960" s="513">
        <v>6542</v>
      </c>
      <c r="F1960" s="512" t="s">
        <v>1980</v>
      </c>
      <c r="G1960" s="513" t="s">
        <v>29</v>
      </c>
      <c r="H1960" s="514">
        <v>86693</v>
      </c>
      <c r="I1960" s="512" t="s">
        <v>6915</v>
      </c>
    </row>
    <row r="1961" spans="2:9" ht="15" x14ac:dyDescent="0.35">
      <c r="B1961" s="512" t="s">
        <v>6286</v>
      </c>
      <c r="C1961" s="512" t="s">
        <v>6239</v>
      </c>
      <c r="D1961" s="512" t="s">
        <v>6239</v>
      </c>
      <c r="E1961" s="513">
        <v>6543</v>
      </c>
      <c r="F1961" s="512" t="s">
        <v>1981</v>
      </c>
      <c r="G1961" s="513" t="s">
        <v>29</v>
      </c>
      <c r="H1961" s="514">
        <v>8574</v>
      </c>
      <c r="I1961" s="515" t="s">
        <v>6915</v>
      </c>
    </row>
    <row r="1962" spans="2:9" ht="15" x14ac:dyDescent="0.35">
      <c r="B1962" s="512" t="s">
        <v>6286</v>
      </c>
      <c r="C1962" s="512" t="s">
        <v>6239</v>
      </c>
      <c r="D1962" s="512" t="s">
        <v>6239</v>
      </c>
      <c r="E1962" s="513">
        <v>6544</v>
      </c>
      <c r="F1962" s="512" t="s">
        <v>1982</v>
      </c>
      <c r="G1962" s="513" t="s">
        <v>29</v>
      </c>
      <c r="H1962" s="514">
        <v>9625</v>
      </c>
      <c r="I1962" s="515" t="s">
        <v>6915</v>
      </c>
    </row>
    <row r="1963" spans="2:9" ht="15" x14ac:dyDescent="0.35">
      <c r="B1963" s="512" t="s">
        <v>6286</v>
      </c>
      <c r="C1963" s="512" t="s">
        <v>6224</v>
      </c>
      <c r="D1963" s="512" t="s">
        <v>6225</v>
      </c>
      <c r="E1963" s="513">
        <v>6547</v>
      </c>
      <c r="F1963" s="512" t="s">
        <v>1983</v>
      </c>
      <c r="G1963" s="513" t="s">
        <v>29</v>
      </c>
      <c r="H1963" s="514">
        <v>417417</v>
      </c>
      <c r="I1963" s="515" t="s">
        <v>6915</v>
      </c>
    </row>
    <row r="1964" spans="2:9" ht="15" x14ac:dyDescent="0.35">
      <c r="B1964" s="512" t="s">
        <v>6286</v>
      </c>
      <c r="C1964" s="512" t="s">
        <v>6224</v>
      </c>
      <c r="D1964" s="512" t="s">
        <v>6225</v>
      </c>
      <c r="E1964" s="513">
        <v>6548</v>
      </c>
      <c r="F1964" s="512" t="s">
        <v>1984</v>
      </c>
      <c r="G1964" s="513" t="s">
        <v>29</v>
      </c>
      <c r="H1964" s="514">
        <v>264632</v>
      </c>
      <c r="I1964" s="515" t="s">
        <v>6915</v>
      </c>
    </row>
    <row r="1965" spans="2:9" ht="15" x14ac:dyDescent="0.35">
      <c r="B1965" s="512" t="s">
        <v>6286</v>
      </c>
      <c r="C1965" s="512" t="s">
        <v>6272</v>
      </c>
      <c r="D1965" s="512" t="s">
        <v>6280</v>
      </c>
      <c r="E1965" s="513">
        <v>6551</v>
      </c>
      <c r="F1965" s="512" t="s">
        <v>1985</v>
      </c>
      <c r="G1965" s="513" t="s">
        <v>21</v>
      </c>
      <c r="H1965" s="516">
        <v>170015</v>
      </c>
      <c r="I1965" s="512" t="s">
        <v>6915</v>
      </c>
    </row>
    <row r="1966" spans="2:9" ht="15" x14ac:dyDescent="0.35">
      <c r="B1966" s="512" t="s">
        <v>6286</v>
      </c>
      <c r="C1966" s="512" t="s">
        <v>6232</v>
      </c>
      <c r="D1966" s="512" t="s">
        <v>6232</v>
      </c>
      <c r="E1966" s="513">
        <v>6553</v>
      </c>
      <c r="F1966" s="512" t="s">
        <v>1986</v>
      </c>
      <c r="G1966" s="513" t="s">
        <v>29</v>
      </c>
      <c r="H1966" s="514">
        <v>30759</v>
      </c>
      <c r="I1966" s="515" t="s">
        <v>6915</v>
      </c>
    </row>
    <row r="1967" spans="2:9" ht="15" x14ac:dyDescent="0.35">
      <c r="B1967" s="512" t="s">
        <v>6286</v>
      </c>
      <c r="C1967" s="512" t="s">
        <v>6237</v>
      </c>
      <c r="D1967" s="512" t="s">
        <v>6276</v>
      </c>
      <c r="E1967" s="513">
        <v>6554</v>
      </c>
      <c r="F1967" s="512" t="s">
        <v>1987</v>
      </c>
      <c r="G1967" s="513" t="s">
        <v>26</v>
      </c>
      <c r="H1967" s="516">
        <v>531</v>
      </c>
      <c r="I1967" s="512" t="s">
        <v>6915</v>
      </c>
    </row>
    <row r="1968" spans="2:9" ht="15" x14ac:dyDescent="0.35">
      <c r="B1968" s="512" t="s">
        <v>6286</v>
      </c>
      <c r="C1968" s="512" t="s">
        <v>6239</v>
      </c>
      <c r="D1968" s="512" t="s">
        <v>6239</v>
      </c>
      <c r="E1968" s="513">
        <v>6555</v>
      </c>
      <c r="F1968" s="512" t="s">
        <v>1988</v>
      </c>
      <c r="G1968" s="513" t="s">
        <v>29</v>
      </c>
      <c r="H1968" s="514">
        <v>4293</v>
      </c>
      <c r="I1968" s="515" t="s">
        <v>6915</v>
      </c>
    </row>
    <row r="1969" spans="2:9" ht="15" x14ac:dyDescent="0.35">
      <c r="B1969" s="512" t="s">
        <v>6286</v>
      </c>
      <c r="C1969" s="512" t="s">
        <v>6239</v>
      </c>
      <c r="D1969" s="512" t="s">
        <v>6239</v>
      </c>
      <c r="E1969" s="513">
        <v>6556</v>
      </c>
      <c r="F1969" s="512" t="s">
        <v>1989</v>
      </c>
      <c r="G1969" s="513" t="s">
        <v>29</v>
      </c>
      <c r="H1969" s="514">
        <v>89263</v>
      </c>
      <c r="I1969" s="515" t="s">
        <v>6915</v>
      </c>
    </row>
    <row r="1970" spans="2:9" ht="15" x14ac:dyDescent="0.35">
      <c r="B1970" s="512" t="s">
        <v>6286</v>
      </c>
      <c r="C1970" s="512" t="s">
        <v>6253</v>
      </c>
      <c r="D1970" s="512" t="s">
        <v>6284</v>
      </c>
      <c r="E1970" s="513">
        <v>6559</v>
      </c>
      <c r="F1970" s="512" t="s">
        <v>1990</v>
      </c>
      <c r="G1970" s="513" t="s">
        <v>29</v>
      </c>
      <c r="H1970" s="514">
        <v>852373</v>
      </c>
      <c r="I1970" s="515" t="s">
        <v>6915</v>
      </c>
    </row>
    <row r="1971" spans="2:9" ht="15" x14ac:dyDescent="0.35">
      <c r="B1971" s="512" t="s">
        <v>6286</v>
      </c>
      <c r="C1971" s="512" t="s">
        <v>6224</v>
      </c>
      <c r="D1971" s="512" t="s">
        <v>6225</v>
      </c>
      <c r="E1971" s="513">
        <v>6560</v>
      </c>
      <c r="F1971" s="512" t="s">
        <v>1991</v>
      </c>
      <c r="G1971" s="513" t="s">
        <v>29</v>
      </c>
      <c r="H1971" s="514">
        <v>4928902</v>
      </c>
      <c r="I1971" s="515" t="s">
        <v>6915</v>
      </c>
    </row>
    <row r="1972" spans="2:9" ht="15" x14ac:dyDescent="0.35">
      <c r="B1972" s="512" t="s">
        <v>6286</v>
      </c>
      <c r="C1972" s="512" t="s">
        <v>6253</v>
      </c>
      <c r="D1972" s="512" t="s">
        <v>6284</v>
      </c>
      <c r="E1972" s="513">
        <v>6562</v>
      </c>
      <c r="F1972" s="512" t="s">
        <v>1992</v>
      </c>
      <c r="G1972" s="513" t="s">
        <v>21</v>
      </c>
      <c r="H1972" s="514">
        <v>101465</v>
      </c>
      <c r="I1972" s="515" t="s">
        <v>6915</v>
      </c>
    </row>
    <row r="1973" spans="2:9" ht="15" x14ac:dyDescent="0.35">
      <c r="B1973" s="512" t="s">
        <v>6286</v>
      </c>
      <c r="C1973" s="512" t="s">
        <v>6233</v>
      </c>
      <c r="D1973" s="512" t="s">
        <v>6261</v>
      </c>
      <c r="E1973" s="513">
        <v>6563</v>
      </c>
      <c r="F1973" s="512" t="s">
        <v>1993</v>
      </c>
      <c r="G1973" s="513" t="s">
        <v>26</v>
      </c>
      <c r="H1973" s="516">
        <v>19299</v>
      </c>
      <c r="I1973" s="512" t="s">
        <v>6915</v>
      </c>
    </row>
    <row r="1974" spans="2:9" ht="15" x14ac:dyDescent="0.35">
      <c r="B1974" s="512" t="s">
        <v>6286</v>
      </c>
      <c r="C1974" s="512" t="s">
        <v>6223</v>
      </c>
      <c r="D1974" s="512" t="s">
        <v>6223</v>
      </c>
      <c r="E1974" s="513">
        <v>6565</v>
      </c>
      <c r="F1974" s="512" t="s">
        <v>1994</v>
      </c>
      <c r="G1974" s="513" t="s">
        <v>26</v>
      </c>
      <c r="H1974" s="516">
        <v>58387</v>
      </c>
      <c r="I1974" s="512" t="s">
        <v>6915</v>
      </c>
    </row>
    <row r="1975" spans="2:9" ht="15" x14ac:dyDescent="0.35">
      <c r="B1975" s="512" t="s">
        <v>6286</v>
      </c>
      <c r="C1975" s="512" t="s">
        <v>6272</v>
      </c>
      <c r="D1975" s="512" t="s">
        <v>6273</v>
      </c>
      <c r="E1975" s="513">
        <v>6567</v>
      </c>
      <c r="F1975" s="512" t="s">
        <v>1995</v>
      </c>
      <c r="G1975" s="513" t="s">
        <v>26</v>
      </c>
      <c r="H1975" s="516">
        <v>382803</v>
      </c>
      <c r="I1975" s="512" t="s">
        <v>6915</v>
      </c>
    </row>
    <row r="1976" spans="2:9" ht="15" x14ac:dyDescent="0.35">
      <c r="B1976" s="512" t="s">
        <v>6286</v>
      </c>
      <c r="C1976" s="512" t="s">
        <v>6272</v>
      </c>
      <c r="D1976" s="512" t="s">
        <v>6273</v>
      </c>
      <c r="E1976" s="513">
        <v>6568</v>
      </c>
      <c r="F1976" s="512" t="s">
        <v>1996</v>
      </c>
      <c r="G1976" s="513" t="s">
        <v>26</v>
      </c>
      <c r="H1976" s="514">
        <v>47007</v>
      </c>
      <c r="I1976" s="515" t="s">
        <v>6915</v>
      </c>
    </row>
    <row r="1977" spans="2:9" ht="15" x14ac:dyDescent="0.35">
      <c r="B1977" s="512" t="s">
        <v>6286</v>
      </c>
      <c r="C1977" s="512" t="s">
        <v>6237</v>
      </c>
      <c r="D1977" s="512" t="s">
        <v>6276</v>
      </c>
      <c r="E1977" s="513">
        <v>6569</v>
      </c>
      <c r="F1977" s="512" t="s">
        <v>1997</v>
      </c>
      <c r="G1977" s="513" t="s">
        <v>29</v>
      </c>
      <c r="H1977" s="514">
        <v>345866</v>
      </c>
      <c r="I1977" s="515" t="s">
        <v>6915</v>
      </c>
    </row>
    <row r="1978" spans="2:9" ht="15" x14ac:dyDescent="0.35">
      <c r="B1978" s="512" t="s">
        <v>6286</v>
      </c>
      <c r="C1978" s="512" t="s">
        <v>6237</v>
      </c>
      <c r="D1978" s="512" t="s">
        <v>6238</v>
      </c>
      <c r="E1978" s="513">
        <v>6570</v>
      </c>
      <c r="F1978" s="512" t="s">
        <v>1998</v>
      </c>
      <c r="G1978" s="513" t="s">
        <v>21</v>
      </c>
      <c r="H1978" s="516">
        <v>45802</v>
      </c>
      <c r="I1978" s="512" t="s">
        <v>6915</v>
      </c>
    </row>
    <row r="1979" spans="2:9" ht="15" x14ac:dyDescent="0.35">
      <c r="B1979" s="512" t="s">
        <v>6286</v>
      </c>
      <c r="C1979" s="512" t="s">
        <v>6237</v>
      </c>
      <c r="D1979" s="512" t="s">
        <v>6238</v>
      </c>
      <c r="E1979" s="513">
        <v>6571</v>
      </c>
      <c r="F1979" s="512" t="s">
        <v>1999</v>
      </c>
      <c r="G1979" s="513" t="s">
        <v>26</v>
      </c>
      <c r="H1979" s="516">
        <v>2711</v>
      </c>
      <c r="I1979" s="512" t="s">
        <v>6915</v>
      </c>
    </row>
    <row r="1980" spans="2:9" ht="15" x14ac:dyDescent="0.35">
      <c r="B1980" s="512" t="s">
        <v>6286</v>
      </c>
      <c r="C1980" s="512" t="s">
        <v>6237</v>
      </c>
      <c r="D1980" s="512" t="s">
        <v>6238</v>
      </c>
      <c r="E1980" s="513">
        <v>6572</v>
      </c>
      <c r="F1980" s="512" t="s">
        <v>2000</v>
      </c>
      <c r="G1980" s="513" t="s">
        <v>26</v>
      </c>
      <c r="H1980" s="516">
        <v>7974</v>
      </c>
      <c r="I1980" s="512" t="s">
        <v>6915</v>
      </c>
    </row>
    <row r="1981" spans="2:9" ht="15" x14ac:dyDescent="0.35">
      <c r="B1981" s="512" t="s">
        <v>6286</v>
      </c>
      <c r="C1981" s="512" t="s">
        <v>6224</v>
      </c>
      <c r="D1981" s="512" t="s">
        <v>6225</v>
      </c>
      <c r="E1981" s="513">
        <v>6574</v>
      </c>
      <c r="F1981" s="512" t="s">
        <v>2001</v>
      </c>
      <c r="G1981" s="513" t="s">
        <v>29</v>
      </c>
      <c r="H1981" s="514">
        <v>72909</v>
      </c>
      <c r="I1981" s="515" t="s">
        <v>6915</v>
      </c>
    </row>
    <row r="1982" spans="2:9" ht="15" x14ac:dyDescent="0.35">
      <c r="B1982" s="512" t="s">
        <v>6286</v>
      </c>
      <c r="C1982" s="512" t="s">
        <v>6224</v>
      </c>
      <c r="D1982" s="512" t="s">
        <v>6225</v>
      </c>
      <c r="E1982" s="513">
        <v>6575</v>
      </c>
      <c r="F1982" s="512" t="s">
        <v>2002</v>
      </c>
      <c r="G1982" s="513" t="s">
        <v>29</v>
      </c>
      <c r="H1982" s="514">
        <v>57663</v>
      </c>
      <c r="I1982" s="515" t="s">
        <v>6915</v>
      </c>
    </row>
    <row r="1983" spans="2:9" ht="15" x14ac:dyDescent="0.35">
      <c r="B1983" s="512" t="s">
        <v>6286</v>
      </c>
      <c r="C1983" s="512" t="s">
        <v>6224</v>
      </c>
      <c r="D1983" s="512" t="s">
        <v>6225</v>
      </c>
      <c r="E1983" s="513">
        <v>6576</v>
      </c>
      <c r="F1983" s="512" t="s">
        <v>2003</v>
      </c>
      <c r="G1983" s="513" t="s">
        <v>29</v>
      </c>
      <c r="H1983" s="516">
        <v>131126</v>
      </c>
      <c r="I1983" s="512" t="s">
        <v>6915</v>
      </c>
    </row>
    <row r="1984" spans="2:9" ht="15" x14ac:dyDescent="0.35">
      <c r="B1984" s="512" t="s">
        <v>6286</v>
      </c>
      <c r="C1984" s="512" t="s">
        <v>6235</v>
      </c>
      <c r="D1984" s="512" t="s">
        <v>6245</v>
      </c>
      <c r="E1984" s="513">
        <v>6577</v>
      </c>
      <c r="F1984" s="512" t="s">
        <v>2004</v>
      </c>
      <c r="G1984" s="513" t="s">
        <v>29</v>
      </c>
      <c r="H1984" s="514">
        <v>1236162</v>
      </c>
      <c r="I1984" s="515" t="s">
        <v>6915</v>
      </c>
    </row>
    <row r="1985" spans="2:9" ht="15" x14ac:dyDescent="0.35">
      <c r="B1985" s="512" t="s">
        <v>6286</v>
      </c>
      <c r="C1985" s="512" t="s">
        <v>6237</v>
      </c>
      <c r="D1985" s="512" t="s">
        <v>6238</v>
      </c>
      <c r="E1985" s="513">
        <v>6579</v>
      </c>
      <c r="F1985" s="512" t="s">
        <v>2005</v>
      </c>
      <c r="G1985" s="513" t="s">
        <v>26</v>
      </c>
      <c r="H1985" s="514">
        <v>9161</v>
      </c>
      <c r="I1985" s="515" t="s">
        <v>6915</v>
      </c>
    </row>
    <row r="1986" spans="2:9" ht="15" x14ac:dyDescent="0.35">
      <c r="B1986" s="512" t="s">
        <v>6286</v>
      </c>
      <c r="C1986" s="512" t="s">
        <v>6237</v>
      </c>
      <c r="D1986" s="512" t="s">
        <v>6238</v>
      </c>
      <c r="E1986" s="513">
        <v>6580</v>
      </c>
      <c r="F1986" s="512" t="s">
        <v>2006</v>
      </c>
      <c r="G1986" s="513" t="s">
        <v>29</v>
      </c>
      <c r="H1986" s="514">
        <v>41222</v>
      </c>
      <c r="I1986" s="515" t="s">
        <v>6915</v>
      </c>
    </row>
    <row r="1987" spans="2:9" ht="15" x14ac:dyDescent="0.35">
      <c r="B1987" s="512" t="s">
        <v>6286</v>
      </c>
      <c r="C1987" s="512" t="s">
        <v>6237</v>
      </c>
      <c r="D1987" s="512" t="s">
        <v>6238</v>
      </c>
      <c r="E1987" s="513">
        <v>6581</v>
      </c>
      <c r="F1987" s="512" t="s">
        <v>2007</v>
      </c>
      <c r="G1987" s="513" t="s">
        <v>29</v>
      </c>
      <c r="H1987" s="516">
        <v>12367</v>
      </c>
      <c r="I1987" s="512" t="s">
        <v>6915</v>
      </c>
    </row>
    <row r="1988" spans="2:9" ht="15" x14ac:dyDescent="0.35">
      <c r="B1988" s="512" t="s">
        <v>6286</v>
      </c>
      <c r="C1988" s="512" t="s">
        <v>6237</v>
      </c>
      <c r="D1988" s="512" t="s">
        <v>6238</v>
      </c>
      <c r="E1988" s="513">
        <v>6582</v>
      </c>
      <c r="F1988" s="512" t="s">
        <v>2008</v>
      </c>
      <c r="G1988" s="513" t="s">
        <v>29</v>
      </c>
      <c r="H1988" s="514">
        <v>207479</v>
      </c>
      <c r="I1988" s="512" t="s">
        <v>6915</v>
      </c>
    </row>
    <row r="1989" spans="2:9" ht="15" x14ac:dyDescent="0.35">
      <c r="B1989" s="512" t="s">
        <v>6286</v>
      </c>
      <c r="C1989" s="512" t="s">
        <v>6237</v>
      </c>
      <c r="D1989" s="512" t="s">
        <v>6238</v>
      </c>
      <c r="E1989" s="513">
        <v>6583</v>
      </c>
      <c r="F1989" s="512" t="s">
        <v>2009</v>
      </c>
      <c r="G1989" s="513" t="s">
        <v>29</v>
      </c>
      <c r="H1989" s="516">
        <v>147025</v>
      </c>
      <c r="I1989" s="512" t="s">
        <v>6915</v>
      </c>
    </row>
    <row r="1990" spans="2:9" ht="15" x14ac:dyDescent="0.35">
      <c r="B1990" s="512" t="s">
        <v>6286</v>
      </c>
      <c r="C1990" s="512" t="s">
        <v>6237</v>
      </c>
      <c r="D1990" s="512" t="s">
        <v>6238</v>
      </c>
      <c r="E1990" s="513">
        <v>6584</v>
      </c>
      <c r="F1990" s="512" t="s">
        <v>2010</v>
      </c>
      <c r="G1990" s="513" t="s">
        <v>29</v>
      </c>
      <c r="H1990" s="516">
        <v>17772</v>
      </c>
      <c r="I1990" s="512" t="s">
        <v>6915</v>
      </c>
    </row>
    <row r="1991" spans="2:9" ht="15" x14ac:dyDescent="0.35">
      <c r="B1991" s="512" t="s">
        <v>6286</v>
      </c>
      <c r="C1991" s="512" t="s">
        <v>6237</v>
      </c>
      <c r="D1991" s="512" t="s">
        <v>6238</v>
      </c>
      <c r="E1991" s="513">
        <v>6585</v>
      </c>
      <c r="F1991" s="512" t="s">
        <v>2011</v>
      </c>
      <c r="G1991" s="513" t="s">
        <v>29</v>
      </c>
      <c r="H1991" s="516">
        <v>191682</v>
      </c>
      <c r="I1991" s="512" t="s">
        <v>6915</v>
      </c>
    </row>
    <row r="1992" spans="2:9" ht="15" x14ac:dyDescent="0.35">
      <c r="B1992" s="512" t="s">
        <v>6286</v>
      </c>
      <c r="C1992" s="512" t="s">
        <v>6237</v>
      </c>
      <c r="D1992" s="512" t="s">
        <v>6238</v>
      </c>
      <c r="E1992" s="513">
        <v>6586</v>
      </c>
      <c r="F1992" s="512" t="s">
        <v>2012</v>
      </c>
      <c r="G1992" s="513" t="s">
        <v>29</v>
      </c>
      <c r="H1992" s="516">
        <v>84681</v>
      </c>
      <c r="I1992" s="512" t="s">
        <v>6915</v>
      </c>
    </row>
    <row r="1993" spans="2:9" ht="15" x14ac:dyDescent="0.35">
      <c r="B1993" s="512" t="s">
        <v>6286</v>
      </c>
      <c r="C1993" s="512" t="s">
        <v>6237</v>
      </c>
      <c r="D1993" s="512" t="s">
        <v>6238</v>
      </c>
      <c r="E1993" s="513">
        <v>6587</v>
      </c>
      <c r="F1993" s="512" t="s">
        <v>2013</v>
      </c>
      <c r="G1993" s="513" t="s">
        <v>29</v>
      </c>
      <c r="H1993" s="516">
        <v>74994</v>
      </c>
      <c r="I1993" s="512" t="s">
        <v>6915</v>
      </c>
    </row>
    <row r="1994" spans="2:9" ht="15" x14ac:dyDescent="0.35">
      <c r="B1994" s="512" t="s">
        <v>6286</v>
      </c>
      <c r="C1994" s="512" t="s">
        <v>6237</v>
      </c>
      <c r="D1994" s="512" t="s">
        <v>6238</v>
      </c>
      <c r="E1994" s="513">
        <v>6588</v>
      </c>
      <c r="F1994" s="512" t="s">
        <v>2014</v>
      </c>
      <c r="G1994" s="513" t="s">
        <v>21</v>
      </c>
      <c r="H1994" s="516">
        <v>61611</v>
      </c>
      <c r="I1994" s="512" t="s">
        <v>6915</v>
      </c>
    </row>
    <row r="1995" spans="2:9" ht="15" x14ac:dyDescent="0.35">
      <c r="B1995" s="512" t="s">
        <v>6286</v>
      </c>
      <c r="C1995" s="512" t="s">
        <v>6237</v>
      </c>
      <c r="D1995" s="512" t="s">
        <v>6238</v>
      </c>
      <c r="E1995" s="513">
        <v>6589</v>
      </c>
      <c r="F1995" s="512" t="s">
        <v>2015</v>
      </c>
      <c r="G1995" s="513" t="s">
        <v>26</v>
      </c>
      <c r="H1995" s="516">
        <v>34717</v>
      </c>
      <c r="I1995" s="512" t="s">
        <v>6915</v>
      </c>
    </row>
    <row r="1996" spans="2:9" ht="15" x14ac:dyDescent="0.35">
      <c r="B1996" s="512" t="s">
        <v>6286</v>
      </c>
      <c r="C1996" s="512" t="s">
        <v>6237</v>
      </c>
      <c r="D1996" s="512" t="s">
        <v>6238</v>
      </c>
      <c r="E1996" s="513">
        <v>6590</v>
      </c>
      <c r="F1996" s="512" t="s">
        <v>2016</v>
      </c>
      <c r="G1996" s="513" t="s">
        <v>21</v>
      </c>
      <c r="H1996" s="516">
        <v>43290</v>
      </c>
      <c r="I1996" s="512" t="s">
        <v>6915</v>
      </c>
    </row>
    <row r="1997" spans="2:9" ht="15" x14ac:dyDescent="0.35">
      <c r="B1997" s="512" t="s">
        <v>6286</v>
      </c>
      <c r="C1997" s="512" t="s">
        <v>6237</v>
      </c>
      <c r="D1997" s="512" t="s">
        <v>6238</v>
      </c>
      <c r="E1997" s="513">
        <v>6591</v>
      </c>
      <c r="F1997" s="512" t="s">
        <v>2017</v>
      </c>
      <c r="G1997" s="513" t="s">
        <v>26</v>
      </c>
      <c r="H1997" s="516">
        <v>19357</v>
      </c>
      <c r="I1997" s="512" t="s">
        <v>6915</v>
      </c>
    </row>
    <row r="1998" spans="2:9" ht="15" x14ac:dyDescent="0.35">
      <c r="B1998" s="512" t="s">
        <v>6286</v>
      </c>
      <c r="C1998" s="512" t="s">
        <v>6237</v>
      </c>
      <c r="D1998" s="512" t="s">
        <v>6238</v>
      </c>
      <c r="E1998" s="513">
        <v>6592</v>
      </c>
      <c r="F1998" s="512" t="s">
        <v>2018</v>
      </c>
      <c r="G1998" s="513" t="s">
        <v>26</v>
      </c>
      <c r="H1998" s="516">
        <v>19357</v>
      </c>
      <c r="I1998" s="512" t="s">
        <v>6915</v>
      </c>
    </row>
    <row r="1999" spans="2:9" ht="15" x14ac:dyDescent="0.35">
      <c r="B1999" s="512" t="s">
        <v>6286</v>
      </c>
      <c r="C1999" s="512" t="s">
        <v>6237</v>
      </c>
      <c r="D1999" s="512" t="s">
        <v>6238</v>
      </c>
      <c r="E1999" s="513">
        <v>6593</v>
      </c>
      <c r="F1999" s="512" t="s">
        <v>2019</v>
      </c>
      <c r="G1999" s="513" t="s">
        <v>29</v>
      </c>
      <c r="H1999" s="516">
        <v>318657</v>
      </c>
      <c r="I1999" s="515" t="s">
        <v>6915</v>
      </c>
    </row>
    <row r="2000" spans="2:9" ht="15" x14ac:dyDescent="0.35">
      <c r="B2000" s="512" t="s">
        <v>6286</v>
      </c>
      <c r="C2000" s="512" t="s">
        <v>6237</v>
      </c>
      <c r="D2000" s="512" t="s">
        <v>6238</v>
      </c>
      <c r="E2000" s="513">
        <v>6594</v>
      </c>
      <c r="F2000" s="512" t="s">
        <v>2020</v>
      </c>
      <c r="G2000" s="513" t="s">
        <v>29</v>
      </c>
      <c r="H2000" s="516">
        <v>51063</v>
      </c>
      <c r="I2000" s="515" t="s">
        <v>6915</v>
      </c>
    </row>
    <row r="2001" spans="2:9" ht="15" x14ac:dyDescent="0.35">
      <c r="B2001" s="512" t="s">
        <v>6286</v>
      </c>
      <c r="C2001" s="512" t="s">
        <v>6237</v>
      </c>
      <c r="D2001" s="512" t="s">
        <v>6238</v>
      </c>
      <c r="E2001" s="513">
        <v>6595</v>
      </c>
      <c r="F2001" s="512" t="s">
        <v>2021</v>
      </c>
      <c r="G2001" s="513" t="s">
        <v>29</v>
      </c>
      <c r="H2001" s="516">
        <v>19917</v>
      </c>
      <c r="I2001" s="515" t="s">
        <v>6915</v>
      </c>
    </row>
    <row r="2002" spans="2:9" ht="15" x14ac:dyDescent="0.35">
      <c r="B2002" s="512" t="s">
        <v>6286</v>
      </c>
      <c r="C2002" s="512" t="s">
        <v>6237</v>
      </c>
      <c r="D2002" s="512" t="s">
        <v>6238</v>
      </c>
      <c r="E2002" s="513">
        <v>6596</v>
      </c>
      <c r="F2002" s="512" t="s">
        <v>2022</v>
      </c>
      <c r="G2002" s="513" t="s">
        <v>29</v>
      </c>
      <c r="H2002" s="516">
        <v>244609</v>
      </c>
      <c r="I2002" s="515" t="s">
        <v>6915</v>
      </c>
    </row>
    <row r="2003" spans="2:9" ht="15" x14ac:dyDescent="0.35">
      <c r="B2003" s="512" t="s">
        <v>6286</v>
      </c>
      <c r="C2003" s="512" t="s">
        <v>6224</v>
      </c>
      <c r="D2003" s="512" t="s">
        <v>6225</v>
      </c>
      <c r="E2003" s="513">
        <v>6598</v>
      </c>
      <c r="F2003" s="512" t="s">
        <v>2023</v>
      </c>
      <c r="G2003" s="513" t="s">
        <v>29</v>
      </c>
      <c r="H2003" s="516">
        <v>28783793</v>
      </c>
      <c r="I2003" s="512" t="s">
        <v>6915</v>
      </c>
    </row>
    <row r="2004" spans="2:9" ht="15" x14ac:dyDescent="0.35">
      <c r="B2004" s="512" t="s">
        <v>6287</v>
      </c>
      <c r="C2004" s="512" t="s">
        <v>6239</v>
      </c>
      <c r="D2004" s="512" t="s">
        <v>6239</v>
      </c>
      <c r="E2004" s="513">
        <v>6600</v>
      </c>
      <c r="F2004" s="512" t="s">
        <v>2024</v>
      </c>
      <c r="G2004" s="513" t="s">
        <v>29</v>
      </c>
      <c r="H2004" s="516">
        <v>16514</v>
      </c>
      <c r="I2004" s="512" t="s">
        <v>6915</v>
      </c>
    </row>
    <row r="2005" spans="2:9" ht="15" x14ac:dyDescent="0.35">
      <c r="B2005" s="512" t="s">
        <v>6287</v>
      </c>
      <c r="C2005" s="512" t="s">
        <v>6240</v>
      </c>
      <c r="D2005" s="512" t="s">
        <v>6241</v>
      </c>
      <c r="E2005" s="513">
        <v>6656</v>
      </c>
      <c r="F2005" s="512" t="s">
        <v>2025</v>
      </c>
      <c r="G2005" s="513" t="s">
        <v>23</v>
      </c>
      <c r="H2005" s="514">
        <v>1031794</v>
      </c>
      <c r="I2005" s="515" t="s">
        <v>6915</v>
      </c>
    </row>
    <row r="2006" spans="2:9" ht="15" x14ac:dyDescent="0.35">
      <c r="B2006" s="512" t="s">
        <v>6287</v>
      </c>
      <c r="C2006" s="512" t="s">
        <v>6224</v>
      </c>
      <c r="D2006" s="512" t="s">
        <v>6225</v>
      </c>
      <c r="E2006" s="513">
        <v>6658</v>
      </c>
      <c r="F2006" s="512" t="s">
        <v>2026</v>
      </c>
      <c r="G2006" s="513" t="s">
        <v>26</v>
      </c>
      <c r="H2006" s="514">
        <v>34281</v>
      </c>
      <c r="I2006" s="515" t="s">
        <v>6915</v>
      </c>
    </row>
    <row r="2007" spans="2:9" ht="15" x14ac:dyDescent="0.35">
      <c r="B2007" s="512" t="s">
        <v>6287</v>
      </c>
      <c r="C2007" s="512" t="s">
        <v>6240</v>
      </c>
      <c r="D2007" s="512" t="s">
        <v>6241</v>
      </c>
      <c r="E2007" s="513">
        <v>6661</v>
      </c>
      <c r="F2007" s="512" t="s">
        <v>2027</v>
      </c>
      <c r="G2007" s="513" t="s">
        <v>23</v>
      </c>
      <c r="H2007" s="514">
        <v>946336</v>
      </c>
      <c r="I2007" s="515" t="s">
        <v>6915</v>
      </c>
    </row>
    <row r="2008" spans="2:9" ht="15" x14ac:dyDescent="0.35">
      <c r="B2008" s="512" t="s">
        <v>6287</v>
      </c>
      <c r="C2008" s="512" t="s">
        <v>6240</v>
      </c>
      <c r="D2008" s="512" t="s">
        <v>6241</v>
      </c>
      <c r="E2008" s="513">
        <v>6665</v>
      </c>
      <c r="F2008" s="512" t="s">
        <v>2028</v>
      </c>
      <c r="G2008" s="513" t="s">
        <v>23</v>
      </c>
      <c r="H2008" s="516">
        <v>1019309</v>
      </c>
      <c r="I2008" s="515" t="s">
        <v>6915</v>
      </c>
    </row>
    <row r="2009" spans="2:9" ht="15" x14ac:dyDescent="0.35">
      <c r="B2009" s="512" t="s">
        <v>6287</v>
      </c>
      <c r="C2009" s="512" t="s">
        <v>6224</v>
      </c>
      <c r="D2009" s="512" t="s">
        <v>6225</v>
      </c>
      <c r="E2009" s="513">
        <v>6673</v>
      </c>
      <c r="F2009" s="512" t="s">
        <v>2029</v>
      </c>
      <c r="G2009" s="513" t="s">
        <v>29</v>
      </c>
      <c r="H2009" s="516">
        <v>212354</v>
      </c>
      <c r="I2009" s="515" t="s">
        <v>6915</v>
      </c>
    </row>
    <row r="2010" spans="2:9" ht="15" x14ac:dyDescent="0.35">
      <c r="B2010" s="512" t="s">
        <v>6287</v>
      </c>
      <c r="C2010" s="512" t="s">
        <v>6224</v>
      </c>
      <c r="D2010" s="512" t="s">
        <v>6225</v>
      </c>
      <c r="E2010" s="513">
        <v>6675</v>
      </c>
      <c r="F2010" s="512" t="s">
        <v>2030</v>
      </c>
      <c r="G2010" s="513" t="s">
        <v>29</v>
      </c>
      <c r="H2010" s="516">
        <v>464609</v>
      </c>
      <c r="I2010" s="515" t="s">
        <v>6915</v>
      </c>
    </row>
    <row r="2011" spans="2:9" ht="15" x14ac:dyDescent="0.35">
      <c r="B2011" s="512" t="s">
        <v>6287</v>
      </c>
      <c r="C2011" s="512" t="s">
        <v>6224</v>
      </c>
      <c r="D2011" s="512" t="s">
        <v>6225</v>
      </c>
      <c r="E2011" s="513">
        <v>6676</v>
      </c>
      <c r="F2011" s="512" t="s">
        <v>2031</v>
      </c>
      <c r="G2011" s="513" t="s">
        <v>29</v>
      </c>
      <c r="H2011" s="516">
        <v>170823</v>
      </c>
      <c r="I2011" s="515" t="s">
        <v>6915</v>
      </c>
    </row>
    <row r="2012" spans="2:9" ht="15" x14ac:dyDescent="0.35">
      <c r="B2012" s="512" t="s">
        <v>6287</v>
      </c>
      <c r="C2012" s="512" t="s">
        <v>6233</v>
      </c>
      <c r="D2012" s="512" t="s">
        <v>6234</v>
      </c>
      <c r="E2012" s="513">
        <v>6687</v>
      </c>
      <c r="F2012" s="512" t="s">
        <v>2032</v>
      </c>
      <c r="G2012" s="513" t="s">
        <v>29</v>
      </c>
      <c r="H2012" s="514">
        <v>2909806</v>
      </c>
      <c r="I2012" s="515" t="s">
        <v>6915</v>
      </c>
    </row>
    <row r="2013" spans="2:9" ht="15" x14ac:dyDescent="0.35">
      <c r="B2013" s="512" t="s">
        <v>6287</v>
      </c>
      <c r="C2013" s="512" t="s">
        <v>6240</v>
      </c>
      <c r="D2013" s="512" t="s">
        <v>6241</v>
      </c>
      <c r="E2013" s="513">
        <v>6710</v>
      </c>
      <c r="F2013" s="512" t="s">
        <v>2033</v>
      </c>
      <c r="G2013" s="513" t="s">
        <v>23</v>
      </c>
      <c r="H2013" s="516">
        <v>981997</v>
      </c>
      <c r="I2013" s="515" t="s">
        <v>6915</v>
      </c>
    </row>
    <row r="2014" spans="2:9" ht="15" x14ac:dyDescent="0.35">
      <c r="B2014" s="512" t="s">
        <v>6287</v>
      </c>
      <c r="C2014" s="512" t="s">
        <v>6233</v>
      </c>
      <c r="D2014" s="512" t="s">
        <v>6234</v>
      </c>
      <c r="E2014" s="513">
        <v>6715</v>
      </c>
      <c r="F2014" s="512" t="s">
        <v>2034</v>
      </c>
      <c r="G2014" s="513" t="s">
        <v>29</v>
      </c>
      <c r="H2014" s="516">
        <v>3591890</v>
      </c>
      <c r="I2014" s="512" t="s">
        <v>6915</v>
      </c>
    </row>
    <row r="2015" spans="2:9" ht="15" x14ac:dyDescent="0.35">
      <c r="B2015" s="512" t="s">
        <v>6287</v>
      </c>
      <c r="C2015" s="512" t="s">
        <v>6233</v>
      </c>
      <c r="D2015" s="512" t="s">
        <v>6234</v>
      </c>
      <c r="E2015" s="513">
        <v>6717</v>
      </c>
      <c r="F2015" s="512" t="s">
        <v>2035</v>
      </c>
      <c r="G2015" s="513" t="s">
        <v>29</v>
      </c>
      <c r="H2015" s="514">
        <v>3224213</v>
      </c>
      <c r="I2015" s="515" t="s">
        <v>6915</v>
      </c>
    </row>
    <row r="2016" spans="2:9" ht="15" x14ac:dyDescent="0.35">
      <c r="B2016" s="512" t="s">
        <v>6287</v>
      </c>
      <c r="C2016" s="512" t="s">
        <v>6233</v>
      </c>
      <c r="D2016" s="512" t="s">
        <v>6234</v>
      </c>
      <c r="E2016" s="513">
        <v>6718</v>
      </c>
      <c r="F2016" s="512" t="s">
        <v>2036</v>
      </c>
      <c r="G2016" s="513" t="s">
        <v>29</v>
      </c>
      <c r="H2016" s="516">
        <v>3356432</v>
      </c>
      <c r="I2016" s="512" t="s">
        <v>6915</v>
      </c>
    </row>
    <row r="2017" spans="2:9" ht="15" x14ac:dyDescent="0.35">
      <c r="B2017" s="512" t="s">
        <v>6287</v>
      </c>
      <c r="C2017" s="512" t="s">
        <v>6233</v>
      </c>
      <c r="D2017" s="512" t="s">
        <v>6234</v>
      </c>
      <c r="E2017" s="513">
        <v>6719</v>
      </c>
      <c r="F2017" s="512" t="s">
        <v>2037</v>
      </c>
      <c r="G2017" s="513" t="s">
        <v>29</v>
      </c>
      <c r="H2017" s="516">
        <v>3860686</v>
      </c>
      <c r="I2017" s="512" t="s">
        <v>6915</v>
      </c>
    </row>
    <row r="2018" spans="2:9" ht="15" x14ac:dyDescent="0.35">
      <c r="B2018" s="512" t="s">
        <v>6287</v>
      </c>
      <c r="C2018" s="512" t="s">
        <v>6233</v>
      </c>
      <c r="D2018" s="512" t="s">
        <v>6234</v>
      </c>
      <c r="E2018" s="513">
        <v>6720</v>
      </c>
      <c r="F2018" s="512" t="s">
        <v>2038</v>
      </c>
      <c r="G2018" s="513" t="s">
        <v>29</v>
      </c>
      <c r="H2018" s="516">
        <v>4425179</v>
      </c>
      <c r="I2018" s="512" t="s">
        <v>6915</v>
      </c>
    </row>
    <row r="2019" spans="2:9" ht="15" x14ac:dyDescent="0.35">
      <c r="B2019" s="512" t="s">
        <v>6287</v>
      </c>
      <c r="C2019" s="512" t="s">
        <v>6233</v>
      </c>
      <c r="D2019" s="512" t="s">
        <v>6234</v>
      </c>
      <c r="E2019" s="513">
        <v>6742</v>
      </c>
      <c r="F2019" s="512" t="s">
        <v>2039</v>
      </c>
      <c r="G2019" s="513" t="s">
        <v>26</v>
      </c>
      <c r="H2019" s="516">
        <v>730754</v>
      </c>
      <c r="I2019" s="512" t="s">
        <v>6915</v>
      </c>
    </row>
    <row r="2020" spans="2:9" ht="15" x14ac:dyDescent="0.35">
      <c r="B2020" s="512" t="s">
        <v>6287</v>
      </c>
      <c r="C2020" s="512" t="s">
        <v>6239</v>
      </c>
      <c r="D2020" s="512" t="s">
        <v>6239</v>
      </c>
      <c r="E2020" s="513">
        <v>6755</v>
      </c>
      <c r="F2020" s="512" t="s">
        <v>2040</v>
      </c>
      <c r="G2020" s="513" t="s">
        <v>29</v>
      </c>
      <c r="H2020" s="516">
        <v>31827</v>
      </c>
      <c r="I2020" s="512" t="s">
        <v>6915</v>
      </c>
    </row>
    <row r="2021" spans="2:9" ht="15" x14ac:dyDescent="0.35">
      <c r="B2021" s="512" t="s">
        <v>6287</v>
      </c>
      <c r="C2021" s="512" t="s">
        <v>6240</v>
      </c>
      <c r="D2021" s="512" t="s">
        <v>6241</v>
      </c>
      <c r="E2021" s="513">
        <v>6763</v>
      </c>
      <c r="F2021" s="512" t="s">
        <v>2041</v>
      </c>
      <c r="G2021" s="513" t="s">
        <v>23</v>
      </c>
      <c r="H2021" s="514">
        <v>1079371</v>
      </c>
      <c r="I2021" s="512" t="s">
        <v>6915</v>
      </c>
    </row>
    <row r="2022" spans="2:9" ht="15" x14ac:dyDescent="0.35">
      <c r="B2022" s="512" t="s">
        <v>6287</v>
      </c>
      <c r="C2022" s="512" t="s">
        <v>6240</v>
      </c>
      <c r="D2022" s="512" t="s">
        <v>6241</v>
      </c>
      <c r="E2022" s="513">
        <v>6765</v>
      </c>
      <c r="F2022" s="512" t="s">
        <v>2042</v>
      </c>
      <c r="G2022" s="513" t="s">
        <v>23</v>
      </c>
      <c r="H2022" s="516">
        <v>1059369</v>
      </c>
      <c r="I2022" s="512" t="s">
        <v>6915</v>
      </c>
    </row>
    <row r="2023" spans="2:9" ht="15" x14ac:dyDescent="0.35">
      <c r="B2023" s="512" t="s">
        <v>6287</v>
      </c>
      <c r="C2023" s="512" t="s">
        <v>6240</v>
      </c>
      <c r="D2023" s="512" t="s">
        <v>6241</v>
      </c>
      <c r="E2023" s="513">
        <v>6774</v>
      </c>
      <c r="F2023" s="512" t="s">
        <v>2043</v>
      </c>
      <c r="G2023" s="513" t="s">
        <v>23</v>
      </c>
      <c r="H2023" s="516">
        <v>917396</v>
      </c>
      <c r="I2023" s="512" t="s">
        <v>6915</v>
      </c>
    </row>
    <row r="2024" spans="2:9" ht="15" x14ac:dyDescent="0.35">
      <c r="B2024" s="512" t="s">
        <v>6287</v>
      </c>
      <c r="C2024" s="512" t="s">
        <v>6240</v>
      </c>
      <c r="D2024" s="512" t="s">
        <v>6241</v>
      </c>
      <c r="E2024" s="513">
        <v>6775</v>
      </c>
      <c r="F2024" s="512" t="s">
        <v>2044</v>
      </c>
      <c r="G2024" s="513" t="s">
        <v>23</v>
      </c>
      <c r="H2024" s="516">
        <v>1072129</v>
      </c>
      <c r="I2024" s="512" t="s">
        <v>6915</v>
      </c>
    </row>
    <row r="2025" spans="2:9" ht="15" x14ac:dyDescent="0.35">
      <c r="B2025" s="512" t="s">
        <v>6287</v>
      </c>
      <c r="C2025" s="512" t="s">
        <v>6237</v>
      </c>
      <c r="D2025" s="512" t="s">
        <v>6238</v>
      </c>
      <c r="E2025" s="513">
        <v>6779</v>
      </c>
      <c r="F2025" s="512" t="s">
        <v>2045</v>
      </c>
      <c r="G2025" s="513" t="s">
        <v>29</v>
      </c>
      <c r="H2025" s="516">
        <v>724900</v>
      </c>
      <c r="I2025" s="512" t="s">
        <v>6915</v>
      </c>
    </row>
    <row r="2026" spans="2:9" ht="15" x14ac:dyDescent="0.35">
      <c r="B2026" s="512" t="s">
        <v>6287</v>
      </c>
      <c r="C2026" s="512" t="s">
        <v>6239</v>
      </c>
      <c r="D2026" s="512" t="s">
        <v>6239</v>
      </c>
      <c r="E2026" s="513">
        <v>6801</v>
      </c>
      <c r="F2026" s="512" t="s">
        <v>2046</v>
      </c>
      <c r="G2026" s="513" t="s">
        <v>29</v>
      </c>
      <c r="H2026" s="514">
        <v>13889</v>
      </c>
      <c r="I2026" s="515" t="s">
        <v>6915</v>
      </c>
    </row>
    <row r="2027" spans="2:9" ht="15" x14ac:dyDescent="0.35">
      <c r="B2027" s="512" t="s">
        <v>6287</v>
      </c>
      <c r="C2027" s="512" t="s">
        <v>6237</v>
      </c>
      <c r="D2027" s="512" t="s">
        <v>6247</v>
      </c>
      <c r="E2027" s="513">
        <v>6848</v>
      </c>
      <c r="F2027" s="512" t="s">
        <v>2047</v>
      </c>
      <c r="G2027" s="513" t="s">
        <v>29</v>
      </c>
      <c r="H2027" s="516">
        <v>415945</v>
      </c>
      <c r="I2027" s="512" t="s">
        <v>6915</v>
      </c>
    </row>
    <row r="2028" spans="2:9" ht="15" x14ac:dyDescent="0.35">
      <c r="B2028" s="512" t="s">
        <v>6287</v>
      </c>
      <c r="C2028" s="512" t="s">
        <v>6237</v>
      </c>
      <c r="D2028" s="512" t="s">
        <v>6238</v>
      </c>
      <c r="E2028" s="513">
        <v>6856</v>
      </c>
      <c r="F2028" s="512" t="s">
        <v>2048</v>
      </c>
      <c r="G2028" s="513" t="s">
        <v>29</v>
      </c>
      <c r="H2028" s="514">
        <v>826779</v>
      </c>
      <c r="I2028" s="515" t="s">
        <v>6915</v>
      </c>
    </row>
    <row r="2029" spans="2:9" ht="15" x14ac:dyDescent="0.35">
      <c r="B2029" s="512" t="s">
        <v>6287</v>
      </c>
      <c r="C2029" s="512" t="s">
        <v>6239</v>
      </c>
      <c r="D2029" s="512" t="s">
        <v>6239</v>
      </c>
      <c r="E2029" s="513">
        <v>6857</v>
      </c>
      <c r="F2029" s="512" t="s">
        <v>2049</v>
      </c>
      <c r="G2029" s="513" t="s">
        <v>29</v>
      </c>
      <c r="H2029" s="516">
        <v>72128</v>
      </c>
      <c r="I2029" s="512" t="s">
        <v>6915</v>
      </c>
    </row>
    <row r="2030" spans="2:9" ht="15" x14ac:dyDescent="0.35">
      <c r="B2030" s="512" t="s">
        <v>6287</v>
      </c>
      <c r="C2030" s="512" t="s">
        <v>6237</v>
      </c>
      <c r="D2030" s="512" t="s">
        <v>6238</v>
      </c>
      <c r="E2030" s="513">
        <v>6864</v>
      </c>
      <c r="F2030" s="512" t="s">
        <v>2050</v>
      </c>
      <c r="G2030" s="513" t="s">
        <v>29</v>
      </c>
      <c r="H2030" s="514">
        <v>62104</v>
      </c>
      <c r="I2030" s="515" t="s">
        <v>6915</v>
      </c>
    </row>
    <row r="2031" spans="2:9" ht="15" x14ac:dyDescent="0.35">
      <c r="B2031" s="512" t="s">
        <v>6287</v>
      </c>
      <c r="C2031" s="512" t="s">
        <v>6264</v>
      </c>
      <c r="D2031" s="512" t="s">
        <v>6265</v>
      </c>
      <c r="E2031" s="513">
        <v>6866</v>
      </c>
      <c r="F2031" s="512" t="s">
        <v>2051</v>
      </c>
      <c r="G2031" s="513" t="s">
        <v>26</v>
      </c>
      <c r="H2031" s="514">
        <v>60780</v>
      </c>
      <c r="I2031" s="515" t="s">
        <v>6915</v>
      </c>
    </row>
    <row r="2032" spans="2:9" ht="15" x14ac:dyDescent="0.35">
      <c r="B2032" s="512" t="s">
        <v>6287</v>
      </c>
      <c r="C2032" s="512" t="s">
        <v>6240</v>
      </c>
      <c r="D2032" s="512" t="s">
        <v>6241</v>
      </c>
      <c r="E2032" s="513">
        <v>6868</v>
      </c>
      <c r="F2032" s="512" t="s">
        <v>2052</v>
      </c>
      <c r="G2032" s="513" t="s">
        <v>23</v>
      </c>
      <c r="H2032" s="514">
        <v>1194260</v>
      </c>
      <c r="I2032" s="515" t="s">
        <v>6915</v>
      </c>
    </row>
    <row r="2033" spans="2:9" ht="15" x14ac:dyDescent="0.35">
      <c r="B2033" s="512" t="s">
        <v>6287</v>
      </c>
      <c r="C2033" s="512" t="s">
        <v>6240</v>
      </c>
      <c r="D2033" s="512" t="s">
        <v>6241</v>
      </c>
      <c r="E2033" s="513">
        <v>6869</v>
      </c>
      <c r="F2033" s="512" t="s">
        <v>2053</v>
      </c>
      <c r="G2033" s="513" t="s">
        <v>23</v>
      </c>
      <c r="H2033" s="516">
        <v>1117020</v>
      </c>
      <c r="I2033" s="512" t="s">
        <v>6915</v>
      </c>
    </row>
    <row r="2034" spans="2:9" ht="15" x14ac:dyDescent="0.35">
      <c r="B2034" s="512" t="s">
        <v>6287</v>
      </c>
      <c r="C2034" s="512" t="s">
        <v>6240</v>
      </c>
      <c r="D2034" s="512" t="s">
        <v>6240</v>
      </c>
      <c r="E2034" s="513">
        <v>6878</v>
      </c>
      <c r="F2034" s="512" t="s">
        <v>2054</v>
      </c>
      <c r="G2034" s="513" t="s">
        <v>23</v>
      </c>
      <c r="H2034" s="516">
        <v>740803</v>
      </c>
      <c r="I2034" s="515" t="s">
        <v>6915</v>
      </c>
    </row>
    <row r="2035" spans="2:9" ht="15" x14ac:dyDescent="0.35">
      <c r="B2035" s="512" t="s">
        <v>6287</v>
      </c>
      <c r="C2035" s="512" t="s">
        <v>6240</v>
      </c>
      <c r="D2035" s="512" t="s">
        <v>6240</v>
      </c>
      <c r="E2035" s="513">
        <v>6880</v>
      </c>
      <c r="F2035" s="512" t="s">
        <v>2055</v>
      </c>
      <c r="G2035" s="513" t="s">
        <v>23</v>
      </c>
      <c r="H2035" s="516">
        <v>1566542</v>
      </c>
      <c r="I2035" s="512" t="s">
        <v>6915</v>
      </c>
    </row>
    <row r="2036" spans="2:9" ht="15" x14ac:dyDescent="0.35">
      <c r="B2036" s="512" t="s">
        <v>6287</v>
      </c>
      <c r="C2036" s="512" t="s">
        <v>6224</v>
      </c>
      <c r="D2036" s="512" t="s">
        <v>6225</v>
      </c>
      <c r="E2036" s="513">
        <v>6959</v>
      </c>
      <c r="F2036" s="512" t="s">
        <v>2056</v>
      </c>
      <c r="G2036" s="513" t="s">
        <v>26</v>
      </c>
      <c r="H2036" s="514">
        <v>30083</v>
      </c>
      <c r="I2036" s="515" t="s">
        <v>6915</v>
      </c>
    </row>
    <row r="2037" spans="2:9" ht="15" x14ac:dyDescent="0.35">
      <c r="B2037" s="512" t="s">
        <v>6287</v>
      </c>
      <c r="C2037" s="512" t="s">
        <v>6239</v>
      </c>
      <c r="D2037" s="512" t="s">
        <v>6239</v>
      </c>
      <c r="E2037" s="513">
        <v>6968</v>
      </c>
      <c r="F2037" s="512" t="s">
        <v>2057</v>
      </c>
      <c r="G2037" s="513" t="s">
        <v>26</v>
      </c>
      <c r="H2037" s="514">
        <v>10115</v>
      </c>
      <c r="I2037" s="515" t="s">
        <v>6915</v>
      </c>
    </row>
    <row r="2038" spans="2:9" ht="15" x14ac:dyDescent="0.35">
      <c r="B2038" s="512" t="s">
        <v>6287</v>
      </c>
      <c r="C2038" s="512" t="s">
        <v>6272</v>
      </c>
      <c r="D2038" s="512" t="s">
        <v>6280</v>
      </c>
      <c r="E2038" s="513">
        <v>7026</v>
      </c>
      <c r="F2038" s="512" t="s">
        <v>2058</v>
      </c>
      <c r="G2038" s="513" t="s">
        <v>21</v>
      </c>
      <c r="H2038" s="516">
        <v>228451</v>
      </c>
      <c r="I2038" s="512" t="s">
        <v>6915</v>
      </c>
    </row>
    <row r="2039" spans="2:9" ht="15" x14ac:dyDescent="0.35">
      <c r="B2039" s="512" t="s">
        <v>6287</v>
      </c>
      <c r="C2039" s="512" t="s">
        <v>6230</v>
      </c>
      <c r="D2039" s="512" t="s">
        <v>6231</v>
      </c>
      <c r="E2039" s="513">
        <v>7028</v>
      </c>
      <c r="F2039" s="512" t="s">
        <v>2059</v>
      </c>
      <c r="G2039" s="513" t="s">
        <v>26</v>
      </c>
      <c r="H2039" s="516">
        <v>94360</v>
      </c>
      <c r="I2039" s="512" t="s">
        <v>6915</v>
      </c>
    </row>
    <row r="2040" spans="2:9" ht="15" x14ac:dyDescent="0.35">
      <c r="B2040" s="512" t="s">
        <v>6287</v>
      </c>
      <c r="C2040" s="512" t="s">
        <v>6235</v>
      </c>
      <c r="D2040" s="512" t="s">
        <v>6236</v>
      </c>
      <c r="E2040" s="513">
        <v>7047</v>
      </c>
      <c r="F2040" s="512" t="s">
        <v>2060</v>
      </c>
      <c r="G2040" s="513" t="s">
        <v>29</v>
      </c>
      <c r="H2040" s="514">
        <v>506376</v>
      </c>
      <c r="I2040" s="515" t="s">
        <v>6915</v>
      </c>
    </row>
    <row r="2041" spans="2:9" ht="15" x14ac:dyDescent="0.35">
      <c r="B2041" s="512" t="s">
        <v>6287</v>
      </c>
      <c r="C2041" s="512" t="s">
        <v>6224</v>
      </c>
      <c r="D2041" s="512" t="s">
        <v>6225</v>
      </c>
      <c r="E2041" s="513">
        <v>7057</v>
      </c>
      <c r="F2041" s="512" t="s">
        <v>2061</v>
      </c>
      <c r="G2041" s="513" t="s">
        <v>29</v>
      </c>
      <c r="H2041" s="514">
        <v>56562</v>
      </c>
      <c r="I2041" s="515" t="s">
        <v>6915</v>
      </c>
    </row>
    <row r="2042" spans="2:9" ht="15" x14ac:dyDescent="0.35">
      <c r="B2042" s="512" t="s">
        <v>6287</v>
      </c>
      <c r="C2042" s="512" t="s">
        <v>6235</v>
      </c>
      <c r="D2042" s="512" t="s">
        <v>6236</v>
      </c>
      <c r="E2042" s="513">
        <v>7090</v>
      </c>
      <c r="F2042" s="512" t="s">
        <v>2062</v>
      </c>
      <c r="G2042" s="513" t="s">
        <v>21</v>
      </c>
      <c r="H2042" s="514">
        <v>125833</v>
      </c>
      <c r="I2042" s="515" t="s">
        <v>6915</v>
      </c>
    </row>
    <row r="2043" spans="2:9" ht="15" x14ac:dyDescent="0.35">
      <c r="B2043" s="512" t="s">
        <v>6287</v>
      </c>
      <c r="C2043" s="512" t="s">
        <v>6224</v>
      </c>
      <c r="D2043" s="512" t="s">
        <v>6225</v>
      </c>
      <c r="E2043" s="513">
        <v>7113</v>
      </c>
      <c r="F2043" s="512" t="s">
        <v>2063</v>
      </c>
      <c r="G2043" s="513" t="s">
        <v>26</v>
      </c>
      <c r="H2043" s="514">
        <v>64176</v>
      </c>
      <c r="I2043" s="515" t="s">
        <v>6915</v>
      </c>
    </row>
    <row r="2044" spans="2:9" ht="15" x14ac:dyDescent="0.35">
      <c r="B2044" s="512" t="s">
        <v>6287</v>
      </c>
      <c r="C2044" s="512" t="s">
        <v>6264</v>
      </c>
      <c r="D2044" s="512" t="s">
        <v>6265</v>
      </c>
      <c r="E2044" s="513">
        <v>7136</v>
      </c>
      <c r="F2044" s="512" t="s">
        <v>5429</v>
      </c>
      <c r="G2044" s="513" t="s">
        <v>367</v>
      </c>
      <c r="H2044" s="516">
        <v>1538</v>
      </c>
      <c r="I2044" s="512" t="s">
        <v>6915</v>
      </c>
    </row>
    <row r="2045" spans="2:9" ht="15" x14ac:dyDescent="0.35">
      <c r="B2045" s="512" t="s">
        <v>6287</v>
      </c>
      <c r="C2045" s="512" t="s">
        <v>6224</v>
      </c>
      <c r="D2045" s="512" t="s">
        <v>6225</v>
      </c>
      <c r="E2045" s="513">
        <v>7332</v>
      </c>
      <c r="F2045" s="512" t="s">
        <v>2064</v>
      </c>
      <c r="G2045" s="513" t="s">
        <v>26</v>
      </c>
      <c r="H2045" s="514">
        <v>17417</v>
      </c>
      <c r="I2045" s="515" t="s">
        <v>6915</v>
      </c>
    </row>
    <row r="2046" spans="2:9" ht="15" x14ac:dyDescent="0.35">
      <c r="B2046" s="512" t="s">
        <v>6288</v>
      </c>
      <c r="C2046" s="512" t="s">
        <v>6224</v>
      </c>
      <c r="D2046" s="512" t="s">
        <v>6225</v>
      </c>
      <c r="E2046" s="513">
        <v>7336</v>
      </c>
      <c r="F2046" s="512" t="s">
        <v>2065</v>
      </c>
      <c r="G2046" s="513" t="s">
        <v>367</v>
      </c>
      <c r="H2046" s="514">
        <v>6926</v>
      </c>
      <c r="I2046" s="515" t="s">
        <v>6915</v>
      </c>
    </row>
    <row r="2047" spans="2:9" ht="15" x14ac:dyDescent="0.35">
      <c r="B2047" s="512" t="s">
        <v>6288</v>
      </c>
      <c r="C2047" s="512" t="s">
        <v>6239</v>
      </c>
      <c r="D2047" s="512" t="s">
        <v>6239</v>
      </c>
      <c r="E2047" s="513">
        <v>7337</v>
      </c>
      <c r="F2047" s="512" t="s">
        <v>2066</v>
      </c>
      <c r="G2047" s="513" t="s">
        <v>29</v>
      </c>
      <c r="H2047" s="514">
        <v>5778918</v>
      </c>
      <c r="I2047" s="515" t="s">
        <v>6915</v>
      </c>
    </row>
    <row r="2048" spans="2:9" ht="15" x14ac:dyDescent="0.35">
      <c r="B2048" s="512" t="s">
        <v>6288</v>
      </c>
      <c r="C2048" s="512" t="s">
        <v>6237</v>
      </c>
      <c r="D2048" s="512" t="s">
        <v>6247</v>
      </c>
      <c r="E2048" s="513">
        <v>7338</v>
      </c>
      <c r="F2048" s="512" t="s">
        <v>2067</v>
      </c>
      <c r="G2048" s="513" t="s">
        <v>1106</v>
      </c>
      <c r="H2048" s="514">
        <v>430542</v>
      </c>
      <c r="I2048" s="515" t="s">
        <v>6915</v>
      </c>
    </row>
    <row r="2049" spans="2:9" ht="15" x14ac:dyDescent="0.35">
      <c r="B2049" s="512" t="s">
        <v>6288</v>
      </c>
      <c r="C2049" s="512" t="s">
        <v>6233</v>
      </c>
      <c r="D2049" s="512" t="s">
        <v>6289</v>
      </c>
      <c r="E2049" s="513">
        <v>7340</v>
      </c>
      <c r="F2049" s="512" t="s">
        <v>2068</v>
      </c>
      <c r="G2049" s="513" t="s">
        <v>29</v>
      </c>
      <c r="H2049" s="514">
        <v>4091441</v>
      </c>
      <c r="I2049" s="515" t="s">
        <v>6915</v>
      </c>
    </row>
    <row r="2050" spans="2:9" ht="15" x14ac:dyDescent="0.35">
      <c r="B2050" s="512" t="s">
        <v>6288</v>
      </c>
      <c r="C2050" s="512" t="s">
        <v>6239</v>
      </c>
      <c r="D2050" s="512" t="s">
        <v>6239</v>
      </c>
      <c r="E2050" s="513">
        <v>7341</v>
      </c>
      <c r="F2050" s="512" t="s">
        <v>2069</v>
      </c>
      <c r="G2050" s="513" t="s">
        <v>26</v>
      </c>
      <c r="H2050" s="514">
        <v>1445650</v>
      </c>
      <c r="I2050" s="515" t="s">
        <v>6915</v>
      </c>
    </row>
    <row r="2051" spans="2:9" ht="15" x14ac:dyDescent="0.35">
      <c r="B2051" s="512" t="s">
        <v>6288</v>
      </c>
      <c r="C2051" s="512" t="s">
        <v>6237</v>
      </c>
      <c r="D2051" s="512" t="s">
        <v>6276</v>
      </c>
      <c r="E2051" s="513">
        <v>7344</v>
      </c>
      <c r="F2051" s="512" t="s">
        <v>2070</v>
      </c>
      <c r="G2051" s="513" t="s">
        <v>26</v>
      </c>
      <c r="H2051" s="514">
        <v>1094</v>
      </c>
      <c r="I2051" s="515" t="s">
        <v>6915</v>
      </c>
    </row>
    <row r="2052" spans="2:9" ht="15" x14ac:dyDescent="0.35">
      <c r="B2052" s="512" t="s">
        <v>6288</v>
      </c>
      <c r="C2052" s="512" t="s">
        <v>6240</v>
      </c>
      <c r="D2052" s="512" t="s">
        <v>6240</v>
      </c>
      <c r="E2052" s="513">
        <v>7345</v>
      </c>
      <c r="F2052" s="512" t="s">
        <v>2071</v>
      </c>
      <c r="G2052" s="513" t="s">
        <v>23</v>
      </c>
      <c r="H2052" s="516">
        <v>843066</v>
      </c>
      <c r="I2052" s="512" t="s">
        <v>6915</v>
      </c>
    </row>
    <row r="2053" spans="2:9" ht="15" x14ac:dyDescent="0.35">
      <c r="B2053" s="512" t="s">
        <v>6288</v>
      </c>
      <c r="C2053" s="512" t="s">
        <v>6237</v>
      </c>
      <c r="D2053" s="512" t="s">
        <v>6238</v>
      </c>
      <c r="E2053" s="513">
        <v>7346</v>
      </c>
      <c r="F2053" s="512" t="s">
        <v>2072</v>
      </c>
      <c r="G2053" s="513" t="s">
        <v>21</v>
      </c>
      <c r="H2053" s="514">
        <v>34469</v>
      </c>
      <c r="I2053" s="515" t="s">
        <v>6915</v>
      </c>
    </row>
    <row r="2054" spans="2:9" ht="15" x14ac:dyDescent="0.35">
      <c r="B2054" s="512" t="s">
        <v>6288</v>
      </c>
      <c r="C2054" s="512" t="s">
        <v>6239</v>
      </c>
      <c r="D2054" s="512" t="s">
        <v>6239</v>
      </c>
      <c r="E2054" s="513">
        <v>7347</v>
      </c>
      <c r="F2054" s="512" t="s">
        <v>2073</v>
      </c>
      <c r="G2054" s="513" t="s">
        <v>29</v>
      </c>
      <c r="H2054" s="514">
        <v>4873161</v>
      </c>
      <c r="I2054" s="515" t="s">
        <v>6915</v>
      </c>
    </row>
    <row r="2055" spans="2:9" ht="15" x14ac:dyDescent="0.35">
      <c r="B2055" s="512" t="s">
        <v>6288</v>
      </c>
      <c r="C2055" s="512" t="s">
        <v>6240</v>
      </c>
      <c r="D2055" s="512" t="s">
        <v>6240</v>
      </c>
      <c r="E2055" s="513">
        <v>7348</v>
      </c>
      <c r="F2055" s="512" t="s">
        <v>2074</v>
      </c>
      <c r="G2055" s="513" t="s">
        <v>23</v>
      </c>
      <c r="H2055" s="514">
        <v>909758</v>
      </c>
      <c r="I2055" s="515" t="s">
        <v>6915</v>
      </c>
    </row>
    <row r="2056" spans="2:9" ht="15" x14ac:dyDescent="0.35">
      <c r="B2056" s="512" t="s">
        <v>6288</v>
      </c>
      <c r="C2056" s="512" t="s">
        <v>6240</v>
      </c>
      <c r="D2056" s="512" t="s">
        <v>6240</v>
      </c>
      <c r="E2056" s="513">
        <v>7349</v>
      </c>
      <c r="F2056" s="512" t="s">
        <v>6441</v>
      </c>
      <c r="G2056" s="513" t="s">
        <v>23</v>
      </c>
      <c r="H2056" s="514">
        <v>900610</v>
      </c>
      <c r="I2056" s="515" t="s">
        <v>6915</v>
      </c>
    </row>
    <row r="2057" spans="2:9" ht="15" x14ac:dyDescent="0.35">
      <c r="B2057" s="512" t="s">
        <v>6288</v>
      </c>
      <c r="C2057" s="512" t="s">
        <v>6240</v>
      </c>
      <c r="D2057" s="512" t="s">
        <v>6240</v>
      </c>
      <c r="E2057" s="513">
        <v>7351</v>
      </c>
      <c r="F2057" s="512" t="s">
        <v>6442</v>
      </c>
      <c r="G2057" s="513" t="s">
        <v>23</v>
      </c>
      <c r="H2057" s="516">
        <v>929918</v>
      </c>
      <c r="I2057" s="515" t="s">
        <v>6915</v>
      </c>
    </row>
    <row r="2058" spans="2:9" ht="15" x14ac:dyDescent="0.35">
      <c r="B2058" s="512" t="s">
        <v>6288</v>
      </c>
      <c r="C2058" s="512" t="s">
        <v>6235</v>
      </c>
      <c r="D2058" s="512" t="s">
        <v>6245</v>
      </c>
      <c r="E2058" s="513">
        <v>7353</v>
      </c>
      <c r="F2058" s="512" t="s">
        <v>2075</v>
      </c>
      <c r="G2058" s="513" t="s">
        <v>29</v>
      </c>
      <c r="H2058" s="516">
        <v>2059073</v>
      </c>
      <c r="I2058" s="512" t="s">
        <v>6915</v>
      </c>
    </row>
    <row r="2059" spans="2:9" ht="15" x14ac:dyDescent="0.35">
      <c r="B2059" s="512" t="s">
        <v>6288</v>
      </c>
      <c r="C2059" s="512" t="s">
        <v>6239</v>
      </c>
      <c r="D2059" s="512" t="s">
        <v>6239</v>
      </c>
      <c r="E2059" s="513">
        <v>7354</v>
      </c>
      <c r="F2059" s="512" t="s">
        <v>2076</v>
      </c>
      <c r="G2059" s="513" t="s">
        <v>29</v>
      </c>
      <c r="H2059" s="516">
        <v>2524298</v>
      </c>
      <c r="I2059" s="512" t="s">
        <v>6915</v>
      </c>
    </row>
    <row r="2060" spans="2:9" ht="15" x14ac:dyDescent="0.35">
      <c r="B2060" s="512" t="s">
        <v>6288</v>
      </c>
      <c r="C2060" s="512" t="s">
        <v>6239</v>
      </c>
      <c r="D2060" s="512" t="s">
        <v>6239</v>
      </c>
      <c r="E2060" s="513">
        <v>7355</v>
      </c>
      <c r="F2060" s="512" t="s">
        <v>2077</v>
      </c>
      <c r="G2060" s="513" t="s">
        <v>29</v>
      </c>
      <c r="H2060" s="514">
        <v>446995</v>
      </c>
      <c r="I2060" s="515" t="s">
        <v>6915</v>
      </c>
    </row>
    <row r="2061" spans="2:9" ht="15" x14ac:dyDescent="0.35">
      <c r="B2061" s="512" t="s">
        <v>6288</v>
      </c>
      <c r="C2061" s="512" t="s">
        <v>6233</v>
      </c>
      <c r="D2061" s="512" t="s">
        <v>6234</v>
      </c>
      <c r="E2061" s="513">
        <v>7356</v>
      </c>
      <c r="F2061" s="512" t="s">
        <v>2078</v>
      </c>
      <c r="G2061" s="513" t="s">
        <v>29</v>
      </c>
      <c r="H2061" s="516">
        <v>2063677</v>
      </c>
      <c r="I2061" s="512" t="s">
        <v>6915</v>
      </c>
    </row>
    <row r="2062" spans="2:9" ht="15" x14ac:dyDescent="0.35">
      <c r="B2062" s="512" t="s">
        <v>6288</v>
      </c>
      <c r="C2062" s="512" t="s">
        <v>6239</v>
      </c>
      <c r="D2062" s="512" t="s">
        <v>6239</v>
      </c>
      <c r="E2062" s="513">
        <v>7357</v>
      </c>
      <c r="F2062" s="512" t="s">
        <v>2079</v>
      </c>
      <c r="G2062" s="513" t="s">
        <v>29</v>
      </c>
      <c r="H2062" s="516">
        <v>625798</v>
      </c>
      <c r="I2062" s="512" t="s">
        <v>6915</v>
      </c>
    </row>
    <row r="2063" spans="2:9" ht="15" x14ac:dyDescent="0.35">
      <c r="B2063" s="512" t="s">
        <v>6288</v>
      </c>
      <c r="C2063" s="512" t="s">
        <v>6239</v>
      </c>
      <c r="D2063" s="512" t="s">
        <v>6239</v>
      </c>
      <c r="E2063" s="513">
        <v>7358</v>
      </c>
      <c r="F2063" s="512" t="s">
        <v>2080</v>
      </c>
      <c r="G2063" s="513" t="s">
        <v>29</v>
      </c>
      <c r="H2063" s="514">
        <v>433929</v>
      </c>
      <c r="I2063" s="515" t="s">
        <v>6915</v>
      </c>
    </row>
    <row r="2064" spans="2:9" ht="15" x14ac:dyDescent="0.35">
      <c r="B2064" s="512" t="s">
        <v>6288</v>
      </c>
      <c r="C2064" s="512" t="s">
        <v>6237</v>
      </c>
      <c r="D2064" s="512" t="s">
        <v>6247</v>
      </c>
      <c r="E2064" s="513">
        <v>7359</v>
      </c>
      <c r="F2064" s="512" t="s">
        <v>2081</v>
      </c>
      <c r="G2064" s="513" t="s">
        <v>29</v>
      </c>
      <c r="H2064" s="514">
        <v>434882</v>
      </c>
      <c r="I2064" s="515" t="s">
        <v>6915</v>
      </c>
    </row>
    <row r="2065" spans="2:9" ht="15" x14ac:dyDescent="0.35">
      <c r="B2065" s="512" t="s">
        <v>6288</v>
      </c>
      <c r="C2065" s="512" t="s">
        <v>6258</v>
      </c>
      <c r="D2065" s="512" t="s">
        <v>6259</v>
      </c>
      <c r="E2065" s="513">
        <v>7362</v>
      </c>
      <c r="F2065" s="512" t="s">
        <v>2082</v>
      </c>
      <c r="G2065" s="513" t="s">
        <v>21</v>
      </c>
      <c r="H2065" s="514">
        <v>13515</v>
      </c>
      <c r="I2065" s="515" t="s">
        <v>6915</v>
      </c>
    </row>
    <row r="2066" spans="2:9" ht="15" x14ac:dyDescent="0.35">
      <c r="B2066" s="512" t="s">
        <v>6288</v>
      </c>
      <c r="C2066" s="512" t="s">
        <v>6227</v>
      </c>
      <c r="D2066" s="512" t="s">
        <v>6229</v>
      </c>
      <c r="E2066" s="513">
        <v>7364</v>
      </c>
      <c r="F2066" s="512" t="s">
        <v>2083</v>
      </c>
      <c r="G2066" s="513" t="s">
        <v>23</v>
      </c>
      <c r="H2066" s="516">
        <v>102218</v>
      </c>
      <c r="I2066" s="512" t="s">
        <v>6915</v>
      </c>
    </row>
    <row r="2067" spans="2:9" ht="15" x14ac:dyDescent="0.35">
      <c r="B2067" s="512" t="s">
        <v>6288</v>
      </c>
      <c r="C2067" s="512" t="s">
        <v>6252</v>
      </c>
      <c r="D2067" s="512" t="s">
        <v>6252</v>
      </c>
      <c r="E2067" s="513">
        <v>7368</v>
      </c>
      <c r="F2067" s="512" t="s">
        <v>2084</v>
      </c>
      <c r="G2067" s="513" t="s">
        <v>21</v>
      </c>
      <c r="H2067" s="516">
        <v>57653</v>
      </c>
      <c r="I2067" s="512" t="s">
        <v>6915</v>
      </c>
    </row>
    <row r="2068" spans="2:9" ht="15" x14ac:dyDescent="0.35">
      <c r="B2068" s="512" t="s">
        <v>6288</v>
      </c>
      <c r="C2068" s="512" t="s">
        <v>6223</v>
      </c>
      <c r="D2068" s="512" t="s">
        <v>6223</v>
      </c>
      <c r="E2068" s="513">
        <v>7369</v>
      </c>
      <c r="F2068" s="512" t="s">
        <v>2085</v>
      </c>
      <c r="G2068" s="513" t="s">
        <v>26</v>
      </c>
      <c r="H2068" s="514">
        <v>10754</v>
      </c>
      <c r="I2068" s="515" t="s">
        <v>6915</v>
      </c>
    </row>
    <row r="2069" spans="2:9" ht="15" x14ac:dyDescent="0.35">
      <c r="B2069" s="512" t="s">
        <v>6288</v>
      </c>
      <c r="C2069" s="512" t="s">
        <v>6232</v>
      </c>
      <c r="D2069" s="512" t="s">
        <v>6232</v>
      </c>
      <c r="E2069" s="513">
        <v>7370</v>
      </c>
      <c r="F2069" s="512" t="s">
        <v>2086</v>
      </c>
      <c r="G2069" s="513" t="s">
        <v>29</v>
      </c>
      <c r="H2069" s="516">
        <v>1651400</v>
      </c>
      <c r="I2069" s="512" t="s">
        <v>6915</v>
      </c>
    </row>
    <row r="2070" spans="2:9" ht="15" x14ac:dyDescent="0.35">
      <c r="B2070" s="512" t="s">
        <v>6288</v>
      </c>
      <c r="C2070" s="512" t="s">
        <v>6232</v>
      </c>
      <c r="D2070" s="512" t="s">
        <v>6232</v>
      </c>
      <c r="E2070" s="513">
        <v>7371</v>
      </c>
      <c r="F2070" s="512" t="s">
        <v>2087</v>
      </c>
      <c r="G2070" s="513" t="s">
        <v>29</v>
      </c>
      <c r="H2070" s="514">
        <v>2032139</v>
      </c>
      <c r="I2070" s="515" t="s">
        <v>6915</v>
      </c>
    </row>
    <row r="2071" spans="2:9" ht="15" x14ac:dyDescent="0.35">
      <c r="B2071" s="512" t="s">
        <v>6288</v>
      </c>
      <c r="C2071" s="512" t="s">
        <v>6232</v>
      </c>
      <c r="D2071" s="512" t="s">
        <v>6232</v>
      </c>
      <c r="E2071" s="513">
        <v>7372</v>
      </c>
      <c r="F2071" s="512" t="s">
        <v>2088</v>
      </c>
      <c r="G2071" s="513" t="s">
        <v>29</v>
      </c>
      <c r="H2071" s="514">
        <v>5573890</v>
      </c>
      <c r="I2071" s="515" t="s">
        <v>6915</v>
      </c>
    </row>
    <row r="2072" spans="2:9" ht="15" x14ac:dyDescent="0.35">
      <c r="B2072" s="512" t="s">
        <v>6288</v>
      </c>
      <c r="C2072" s="512" t="s">
        <v>6237</v>
      </c>
      <c r="D2072" s="512" t="s">
        <v>6276</v>
      </c>
      <c r="E2072" s="513">
        <v>7374</v>
      </c>
      <c r="F2072" s="512" t="s">
        <v>2089</v>
      </c>
      <c r="G2072" s="513" t="s">
        <v>29</v>
      </c>
      <c r="H2072" s="514">
        <v>51927</v>
      </c>
      <c r="I2072" s="515" t="s">
        <v>6915</v>
      </c>
    </row>
    <row r="2073" spans="2:9" ht="15" x14ac:dyDescent="0.35">
      <c r="B2073" s="512" t="s">
        <v>6288</v>
      </c>
      <c r="C2073" s="512" t="s">
        <v>6239</v>
      </c>
      <c r="D2073" s="512" t="s">
        <v>6239</v>
      </c>
      <c r="E2073" s="513">
        <v>7375</v>
      </c>
      <c r="F2073" s="512" t="s">
        <v>2090</v>
      </c>
      <c r="G2073" s="513" t="s">
        <v>29</v>
      </c>
      <c r="H2073" s="514">
        <v>1261251</v>
      </c>
      <c r="I2073" s="515" t="s">
        <v>6915</v>
      </c>
    </row>
    <row r="2074" spans="2:9" ht="15" x14ac:dyDescent="0.35">
      <c r="B2074" s="512" t="s">
        <v>6288</v>
      </c>
      <c r="C2074" s="512" t="s">
        <v>6237</v>
      </c>
      <c r="D2074" s="512" t="s">
        <v>6276</v>
      </c>
      <c r="E2074" s="513">
        <v>7377</v>
      </c>
      <c r="F2074" s="512" t="s">
        <v>2091</v>
      </c>
      <c r="G2074" s="513" t="s">
        <v>29</v>
      </c>
      <c r="H2074" s="514">
        <v>1328234</v>
      </c>
      <c r="I2074" s="515" t="s">
        <v>6915</v>
      </c>
    </row>
    <row r="2075" spans="2:9" ht="15" x14ac:dyDescent="0.35">
      <c r="B2075" s="512" t="s">
        <v>6288</v>
      </c>
      <c r="C2075" s="512" t="s">
        <v>6258</v>
      </c>
      <c r="D2075" s="512" t="s">
        <v>6259</v>
      </c>
      <c r="E2075" s="513">
        <v>7378</v>
      </c>
      <c r="F2075" s="512" t="s">
        <v>2092</v>
      </c>
      <c r="G2075" s="513" t="s">
        <v>21</v>
      </c>
      <c r="H2075" s="514">
        <v>23756</v>
      </c>
      <c r="I2075" s="515" t="s">
        <v>6915</v>
      </c>
    </row>
    <row r="2076" spans="2:9" ht="15" x14ac:dyDescent="0.35">
      <c r="B2076" s="512" t="s">
        <v>6288</v>
      </c>
      <c r="C2076" s="512" t="s">
        <v>6235</v>
      </c>
      <c r="D2076" s="512" t="s">
        <v>6236</v>
      </c>
      <c r="E2076" s="513">
        <v>7379</v>
      </c>
      <c r="F2076" s="512" t="s">
        <v>2093</v>
      </c>
      <c r="G2076" s="513" t="s">
        <v>29</v>
      </c>
      <c r="H2076" s="514">
        <v>639295</v>
      </c>
      <c r="I2076" s="515" t="s">
        <v>6915</v>
      </c>
    </row>
    <row r="2077" spans="2:9" ht="15" x14ac:dyDescent="0.35">
      <c r="B2077" s="512" t="s">
        <v>6288</v>
      </c>
      <c r="C2077" s="512" t="s">
        <v>6253</v>
      </c>
      <c r="D2077" s="512" t="s">
        <v>5402</v>
      </c>
      <c r="E2077" s="513">
        <v>7380</v>
      </c>
      <c r="F2077" s="512" t="s">
        <v>2094</v>
      </c>
      <c r="G2077" s="513" t="s">
        <v>676</v>
      </c>
      <c r="H2077" s="514">
        <v>22473</v>
      </c>
      <c r="I2077" s="515" t="s">
        <v>6915</v>
      </c>
    </row>
    <row r="2078" spans="2:9" ht="15" x14ac:dyDescent="0.35">
      <c r="B2078" s="512" t="s">
        <v>6288</v>
      </c>
      <c r="C2078" s="512" t="s">
        <v>6239</v>
      </c>
      <c r="D2078" s="512" t="s">
        <v>6239</v>
      </c>
      <c r="E2078" s="513">
        <v>7384</v>
      </c>
      <c r="F2078" s="512" t="s">
        <v>2095</v>
      </c>
      <c r="G2078" s="513" t="s">
        <v>29</v>
      </c>
      <c r="H2078" s="514">
        <v>10051634</v>
      </c>
      <c r="I2078" s="515" t="s">
        <v>6915</v>
      </c>
    </row>
    <row r="2079" spans="2:9" ht="15" x14ac:dyDescent="0.35">
      <c r="B2079" s="512" t="s">
        <v>6288</v>
      </c>
      <c r="C2079" s="512" t="s">
        <v>6240</v>
      </c>
      <c r="D2079" s="512" t="s">
        <v>6275</v>
      </c>
      <c r="E2079" s="513">
        <v>7387</v>
      </c>
      <c r="F2079" s="512" t="s">
        <v>2096</v>
      </c>
      <c r="G2079" s="513" t="s">
        <v>367</v>
      </c>
      <c r="H2079" s="514">
        <v>9134</v>
      </c>
      <c r="I2079" s="515" t="s">
        <v>6915</v>
      </c>
    </row>
    <row r="2080" spans="2:9" ht="15" x14ac:dyDescent="0.35">
      <c r="B2080" s="512" t="s">
        <v>6288</v>
      </c>
      <c r="C2080" s="512" t="s">
        <v>6239</v>
      </c>
      <c r="D2080" s="512" t="s">
        <v>6239</v>
      </c>
      <c r="E2080" s="513">
        <v>7388</v>
      </c>
      <c r="F2080" s="512" t="s">
        <v>2097</v>
      </c>
      <c r="G2080" s="513" t="s">
        <v>26</v>
      </c>
      <c r="H2080" s="514">
        <v>7094478</v>
      </c>
      <c r="I2080" s="515" t="s">
        <v>6915</v>
      </c>
    </row>
    <row r="2081" spans="2:9" ht="15" x14ac:dyDescent="0.35">
      <c r="B2081" s="512" t="s">
        <v>6288</v>
      </c>
      <c r="C2081" s="512" t="s">
        <v>6239</v>
      </c>
      <c r="D2081" s="512" t="s">
        <v>6239</v>
      </c>
      <c r="E2081" s="513">
        <v>7389</v>
      </c>
      <c r="F2081" s="512" t="s">
        <v>2098</v>
      </c>
      <c r="G2081" s="513" t="s">
        <v>26</v>
      </c>
      <c r="H2081" s="514">
        <v>12192914</v>
      </c>
      <c r="I2081" s="515" t="s">
        <v>6915</v>
      </c>
    </row>
    <row r="2082" spans="2:9" ht="15" x14ac:dyDescent="0.35">
      <c r="B2082" s="512" t="s">
        <v>6288</v>
      </c>
      <c r="C2082" s="512" t="s">
        <v>6230</v>
      </c>
      <c r="D2082" s="512" t="s">
        <v>6231</v>
      </c>
      <c r="E2082" s="513">
        <v>7390</v>
      </c>
      <c r="F2082" s="512" t="s">
        <v>2099</v>
      </c>
      <c r="G2082" s="513" t="s">
        <v>26</v>
      </c>
      <c r="H2082" s="516">
        <v>67506</v>
      </c>
      <c r="I2082" s="512" t="s">
        <v>6915</v>
      </c>
    </row>
    <row r="2083" spans="2:9" ht="15" x14ac:dyDescent="0.35">
      <c r="B2083" s="512" t="s">
        <v>6288</v>
      </c>
      <c r="C2083" s="512" t="s">
        <v>6239</v>
      </c>
      <c r="D2083" s="512" t="s">
        <v>6239</v>
      </c>
      <c r="E2083" s="513">
        <v>7391</v>
      </c>
      <c r="F2083" s="512" t="s">
        <v>2100</v>
      </c>
      <c r="G2083" s="513" t="s">
        <v>29</v>
      </c>
      <c r="H2083" s="516">
        <v>6127902</v>
      </c>
      <c r="I2083" s="512" t="s">
        <v>6915</v>
      </c>
    </row>
    <row r="2084" spans="2:9" ht="15" x14ac:dyDescent="0.35">
      <c r="B2084" s="512" t="s">
        <v>6288</v>
      </c>
      <c r="C2084" s="512" t="s">
        <v>6239</v>
      </c>
      <c r="D2084" s="512" t="s">
        <v>6239</v>
      </c>
      <c r="E2084" s="513">
        <v>7392</v>
      </c>
      <c r="F2084" s="512" t="s">
        <v>2101</v>
      </c>
      <c r="G2084" s="513" t="s">
        <v>29</v>
      </c>
      <c r="H2084" s="516">
        <v>2116444</v>
      </c>
      <c r="I2084" s="512" t="s">
        <v>6915</v>
      </c>
    </row>
    <row r="2085" spans="2:9" ht="15" x14ac:dyDescent="0.35">
      <c r="B2085" s="512" t="s">
        <v>6288</v>
      </c>
      <c r="C2085" s="512" t="s">
        <v>6239</v>
      </c>
      <c r="D2085" s="512" t="s">
        <v>6239</v>
      </c>
      <c r="E2085" s="513">
        <v>7393</v>
      </c>
      <c r="F2085" s="512" t="s">
        <v>2102</v>
      </c>
      <c r="G2085" s="513" t="s">
        <v>29</v>
      </c>
      <c r="H2085" s="514">
        <v>10619048</v>
      </c>
      <c r="I2085" s="515" t="s">
        <v>6915</v>
      </c>
    </row>
    <row r="2086" spans="2:9" ht="15" x14ac:dyDescent="0.35">
      <c r="B2086" s="512" t="s">
        <v>6288</v>
      </c>
      <c r="C2086" s="512" t="s">
        <v>6237</v>
      </c>
      <c r="D2086" s="512" t="s">
        <v>6276</v>
      </c>
      <c r="E2086" s="513">
        <v>7397</v>
      </c>
      <c r="F2086" s="512" t="s">
        <v>2103</v>
      </c>
      <c r="G2086" s="513" t="s">
        <v>29</v>
      </c>
      <c r="H2086" s="514">
        <v>447286</v>
      </c>
      <c r="I2086" s="515" t="s">
        <v>6915</v>
      </c>
    </row>
    <row r="2087" spans="2:9" ht="15" x14ac:dyDescent="0.35">
      <c r="B2087" s="512" t="s">
        <v>6288</v>
      </c>
      <c r="C2087" s="512" t="s">
        <v>6237</v>
      </c>
      <c r="D2087" s="512" t="s">
        <v>6276</v>
      </c>
      <c r="E2087" s="513">
        <v>7398</v>
      </c>
      <c r="F2087" s="512" t="s">
        <v>2104</v>
      </c>
      <c r="G2087" s="513" t="s">
        <v>29</v>
      </c>
      <c r="H2087" s="514">
        <v>560248</v>
      </c>
      <c r="I2087" s="515" t="s">
        <v>6915</v>
      </c>
    </row>
    <row r="2088" spans="2:9" ht="15" x14ac:dyDescent="0.35">
      <c r="B2088" s="512" t="s">
        <v>6288</v>
      </c>
      <c r="C2088" s="512" t="s">
        <v>6237</v>
      </c>
      <c r="D2088" s="512" t="s">
        <v>6276</v>
      </c>
      <c r="E2088" s="513">
        <v>7399</v>
      </c>
      <c r="F2088" s="512" t="s">
        <v>2105</v>
      </c>
      <c r="G2088" s="513" t="s">
        <v>29</v>
      </c>
      <c r="H2088" s="514">
        <v>822614</v>
      </c>
      <c r="I2088" s="515" t="s">
        <v>6915</v>
      </c>
    </row>
    <row r="2089" spans="2:9" ht="15" x14ac:dyDescent="0.35">
      <c r="B2089" s="512" t="s">
        <v>6288</v>
      </c>
      <c r="C2089" s="512" t="s">
        <v>6237</v>
      </c>
      <c r="D2089" s="512" t="s">
        <v>6276</v>
      </c>
      <c r="E2089" s="513">
        <v>7400</v>
      </c>
      <c r="F2089" s="512" t="s">
        <v>2106</v>
      </c>
      <c r="G2089" s="513" t="s">
        <v>29</v>
      </c>
      <c r="H2089" s="516">
        <v>487168</v>
      </c>
      <c r="I2089" s="512" t="s">
        <v>6915</v>
      </c>
    </row>
    <row r="2090" spans="2:9" ht="15" x14ac:dyDescent="0.35">
      <c r="B2090" s="512" t="s">
        <v>6288</v>
      </c>
      <c r="C2090" s="512" t="s">
        <v>6237</v>
      </c>
      <c r="D2090" s="512" t="s">
        <v>6276</v>
      </c>
      <c r="E2090" s="513">
        <v>7401</v>
      </c>
      <c r="F2090" s="512" t="s">
        <v>2107</v>
      </c>
      <c r="G2090" s="513" t="s">
        <v>29</v>
      </c>
      <c r="H2090" s="514">
        <v>822614</v>
      </c>
      <c r="I2090" s="515" t="s">
        <v>6915</v>
      </c>
    </row>
    <row r="2091" spans="2:9" ht="15" x14ac:dyDescent="0.35">
      <c r="B2091" s="512" t="s">
        <v>6288</v>
      </c>
      <c r="C2091" s="512" t="s">
        <v>6237</v>
      </c>
      <c r="D2091" s="512" t="s">
        <v>6276</v>
      </c>
      <c r="E2091" s="513">
        <v>7406</v>
      </c>
      <c r="F2091" s="512" t="s">
        <v>2108</v>
      </c>
      <c r="G2091" s="513" t="s">
        <v>29</v>
      </c>
      <c r="H2091" s="516">
        <v>489804</v>
      </c>
      <c r="I2091" s="512" t="s">
        <v>6915</v>
      </c>
    </row>
    <row r="2092" spans="2:9" ht="15" x14ac:dyDescent="0.35">
      <c r="B2092" s="512" t="s">
        <v>6288</v>
      </c>
      <c r="C2092" s="512" t="s">
        <v>6237</v>
      </c>
      <c r="D2092" s="512" t="s">
        <v>6276</v>
      </c>
      <c r="E2092" s="513">
        <v>7407</v>
      </c>
      <c r="F2092" s="512" t="s">
        <v>2109</v>
      </c>
      <c r="G2092" s="513" t="s">
        <v>29</v>
      </c>
      <c r="H2092" s="516">
        <v>797760</v>
      </c>
      <c r="I2092" s="512" t="s">
        <v>6915</v>
      </c>
    </row>
    <row r="2093" spans="2:9" ht="15" x14ac:dyDescent="0.35">
      <c r="B2093" s="512" t="s">
        <v>6288</v>
      </c>
      <c r="C2093" s="512" t="s">
        <v>6224</v>
      </c>
      <c r="D2093" s="512" t="s">
        <v>6225</v>
      </c>
      <c r="E2093" s="513">
        <v>7408</v>
      </c>
      <c r="F2093" s="512" t="s">
        <v>2110</v>
      </c>
      <c r="G2093" s="513" t="s">
        <v>29</v>
      </c>
      <c r="H2093" s="516">
        <v>943815</v>
      </c>
      <c r="I2093" s="512" t="s">
        <v>6915</v>
      </c>
    </row>
    <row r="2094" spans="2:9" ht="15" x14ac:dyDescent="0.35">
      <c r="B2094" s="512" t="s">
        <v>6288</v>
      </c>
      <c r="C2094" s="512" t="s">
        <v>6224</v>
      </c>
      <c r="D2094" s="512" t="s">
        <v>6225</v>
      </c>
      <c r="E2094" s="513">
        <v>7409</v>
      </c>
      <c r="F2094" s="512" t="s">
        <v>2111</v>
      </c>
      <c r="G2094" s="513" t="s">
        <v>29</v>
      </c>
      <c r="H2094" s="514">
        <v>3862726</v>
      </c>
      <c r="I2094" s="515" t="s">
        <v>6915</v>
      </c>
    </row>
    <row r="2095" spans="2:9" ht="15" x14ac:dyDescent="0.35">
      <c r="B2095" s="512" t="s">
        <v>6288</v>
      </c>
      <c r="C2095" s="512" t="s">
        <v>6224</v>
      </c>
      <c r="D2095" s="512" t="s">
        <v>6225</v>
      </c>
      <c r="E2095" s="513">
        <v>7410</v>
      </c>
      <c r="F2095" s="512" t="s">
        <v>2112</v>
      </c>
      <c r="G2095" s="513" t="s">
        <v>29</v>
      </c>
      <c r="H2095" s="514">
        <v>2179804</v>
      </c>
      <c r="I2095" s="515" t="s">
        <v>6915</v>
      </c>
    </row>
    <row r="2096" spans="2:9" ht="15" x14ac:dyDescent="0.35">
      <c r="B2096" s="512" t="s">
        <v>6288</v>
      </c>
      <c r="C2096" s="512" t="s">
        <v>6224</v>
      </c>
      <c r="D2096" s="512" t="s">
        <v>6225</v>
      </c>
      <c r="E2096" s="513">
        <v>7411</v>
      </c>
      <c r="F2096" s="512" t="s">
        <v>2113</v>
      </c>
      <c r="G2096" s="513" t="s">
        <v>29</v>
      </c>
      <c r="H2096" s="514">
        <v>1512580</v>
      </c>
      <c r="I2096" s="515" t="s">
        <v>6915</v>
      </c>
    </row>
    <row r="2097" spans="2:9" ht="15" x14ac:dyDescent="0.35">
      <c r="B2097" s="512" t="s">
        <v>6288</v>
      </c>
      <c r="C2097" s="512" t="s">
        <v>6239</v>
      </c>
      <c r="D2097" s="512" t="s">
        <v>6239</v>
      </c>
      <c r="E2097" s="513">
        <v>7412</v>
      </c>
      <c r="F2097" s="512" t="s">
        <v>2114</v>
      </c>
      <c r="G2097" s="513" t="s">
        <v>29</v>
      </c>
      <c r="H2097" s="514">
        <v>1373922</v>
      </c>
      <c r="I2097" s="515" t="s">
        <v>6915</v>
      </c>
    </row>
    <row r="2098" spans="2:9" ht="15" x14ac:dyDescent="0.35">
      <c r="B2098" s="512" t="s">
        <v>6288</v>
      </c>
      <c r="C2098" s="512" t="s">
        <v>6224</v>
      </c>
      <c r="D2098" s="512" t="s">
        <v>6225</v>
      </c>
      <c r="E2098" s="513">
        <v>7413</v>
      </c>
      <c r="F2098" s="512" t="s">
        <v>2115</v>
      </c>
      <c r="G2098" s="513" t="s">
        <v>29</v>
      </c>
      <c r="H2098" s="514">
        <v>2582870</v>
      </c>
      <c r="I2098" s="515" t="s">
        <v>6915</v>
      </c>
    </row>
    <row r="2099" spans="2:9" ht="15" x14ac:dyDescent="0.35">
      <c r="B2099" s="512" t="s">
        <v>6288</v>
      </c>
      <c r="C2099" s="512" t="s">
        <v>6239</v>
      </c>
      <c r="D2099" s="512" t="s">
        <v>6239</v>
      </c>
      <c r="E2099" s="513">
        <v>7414</v>
      </c>
      <c r="F2099" s="512" t="s">
        <v>2116</v>
      </c>
      <c r="G2099" s="513" t="s">
        <v>29</v>
      </c>
      <c r="H2099" s="514">
        <v>2715386</v>
      </c>
      <c r="I2099" s="515" t="s">
        <v>6915</v>
      </c>
    </row>
    <row r="2100" spans="2:9" ht="15" x14ac:dyDescent="0.35">
      <c r="B2100" s="512" t="s">
        <v>6288</v>
      </c>
      <c r="C2100" s="512" t="s">
        <v>6240</v>
      </c>
      <c r="D2100" s="512" t="s">
        <v>6241</v>
      </c>
      <c r="E2100" s="513">
        <v>7417</v>
      </c>
      <c r="F2100" s="512" t="s">
        <v>2117</v>
      </c>
      <c r="G2100" s="513" t="s">
        <v>23</v>
      </c>
      <c r="H2100" s="514">
        <v>866765</v>
      </c>
      <c r="I2100" s="515" t="s">
        <v>6915</v>
      </c>
    </row>
    <row r="2101" spans="2:9" ht="15" x14ac:dyDescent="0.35">
      <c r="B2101" s="512" t="s">
        <v>6288</v>
      </c>
      <c r="C2101" s="512" t="s">
        <v>6239</v>
      </c>
      <c r="D2101" s="512" t="s">
        <v>6239</v>
      </c>
      <c r="E2101" s="513">
        <v>7419</v>
      </c>
      <c r="F2101" s="512" t="s">
        <v>2118</v>
      </c>
      <c r="G2101" s="513" t="s">
        <v>29</v>
      </c>
      <c r="H2101" s="514">
        <v>288662</v>
      </c>
      <c r="I2101" s="515" t="s">
        <v>6915</v>
      </c>
    </row>
    <row r="2102" spans="2:9" ht="15" x14ac:dyDescent="0.35">
      <c r="B2102" s="512" t="s">
        <v>6288</v>
      </c>
      <c r="C2102" s="512" t="s">
        <v>6239</v>
      </c>
      <c r="D2102" s="512" t="s">
        <v>6239</v>
      </c>
      <c r="E2102" s="513">
        <v>7420</v>
      </c>
      <c r="F2102" s="512" t="s">
        <v>2119</v>
      </c>
      <c r="G2102" s="513" t="s">
        <v>29</v>
      </c>
      <c r="H2102" s="514">
        <v>1926775</v>
      </c>
      <c r="I2102" s="512" t="s">
        <v>6915</v>
      </c>
    </row>
    <row r="2103" spans="2:9" ht="15" x14ac:dyDescent="0.35">
      <c r="B2103" s="512" t="s">
        <v>6288</v>
      </c>
      <c r="C2103" s="512" t="s">
        <v>6239</v>
      </c>
      <c r="D2103" s="512" t="s">
        <v>6239</v>
      </c>
      <c r="E2103" s="513">
        <v>7421</v>
      </c>
      <c r="F2103" s="512" t="s">
        <v>2120</v>
      </c>
      <c r="G2103" s="513" t="s">
        <v>29</v>
      </c>
      <c r="H2103" s="514">
        <v>1926775</v>
      </c>
      <c r="I2103" s="515" t="s">
        <v>6915</v>
      </c>
    </row>
    <row r="2104" spans="2:9" ht="15" x14ac:dyDescent="0.35">
      <c r="B2104" s="512" t="s">
        <v>6288</v>
      </c>
      <c r="C2104" s="512" t="s">
        <v>6239</v>
      </c>
      <c r="D2104" s="512" t="s">
        <v>6239</v>
      </c>
      <c r="E2104" s="513">
        <v>7422</v>
      </c>
      <c r="F2104" s="512" t="s">
        <v>2121</v>
      </c>
      <c r="G2104" s="513" t="s">
        <v>29</v>
      </c>
      <c r="H2104" s="514">
        <v>3282800</v>
      </c>
      <c r="I2104" s="515" t="s">
        <v>6915</v>
      </c>
    </row>
    <row r="2105" spans="2:9" ht="15" x14ac:dyDescent="0.35">
      <c r="B2105" s="512" t="s">
        <v>6288</v>
      </c>
      <c r="C2105" s="512" t="s">
        <v>6239</v>
      </c>
      <c r="D2105" s="512" t="s">
        <v>6239</v>
      </c>
      <c r="E2105" s="513">
        <v>7423</v>
      </c>
      <c r="F2105" s="512" t="s">
        <v>2122</v>
      </c>
      <c r="G2105" s="513" t="s">
        <v>29</v>
      </c>
      <c r="H2105" s="514">
        <v>752605</v>
      </c>
      <c r="I2105" s="515" t="s">
        <v>6915</v>
      </c>
    </row>
    <row r="2106" spans="2:9" ht="15" x14ac:dyDescent="0.35">
      <c r="B2106" s="512" t="s">
        <v>6288</v>
      </c>
      <c r="C2106" s="512" t="s">
        <v>6239</v>
      </c>
      <c r="D2106" s="512" t="s">
        <v>6239</v>
      </c>
      <c r="E2106" s="513">
        <v>7424</v>
      </c>
      <c r="F2106" s="512" t="s">
        <v>2123</v>
      </c>
      <c r="G2106" s="513" t="s">
        <v>29</v>
      </c>
      <c r="H2106" s="514">
        <v>4657696</v>
      </c>
      <c r="I2106" s="515" t="s">
        <v>6915</v>
      </c>
    </row>
    <row r="2107" spans="2:9" ht="15" x14ac:dyDescent="0.35">
      <c r="B2107" s="512" t="s">
        <v>6288</v>
      </c>
      <c r="C2107" s="512" t="s">
        <v>6239</v>
      </c>
      <c r="D2107" s="512" t="s">
        <v>6239</v>
      </c>
      <c r="E2107" s="513">
        <v>7425</v>
      </c>
      <c r="F2107" s="512" t="s">
        <v>2124</v>
      </c>
      <c r="G2107" s="513" t="s">
        <v>29</v>
      </c>
      <c r="H2107" s="514">
        <v>5225107</v>
      </c>
      <c r="I2107" s="515" t="s">
        <v>6915</v>
      </c>
    </row>
    <row r="2108" spans="2:9" ht="15" x14ac:dyDescent="0.35">
      <c r="B2108" s="512" t="s">
        <v>6288</v>
      </c>
      <c r="C2108" s="512" t="s">
        <v>6240</v>
      </c>
      <c r="D2108" s="512" t="s">
        <v>6241</v>
      </c>
      <c r="E2108" s="513">
        <v>7426</v>
      </c>
      <c r="F2108" s="512" t="s">
        <v>2125</v>
      </c>
      <c r="G2108" s="513" t="s">
        <v>23</v>
      </c>
      <c r="H2108" s="514">
        <v>914220</v>
      </c>
      <c r="I2108" s="515" t="s">
        <v>6915</v>
      </c>
    </row>
    <row r="2109" spans="2:9" ht="15" x14ac:dyDescent="0.35">
      <c r="B2109" s="512" t="s">
        <v>6288</v>
      </c>
      <c r="C2109" s="512" t="s">
        <v>6239</v>
      </c>
      <c r="D2109" s="512" t="s">
        <v>6239</v>
      </c>
      <c r="E2109" s="513">
        <v>7427</v>
      </c>
      <c r="F2109" s="512" t="s">
        <v>2126</v>
      </c>
      <c r="G2109" s="513" t="s">
        <v>29</v>
      </c>
      <c r="H2109" s="514">
        <v>3309710</v>
      </c>
      <c r="I2109" s="515" t="s">
        <v>6915</v>
      </c>
    </row>
    <row r="2110" spans="2:9" ht="15" x14ac:dyDescent="0.35">
      <c r="B2110" s="512" t="s">
        <v>6288</v>
      </c>
      <c r="C2110" s="512" t="s">
        <v>6239</v>
      </c>
      <c r="D2110" s="512" t="s">
        <v>6239</v>
      </c>
      <c r="E2110" s="513">
        <v>7428</v>
      </c>
      <c r="F2110" s="512" t="s">
        <v>2127</v>
      </c>
      <c r="G2110" s="513" t="s">
        <v>29</v>
      </c>
      <c r="H2110" s="514">
        <v>3384809</v>
      </c>
      <c r="I2110" s="515" t="s">
        <v>6915</v>
      </c>
    </row>
    <row r="2111" spans="2:9" ht="15" x14ac:dyDescent="0.35">
      <c r="B2111" s="512" t="s">
        <v>6288</v>
      </c>
      <c r="C2111" s="512" t="s">
        <v>6239</v>
      </c>
      <c r="D2111" s="512" t="s">
        <v>6239</v>
      </c>
      <c r="E2111" s="513">
        <v>7429</v>
      </c>
      <c r="F2111" s="512" t="s">
        <v>2128</v>
      </c>
      <c r="G2111" s="513" t="s">
        <v>29</v>
      </c>
      <c r="H2111" s="514">
        <v>6117980</v>
      </c>
      <c r="I2111" s="515" t="s">
        <v>6915</v>
      </c>
    </row>
    <row r="2112" spans="2:9" ht="15" x14ac:dyDescent="0.35">
      <c r="B2112" s="512" t="s">
        <v>6288</v>
      </c>
      <c r="C2112" s="512" t="s">
        <v>6224</v>
      </c>
      <c r="D2112" s="512" t="s">
        <v>6262</v>
      </c>
      <c r="E2112" s="513">
        <v>7430</v>
      </c>
      <c r="F2112" s="512" t="s">
        <v>2129</v>
      </c>
      <c r="G2112" s="513" t="s">
        <v>29</v>
      </c>
      <c r="H2112" s="514">
        <v>474303</v>
      </c>
      <c r="I2112" s="515" t="s">
        <v>6915</v>
      </c>
    </row>
    <row r="2113" spans="2:9" ht="15" x14ac:dyDescent="0.35">
      <c r="B2113" s="512" t="s">
        <v>6288</v>
      </c>
      <c r="C2113" s="512" t="s">
        <v>6232</v>
      </c>
      <c r="D2113" s="512" t="s">
        <v>6232</v>
      </c>
      <c r="E2113" s="513">
        <v>7432</v>
      </c>
      <c r="F2113" s="512" t="s">
        <v>2130</v>
      </c>
      <c r="G2113" s="513" t="s">
        <v>26</v>
      </c>
      <c r="H2113" s="516">
        <v>734030</v>
      </c>
      <c r="I2113" s="512" t="s">
        <v>6915</v>
      </c>
    </row>
    <row r="2114" spans="2:9" ht="15" x14ac:dyDescent="0.35">
      <c r="B2114" s="512" t="s">
        <v>6288</v>
      </c>
      <c r="C2114" s="512" t="s">
        <v>6232</v>
      </c>
      <c r="D2114" s="512" t="s">
        <v>6232</v>
      </c>
      <c r="E2114" s="513">
        <v>7433</v>
      </c>
      <c r="F2114" s="512" t="s">
        <v>2131</v>
      </c>
      <c r="G2114" s="513" t="s">
        <v>26</v>
      </c>
      <c r="H2114" s="514">
        <v>869414</v>
      </c>
      <c r="I2114" s="515" t="s">
        <v>6915</v>
      </c>
    </row>
    <row r="2115" spans="2:9" ht="15" x14ac:dyDescent="0.35">
      <c r="B2115" s="512" t="s">
        <v>6288</v>
      </c>
      <c r="C2115" s="512" t="s">
        <v>6232</v>
      </c>
      <c r="D2115" s="512" t="s">
        <v>6232</v>
      </c>
      <c r="E2115" s="513">
        <v>7434</v>
      </c>
      <c r="F2115" s="512" t="s">
        <v>2132</v>
      </c>
      <c r="G2115" s="513" t="s">
        <v>26</v>
      </c>
      <c r="H2115" s="514">
        <v>1059238</v>
      </c>
      <c r="I2115" s="515" t="s">
        <v>6915</v>
      </c>
    </row>
    <row r="2116" spans="2:9" ht="15" x14ac:dyDescent="0.35">
      <c r="B2116" s="512" t="s">
        <v>6288</v>
      </c>
      <c r="C2116" s="512" t="s">
        <v>6232</v>
      </c>
      <c r="D2116" s="512" t="s">
        <v>6232</v>
      </c>
      <c r="E2116" s="513">
        <v>7435</v>
      </c>
      <c r="F2116" s="512" t="s">
        <v>2133</v>
      </c>
      <c r="G2116" s="513" t="s">
        <v>26</v>
      </c>
      <c r="H2116" s="514">
        <v>1908295</v>
      </c>
      <c r="I2116" s="515" t="s">
        <v>6915</v>
      </c>
    </row>
    <row r="2117" spans="2:9" ht="15" x14ac:dyDescent="0.35">
      <c r="B2117" s="512" t="s">
        <v>6288</v>
      </c>
      <c r="C2117" s="512" t="s">
        <v>6237</v>
      </c>
      <c r="D2117" s="512" t="s">
        <v>6276</v>
      </c>
      <c r="E2117" s="513">
        <v>7436</v>
      </c>
      <c r="F2117" s="512" t="s">
        <v>2134</v>
      </c>
      <c r="G2117" s="513" t="s">
        <v>29</v>
      </c>
      <c r="H2117" s="516">
        <v>1285005</v>
      </c>
      <c r="I2117" s="512" t="s">
        <v>6915</v>
      </c>
    </row>
    <row r="2118" spans="2:9" ht="15" x14ac:dyDescent="0.35">
      <c r="B2118" s="512" t="s">
        <v>6288</v>
      </c>
      <c r="C2118" s="512" t="s">
        <v>6240</v>
      </c>
      <c r="D2118" s="512" t="s">
        <v>6240</v>
      </c>
      <c r="E2118" s="513">
        <v>7437</v>
      </c>
      <c r="F2118" s="512" t="s">
        <v>6443</v>
      </c>
      <c r="G2118" s="513" t="s">
        <v>23</v>
      </c>
      <c r="H2118" s="514">
        <v>1061284</v>
      </c>
      <c r="I2118" s="515" t="s">
        <v>6915</v>
      </c>
    </row>
    <row r="2119" spans="2:9" ht="15" x14ac:dyDescent="0.35">
      <c r="B2119" s="512" t="s">
        <v>6288</v>
      </c>
      <c r="C2119" s="512" t="s">
        <v>6239</v>
      </c>
      <c r="D2119" s="512" t="s">
        <v>6239</v>
      </c>
      <c r="E2119" s="513">
        <v>7438</v>
      </c>
      <c r="F2119" s="512" t="s">
        <v>2135</v>
      </c>
      <c r="G2119" s="513" t="s">
        <v>29</v>
      </c>
      <c r="H2119" s="514">
        <v>4302980</v>
      </c>
      <c r="I2119" s="515" t="s">
        <v>6915</v>
      </c>
    </row>
    <row r="2120" spans="2:9" ht="15" x14ac:dyDescent="0.35">
      <c r="B2120" s="512" t="s">
        <v>6288</v>
      </c>
      <c r="C2120" s="512" t="s">
        <v>6232</v>
      </c>
      <c r="D2120" s="512" t="s">
        <v>6232</v>
      </c>
      <c r="E2120" s="513">
        <v>7439</v>
      </c>
      <c r="F2120" s="512" t="s">
        <v>2136</v>
      </c>
      <c r="G2120" s="513" t="s">
        <v>29</v>
      </c>
      <c r="H2120" s="516">
        <v>473993</v>
      </c>
      <c r="I2120" s="515" t="s">
        <v>6915</v>
      </c>
    </row>
    <row r="2121" spans="2:9" ht="15" x14ac:dyDescent="0.35">
      <c r="B2121" s="512" t="s">
        <v>6288</v>
      </c>
      <c r="C2121" s="512" t="s">
        <v>6239</v>
      </c>
      <c r="D2121" s="512" t="s">
        <v>6239</v>
      </c>
      <c r="E2121" s="513">
        <v>7440</v>
      </c>
      <c r="F2121" s="512" t="s">
        <v>2137</v>
      </c>
      <c r="G2121" s="513" t="s">
        <v>29</v>
      </c>
      <c r="H2121" s="514">
        <v>4292772</v>
      </c>
      <c r="I2121" s="515" t="s">
        <v>6915</v>
      </c>
    </row>
    <row r="2122" spans="2:9" ht="15" x14ac:dyDescent="0.35">
      <c r="B2122" s="512" t="s">
        <v>6288</v>
      </c>
      <c r="C2122" s="512" t="s">
        <v>6239</v>
      </c>
      <c r="D2122" s="512" t="s">
        <v>6239</v>
      </c>
      <c r="E2122" s="513">
        <v>7441</v>
      </c>
      <c r="F2122" s="512" t="s">
        <v>2138</v>
      </c>
      <c r="G2122" s="513" t="s">
        <v>29</v>
      </c>
      <c r="H2122" s="516">
        <v>4292772</v>
      </c>
      <c r="I2122" s="512" t="s">
        <v>6915</v>
      </c>
    </row>
    <row r="2123" spans="2:9" ht="15" x14ac:dyDescent="0.35">
      <c r="B2123" s="512" t="s">
        <v>6288</v>
      </c>
      <c r="C2123" s="512" t="s">
        <v>6239</v>
      </c>
      <c r="D2123" s="512" t="s">
        <v>6239</v>
      </c>
      <c r="E2123" s="513">
        <v>7442</v>
      </c>
      <c r="F2123" s="512" t="s">
        <v>2139</v>
      </c>
      <c r="G2123" s="513" t="s">
        <v>29</v>
      </c>
      <c r="H2123" s="514">
        <v>4302980</v>
      </c>
      <c r="I2123" s="515" t="s">
        <v>6915</v>
      </c>
    </row>
    <row r="2124" spans="2:9" ht="15" x14ac:dyDescent="0.35">
      <c r="B2124" s="512" t="s">
        <v>6288</v>
      </c>
      <c r="C2124" s="512" t="s">
        <v>6230</v>
      </c>
      <c r="D2124" s="512" t="s">
        <v>6231</v>
      </c>
      <c r="E2124" s="513">
        <v>7443</v>
      </c>
      <c r="F2124" s="512" t="s">
        <v>2140</v>
      </c>
      <c r="G2124" s="513" t="s">
        <v>26</v>
      </c>
      <c r="H2124" s="514">
        <v>49607</v>
      </c>
      <c r="I2124" s="515" t="s">
        <v>6915</v>
      </c>
    </row>
    <row r="2125" spans="2:9" ht="15" x14ac:dyDescent="0.35">
      <c r="B2125" s="512" t="s">
        <v>6288</v>
      </c>
      <c r="C2125" s="512" t="s">
        <v>6269</v>
      </c>
      <c r="D2125" s="512" t="s">
        <v>6269</v>
      </c>
      <c r="E2125" s="513">
        <v>7445</v>
      </c>
      <c r="F2125" s="512" t="s">
        <v>2141</v>
      </c>
      <c r="G2125" s="513" t="s">
        <v>21</v>
      </c>
      <c r="H2125" s="514">
        <v>418319</v>
      </c>
      <c r="I2125" s="515" t="s">
        <v>6915</v>
      </c>
    </row>
    <row r="2126" spans="2:9" ht="15" x14ac:dyDescent="0.35">
      <c r="B2126" s="512" t="s">
        <v>6288</v>
      </c>
      <c r="C2126" s="512" t="s">
        <v>6232</v>
      </c>
      <c r="D2126" s="512" t="s">
        <v>6232</v>
      </c>
      <c r="E2126" s="513">
        <v>7447</v>
      </c>
      <c r="F2126" s="512" t="s">
        <v>2142</v>
      </c>
      <c r="G2126" s="513" t="s">
        <v>26</v>
      </c>
      <c r="H2126" s="514">
        <v>3854394</v>
      </c>
      <c r="I2126" s="515" t="s">
        <v>6915</v>
      </c>
    </row>
    <row r="2127" spans="2:9" ht="15" x14ac:dyDescent="0.35">
      <c r="B2127" s="512" t="s">
        <v>6288</v>
      </c>
      <c r="C2127" s="512" t="s">
        <v>6239</v>
      </c>
      <c r="D2127" s="512" t="s">
        <v>6239</v>
      </c>
      <c r="E2127" s="513">
        <v>7448</v>
      </c>
      <c r="F2127" s="512" t="s">
        <v>2143</v>
      </c>
      <c r="G2127" s="513" t="s">
        <v>29</v>
      </c>
      <c r="H2127" s="514">
        <v>603102</v>
      </c>
      <c r="I2127" s="515" t="s">
        <v>6915</v>
      </c>
    </row>
    <row r="2128" spans="2:9" ht="15" x14ac:dyDescent="0.35">
      <c r="B2128" s="512" t="s">
        <v>6288</v>
      </c>
      <c r="C2128" s="512" t="s">
        <v>6239</v>
      </c>
      <c r="D2128" s="512" t="s">
        <v>6239</v>
      </c>
      <c r="E2128" s="513">
        <v>7451</v>
      </c>
      <c r="F2128" s="512" t="s">
        <v>2144</v>
      </c>
      <c r="G2128" s="513" t="s">
        <v>29</v>
      </c>
      <c r="H2128" s="514">
        <v>723976</v>
      </c>
      <c r="I2128" s="515" t="s">
        <v>6915</v>
      </c>
    </row>
    <row r="2129" spans="2:9" ht="15" x14ac:dyDescent="0.35">
      <c r="B2129" s="512" t="s">
        <v>6288</v>
      </c>
      <c r="C2129" s="512" t="s">
        <v>6239</v>
      </c>
      <c r="D2129" s="512" t="s">
        <v>6239</v>
      </c>
      <c r="E2129" s="513">
        <v>7453</v>
      </c>
      <c r="F2129" s="512" t="s">
        <v>2145</v>
      </c>
      <c r="G2129" s="513" t="s">
        <v>29</v>
      </c>
      <c r="H2129" s="514">
        <v>1478232</v>
      </c>
      <c r="I2129" s="515" t="s">
        <v>6915</v>
      </c>
    </row>
    <row r="2130" spans="2:9" ht="15" x14ac:dyDescent="0.35">
      <c r="B2130" s="512" t="s">
        <v>6288</v>
      </c>
      <c r="C2130" s="512" t="s">
        <v>6239</v>
      </c>
      <c r="D2130" s="512" t="s">
        <v>6239</v>
      </c>
      <c r="E2130" s="513">
        <v>7454</v>
      </c>
      <c r="F2130" s="512" t="s">
        <v>2146</v>
      </c>
      <c r="G2130" s="513" t="s">
        <v>29</v>
      </c>
      <c r="H2130" s="514">
        <v>2729315</v>
      </c>
      <c r="I2130" s="515" t="s">
        <v>6915</v>
      </c>
    </row>
    <row r="2131" spans="2:9" ht="15" x14ac:dyDescent="0.35">
      <c r="B2131" s="512" t="s">
        <v>6288</v>
      </c>
      <c r="C2131" s="512" t="s">
        <v>6239</v>
      </c>
      <c r="D2131" s="512" t="s">
        <v>6239</v>
      </c>
      <c r="E2131" s="513">
        <v>7455</v>
      </c>
      <c r="F2131" s="512" t="s">
        <v>2147</v>
      </c>
      <c r="G2131" s="513" t="s">
        <v>29</v>
      </c>
      <c r="H2131" s="514">
        <v>10975101</v>
      </c>
      <c r="I2131" s="515" t="s">
        <v>6915</v>
      </c>
    </row>
    <row r="2132" spans="2:9" ht="15" x14ac:dyDescent="0.35">
      <c r="B2132" s="512" t="s">
        <v>6288</v>
      </c>
      <c r="C2132" s="512" t="s">
        <v>6239</v>
      </c>
      <c r="D2132" s="512" t="s">
        <v>6239</v>
      </c>
      <c r="E2132" s="513">
        <v>7459</v>
      </c>
      <c r="F2132" s="512" t="s">
        <v>2148</v>
      </c>
      <c r="G2132" s="513" t="s">
        <v>29</v>
      </c>
      <c r="H2132" s="514">
        <v>5579515</v>
      </c>
      <c r="I2132" s="515" t="s">
        <v>6915</v>
      </c>
    </row>
    <row r="2133" spans="2:9" ht="15" x14ac:dyDescent="0.35">
      <c r="B2133" s="512" t="s">
        <v>6288</v>
      </c>
      <c r="C2133" s="512" t="s">
        <v>6239</v>
      </c>
      <c r="D2133" s="512" t="s">
        <v>6239</v>
      </c>
      <c r="E2133" s="513">
        <v>7462</v>
      </c>
      <c r="F2133" s="512" t="s">
        <v>2149</v>
      </c>
      <c r="G2133" s="513" t="s">
        <v>29</v>
      </c>
      <c r="H2133" s="514">
        <v>4015725</v>
      </c>
      <c r="I2133" s="515" t="s">
        <v>6915</v>
      </c>
    </row>
    <row r="2134" spans="2:9" ht="15" x14ac:dyDescent="0.35">
      <c r="B2134" s="512" t="s">
        <v>6288</v>
      </c>
      <c r="C2134" s="512" t="s">
        <v>6239</v>
      </c>
      <c r="D2134" s="512" t="s">
        <v>6239</v>
      </c>
      <c r="E2134" s="513">
        <v>7465</v>
      </c>
      <c r="F2134" s="512" t="s">
        <v>2150</v>
      </c>
      <c r="G2134" s="513" t="s">
        <v>29</v>
      </c>
      <c r="H2134" s="514">
        <v>174324</v>
      </c>
      <c r="I2134" s="515" t="s">
        <v>6915</v>
      </c>
    </row>
    <row r="2135" spans="2:9" ht="15" x14ac:dyDescent="0.35">
      <c r="B2135" s="512" t="s">
        <v>6288</v>
      </c>
      <c r="C2135" s="512" t="s">
        <v>6239</v>
      </c>
      <c r="D2135" s="512" t="s">
        <v>6239</v>
      </c>
      <c r="E2135" s="513">
        <v>7468</v>
      </c>
      <c r="F2135" s="512" t="s">
        <v>2151</v>
      </c>
      <c r="G2135" s="513" t="s">
        <v>29</v>
      </c>
      <c r="H2135" s="514">
        <v>4029139</v>
      </c>
      <c r="I2135" s="515" t="s">
        <v>6915</v>
      </c>
    </row>
    <row r="2136" spans="2:9" ht="15" x14ac:dyDescent="0.35">
      <c r="B2136" s="512" t="s">
        <v>6288</v>
      </c>
      <c r="C2136" s="512" t="s">
        <v>6237</v>
      </c>
      <c r="D2136" s="512" t="s">
        <v>6276</v>
      </c>
      <c r="E2136" s="513">
        <v>7469</v>
      </c>
      <c r="F2136" s="512" t="s">
        <v>2152</v>
      </c>
      <c r="G2136" s="513" t="s">
        <v>29</v>
      </c>
      <c r="H2136" s="514">
        <v>546260</v>
      </c>
      <c r="I2136" s="515" t="s">
        <v>6915</v>
      </c>
    </row>
    <row r="2137" spans="2:9" ht="15" x14ac:dyDescent="0.35">
      <c r="B2137" s="512" t="s">
        <v>6288</v>
      </c>
      <c r="C2137" s="512" t="s">
        <v>6237</v>
      </c>
      <c r="D2137" s="512" t="s">
        <v>6276</v>
      </c>
      <c r="E2137" s="513">
        <v>7470</v>
      </c>
      <c r="F2137" s="512" t="s">
        <v>2153</v>
      </c>
      <c r="G2137" s="513" t="s">
        <v>29</v>
      </c>
      <c r="H2137" s="514">
        <v>449014</v>
      </c>
      <c r="I2137" s="515" t="s">
        <v>6915</v>
      </c>
    </row>
    <row r="2138" spans="2:9" ht="15" x14ac:dyDescent="0.35">
      <c r="B2138" s="512" t="s">
        <v>6288</v>
      </c>
      <c r="C2138" s="512" t="s">
        <v>6232</v>
      </c>
      <c r="D2138" s="512" t="s">
        <v>6232</v>
      </c>
      <c r="E2138" s="513">
        <v>7472</v>
      </c>
      <c r="F2138" s="512" t="s">
        <v>2154</v>
      </c>
      <c r="G2138" s="513" t="s">
        <v>26</v>
      </c>
      <c r="H2138" s="514">
        <v>1463736</v>
      </c>
      <c r="I2138" s="515" t="s">
        <v>6915</v>
      </c>
    </row>
    <row r="2139" spans="2:9" ht="15" x14ac:dyDescent="0.35">
      <c r="B2139" s="512" t="s">
        <v>6288</v>
      </c>
      <c r="C2139" s="512" t="s">
        <v>6232</v>
      </c>
      <c r="D2139" s="512" t="s">
        <v>6232</v>
      </c>
      <c r="E2139" s="513">
        <v>7474</v>
      </c>
      <c r="F2139" s="512" t="s">
        <v>2155</v>
      </c>
      <c r="G2139" s="513" t="s">
        <v>26</v>
      </c>
      <c r="H2139" s="514">
        <v>3019431</v>
      </c>
      <c r="I2139" s="515" t="s">
        <v>6915</v>
      </c>
    </row>
    <row r="2140" spans="2:9" ht="15" x14ac:dyDescent="0.35">
      <c r="B2140" s="512" t="s">
        <v>6288</v>
      </c>
      <c r="C2140" s="512" t="s">
        <v>6239</v>
      </c>
      <c r="D2140" s="512" t="s">
        <v>6239</v>
      </c>
      <c r="E2140" s="513">
        <v>7477</v>
      </c>
      <c r="F2140" s="512" t="s">
        <v>2156</v>
      </c>
      <c r="G2140" s="513" t="s">
        <v>29</v>
      </c>
      <c r="H2140" s="514">
        <v>1795975</v>
      </c>
      <c r="I2140" s="515" t="s">
        <v>6915</v>
      </c>
    </row>
    <row r="2141" spans="2:9" ht="15" x14ac:dyDescent="0.35">
      <c r="B2141" s="512" t="s">
        <v>6288</v>
      </c>
      <c r="C2141" s="512" t="s">
        <v>6239</v>
      </c>
      <c r="D2141" s="512" t="s">
        <v>6239</v>
      </c>
      <c r="E2141" s="513">
        <v>7480</v>
      </c>
      <c r="F2141" s="512" t="s">
        <v>2157</v>
      </c>
      <c r="G2141" s="513" t="s">
        <v>29</v>
      </c>
      <c r="H2141" s="514">
        <v>5247763</v>
      </c>
      <c r="I2141" s="512" t="s">
        <v>6915</v>
      </c>
    </row>
    <row r="2142" spans="2:9" ht="15" x14ac:dyDescent="0.35">
      <c r="B2142" s="512" t="s">
        <v>6288</v>
      </c>
      <c r="C2142" s="512" t="s">
        <v>6239</v>
      </c>
      <c r="D2142" s="512" t="s">
        <v>6239</v>
      </c>
      <c r="E2142" s="513">
        <v>7482</v>
      </c>
      <c r="F2142" s="512" t="s">
        <v>2158</v>
      </c>
      <c r="G2142" s="513" t="s">
        <v>29</v>
      </c>
      <c r="H2142" s="516">
        <v>7651563</v>
      </c>
      <c r="I2142" s="512" t="s">
        <v>6915</v>
      </c>
    </row>
    <row r="2143" spans="2:9" ht="15" x14ac:dyDescent="0.35">
      <c r="B2143" s="512" t="s">
        <v>6288</v>
      </c>
      <c r="C2143" s="512" t="s">
        <v>6239</v>
      </c>
      <c r="D2143" s="512" t="s">
        <v>6239</v>
      </c>
      <c r="E2143" s="513">
        <v>7485</v>
      </c>
      <c r="F2143" s="512" t="s">
        <v>2159</v>
      </c>
      <c r="G2143" s="513" t="s">
        <v>29</v>
      </c>
      <c r="H2143" s="514">
        <v>3472809</v>
      </c>
      <c r="I2143" s="512" t="s">
        <v>6915</v>
      </c>
    </row>
    <row r="2144" spans="2:9" ht="15" x14ac:dyDescent="0.35">
      <c r="B2144" s="512" t="s">
        <v>6288</v>
      </c>
      <c r="C2144" s="512" t="s">
        <v>6239</v>
      </c>
      <c r="D2144" s="512" t="s">
        <v>6239</v>
      </c>
      <c r="E2144" s="513">
        <v>7486</v>
      </c>
      <c r="F2144" s="512" t="s">
        <v>2160</v>
      </c>
      <c r="G2144" s="513" t="s">
        <v>29</v>
      </c>
      <c r="H2144" s="514">
        <v>9989913</v>
      </c>
      <c r="I2144" s="515" t="s">
        <v>6915</v>
      </c>
    </row>
    <row r="2145" spans="2:9" ht="15" x14ac:dyDescent="0.35">
      <c r="B2145" s="512" t="s">
        <v>6288</v>
      </c>
      <c r="C2145" s="512" t="s">
        <v>6239</v>
      </c>
      <c r="D2145" s="512" t="s">
        <v>6239</v>
      </c>
      <c r="E2145" s="513">
        <v>7487</v>
      </c>
      <c r="F2145" s="512" t="s">
        <v>2161</v>
      </c>
      <c r="G2145" s="513" t="s">
        <v>29</v>
      </c>
      <c r="H2145" s="516">
        <v>3038072</v>
      </c>
      <c r="I2145" s="512" t="s">
        <v>6915</v>
      </c>
    </row>
    <row r="2146" spans="2:9" ht="15" x14ac:dyDescent="0.35">
      <c r="B2146" s="512" t="s">
        <v>6288</v>
      </c>
      <c r="C2146" s="512" t="s">
        <v>6239</v>
      </c>
      <c r="D2146" s="512" t="s">
        <v>6239</v>
      </c>
      <c r="E2146" s="513">
        <v>7488</v>
      </c>
      <c r="F2146" s="512" t="s">
        <v>2162</v>
      </c>
      <c r="G2146" s="513" t="s">
        <v>29</v>
      </c>
      <c r="H2146" s="514">
        <v>876802</v>
      </c>
      <c r="I2146" s="515" t="s">
        <v>6915</v>
      </c>
    </row>
    <row r="2147" spans="2:9" ht="15" x14ac:dyDescent="0.35">
      <c r="B2147" s="512" t="s">
        <v>6288</v>
      </c>
      <c r="C2147" s="512" t="s">
        <v>6239</v>
      </c>
      <c r="D2147" s="512" t="s">
        <v>6239</v>
      </c>
      <c r="E2147" s="513">
        <v>7492</v>
      </c>
      <c r="F2147" s="512" t="s">
        <v>2163</v>
      </c>
      <c r="G2147" s="513" t="s">
        <v>29</v>
      </c>
      <c r="H2147" s="514">
        <v>6461339</v>
      </c>
      <c r="I2147" s="515" t="s">
        <v>6915</v>
      </c>
    </row>
    <row r="2148" spans="2:9" ht="15" x14ac:dyDescent="0.35">
      <c r="B2148" s="512" t="s">
        <v>6288</v>
      </c>
      <c r="C2148" s="512" t="s">
        <v>6237</v>
      </c>
      <c r="D2148" s="512" t="s">
        <v>6276</v>
      </c>
      <c r="E2148" s="513">
        <v>7494</v>
      </c>
      <c r="F2148" s="512" t="s">
        <v>2164</v>
      </c>
      <c r="G2148" s="513" t="s">
        <v>29</v>
      </c>
      <c r="H2148" s="516">
        <v>760297</v>
      </c>
      <c r="I2148" s="512" t="s">
        <v>6915</v>
      </c>
    </row>
    <row r="2149" spans="2:9" ht="15" x14ac:dyDescent="0.35">
      <c r="B2149" s="512" t="s">
        <v>6288</v>
      </c>
      <c r="C2149" s="512" t="s">
        <v>6239</v>
      </c>
      <c r="D2149" s="512" t="s">
        <v>6239</v>
      </c>
      <c r="E2149" s="513">
        <v>7495</v>
      </c>
      <c r="F2149" s="512" t="s">
        <v>2165</v>
      </c>
      <c r="G2149" s="513" t="s">
        <v>29</v>
      </c>
      <c r="H2149" s="514">
        <v>5285905</v>
      </c>
      <c r="I2149" s="515" t="s">
        <v>6915</v>
      </c>
    </row>
    <row r="2150" spans="2:9" ht="15" x14ac:dyDescent="0.35">
      <c r="B2150" s="512" t="s">
        <v>6288</v>
      </c>
      <c r="C2150" s="512" t="s">
        <v>6237</v>
      </c>
      <c r="D2150" s="512" t="s">
        <v>6276</v>
      </c>
      <c r="E2150" s="513">
        <v>7497</v>
      </c>
      <c r="F2150" s="512" t="s">
        <v>2166</v>
      </c>
      <c r="G2150" s="513" t="s">
        <v>29</v>
      </c>
      <c r="H2150" s="514">
        <v>602707</v>
      </c>
      <c r="I2150" s="515" t="s">
        <v>6915</v>
      </c>
    </row>
    <row r="2151" spans="2:9" ht="15" x14ac:dyDescent="0.35">
      <c r="B2151" s="512" t="s">
        <v>6288</v>
      </c>
      <c r="C2151" s="512" t="s">
        <v>6237</v>
      </c>
      <c r="D2151" s="512" t="s">
        <v>6276</v>
      </c>
      <c r="E2151" s="513">
        <v>7498</v>
      </c>
      <c r="F2151" s="512" t="s">
        <v>2167</v>
      </c>
      <c r="G2151" s="513" t="s">
        <v>29</v>
      </c>
      <c r="H2151" s="516">
        <v>663227</v>
      </c>
      <c r="I2151" s="512" t="s">
        <v>6915</v>
      </c>
    </row>
    <row r="2152" spans="2:9" ht="15" x14ac:dyDescent="0.35">
      <c r="B2152" s="512" t="s">
        <v>6288</v>
      </c>
      <c r="C2152" s="512" t="s">
        <v>6237</v>
      </c>
      <c r="D2152" s="512" t="s">
        <v>6276</v>
      </c>
      <c r="E2152" s="513">
        <v>7500</v>
      </c>
      <c r="F2152" s="512" t="s">
        <v>2168</v>
      </c>
      <c r="G2152" s="513" t="s">
        <v>29</v>
      </c>
      <c r="H2152" s="514">
        <v>692032</v>
      </c>
      <c r="I2152" s="515" t="s">
        <v>6915</v>
      </c>
    </row>
    <row r="2153" spans="2:9" ht="15" x14ac:dyDescent="0.35">
      <c r="B2153" s="512" t="s">
        <v>6288</v>
      </c>
      <c r="C2153" s="512" t="s">
        <v>6237</v>
      </c>
      <c r="D2153" s="512" t="s">
        <v>6276</v>
      </c>
      <c r="E2153" s="513">
        <v>7501</v>
      </c>
      <c r="F2153" s="512" t="s">
        <v>2169</v>
      </c>
      <c r="G2153" s="513" t="s">
        <v>29</v>
      </c>
      <c r="H2153" s="514">
        <v>620527</v>
      </c>
      <c r="I2153" s="515" t="s">
        <v>6915</v>
      </c>
    </row>
    <row r="2154" spans="2:9" ht="15" x14ac:dyDescent="0.35">
      <c r="B2154" s="512" t="s">
        <v>6288</v>
      </c>
      <c r="C2154" s="512" t="s">
        <v>6237</v>
      </c>
      <c r="D2154" s="512" t="s">
        <v>6276</v>
      </c>
      <c r="E2154" s="513">
        <v>7503</v>
      </c>
      <c r="F2154" s="512" t="s">
        <v>2170</v>
      </c>
      <c r="G2154" s="513" t="s">
        <v>29</v>
      </c>
      <c r="H2154" s="514">
        <v>665177</v>
      </c>
      <c r="I2154" s="515" t="s">
        <v>6915</v>
      </c>
    </row>
    <row r="2155" spans="2:9" ht="15" x14ac:dyDescent="0.35">
      <c r="B2155" s="512" t="s">
        <v>6288</v>
      </c>
      <c r="C2155" s="512" t="s">
        <v>6224</v>
      </c>
      <c r="D2155" s="512" t="s">
        <v>6225</v>
      </c>
      <c r="E2155" s="513">
        <v>7507</v>
      </c>
      <c r="F2155" s="512" t="s">
        <v>2171</v>
      </c>
      <c r="G2155" s="513" t="s">
        <v>29</v>
      </c>
      <c r="H2155" s="514">
        <v>2589379</v>
      </c>
      <c r="I2155" s="515" t="s">
        <v>6915</v>
      </c>
    </row>
    <row r="2156" spans="2:9" ht="15" x14ac:dyDescent="0.35">
      <c r="B2156" s="512" t="s">
        <v>6288</v>
      </c>
      <c r="C2156" s="512" t="s">
        <v>6237</v>
      </c>
      <c r="D2156" s="512" t="s">
        <v>6276</v>
      </c>
      <c r="E2156" s="513">
        <v>7508</v>
      </c>
      <c r="F2156" s="512" t="s">
        <v>2172</v>
      </c>
      <c r="G2156" s="513" t="s">
        <v>29</v>
      </c>
      <c r="H2156" s="516">
        <v>549383</v>
      </c>
      <c r="I2156" s="512" t="s">
        <v>6915</v>
      </c>
    </row>
    <row r="2157" spans="2:9" ht="15" x14ac:dyDescent="0.35">
      <c r="B2157" s="512" t="s">
        <v>6288</v>
      </c>
      <c r="C2157" s="512" t="s">
        <v>6224</v>
      </c>
      <c r="D2157" s="512" t="s">
        <v>6225</v>
      </c>
      <c r="E2157" s="513">
        <v>7510</v>
      </c>
      <c r="F2157" s="512" t="s">
        <v>2173</v>
      </c>
      <c r="G2157" s="513" t="s">
        <v>26</v>
      </c>
      <c r="H2157" s="514">
        <v>276443</v>
      </c>
      <c r="I2157" s="515" t="s">
        <v>6915</v>
      </c>
    </row>
    <row r="2158" spans="2:9" ht="15" x14ac:dyDescent="0.35">
      <c r="B2158" s="512" t="s">
        <v>6288</v>
      </c>
      <c r="C2158" s="512" t="s">
        <v>6223</v>
      </c>
      <c r="D2158" s="512" t="s">
        <v>6223</v>
      </c>
      <c r="E2158" s="513">
        <v>7512</v>
      </c>
      <c r="F2158" s="512" t="s">
        <v>2174</v>
      </c>
      <c r="G2158" s="513" t="s">
        <v>29</v>
      </c>
      <c r="H2158" s="514">
        <v>646657</v>
      </c>
      <c r="I2158" s="515" t="s">
        <v>6915</v>
      </c>
    </row>
    <row r="2159" spans="2:9" ht="15" x14ac:dyDescent="0.35">
      <c r="B2159" s="512" t="s">
        <v>6288</v>
      </c>
      <c r="C2159" s="512" t="s">
        <v>6223</v>
      </c>
      <c r="D2159" s="512" t="s">
        <v>6223</v>
      </c>
      <c r="E2159" s="513">
        <v>7513</v>
      </c>
      <c r="F2159" s="512" t="s">
        <v>2175</v>
      </c>
      <c r="G2159" s="513" t="s">
        <v>21</v>
      </c>
      <c r="H2159" s="516">
        <v>33331</v>
      </c>
      <c r="I2159" s="512" t="s">
        <v>6915</v>
      </c>
    </row>
    <row r="2160" spans="2:9" ht="15" x14ac:dyDescent="0.35">
      <c r="B2160" s="512" t="s">
        <v>6288</v>
      </c>
      <c r="C2160" s="512" t="s">
        <v>6239</v>
      </c>
      <c r="D2160" s="512" t="s">
        <v>6239</v>
      </c>
      <c r="E2160" s="513">
        <v>7514</v>
      </c>
      <c r="F2160" s="512" t="s">
        <v>2176</v>
      </c>
      <c r="G2160" s="513" t="s">
        <v>29</v>
      </c>
      <c r="H2160" s="516">
        <v>659167</v>
      </c>
      <c r="I2160" s="512" t="s">
        <v>6915</v>
      </c>
    </row>
    <row r="2161" spans="2:9" ht="15" x14ac:dyDescent="0.35">
      <c r="B2161" s="512" t="s">
        <v>6288</v>
      </c>
      <c r="C2161" s="512" t="s">
        <v>6232</v>
      </c>
      <c r="D2161" s="512" t="s">
        <v>6232</v>
      </c>
      <c r="E2161" s="513">
        <v>7515</v>
      </c>
      <c r="F2161" s="512" t="s">
        <v>2177</v>
      </c>
      <c r="G2161" s="513" t="s">
        <v>29</v>
      </c>
      <c r="H2161" s="514">
        <v>1260007</v>
      </c>
      <c r="I2161" s="515" t="s">
        <v>6915</v>
      </c>
    </row>
    <row r="2162" spans="2:9" ht="15" x14ac:dyDescent="0.35">
      <c r="B2162" s="512" t="s">
        <v>6288</v>
      </c>
      <c r="C2162" s="512" t="s">
        <v>6240</v>
      </c>
      <c r="D2162" s="512" t="s">
        <v>6275</v>
      </c>
      <c r="E2162" s="513">
        <v>7519</v>
      </c>
      <c r="F2162" s="512" t="s">
        <v>2178</v>
      </c>
      <c r="G2162" s="513" t="s">
        <v>26</v>
      </c>
      <c r="H2162" s="514">
        <v>882851</v>
      </c>
      <c r="I2162" s="515" t="s">
        <v>6915</v>
      </c>
    </row>
    <row r="2163" spans="2:9" ht="15" x14ac:dyDescent="0.35">
      <c r="B2163" s="512" t="s">
        <v>6288</v>
      </c>
      <c r="C2163" s="512" t="s">
        <v>6240</v>
      </c>
      <c r="D2163" s="512" t="s">
        <v>6275</v>
      </c>
      <c r="E2163" s="513">
        <v>7521</v>
      </c>
      <c r="F2163" s="512" t="s">
        <v>2179</v>
      </c>
      <c r="G2163" s="513" t="s">
        <v>26</v>
      </c>
      <c r="H2163" s="516">
        <v>1363550</v>
      </c>
      <c r="I2163" s="512" t="s">
        <v>6915</v>
      </c>
    </row>
    <row r="2164" spans="2:9" ht="15" x14ac:dyDescent="0.35">
      <c r="B2164" s="512" t="s">
        <v>6288</v>
      </c>
      <c r="C2164" s="512" t="s">
        <v>6233</v>
      </c>
      <c r="D2164" s="512" t="s">
        <v>6234</v>
      </c>
      <c r="E2164" s="513">
        <v>7522</v>
      </c>
      <c r="F2164" s="512" t="s">
        <v>2180</v>
      </c>
      <c r="G2164" s="513" t="s">
        <v>29</v>
      </c>
      <c r="H2164" s="514">
        <v>4931693</v>
      </c>
      <c r="I2164" s="515" t="s">
        <v>6915</v>
      </c>
    </row>
    <row r="2165" spans="2:9" ht="15" x14ac:dyDescent="0.35">
      <c r="B2165" s="512" t="s">
        <v>6288</v>
      </c>
      <c r="C2165" s="512" t="s">
        <v>6237</v>
      </c>
      <c r="D2165" s="512" t="s">
        <v>6247</v>
      </c>
      <c r="E2165" s="513">
        <v>7524</v>
      </c>
      <c r="F2165" s="512" t="s">
        <v>2181</v>
      </c>
      <c r="G2165" s="513" t="s">
        <v>29</v>
      </c>
      <c r="H2165" s="514">
        <v>638998</v>
      </c>
      <c r="I2165" s="515" t="s">
        <v>6915</v>
      </c>
    </row>
    <row r="2166" spans="2:9" ht="15" x14ac:dyDescent="0.35">
      <c r="B2166" s="512" t="s">
        <v>6288</v>
      </c>
      <c r="C2166" s="512" t="s">
        <v>6232</v>
      </c>
      <c r="D2166" s="512" t="s">
        <v>6232</v>
      </c>
      <c r="E2166" s="513">
        <v>7525</v>
      </c>
      <c r="F2166" s="512" t="s">
        <v>2182</v>
      </c>
      <c r="G2166" s="513" t="s">
        <v>26</v>
      </c>
      <c r="H2166" s="514">
        <v>2525141</v>
      </c>
      <c r="I2166" s="515" t="s">
        <v>6915</v>
      </c>
    </row>
    <row r="2167" spans="2:9" ht="15" x14ac:dyDescent="0.35">
      <c r="B2167" s="512" t="s">
        <v>6290</v>
      </c>
      <c r="C2167" s="512" t="s">
        <v>6220</v>
      </c>
      <c r="D2167" s="512" t="s">
        <v>6270</v>
      </c>
      <c r="E2167" s="513">
        <v>7527</v>
      </c>
      <c r="F2167" s="512" t="s">
        <v>2183</v>
      </c>
      <c r="G2167" s="513" t="s">
        <v>21</v>
      </c>
      <c r="H2167" s="516">
        <v>137246</v>
      </c>
      <c r="I2167" s="512" t="s">
        <v>6915</v>
      </c>
    </row>
    <row r="2168" spans="2:9" ht="15" x14ac:dyDescent="0.35">
      <c r="B2168" s="512" t="s">
        <v>6290</v>
      </c>
      <c r="C2168" s="512" t="s">
        <v>6220</v>
      </c>
      <c r="D2168" s="512" t="s">
        <v>6270</v>
      </c>
      <c r="E2168" s="513">
        <v>7528</v>
      </c>
      <c r="F2168" s="512" t="s">
        <v>2184</v>
      </c>
      <c r="G2168" s="513" t="s">
        <v>21</v>
      </c>
      <c r="H2168" s="514">
        <v>152943</v>
      </c>
      <c r="I2168" s="515" t="s">
        <v>6915</v>
      </c>
    </row>
    <row r="2169" spans="2:9" ht="15" x14ac:dyDescent="0.35">
      <c r="B2169" s="512" t="s">
        <v>6290</v>
      </c>
      <c r="C2169" s="512" t="s">
        <v>6220</v>
      </c>
      <c r="D2169" s="512" t="s">
        <v>6270</v>
      </c>
      <c r="E2169" s="513">
        <v>7529</v>
      </c>
      <c r="F2169" s="512" t="s">
        <v>2185</v>
      </c>
      <c r="G2169" s="513" t="s">
        <v>21</v>
      </c>
      <c r="H2169" s="514">
        <v>167443</v>
      </c>
      <c r="I2169" s="515" t="s">
        <v>6915</v>
      </c>
    </row>
    <row r="2170" spans="2:9" ht="15" x14ac:dyDescent="0.35">
      <c r="B2170" s="512" t="s">
        <v>6290</v>
      </c>
      <c r="C2170" s="512" t="s">
        <v>6252</v>
      </c>
      <c r="D2170" s="512" t="s">
        <v>6252</v>
      </c>
      <c r="E2170" s="513">
        <v>7538</v>
      </c>
      <c r="F2170" s="512" t="s">
        <v>2186</v>
      </c>
      <c r="G2170" s="513" t="s">
        <v>21</v>
      </c>
      <c r="H2170" s="514">
        <v>67999</v>
      </c>
      <c r="I2170" s="515" t="s">
        <v>6915</v>
      </c>
    </row>
    <row r="2171" spans="2:9" ht="15" x14ac:dyDescent="0.35">
      <c r="B2171" s="512" t="s">
        <v>6290</v>
      </c>
      <c r="C2171" s="512" t="s">
        <v>6239</v>
      </c>
      <c r="D2171" s="512" t="s">
        <v>6239</v>
      </c>
      <c r="E2171" s="513">
        <v>7546</v>
      </c>
      <c r="F2171" s="512" t="s">
        <v>2187</v>
      </c>
      <c r="G2171" s="513" t="s">
        <v>29</v>
      </c>
      <c r="H2171" s="514">
        <v>150055</v>
      </c>
      <c r="I2171" s="515" t="s">
        <v>6915</v>
      </c>
    </row>
    <row r="2172" spans="2:9" ht="15" x14ac:dyDescent="0.35">
      <c r="B2172" s="512" t="s">
        <v>6291</v>
      </c>
      <c r="C2172" s="512" t="s">
        <v>6253</v>
      </c>
      <c r="D2172" s="512" t="s">
        <v>6284</v>
      </c>
      <c r="E2172" s="513">
        <v>7548</v>
      </c>
      <c r="F2172" s="512" t="s">
        <v>2188</v>
      </c>
      <c r="G2172" s="513" t="s">
        <v>21</v>
      </c>
      <c r="H2172" s="516">
        <v>210162</v>
      </c>
      <c r="I2172" s="512" t="s">
        <v>6915</v>
      </c>
    </row>
    <row r="2173" spans="2:9" ht="15" x14ac:dyDescent="0.35">
      <c r="B2173" s="512" t="s">
        <v>6290</v>
      </c>
      <c r="C2173" s="512" t="s">
        <v>6239</v>
      </c>
      <c r="D2173" s="512" t="s">
        <v>6239</v>
      </c>
      <c r="E2173" s="513">
        <v>7553</v>
      </c>
      <c r="F2173" s="512" t="s">
        <v>2189</v>
      </c>
      <c r="G2173" s="513" t="s">
        <v>29</v>
      </c>
      <c r="H2173" s="516">
        <v>11446705</v>
      </c>
      <c r="I2173" s="512" t="s">
        <v>6915</v>
      </c>
    </row>
    <row r="2174" spans="2:9" ht="15" x14ac:dyDescent="0.35">
      <c r="B2174" s="512" t="s">
        <v>6290</v>
      </c>
      <c r="C2174" s="512" t="s">
        <v>6239</v>
      </c>
      <c r="D2174" s="512" t="s">
        <v>6239</v>
      </c>
      <c r="E2174" s="513">
        <v>7555</v>
      </c>
      <c r="F2174" s="512" t="s">
        <v>2190</v>
      </c>
      <c r="G2174" s="513" t="s">
        <v>29</v>
      </c>
      <c r="H2174" s="516">
        <v>1356456</v>
      </c>
      <c r="I2174" s="512" t="s">
        <v>6915</v>
      </c>
    </row>
    <row r="2175" spans="2:9" ht="15" x14ac:dyDescent="0.35">
      <c r="B2175" s="512" t="s">
        <v>6290</v>
      </c>
      <c r="C2175" s="512" t="s">
        <v>6239</v>
      </c>
      <c r="D2175" s="512" t="s">
        <v>6239</v>
      </c>
      <c r="E2175" s="513">
        <v>7558</v>
      </c>
      <c r="F2175" s="512" t="s">
        <v>2191</v>
      </c>
      <c r="G2175" s="513" t="s">
        <v>29</v>
      </c>
      <c r="H2175" s="516">
        <v>1614844</v>
      </c>
      <c r="I2175" s="512" t="s">
        <v>6915</v>
      </c>
    </row>
    <row r="2176" spans="2:9" ht="15" x14ac:dyDescent="0.35">
      <c r="B2176" s="512" t="s">
        <v>6290</v>
      </c>
      <c r="C2176" s="512" t="s">
        <v>6239</v>
      </c>
      <c r="D2176" s="512" t="s">
        <v>6239</v>
      </c>
      <c r="E2176" s="513">
        <v>7566</v>
      </c>
      <c r="F2176" s="512" t="s">
        <v>2192</v>
      </c>
      <c r="G2176" s="513" t="s">
        <v>29</v>
      </c>
      <c r="H2176" s="516">
        <v>1162104</v>
      </c>
      <c r="I2176" s="512" t="s">
        <v>6915</v>
      </c>
    </row>
    <row r="2177" spans="2:9" ht="15" x14ac:dyDescent="0.35">
      <c r="B2177" s="512" t="s">
        <v>6290</v>
      </c>
      <c r="C2177" s="512" t="s">
        <v>6232</v>
      </c>
      <c r="D2177" s="512" t="s">
        <v>6232</v>
      </c>
      <c r="E2177" s="513">
        <v>7569</v>
      </c>
      <c r="F2177" s="512" t="s">
        <v>2193</v>
      </c>
      <c r="G2177" s="513" t="s">
        <v>29</v>
      </c>
      <c r="H2177" s="514">
        <v>1267477</v>
      </c>
      <c r="I2177" s="515" t="s">
        <v>6915</v>
      </c>
    </row>
    <row r="2178" spans="2:9" ht="15" x14ac:dyDescent="0.35">
      <c r="B2178" s="512" t="s">
        <v>6291</v>
      </c>
      <c r="C2178" s="512" t="s">
        <v>6237</v>
      </c>
      <c r="D2178" s="512" t="s">
        <v>6276</v>
      </c>
      <c r="E2178" s="513">
        <v>7577</v>
      </c>
      <c r="F2178" s="512" t="s">
        <v>2194</v>
      </c>
      <c r="G2178" s="513" t="s">
        <v>29</v>
      </c>
      <c r="H2178" s="516">
        <v>168528</v>
      </c>
      <c r="I2178" s="512" t="s">
        <v>6915</v>
      </c>
    </row>
    <row r="2179" spans="2:9" ht="15" x14ac:dyDescent="0.35">
      <c r="B2179" s="512" t="s">
        <v>6291</v>
      </c>
      <c r="C2179" s="512" t="s">
        <v>6237</v>
      </c>
      <c r="D2179" s="512" t="s">
        <v>6276</v>
      </c>
      <c r="E2179" s="513">
        <v>7578</v>
      </c>
      <c r="F2179" s="512" t="s">
        <v>2195</v>
      </c>
      <c r="G2179" s="513" t="s">
        <v>29</v>
      </c>
      <c r="H2179" s="516">
        <v>241555</v>
      </c>
      <c r="I2179" s="512" t="s">
        <v>6915</v>
      </c>
    </row>
    <row r="2180" spans="2:9" ht="15" x14ac:dyDescent="0.35">
      <c r="B2180" s="512" t="s">
        <v>6291</v>
      </c>
      <c r="C2180" s="512" t="s">
        <v>6237</v>
      </c>
      <c r="D2180" s="512" t="s">
        <v>6276</v>
      </c>
      <c r="E2180" s="513">
        <v>7580</v>
      </c>
      <c r="F2180" s="512" t="s">
        <v>2196</v>
      </c>
      <c r="G2180" s="513" t="s">
        <v>29</v>
      </c>
      <c r="H2180" s="514">
        <v>99285</v>
      </c>
      <c r="I2180" s="515" t="s">
        <v>6915</v>
      </c>
    </row>
    <row r="2181" spans="2:9" ht="15" x14ac:dyDescent="0.35">
      <c r="B2181" s="512" t="s">
        <v>6291</v>
      </c>
      <c r="C2181" s="512" t="s">
        <v>6237</v>
      </c>
      <c r="D2181" s="512" t="s">
        <v>6276</v>
      </c>
      <c r="E2181" s="513">
        <v>7584</v>
      </c>
      <c r="F2181" s="512" t="s">
        <v>2197</v>
      </c>
      <c r="G2181" s="513" t="s">
        <v>29</v>
      </c>
      <c r="H2181" s="514">
        <v>87052</v>
      </c>
      <c r="I2181" s="515" t="s">
        <v>6915</v>
      </c>
    </row>
    <row r="2182" spans="2:9" ht="15" x14ac:dyDescent="0.35">
      <c r="B2182" s="512" t="s">
        <v>6291</v>
      </c>
      <c r="C2182" s="512" t="s">
        <v>6237</v>
      </c>
      <c r="D2182" s="512" t="s">
        <v>6276</v>
      </c>
      <c r="E2182" s="513">
        <v>7586</v>
      </c>
      <c r="F2182" s="512" t="s">
        <v>2198</v>
      </c>
      <c r="G2182" s="513" t="s">
        <v>29</v>
      </c>
      <c r="H2182" s="516">
        <v>105361</v>
      </c>
      <c r="I2182" s="512" t="s">
        <v>6915</v>
      </c>
    </row>
    <row r="2183" spans="2:9" ht="15" x14ac:dyDescent="0.35">
      <c r="B2183" s="512" t="s">
        <v>6291</v>
      </c>
      <c r="C2183" s="512" t="s">
        <v>6224</v>
      </c>
      <c r="D2183" s="512" t="s">
        <v>6262</v>
      </c>
      <c r="E2183" s="513">
        <v>7587</v>
      </c>
      <c r="F2183" s="512" t="s">
        <v>2199</v>
      </c>
      <c r="G2183" s="513" t="s">
        <v>26</v>
      </c>
      <c r="H2183" s="516">
        <v>72534</v>
      </c>
      <c r="I2183" s="512" t="s">
        <v>6915</v>
      </c>
    </row>
    <row r="2184" spans="2:9" ht="15" x14ac:dyDescent="0.35">
      <c r="B2184" s="512" t="s">
        <v>6291</v>
      </c>
      <c r="C2184" s="512" t="s">
        <v>6226</v>
      </c>
      <c r="D2184" s="512" t="s">
        <v>6226</v>
      </c>
      <c r="E2184" s="513">
        <v>7589</v>
      </c>
      <c r="F2184" s="512" t="s">
        <v>2200</v>
      </c>
      <c r="G2184" s="513" t="s">
        <v>29</v>
      </c>
      <c r="H2184" s="514">
        <v>9209</v>
      </c>
      <c r="I2184" s="515" t="s">
        <v>6915</v>
      </c>
    </row>
    <row r="2185" spans="2:9" ht="15" x14ac:dyDescent="0.35">
      <c r="B2185" s="512" t="s">
        <v>6292</v>
      </c>
      <c r="C2185" s="512" t="s">
        <v>6232</v>
      </c>
      <c r="D2185" s="512" t="s">
        <v>6232</v>
      </c>
      <c r="E2185" s="513">
        <v>7590</v>
      </c>
      <c r="F2185" s="512" t="s">
        <v>2201</v>
      </c>
      <c r="G2185" s="513" t="s">
        <v>29</v>
      </c>
      <c r="H2185" s="514">
        <v>39909</v>
      </c>
      <c r="I2185" s="515" t="s">
        <v>6915</v>
      </c>
    </row>
    <row r="2186" spans="2:9" ht="15" x14ac:dyDescent="0.35">
      <c r="B2186" s="512" t="s">
        <v>6292</v>
      </c>
      <c r="C2186" s="512" t="s">
        <v>6227</v>
      </c>
      <c r="D2186" s="512" t="s">
        <v>6229</v>
      </c>
      <c r="E2186" s="513">
        <v>7591</v>
      </c>
      <c r="F2186" s="512" t="s">
        <v>2202</v>
      </c>
      <c r="G2186" s="513" t="s">
        <v>23</v>
      </c>
      <c r="H2186" s="514">
        <v>213696</v>
      </c>
      <c r="I2186" s="515" t="s">
        <v>6915</v>
      </c>
    </row>
    <row r="2187" spans="2:9" ht="15" x14ac:dyDescent="0.35">
      <c r="B2187" s="512" t="s">
        <v>6292</v>
      </c>
      <c r="C2187" s="512" t="s">
        <v>6240</v>
      </c>
      <c r="D2187" s="512" t="s">
        <v>6275</v>
      </c>
      <c r="E2187" s="513">
        <v>7597</v>
      </c>
      <c r="F2187" s="512" t="s">
        <v>2203</v>
      </c>
      <c r="G2187" s="513" t="s">
        <v>29</v>
      </c>
      <c r="H2187" s="516">
        <v>338196</v>
      </c>
      <c r="I2187" s="512" t="s">
        <v>6915</v>
      </c>
    </row>
    <row r="2188" spans="2:9" ht="15" x14ac:dyDescent="0.35">
      <c r="B2188" s="512" t="s">
        <v>6292</v>
      </c>
      <c r="C2188" s="512" t="s">
        <v>6253</v>
      </c>
      <c r="D2188" s="512" t="s">
        <v>6284</v>
      </c>
      <c r="E2188" s="513">
        <v>7599</v>
      </c>
      <c r="F2188" s="512" t="s">
        <v>2204</v>
      </c>
      <c r="G2188" s="513" t="s">
        <v>21</v>
      </c>
      <c r="H2188" s="516">
        <v>492051</v>
      </c>
      <c r="I2188" s="512" t="s">
        <v>6915</v>
      </c>
    </row>
    <row r="2189" spans="2:9" ht="15" x14ac:dyDescent="0.35">
      <c r="B2189" s="512" t="s">
        <v>6292</v>
      </c>
      <c r="C2189" s="512" t="s">
        <v>6232</v>
      </c>
      <c r="D2189" s="512" t="s">
        <v>6232</v>
      </c>
      <c r="E2189" s="513">
        <v>7600</v>
      </c>
      <c r="F2189" s="512" t="s">
        <v>2205</v>
      </c>
      <c r="G2189" s="513" t="s">
        <v>29</v>
      </c>
      <c r="H2189" s="514">
        <v>22416</v>
      </c>
      <c r="I2189" s="515" t="s">
        <v>6915</v>
      </c>
    </row>
    <row r="2190" spans="2:9" ht="15" x14ac:dyDescent="0.35">
      <c r="B2190" s="512" t="s">
        <v>6292</v>
      </c>
      <c r="C2190" s="512" t="s">
        <v>6232</v>
      </c>
      <c r="D2190" s="512" t="s">
        <v>6232</v>
      </c>
      <c r="E2190" s="513">
        <v>7602</v>
      </c>
      <c r="F2190" s="512" t="s">
        <v>2206</v>
      </c>
      <c r="G2190" s="513" t="s">
        <v>29</v>
      </c>
      <c r="H2190" s="516">
        <v>43310</v>
      </c>
      <c r="I2190" s="512" t="s">
        <v>6915</v>
      </c>
    </row>
    <row r="2191" spans="2:9" ht="15" x14ac:dyDescent="0.35">
      <c r="B2191" s="512" t="s">
        <v>6292</v>
      </c>
      <c r="C2191" s="512" t="s">
        <v>6233</v>
      </c>
      <c r="D2191" s="512" t="s">
        <v>6234</v>
      </c>
      <c r="E2191" s="513">
        <v>7609</v>
      </c>
      <c r="F2191" s="512" t="s">
        <v>2207</v>
      </c>
      <c r="G2191" s="513" t="s">
        <v>26</v>
      </c>
      <c r="H2191" s="514">
        <v>139549</v>
      </c>
      <c r="I2191" s="515" t="s">
        <v>6915</v>
      </c>
    </row>
    <row r="2192" spans="2:9" ht="15" x14ac:dyDescent="0.35">
      <c r="B2192" s="512" t="s">
        <v>6292</v>
      </c>
      <c r="C2192" s="512" t="s">
        <v>6239</v>
      </c>
      <c r="D2192" s="512" t="s">
        <v>6239</v>
      </c>
      <c r="E2192" s="513">
        <v>7632</v>
      </c>
      <c r="F2192" s="512" t="s">
        <v>2208</v>
      </c>
      <c r="G2192" s="513" t="s">
        <v>26</v>
      </c>
      <c r="H2192" s="516">
        <v>18931</v>
      </c>
      <c r="I2192" s="512" t="s">
        <v>6915</v>
      </c>
    </row>
    <row r="2193" spans="2:9" ht="15" x14ac:dyDescent="0.35">
      <c r="B2193" s="512" t="s">
        <v>6292</v>
      </c>
      <c r="C2193" s="512" t="s">
        <v>6224</v>
      </c>
      <c r="D2193" s="512" t="s">
        <v>6225</v>
      </c>
      <c r="E2193" s="513">
        <v>7633</v>
      </c>
      <c r="F2193" s="512" t="s">
        <v>2209</v>
      </c>
      <c r="G2193" s="513" t="s">
        <v>29</v>
      </c>
      <c r="H2193" s="514">
        <v>112768</v>
      </c>
      <c r="I2193" s="515" t="s">
        <v>6915</v>
      </c>
    </row>
    <row r="2194" spans="2:9" ht="15" x14ac:dyDescent="0.35">
      <c r="B2194" s="512" t="s">
        <v>6292</v>
      </c>
      <c r="C2194" s="512" t="s">
        <v>6224</v>
      </c>
      <c r="D2194" s="512" t="s">
        <v>6225</v>
      </c>
      <c r="E2194" s="513">
        <v>7638</v>
      </c>
      <c r="F2194" s="512" t="s">
        <v>2210</v>
      </c>
      <c r="G2194" s="513" t="s">
        <v>29</v>
      </c>
      <c r="H2194" s="514">
        <v>189096</v>
      </c>
      <c r="I2194" s="515" t="s">
        <v>6915</v>
      </c>
    </row>
    <row r="2195" spans="2:9" ht="15" x14ac:dyDescent="0.35">
      <c r="B2195" s="512" t="s">
        <v>6293</v>
      </c>
      <c r="C2195" s="512" t="s">
        <v>6242</v>
      </c>
      <c r="D2195" s="512" t="s">
        <v>6243</v>
      </c>
      <c r="E2195" s="513">
        <v>7639</v>
      </c>
      <c r="F2195" s="512" t="s">
        <v>6444</v>
      </c>
      <c r="G2195" s="513" t="s">
        <v>23</v>
      </c>
      <c r="H2195" s="516">
        <v>745091</v>
      </c>
      <c r="I2195" s="512" t="s">
        <v>6915</v>
      </c>
    </row>
    <row r="2196" spans="2:9" ht="15" x14ac:dyDescent="0.35">
      <c r="B2196" s="512" t="s">
        <v>6293</v>
      </c>
      <c r="C2196" s="512" t="s">
        <v>6224</v>
      </c>
      <c r="D2196" s="512" t="s">
        <v>6225</v>
      </c>
      <c r="E2196" s="513">
        <v>7646</v>
      </c>
      <c r="F2196" s="512" t="s">
        <v>2211</v>
      </c>
      <c r="G2196" s="513" t="s">
        <v>29</v>
      </c>
      <c r="H2196" s="516">
        <v>7806611</v>
      </c>
      <c r="I2196" s="512" t="s">
        <v>6915</v>
      </c>
    </row>
    <row r="2197" spans="2:9" ht="15" x14ac:dyDescent="0.35">
      <c r="B2197" s="512" t="s">
        <v>6293</v>
      </c>
      <c r="C2197" s="512" t="s">
        <v>6224</v>
      </c>
      <c r="D2197" s="512" t="s">
        <v>6225</v>
      </c>
      <c r="E2197" s="513">
        <v>7648</v>
      </c>
      <c r="F2197" s="512" t="s">
        <v>2212</v>
      </c>
      <c r="G2197" s="513" t="s">
        <v>29</v>
      </c>
      <c r="H2197" s="516">
        <v>8071446</v>
      </c>
      <c r="I2197" s="512" t="s">
        <v>6915</v>
      </c>
    </row>
    <row r="2198" spans="2:9" ht="15" x14ac:dyDescent="0.35">
      <c r="B2198" s="512" t="s">
        <v>6293</v>
      </c>
      <c r="C2198" s="512" t="s">
        <v>6224</v>
      </c>
      <c r="D2198" s="512" t="s">
        <v>6225</v>
      </c>
      <c r="E2198" s="513">
        <v>7652</v>
      </c>
      <c r="F2198" s="512" t="s">
        <v>2213</v>
      </c>
      <c r="G2198" s="513" t="s">
        <v>26</v>
      </c>
      <c r="H2198" s="514">
        <v>179846</v>
      </c>
      <c r="I2198" s="515" t="s">
        <v>6915</v>
      </c>
    </row>
    <row r="2199" spans="2:9" ht="15" x14ac:dyDescent="0.35">
      <c r="B2199" s="512" t="s">
        <v>6293</v>
      </c>
      <c r="C2199" s="512" t="s">
        <v>6224</v>
      </c>
      <c r="D2199" s="512" t="s">
        <v>6262</v>
      </c>
      <c r="E2199" s="513">
        <v>7653</v>
      </c>
      <c r="F2199" s="512" t="s">
        <v>2214</v>
      </c>
      <c r="G2199" s="513" t="s">
        <v>29</v>
      </c>
      <c r="H2199" s="514">
        <v>408803</v>
      </c>
      <c r="I2199" s="515" t="s">
        <v>6915</v>
      </c>
    </row>
    <row r="2200" spans="2:9" ht="15" x14ac:dyDescent="0.35">
      <c r="B2200" s="512" t="s">
        <v>6293</v>
      </c>
      <c r="C2200" s="512" t="s">
        <v>6224</v>
      </c>
      <c r="D2200" s="512" t="s">
        <v>6225</v>
      </c>
      <c r="E2200" s="513">
        <v>7655</v>
      </c>
      <c r="F2200" s="512" t="s">
        <v>2215</v>
      </c>
      <c r="G2200" s="513" t="s">
        <v>26</v>
      </c>
      <c r="H2200" s="514">
        <v>110395</v>
      </c>
      <c r="I2200" s="515" t="s">
        <v>6915</v>
      </c>
    </row>
    <row r="2201" spans="2:9" ht="15" x14ac:dyDescent="0.35">
      <c r="B2201" s="512" t="s">
        <v>6293</v>
      </c>
      <c r="C2201" s="512" t="s">
        <v>6224</v>
      </c>
      <c r="D2201" s="512" t="s">
        <v>6225</v>
      </c>
      <c r="E2201" s="513">
        <v>7656</v>
      </c>
      <c r="F2201" s="512" t="s">
        <v>2216</v>
      </c>
      <c r="G2201" s="513" t="s">
        <v>29</v>
      </c>
      <c r="H2201" s="514">
        <v>2055524</v>
      </c>
      <c r="I2201" s="515" t="s">
        <v>6915</v>
      </c>
    </row>
    <row r="2202" spans="2:9" ht="15" x14ac:dyDescent="0.35">
      <c r="B2202" s="512" t="s">
        <v>6293</v>
      </c>
      <c r="C2202" s="512" t="s">
        <v>6240</v>
      </c>
      <c r="D2202" s="512" t="s">
        <v>6241</v>
      </c>
      <c r="E2202" s="513">
        <v>7657</v>
      </c>
      <c r="F2202" s="512" t="s">
        <v>2217</v>
      </c>
      <c r="G2202" s="513" t="s">
        <v>23</v>
      </c>
      <c r="H2202" s="514">
        <v>1564859</v>
      </c>
      <c r="I2202" s="515" t="s">
        <v>6915</v>
      </c>
    </row>
    <row r="2203" spans="2:9" ht="15" x14ac:dyDescent="0.35">
      <c r="B2203" s="512" t="s">
        <v>6293</v>
      </c>
      <c r="C2203" s="512" t="s">
        <v>6224</v>
      </c>
      <c r="D2203" s="512" t="s">
        <v>6225</v>
      </c>
      <c r="E2203" s="513">
        <v>7658</v>
      </c>
      <c r="F2203" s="512" t="s">
        <v>2218</v>
      </c>
      <c r="G2203" s="513" t="s">
        <v>26</v>
      </c>
      <c r="H2203" s="514">
        <v>136872</v>
      </c>
      <c r="I2203" s="515" t="s">
        <v>6915</v>
      </c>
    </row>
    <row r="2204" spans="2:9" ht="15" x14ac:dyDescent="0.35">
      <c r="B2204" s="512" t="s">
        <v>6293</v>
      </c>
      <c r="C2204" s="512" t="s">
        <v>6239</v>
      </c>
      <c r="D2204" s="512" t="s">
        <v>6239</v>
      </c>
      <c r="E2204" s="513">
        <v>7659</v>
      </c>
      <c r="F2204" s="512" t="s">
        <v>2219</v>
      </c>
      <c r="G2204" s="513" t="s">
        <v>29</v>
      </c>
      <c r="H2204" s="514">
        <v>8733521</v>
      </c>
      <c r="I2204" s="515" t="s">
        <v>6915</v>
      </c>
    </row>
    <row r="2205" spans="2:9" ht="15" x14ac:dyDescent="0.35">
      <c r="B2205" s="512" t="s">
        <v>6293</v>
      </c>
      <c r="C2205" s="512" t="s">
        <v>6239</v>
      </c>
      <c r="D2205" s="512" t="s">
        <v>6239</v>
      </c>
      <c r="E2205" s="513">
        <v>7660</v>
      </c>
      <c r="F2205" s="512" t="s">
        <v>2220</v>
      </c>
      <c r="G2205" s="513" t="s">
        <v>29</v>
      </c>
      <c r="H2205" s="514">
        <v>3575012</v>
      </c>
      <c r="I2205" s="515" t="s">
        <v>6915</v>
      </c>
    </row>
    <row r="2206" spans="2:9" ht="15" x14ac:dyDescent="0.35">
      <c r="B2206" s="512" t="s">
        <v>6293</v>
      </c>
      <c r="C2206" s="512" t="s">
        <v>6224</v>
      </c>
      <c r="D2206" s="512" t="s">
        <v>6225</v>
      </c>
      <c r="E2206" s="513">
        <v>7661</v>
      </c>
      <c r="F2206" s="512" t="s">
        <v>2221</v>
      </c>
      <c r="G2206" s="513" t="s">
        <v>26</v>
      </c>
      <c r="H2206" s="514">
        <v>229288</v>
      </c>
      <c r="I2206" s="515" t="s">
        <v>6915</v>
      </c>
    </row>
    <row r="2207" spans="2:9" ht="15" x14ac:dyDescent="0.35">
      <c r="B2207" s="512" t="s">
        <v>6293</v>
      </c>
      <c r="C2207" s="512" t="s">
        <v>6240</v>
      </c>
      <c r="D2207" s="512" t="s">
        <v>6240</v>
      </c>
      <c r="E2207" s="513">
        <v>7662</v>
      </c>
      <c r="F2207" s="512" t="s">
        <v>2222</v>
      </c>
      <c r="G2207" s="513" t="s">
        <v>23</v>
      </c>
      <c r="H2207" s="514">
        <v>1121615</v>
      </c>
      <c r="I2207" s="515" t="s">
        <v>6915</v>
      </c>
    </row>
    <row r="2208" spans="2:9" ht="15" x14ac:dyDescent="0.35">
      <c r="B2208" s="512" t="s">
        <v>6293</v>
      </c>
      <c r="C2208" s="512" t="s">
        <v>6224</v>
      </c>
      <c r="D2208" s="512" t="s">
        <v>6225</v>
      </c>
      <c r="E2208" s="513">
        <v>7663</v>
      </c>
      <c r="F2208" s="512" t="s">
        <v>2223</v>
      </c>
      <c r="G2208" s="513" t="s">
        <v>26</v>
      </c>
      <c r="H2208" s="514">
        <v>170526</v>
      </c>
      <c r="I2208" s="515" t="s">
        <v>6915</v>
      </c>
    </row>
    <row r="2209" spans="2:9" ht="15" x14ac:dyDescent="0.35">
      <c r="B2209" s="512" t="s">
        <v>6293</v>
      </c>
      <c r="C2209" s="512" t="s">
        <v>6224</v>
      </c>
      <c r="D2209" s="512" t="s">
        <v>6225</v>
      </c>
      <c r="E2209" s="513">
        <v>7665</v>
      </c>
      <c r="F2209" s="512" t="s">
        <v>2224</v>
      </c>
      <c r="G2209" s="513" t="s">
        <v>29</v>
      </c>
      <c r="H2209" s="516">
        <v>116024</v>
      </c>
      <c r="I2209" s="512" t="s">
        <v>6915</v>
      </c>
    </row>
    <row r="2210" spans="2:9" ht="15" x14ac:dyDescent="0.35">
      <c r="B2210" s="512" t="s">
        <v>6293</v>
      </c>
      <c r="C2210" s="512" t="s">
        <v>6224</v>
      </c>
      <c r="D2210" s="512" t="s">
        <v>6225</v>
      </c>
      <c r="E2210" s="513">
        <v>7671</v>
      </c>
      <c r="F2210" s="512" t="s">
        <v>2225</v>
      </c>
      <c r="G2210" s="513" t="s">
        <v>29</v>
      </c>
      <c r="H2210" s="514">
        <v>2068433</v>
      </c>
      <c r="I2210" s="515" t="s">
        <v>6915</v>
      </c>
    </row>
    <row r="2211" spans="2:9" ht="15" x14ac:dyDescent="0.35">
      <c r="B2211" s="512" t="s">
        <v>6293</v>
      </c>
      <c r="C2211" s="512" t="s">
        <v>6224</v>
      </c>
      <c r="D2211" s="512" t="s">
        <v>6225</v>
      </c>
      <c r="E2211" s="513">
        <v>7675</v>
      </c>
      <c r="F2211" s="512" t="s">
        <v>2226</v>
      </c>
      <c r="G2211" s="513" t="s">
        <v>29</v>
      </c>
      <c r="H2211" s="514">
        <v>3346665</v>
      </c>
      <c r="I2211" s="515" t="s">
        <v>6915</v>
      </c>
    </row>
    <row r="2212" spans="2:9" ht="15" x14ac:dyDescent="0.35">
      <c r="B2212" s="512" t="s">
        <v>6293</v>
      </c>
      <c r="C2212" s="512" t="s">
        <v>6224</v>
      </c>
      <c r="D2212" s="512" t="s">
        <v>6225</v>
      </c>
      <c r="E2212" s="513">
        <v>7676</v>
      </c>
      <c r="F2212" s="512" t="s">
        <v>2227</v>
      </c>
      <c r="G2212" s="513" t="s">
        <v>29</v>
      </c>
      <c r="H2212" s="514">
        <v>432413</v>
      </c>
      <c r="I2212" s="515" t="s">
        <v>6915</v>
      </c>
    </row>
    <row r="2213" spans="2:9" ht="15" x14ac:dyDescent="0.35">
      <c r="B2213" s="512" t="s">
        <v>6293</v>
      </c>
      <c r="C2213" s="512" t="s">
        <v>6240</v>
      </c>
      <c r="D2213" s="512" t="s">
        <v>6241</v>
      </c>
      <c r="E2213" s="513">
        <v>7680</v>
      </c>
      <c r="F2213" s="512" t="s">
        <v>2228</v>
      </c>
      <c r="G2213" s="513" t="s">
        <v>23</v>
      </c>
      <c r="H2213" s="514">
        <v>1023204</v>
      </c>
      <c r="I2213" s="515" t="s">
        <v>6915</v>
      </c>
    </row>
    <row r="2214" spans="2:9" ht="15" x14ac:dyDescent="0.35">
      <c r="B2214" s="512" t="s">
        <v>6293</v>
      </c>
      <c r="C2214" s="512" t="s">
        <v>6240</v>
      </c>
      <c r="D2214" s="512" t="s">
        <v>6241</v>
      </c>
      <c r="E2214" s="513">
        <v>7681</v>
      </c>
      <c r="F2214" s="512" t="s">
        <v>2229</v>
      </c>
      <c r="G2214" s="513" t="s">
        <v>23</v>
      </c>
      <c r="H2214" s="514">
        <v>1154830</v>
      </c>
      <c r="I2214" s="515" t="s">
        <v>6915</v>
      </c>
    </row>
    <row r="2215" spans="2:9" ht="15" x14ac:dyDescent="0.35">
      <c r="B2215" s="512" t="s">
        <v>6290</v>
      </c>
      <c r="C2215" s="512" t="s">
        <v>6224</v>
      </c>
      <c r="D2215" s="512" t="s">
        <v>6225</v>
      </c>
      <c r="E2215" s="513">
        <v>7687</v>
      </c>
      <c r="F2215" s="512" t="s">
        <v>2230</v>
      </c>
      <c r="G2215" s="513" t="s">
        <v>26</v>
      </c>
      <c r="H2215" s="514">
        <v>254923</v>
      </c>
      <c r="I2215" s="515" t="s">
        <v>6915</v>
      </c>
    </row>
    <row r="2216" spans="2:9" ht="15" x14ac:dyDescent="0.35">
      <c r="B2216" s="512" t="s">
        <v>6292</v>
      </c>
      <c r="C2216" s="512" t="s">
        <v>6224</v>
      </c>
      <c r="D2216" s="512" t="s">
        <v>6225</v>
      </c>
      <c r="E2216" s="513">
        <v>7690</v>
      </c>
      <c r="F2216" s="512" t="s">
        <v>2231</v>
      </c>
      <c r="G2216" s="513" t="s">
        <v>29</v>
      </c>
      <c r="H2216" s="514">
        <v>5681215</v>
      </c>
      <c r="I2216" s="515" t="s">
        <v>6915</v>
      </c>
    </row>
    <row r="2217" spans="2:9" ht="15" x14ac:dyDescent="0.35">
      <c r="B2217" s="512" t="s">
        <v>6294</v>
      </c>
      <c r="C2217" s="512" t="s">
        <v>6232</v>
      </c>
      <c r="D2217" s="512" t="s">
        <v>6232</v>
      </c>
      <c r="E2217" s="513">
        <v>7691</v>
      </c>
      <c r="F2217" s="512" t="s">
        <v>2232</v>
      </c>
      <c r="G2217" s="513" t="s">
        <v>29</v>
      </c>
      <c r="H2217" s="514">
        <v>14604</v>
      </c>
      <c r="I2217" s="515" t="s">
        <v>6915</v>
      </c>
    </row>
    <row r="2218" spans="2:9" ht="15" x14ac:dyDescent="0.35">
      <c r="B2218" s="512" t="s">
        <v>6292</v>
      </c>
      <c r="C2218" s="512" t="s">
        <v>6251</v>
      </c>
      <c r="D2218" s="512" t="s">
        <v>6251</v>
      </c>
      <c r="E2218" s="513">
        <v>7713</v>
      </c>
      <c r="F2218" s="512" t="s">
        <v>2233</v>
      </c>
      <c r="G2218" s="513" t="s">
        <v>367</v>
      </c>
      <c r="H2218" s="514">
        <v>8071</v>
      </c>
      <c r="I2218" s="515" t="s">
        <v>6915</v>
      </c>
    </row>
    <row r="2219" spans="2:9" ht="15" x14ac:dyDescent="0.35">
      <c r="B2219" s="512" t="s">
        <v>6292</v>
      </c>
      <c r="C2219" s="512" t="s">
        <v>6251</v>
      </c>
      <c r="D2219" s="512" t="s">
        <v>6251</v>
      </c>
      <c r="E2219" s="513">
        <v>7714</v>
      </c>
      <c r="F2219" s="512" t="s">
        <v>2234</v>
      </c>
      <c r="G2219" s="513" t="s">
        <v>367</v>
      </c>
      <c r="H2219" s="514">
        <v>8071</v>
      </c>
      <c r="I2219" s="515" t="s">
        <v>6915</v>
      </c>
    </row>
    <row r="2220" spans="2:9" ht="15" x14ac:dyDescent="0.35">
      <c r="B2220" s="512" t="s">
        <v>6292</v>
      </c>
      <c r="C2220" s="512" t="s">
        <v>6240</v>
      </c>
      <c r="D2220" s="512" t="s">
        <v>6275</v>
      </c>
      <c r="E2220" s="513">
        <v>7715</v>
      </c>
      <c r="F2220" s="512" t="s">
        <v>2235</v>
      </c>
      <c r="G2220" s="513" t="s">
        <v>29</v>
      </c>
      <c r="H2220" s="514">
        <v>7106</v>
      </c>
      <c r="I2220" s="515" t="s">
        <v>6915</v>
      </c>
    </row>
    <row r="2221" spans="2:9" ht="15" x14ac:dyDescent="0.35">
      <c r="B2221" s="512" t="s">
        <v>6293</v>
      </c>
      <c r="C2221" s="512" t="s">
        <v>6240</v>
      </c>
      <c r="D2221" s="512" t="s">
        <v>6240</v>
      </c>
      <c r="E2221" s="513">
        <v>7717</v>
      </c>
      <c r="F2221" s="512" t="s">
        <v>2236</v>
      </c>
      <c r="G2221" s="513" t="s">
        <v>23</v>
      </c>
      <c r="H2221" s="514">
        <v>2040931</v>
      </c>
      <c r="I2221" s="515" t="s">
        <v>6915</v>
      </c>
    </row>
    <row r="2222" spans="2:9" ht="15" x14ac:dyDescent="0.35">
      <c r="B2222" s="512" t="s">
        <v>6295</v>
      </c>
      <c r="C2222" s="512" t="s">
        <v>6240</v>
      </c>
      <c r="D2222" s="512" t="s">
        <v>6241</v>
      </c>
      <c r="E2222" s="513">
        <v>7720</v>
      </c>
      <c r="F2222" s="512" t="s">
        <v>2237</v>
      </c>
      <c r="G2222" s="513" t="s">
        <v>23</v>
      </c>
      <c r="H2222" s="514">
        <v>17441</v>
      </c>
      <c r="I2222" s="515" t="s">
        <v>6915</v>
      </c>
    </row>
    <row r="2223" spans="2:9" ht="15" x14ac:dyDescent="0.35">
      <c r="B2223" s="512" t="s">
        <v>6286</v>
      </c>
      <c r="C2223" s="512" t="s">
        <v>6264</v>
      </c>
      <c r="D2223" s="512" t="s">
        <v>6264</v>
      </c>
      <c r="E2223" s="513">
        <v>7723</v>
      </c>
      <c r="F2223" s="512" t="s">
        <v>2238</v>
      </c>
      <c r="G2223" s="513" t="s">
        <v>367</v>
      </c>
      <c r="H2223" s="514">
        <v>9355</v>
      </c>
      <c r="I2223" s="515" t="s">
        <v>6915</v>
      </c>
    </row>
    <row r="2224" spans="2:9" ht="15" x14ac:dyDescent="0.35">
      <c r="B2224" s="512" t="s">
        <v>6286</v>
      </c>
      <c r="C2224" s="512" t="s">
        <v>6240</v>
      </c>
      <c r="D2224" s="512" t="s">
        <v>6240</v>
      </c>
      <c r="E2224" s="513">
        <v>7725</v>
      </c>
      <c r="F2224" s="512" t="s">
        <v>2239</v>
      </c>
      <c r="G2224" s="513" t="s">
        <v>26</v>
      </c>
      <c r="H2224" s="514">
        <v>1459007</v>
      </c>
      <c r="I2224" s="515" t="s">
        <v>6915</v>
      </c>
    </row>
    <row r="2225" spans="2:9" ht="15" x14ac:dyDescent="0.35">
      <c r="B2225" s="512" t="s">
        <v>6295</v>
      </c>
      <c r="C2225" s="512" t="s">
        <v>6239</v>
      </c>
      <c r="D2225" s="512" t="s">
        <v>6239</v>
      </c>
      <c r="E2225" s="513">
        <v>7726</v>
      </c>
      <c r="F2225" s="512" t="s">
        <v>2240</v>
      </c>
      <c r="G2225" s="513" t="s">
        <v>29</v>
      </c>
      <c r="H2225" s="514">
        <v>2489005</v>
      </c>
      <c r="I2225" s="515" t="s">
        <v>6915</v>
      </c>
    </row>
    <row r="2226" spans="2:9" ht="15" x14ac:dyDescent="0.35">
      <c r="B2226" s="512" t="s">
        <v>6295</v>
      </c>
      <c r="C2226" s="512" t="s">
        <v>6239</v>
      </c>
      <c r="D2226" s="512" t="s">
        <v>6239</v>
      </c>
      <c r="E2226" s="513">
        <v>7727</v>
      </c>
      <c r="F2226" s="512" t="s">
        <v>2241</v>
      </c>
      <c r="G2226" s="513" t="s">
        <v>29</v>
      </c>
      <c r="H2226" s="514">
        <v>3234266</v>
      </c>
      <c r="I2226" s="515" t="s">
        <v>6915</v>
      </c>
    </row>
    <row r="2227" spans="2:9" ht="15" x14ac:dyDescent="0.35">
      <c r="B2227" s="512" t="s">
        <v>6295</v>
      </c>
      <c r="C2227" s="512" t="s">
        <v>6239</v>
      </c>
      <c r="D2227" s="512" t="s">
        <v>6239</v>
      </c>
      <c r="E2227" s="513">
        <v>7739</v>
      </c>
      <c r="F2227" s="512" t="s">
        <v>2242</v>
      </c>
      <c r="G2227" s="513" t="s">
        <v>29</v>
      </c>
      <c r="H2227" s="514">
        <v>161828</v>
      </c>
      <c r="I2227" s="515" t="s">
        <v>6915</v>
      </c>
    </row>
    <row r="2228" spans="2:9" ht="15" x14ac:dyDescent="0.35">
      <c r="B2228" s="512" t="s">
        <v>6295</v>
      </c>
      <c r="C2228" s="512" t="s">
        <v>6239</v>
      </c>
      <c r="D2228" s="512" t="s">
        <v>6239</v>
      </c>
      <c r="E2228" s="513">
        <v>7740</v>
      </c>
      <c r="F2228" s="512" t="s">
        <v>2243</v>
      </c>
      <c r="G2228" s="513" t="s">
        <v>29</v>
      </c>
      <c r="H2228" s="514">
        <v>295594</v>
      </c>
      <c r="I2228" s="515" t="s">
        <v>6915</v>
      </c>
    </row>
    <row r="2229" spans="2:9" ht="15" x14ac:dyDescent="0.35">
      <c r="B2229" s="512" t="s">
        <v>6295</v>
      </c>
      <c r="C2229" s="512" t="s">
        <v>6239</v>
      </c>
      <c r="D2229" s="512" t="s">
        <v>6239</v>
      </c>
      <c r="E2229" s="513">
        <v>7741</v>
      </c>
      <c r="F2229" s="512" t="s">
        <v>2244</v>
      </c>
      <c r="G2229" s="513" t="s">
        <v>29</v>
      </c>
      <c r="H2229" s="516">
        <v>1660395</v>
      </c>
      <c r="I2229" s="512" t="s">
        <v>6915</v>
      </c>
    </row>
    <row r="2230" spans="2:9" ht="15" x14ac:dyDescent="0.35">
      <c r="B2230" s="512" t="s">
        <v>6295</v>
      </c>
      <c r="C2230" s="512" t="s">
        <v>6232</v>
      </c>
      <c r="D2230" s="512" t="s">
        <v>6232</v>
      </c>
      <c r="E2230" s="513">
        <v>7744</v>
      </c>
      <c r="F2230" s="512" t="s">
        <v>2245</v>
      </c>
      <c r="G2230" s="513" t="s">
        <v>29</v>
      </c>
      <c r="H2230" s="516">
        <v>169415</v>
      </c>
      <c r="I2230" s="512" t="s">
        <v>6915</v>
      </c>
    </row>
    <row r="2231" spans="2:9" ht="15" x14ac:dyDescent="0.35">
      <c r="B2231" s="512" t="s">
        <v>6295</v>
      </c>
      <c r="C2231" s="512" t="s">
        <v>6232</v>
      </c>
      <c r="D2231" s="512" t="s">
        <v>6232</v>
      </c>
      <c r="E2231" s="513">
        <v>7745</v>
      </c>
      <c r="F2231" s="512" t="s">
        <v>2246</v>
      </c>
      <c r="G2231" s="513" t="s">
        <v>29</v>
      </c>
      <c r="H2231" s="514">
        <v>448058</v>
      </c>
      <c r="I2231" s="515" t="s">
        <v>6915</v>
      </c>
    </row>
    <row r="2232" spans="2:9" ht="15" x14ac:dyDescent="0.35">
      <c r="B2232" s="512" t="s">
        <v>6295</v>
      </c>
      <c r="C2232" s="512" t="s">
        <v>6237</v>
      </c>
      <c r="D2232" s="512" t="s">
        <v>6276</v>
      </c>
      <c r="E2232" s="513">
        <v>7750</v>
      </c>
      <c r="F2232" s="512" t="s">
        <v>2247</v>
      </c>
      <c r="G2232" s="513" t="s">
        <v>26</v>
      </c>
      <c r="H2232" s="514">
        <v>865156</v>
      </c>
      <c r="I2232" s="515" t="s">
        <v>6915</v>
      </c>
    </row>
    <row r="2233" spans="2:9" ht="15" x14ac:dyDescent="0.35">
      <c r="B2233" s="512" t="s">
        <v>6295</v>
      </c>
      <c r="C2233" s="512" t="s">
        <v>6242</v>
      </c>
      <c r="D2233" s="512" t="s">
        <v>6257</v>
      </c>
      <c r="E2233" s="513">
        <v>7751</v>
      </c>
      <c r="F2233" s="512" t="s">
        <v>2248</v>
      </c>
      <c r="G2233" s="513" t="s">
        <v>23</v>
      </c>
      <c r="H2233" s="514">
        <v>135406</v>
      </c>
      <c r="I2233" s="515" t="s">
        <v>6915</v>
      </c>
    </row>
    <row r="2234" spans="2:9" ht="15" x14ac:dyDescent="0.35">
      <c r="B2234" s="512" t="s">
        <v>6296</v>
      </c>
      <c r="C2234" s="512" t="s">
        <v>6240</v>
      </c>
      <c r="D2234" s="512" t="s">
        <v>6241</v>
      </c>
      <c r="E2234" s="513">
        <v>7768</v>
      </c>
      <c r="F2234" s="512" t="s">
        <v>2249</v>
      </c>
      <c r="G2234" s="513" t="s">
        <v>23</v>
      </c>
      <c r="H2234" s="514">
        <v>956119</v>
      </c>
      <c r="I2234" s="515" t="s">
        <v>6915</v>
      </c>
    </row>
    <row r="2235" spans="2:9" ht="15" x14ac:dyDescent="0.35">
      <c r="B2235" s="512" t="s">
        <v>6297</v>
      </c>
      <c r="C2235" s="512" t="s">
        <v>6230</v>
      </c>
      <c r="D2235" s="512" t="s">
        <v>6231</v>
      </c>
      <c r="E2235" s="513">
        <v>7771</v>
      </c>
      <c r="F2235" s="512" t="s">
        <v>2250</v>
      </c>
      <c r="G2235" s="513" t="s">
        <v>26</v>
      </c>
      <c r="H2235" s="516">
        <v>132627</v>
      </c>
      <c r="I2235" s="512" t="s">
        <v>6915</v>
      </c>
    </row>
    <row r="2236" spans="2:9" ht="15" x14ac:dyDescent="0.35">
      <c r="B2236" s="512" t="s">
        <v>6297</v>
      </c>
      <c r="C2236" s="512" t="s">
        <v>6268</v>
      </c>
      <c r="D2236" s="512" t="s">
        <v>6268</v>
      </c>
      <c r="E2236" s="513">
        <v>7772</v>
      </c>
      <c r="F2236" s="512" t="s">
        <v>2251</v>
      </c>
      <c r="G2236" s="513" t="s">
        <v>1106</v>
      </c>
      <c r="H2236" s="514">
        <v>36348</v>
      </c>
      <c r="I2236" s="515" t="s">
        <v>6915</v>
      </c>
    </row>
    <row r="2237" spans="2:9" ht="15" x14ac:dyDescent="0.35">
      <c r="B2237" s="512" t="s">
        <v>6295</v>
      </c>
      <c r="C2237" s="512" t="s">
        <v>6268</v>
      </c>
      <c r="D2237" s="512" t="s">
        <v>6268</v>
      </c>
      <c r="E2237" s="513">
        <v>7773</v>
      </c>
      <c r="F2237" s="512" t="s">
        <v>2252</v>
      </c>
      <c r="G2237" s="513" t="s">
        <v>29</v>
      </c>
      <c r="H2237" s="516">
        <v>7500594</v>
      </c>
      <c r="I2237" s="512" t="s">
        <v>6915</v>
      </c>
    </row>
    <row r="2238" spans="2:9" ht="15" x14ac:dyDescent="0.35">
      <c r="B2238" s="512" t="s">
        <v>6295</v>
      </c>
      <c r="C2238" s="512" t="s">
        <v>6268</v>
      </c>
      <c r="D2238" s="512" t="s">
        <v>6268</v>
      </c>
      <c r="E2238" s="513">
        <v>7774</v>
      </c>
      <c r="F2238" s="512" t="s">
        <v>2253</v>
      </c>
      <c r="G2238" s="513" t="s">
        <v>29</v>
      </c>
      <c r="H2238" s="514">
        <v>674690</v>
      </c>
      <c r="I2238" s="515" t="s">
        <v>6915</v>
      </c>
    </row>
    <row r="2239" spans="2:9" ht="15" x14ac:dyDescent="0.35">
      <c r="B2239" s="512" t="s">
        <v>6295</v>
      </c>
      <c r="C2239" s="512" t="s">
        <v>6258</v>
      </c>
      <c r="D2239" s="512" t="s">
        <v>6282</v>
      </c>
      <c r="E2239" s="513">
        <v>7775</v>
      </c>
      <c r="F2239" s="512" t="s">
        <v>2254</v>
      </c>
      <c r="G2239" s="513" t="s">
        <v>21</v>
      </c>
      <c r="H2239" s="516">
        <v>34847</v>
      </c>
      <c r="I2239" s="515" t="s">
        <v>6915</v>
      </c>
    </row>
    <row r="2240" spans="2:9" ht="15" x14ac:dyDescent="0.35">
      <c r="B2240" s="512" t="s">
        <v>6295</v>
      </c>
      <c r="C2240" s="512" t="s">
        <v>6227</v>
      </c>
      <c r="D2240" s="512" t="s">
        <v>6248</v>
      </c>
      <c r="E2240" s="513">
        <v>7776</v>
      </c>
      <c r="F2240" s="512" t="s">
        <v>2255</v>
      </c>
      <c r="G2240" s="513" t="s">
        <v>23</v>
      </c>
      <c r="H2240" s="516">
        <v>208016</v>
      </c>
      <c r="I2240" s="512" t="s">
        <v>6915</v>
      </c>
    </row>
    <row r="2241" spans="2:9" ht="15" x14ac:dyDescent="0.35">
      <c r="B2241" s="512" t="s">
        <v>6295</v>
      </c>
      <c r="C2241" s="512" t="s">
        <v>6258</v>
      </c>
      <c r="D2241" s="512" t="s">
        <v>6259</v>
      </c>
      <c r="E2241" s="513">
        <v>7777</v>
      </c>
      <c r="F2241" s="512" t="s">
        <v>2256</v>
      </c>
      <c r="G2241" s="513" t="s">
        <v>26</v>
      </c>
      <c r="H2241" s="516">
        <v>61776</v>
      </c>
      <c r="I2241" s="512" t="s">
        <v>6915</v>
      </c>
    </row>
    <row r="2242" spans="2:9" ht="15" x14ac:dyDescent="0.35">
      <c r="B2242" s="512" t="s">
        <v>6295</v>
      </c>
      <c r="C2242" s="512" t="s">
        <v>6253</v>
      </c>
      <c r="D2242" s="512" t="s">
        <v>6254</v>
      </c>
      <c r="E2242" s="513">
        <v>7778</v>
      </c>
      <c r="F2242" s="512" t="s">
        <v>2257</v>
      </c>
      <c r="G2242" s="513" t="s">
        <v>676</v>
      </c>
      <c r="H2242" s="516">
        <v>98525</v>
      </c>
      <c r="I2242" s="512" t="s">
        <v>6915</v>
      </c>
    </row>
    <row r="2243" spans="2:9" ht="15" x14ac:dyDescent="0.35">
      <c r="B2243" s="512" t="s">
        <v>6295</v>
      </c>
      <c r="C2243" s="512" t="s">
        <v>6253</v>
      </c>
      <c r="D2243" s="512" t="s">
        <v>6254</v>
      </c>
      <c r="E2243" s="513">
        <v>7779</v>
      </c>
      <c r="F2243" s="512" t="s">
        <v>2258</v>
      </c>
      <c r="G2243" s="513" t="s">
        <v>389</v>
      </c>
      <c r="H2243" s="516">
        <v>263016</v>
      </c>
      <c r="I2243" s="512" t="s">
        <v>5686</v>
      </c>
    </row>
    <row r="2244" spans="2:9" ht="15" x14ac:dyDescent="0.35">
      <c r="B2244" s="512" t="s">
        <v>6295</v>
      </c>
      <c r="C2244" s="512" t="s">
        <v>6253</v>
      </c>
      <c r="D2244" s="512" t="s">
        <v>6254</v>
      </c>
      <c r="E2244" s="513">
        <v>7780</v>
      </c>
      <c r="F2244" s="512" t="s">
        <v>2259</v>
      </c>
      <c r="G2244" s="513" t="s">
        <v>676</v>
      </c>
      <c r="H2244" s="514">
        <v>42164</v>
      </c>
      <c r="I2244" s="515" t="s">
        <v>6915</v>
      </c>
    </row>
    <row r="2245" spans="2:9" ht="15" x14ac:dyDescent="0.35">
      <c r="B2245" s="512" t="s">
        <v>6295</v>
      </c>
      <c r="C2245" s="512" t="s">
        <v>6253</v>
      </c>
      <c r="D2245" s="512" t="s">
        <v>6254</v>
      </c>
      <c r="E2245" s="513">
        <v>7781</v>
      </c>
      <c r="F2245" s="512" t="s">
        <v>2260</v>
      </c>
      <c r="G2245" s="513" t="s">
        <v>389</v>
      </c>
      <c r="H2245" s="516">
        <v>426652</v>
      </c>
      <c r="I2245" s="512" t="s">
        <v>5686</v>
      </c>
    </row>
    <row r="2246" spans="2:9" ht="15" x14ac:dyDescent="0.35">
      <c r="B2246" s="512" t="s">
        <v>6295</v>
      </c>
      <c r="C2246" s="512" t="s">
        <v>6253</v>
      </c>
      <c r="D2246" s="512" t="s">
        <v>6254</v>
      </c>
      <c r="E2246" s="513">
        <v>7782</v>
      </c>
      <c r="F2246" s="512" t="s">
        <v>2261</v>
      </c>
      <c r="G2246" s="513" t="s">
        <v>676</v>
      </c>
      <c r="H2246" s="514">
        <v>60951</v>
      </c>
      <c r="I2246" s="515" t="s">
        <v>6915</v>
      </c>
    </row>
    <row r="2247" spans="2:9" ht="15" x14ac:dyDescent="0.35">
      <c r="B2247" s="512" t="s">
        <v>6295</v>
      </c>
      <c r="C2247" s="512" t="s">
        <v>6253</v>
      </c>
      <c r="D2247" s="512" t="s">
        <v>6254</v>
      </c>
      <c r="E2247" s="513">
        <v>7783</v>
      </c>
      <c r="F2247" s="512" t="s">
        <v>2262</v>
      </c>
      <c r="G2247" s="513" t="s">
        <v>389</v>
      </c>
      <c r="H2247" s="514">
        <v>1279956</v>
      </c>
      <c r="I2247" s="515" t="s">
        <v>5686</v>
      </c>
    </row>
    <row r="2248" spans="2:9" ht="15" x14ac:dyDescent="0.35">
      <c r="B2248" s="512" t="s">
        <v>6295</v>
      </c>
      <c r="C2248" s="512" t="s">
        <v>6253</v>
      </c>
      <c r="D2248" s="512" t="s">
        <v>6254</v>
      </c>
      <c r="E2248" s="513">
        <v>7784</v>
      </c>
      <c r="F2248" s="512" t="s">
        <v>2263</v>
      </c>
      <c r="G2248" s="513" t="s">
        <v>389</v>
      </c>
      <c r="H2248" s="516">
        <v>295144</v>
      </c>
      <c r="I2248" s="512" t="s">
        <v>5686</v>
      </c>
    </row>
    <row r="2249" spans="2:9" ht="15" x14ac:dyDescent="0.35">
      <c r="B2249" s="512" t="s">
        <v>6295</v>
      </c>
      <c r="C2249" s="512" t="s">
        <v>6242</v>
      </c>
      <c r="D2249" s="512" t="s">
        <v>6243</v>
      </c>
      <c r="E2249" s="513">
        <v>7785</v>
      </c>
      <c r="F2249" s="512" t="s">
        <v>2264</v>
      </c>
      <c r="G2249" s="513" t="s">
        <v>23</v>
      </c>
      <c r="H2249" s="516">
        <v>1307456</v>
      </c>
      <c r="I2249" s="512" t="s">
        <v>6915</v>
      </c>
    </row>
    <row r="2250" spans="2:9" ht="15" x14ac:dyDescent="0.35">
      <c r="B2250" s="512" t="s">
        <v>6295</v>
      </c>
      <c r="C2250" s="512" t="s">
        <v>6242</v>
      </c>
      <c r="D2250" s="512" t="s">
        <v>6243</v>
      </c>
      <c r="E2250" s="513">
        <v>7786</v>
      </c>
      <c r="F2250" s="512" t="s">
        <v>2265</v>
      </c>
      <c r="G2250" s="513" t="s">
        <v>21</v>
      </c>
      <c r="H2250" s="516">
        <v>3453</v>
      </c>
      <c r="I2250" s="512" t="s">
        <v>6915</v>
      </c>
    </row>
    <row r="2251" spans="2:9" ht="15" x14ac:dyDescent="0.35">
      <c r="B2251" s="512" t="s">
        <v>6295</v>
      </c>
      <c r="C2251" s="512" t="s">
        <v>6251</v>
      </c>
      <c r="D2251" s="512" t="s">
        <v>6251</v>
      </c>
      <c r="E2251" s="513">
        <v>7787</v>
      </c>
      <c r="F2251" s="512" t="s">
        <v>2266</v>
      </c>
      <c r="G2251" s="513" t="s">
        <v>367</v>
      </c>
      <c r="H2251" s="516">
        <v>10924</v>
      </c>
      <c r="I2251" s="512" t="s">
        <v>6915</v>
      </c>
    </row>
    <row r="2252" spans="2:9" ht="15" x14ac:dyDescent="0.35">
      <c r="B2252" s="512" t="s">
        <v>6295</v>
      </c>
      <c r="C2252" s="512" t="s">
        <v>6242</v>
      </c>
      <c r="D2252" s="512" t="s">
        <v>6255</v>
      </c>
      <c r="E2252" s="513">
        <v>7788</v>
      </c>
      <c r="F2252" s="512" t="s">
        <v>2267</v>
      </c>
      <c r="G2252" s="513" t="s">
        <v>26</v>
      </c>
      <c r="H2252" s="516">
        <v>3722</v>
      </c>
      <c r="I2252" s="512" t="s">
        <v>6915</v>
      </c>
    </row>
    <row r="2253" spans="2:9" ht="15" x14ac:dyDescent="0.35">
      <c r="B2253" s="512" t="s">
        <v>6295</v>
      </c>
      <c r="C2253" s="512" t="s">
        <v>6242</v>
      </c>
      <c r="D2253" s="512" t="s">
        <v>6255</v>
      </c>
      <c r="E2253" s="513">
        <v>7789</v>
      </c>
      <c r="F2253" s="512" t="s">
        <v>2268</v>
      </c>
      <c r="G2253" s="513" t="s">
        <v>26</v>
      </c>
      <c r="H2253" s="516">
        <v>7866</v>
      </c>
      <c r="I2253" s="512" t="s">
        <v>6915</v>
      </c>
    </row>
    <row r="2254" spans="2:9" ht="15" x14ac:dyDescent="0.35">
      <c r="B2254" s="512" t="s">
        <v>6295</v>
      </c>
      <c r="C2254" s="512" t="s">
        <v>6220</v>
      </c>
      <c r="D2254" s="512" t="s">
        <v>6221</v>
      </c>
      <c r="E2254" s="513">
        <v>7790</v>
      </c>
      <c r="F2254" s="512" t="s">
        <v>2269</v>
      </c>
      <c r="G2254" s="513" t="s">
        <v>23</v>
      </c>
      <c r="H2254" s="514">
        <v>78582</v>
      </c>
      <c r="I2254" s="515" t="s">
        <v>6915</v>
      </c>
    </row>
    <row r="2255" spans="2:9" ht="15" x14ac:dyDescent="0.35">
      <c r="B2255" s="512" t="s">
        <v>6295</v>
      </c>
      <c r="C2255" s="512" t="s">
        <v>6227</v>
      </c>
      <c r="D2255" s="512" t="s">
        <v>6248</v>
      </c>
      <c r="E2255" s="513">
        <v>7791</v>
      </c>
      <c r="F2255" s="512" t="s">
        <v>2270</v>
      </c>
      <c r="G2255" s="513" t="s">
        <v>23</v>
      </c>
      <c r="H2255" s="514">
        <v>255024</v>
      </c>
      <c r="I2255" s="515" t="s">
        <v>6915</v>
      </c>
    </row>
    <row r="2256" spans="2:9" ht="15" x14ac:dyDescent="0.35">
      <c r="B2256" s="512" t="s">
        <v>6295</v>
      </c>
      <c r="C2256" s="512" t="s">
        <v>6242</v>
      </c>
      <c r="D2256" s="512" t="s">
        <v>6257</v>
      </c>
      <c r="E2256" s="513">
        <v>7792</v>
      </c>
      <c r="F2256" s="512" t="s">
        <v>2271</v>
      </c>
      <c r="G2256" s="513" t="s">
        <v>23</v>
      </c>
      <c r="H2256" s="514">
        <v>136792</v>
      </c>
      <c r="I2256" s="512" t="s">
        <v>6915</v>
      </c>
    </row>
    <row r="2257" spans="2:9" ht="15" x14ac:dyDescent="0.35">
      <c r="B2257" s="512" t="s">
        <v>6295</v>
      </c>
      <c r="C2257" s="512" t="s">
        <v>6242</v>
      </c>
      <c r="D2257" s="512" t="s">
        <v>6257</v>
      </c>
      <c r="E2257" s="513">
        <v>7793</v>
      </c>
      <c r="F2257" s="512" t="s">
        <v>2272</v>
      </c>
      <c r="G2257" s="513" t="s">
        <v>21</v>
      </c>
      <c r="H2257" s="514">
        <v>3423</v>
      </c>
      <c r="I2257" s="515" t="s">
        <v>6915</v>
      </c>
    </row>
    <row r="2258" spans="2:9" ht="15" x14ac:dyDescent="0.35">
      <c r="B2258" s="512" t="s">
        <v>6295</v>
      </c>
      <c r="C2258" s="512" t="s">
        <v>6242</v>
      </c>
      <c r="D2258" s="512" t="s">
        <v>6257</v>
      </c>
      <c r="E2258" s="513">
        <v>7794</v>
      </c>
      <c r="F2258" s="512" t="s">
        <v>2273</v>
      </c>
      <c r="G2258" s="513" t="s">
        <v>23</v>
      </c>
      <c r="H2258" s="514">
        <v>1340095</v>
      </c>
      <c r="I2258" s="512" t="s">
        <v>6915</v>
      </c>
    </row>
    <row r="2259" spans="2:9" ht="15" x14ac:dyDescent="0.35">
      <c r="B2259" s="512" t="s">
        <v>6295</v>
      </c>
      <c r="C2259" s="512" t="s">
        <v>6242</v>
      </c>
      <c r="D2259" s="512" t="s">
        <v>6257</v>
      </c>
      <c r="E2259" s="513">
        <v>7795</v>
      </c>
      <c r="F2259" s="512" t="s">
        <v>2274</v>
      </c>
      <c r="G2259" s="513" t="s">
        <v>23</v>
      </c>
      <c r="H2259" s="516">
        <v>1555224</v>
      </c>
      <c r="I2259" s="512" t="s">
        <v>6915</v>
      </c>
    </row>
    <row r="2260" spans="2:9" ht="15" x14ac:dyDescent="0.35">
      <c r="B2260" s="512" t="s">
        <v>6295</v>
      </c>
      <c r="C2260" s="512" t="s">
        <v>6220</v>
      </c>
      <c r="D2260" s="512" t="s">
        <v>6221</v>
      </c>
      <c r="E2260" s="513">
        <v>7796</v>
      </c>
      <c r="F2260" s="512" t="s">
        <v>2275</v>
      </c>
      <c r="G2260" s="513" t="s">
        <v>23</v>
      </c>
      <c r="H2260" s="516">
        <v>6272</v>
      </c>
      <c r="I2260" s="512" t="s">
        <v>6915</v>
      </c>
    </row>
    <row r="2261" spans="2:9" ht="15" x14ac:dyDescent="0.35">
      <c r="B2261" s="512" t="s">
        <v>6295</v>
      </c>
      <c r="C2261" s="512" t="s">
        <v>6227</v>
      </c>
      <c r="D2261" s="512" t="s">
        <v>6248</v>
      </c>
      <c r="E2261" s="513">
        <v>7797</v>
      </c>
      <c r="F2261" s="512" t="s">
        <v>2276</v>
      </c>
      <c r="G2261" s="513" t="s">
        <v>23</v>
      </c>
      <c r="H2261" s="516">
        <v>263330</v>
      </c>
      <c r="I2261" s="512" t="s">
        <v>6915</v>
      </c>
    </row>
    <row r="2262" spans="2:9" ht="15" x14ac:dyDescent="0.35">
      <c r="B2262" s="512" t="s">
        <v>6295</v>
      </c>
      <c r="C2262" s="512" t="s">
        <v>6223</v>
      </c>
      <c r="D2262" s="512" t="s">
        <v>6223</v>
      </c>
      <c r="E2262" s="513">
        <v>7798</v>
      </c>
      <c r="F2262" s="512" t="s">
        <v>2277</v>
      </c>
      <c r="G2262" s="513" t="s">
        <v>23</v>
      </c>
      <c r="H2262" s="516">
        <v>51455</v>
      </c>
      <c r="I2262" s="512" t="s">
        <v>6915</v>
      </c>
    </row>
    <row r="2263" spans="2:9" ht="15" x14ac:dyDescent="0.35">
      <c r="B2263" s="512" t="s">
        <v>6295</v>
      </c>
      <c r="C2263" s="512" t="s">
        <v>6223</v>
      </c>
      <c r="D2263" s="512" t="s">
        <v>6223</v>
      </c>
      <c r="E2263" s="513">
        <v>7799</v>
      </c>
      <c r="F2263" s="512" t="s">
        <v>2278</v>
      </c>
      <c r="G2263" s="513" t="s">
        <v>21</v>
      </c>
      <c r="H2263" s="516">
        <v>10881</v>
      </c>
      <c r="I2263" s="512" t="s">
        <v>6915</v>
      </c>
    </row>
    <row r="2264" spans="2:9" ht="15" x14ac:dyDescent="0.35">
      <c r="B2264" s="512" t="s">
        <v>6295</v>
      </c>
      <c r="C2264" s="512" t="s">
        <v>6242</v>
      </c>
      <c r="D2264" s="512" t="s">
        <v>6257</v>
      </c>
      <c r="E2264" s="513">
        <v>7800</v>
      </c>
      <c r="F2264" s="512" t="s">
        <v>2279</v>
      </c>
      <c r="G2264" s="513" t="s">
        <v>23</v>
      </c>
      <c r="H2264" s="516">
        <v>1531414</v>
      </c>
      <c r="I2264" s="512" t="s">
        <v>6915</v>
      </c>
    </row>
    <row r="2265" spans="2:9" ht="15" x14ac:dyDescent="0.35">
      <c r="B2265" s="512" t="s">
        <v>6295</v>
      </c>
      <c r="C2265" s="512" t="s">
        <v>6223</v>
      </c>
      <c r="D2265" s="512" t="s">
        <v>6223</v>
      </c>
      <c r="E2265" s="513">
        <v>7801</v>
      </c>
      <c r="F2265" s="512" t="s">
        <v>2280</v>
      </c>
      <c r="G2265" s="513" t="s">
        <v>23</v>
      </c>
      <c r="H2265" s="514">
        <v>75133</v>
      </c>
      <c r="I2265" s="515" t="s">
        <v>6915</v>
      </c>
    </row>
    <row r="2266" spans="2:9" ht="15" x14ac:dyDescent="0.35">
      <c r="B2266" s="512" t="s">
        <v>6295</v>
      </c>
      <c r="C2266" s="512" t="s">
        <v>6252</v>
      </c>
      <c r="D2266" s="512" t="s">
        <v>6252</v>
      </c>
      <c r="E2266" s="513">
        <v>7802</v>
      </c>
      <c r="F2266" s="512" t="s">
        <v>2281</v>
      </c>
      <c r="G2266" s="513" t="s">
        <v>21</v>
      </c>
      <c r="H2266" s="514">
        <v>239727</v>
      </c>
      <c r="I2266" s="515" t="s">
        <v>6915</v>
      </c>
    </row>
    <row r="2267" spans="2:9" ht="15" x14ac:dyDescent="0.35">
      <c r="B2267" s="512" t="s">
        <v>6295</v>
      </c>
      <c r="C2267" s="512" t="s">
        <v>6220</v>
      </c>
      <c r="D2267" s="512" t="s">
        <v>6221</v>
      </c>
      <c r="E2267" s="513">
        <v>7803</v>
      </c>
      <c r="F2267" s="512" t="s">
        <v>2282</v>
      </c>
      <c r="G2267" s="513" t="s">
        <v>21</v>
      </c>
      <c r="H2267" s="514">
        <v>1177</v>
      </c>
      <c r="I2267" s="515" t="s">
        <v>6915</v>
      </c>
    </row>
    <row r="2268" spans="2:9" ht="15" x14ac:dyDescent="0.35">
      <c r="B2268" s="512" t="s">
        <v>6295</v>
      </c>
      <c r="C2268" s="512" t="s">
        <v>6252</v>
      </c>
      <c r="D2268" s="512" t="s">
        <v>6252</v>
      </c>
      <c r="E2268" s="513">
        <v>7804</v>
      </c>
      <c r="F2268" s="512" t="s">
        <v>2283</v>
      </c>
      <c r="G2268" s="513" t="s">
        <v>21</v>
      </c>
      <c r="H2268" s="514">
        <v>335658</v>
      </c>
      <c r="I2268" s="515" t="s">
        <v>6915</v>
      </c>
    </row>
    <row r="2269" spans="2:9" ht="15" x14ac:dyDescent="0.35">
      <c r="B2269" s="512" t="s">
        <v>6295</v>
      </c>
      <c r="C2269" s="512" t="s">
        <v>6251</v>
      </c>
      <c r="D2269" s="512" t="s">
        <v>6251</v>
      </c>
      <c r="E2269" s="513">
        <v>7805</v>
      </c>
      <c r="F2269" s="512" t="s">
        <v>2284</v>
      </c>
      <c r="G2269" s="513" t="s">
        <v>367</v>
      </c>
      <c r="H2269" s="516">
        <v>6043</v>
      </c>
      <c r="I2269" s="512" t="s">
        <v>6915</v>
      </c>
    </row>
    <row r="2270" spans="2:9" ht="15" x14ac:dyDescent="0.35">
      <c r="B2270" s="512" t="s">
        <v>6295</v>
      </c>
      <c r="C2270" s="512" t="s">
        <v>6242</v>
      </c>
      <c r="D2270" s="512" t="s">
        <v>6243</v>
      </c>
      <c r="E2270" s="513">
        <v>7806</v>
      </c>
      <c r="F2270" s="512" t="s">
        <v>2285</v>
      </c>
      <c r="G2270" s="513" t="s">
        <v>23</v>
      </c>
      <c r="H2270" s="514">
        <v>1351259</v>
      </c>
      <c r="I2270" s="515" t="s">
        <v>6915</v>
      </c>
    </row>
    <row r="2271" spans="2:9" ht="15" x14ac:dyDescent="0.35">
      <c r="B2271" s="512" t="s">
        <v>6295</v>
      </c>
      <c r="C2271" s="512" t="s">
        <v>6227</v>
      </c>
      <c r="D2271" s="512" t="s">
        <v>6248</v>
      </c>
      <c r="E2271" s="513">
        <v>7807</v>
      </c>
      <c r="F2271" s="512" t="s">
        <v>2286</v>
      </c>
      <c r="G2271" s="513" t="s">
        <v>23</v>
      </c>
      <c r="H2271" s="514">
        <v>245127</v>
      </c>
      <c r="I2271" s="515" t="s">
        <v>6915</v>
      </c>
    </row>
    <row r="2272" spans="2:9" ht="15" x14ac:dyDescent="0.35">
      <c r="B2272" s="512" t="s">
        <v>6295</v>
      </c>
      <c r="C2272" s="512" t="s">
        <v>6240</v>
      </c>
      <c r="D2272" s="512" t="s">
        <v>6275</v>
      </c>
      <c r="E2272" s="513">
        <v>7809</v>
      </c>
      <c r="F2272" s="512" t="s">
        <v>2287</v>
      </c>
      <c r="G2272" s="513" t="s">
        <v>26</v>
      </c>
      <c r="H2272" s="514">
        <v>320007</v>
      </c>
      <c r="I2272" s="515" t="s">
        <v>6915</v>
      </c>
    </row>
    <row r="2273" spans="2:9" ht="15" x14ac:dyDescent="0.35">
      <c r="B2273" s="512" t="s">
        <v>6295</v>
      </c>
      <c r="C2273" s="512" t="s">
        <v>6269</v>
      </c>
      <c r="D2273" s="512" t="s">
        <v>6269</v>
      </c>
      <c r="E2273" s="513">
        <v>7818</v>
      </c>
      <c r="F2273" s="512" t="s">
        <v>2288</v>
      </c>
      <c r="G2273" s="513" t="s">
        <v>1106</v>
      </c>
      <c r="H2273" s="514">
        <v>21674</v>
      </c>
      <c r="I2273" s="515" t="s">
        <v>6915</v>
      </c>
    </row>
    <row r="2274" spans="2:9" ht="15" x14ac:dyDescent="0.35">
      <c r="B2274" s="512" t="s">
        <v>6295</v>
      </c>
      <c r="C2274" s="512" t="s">
        <v>6269</v>
      </c>
      <c r="D2274" s="512" t="s">
        <v>6269</v>
      </c>
      <c r="E2274" s="513">
        <v>7819</v>
      </c>
      <c r="F2274" s="512" t="s">
        <v>2289</v>
      </c>
      <c r="G2274" s="513" t="s">
        <v>1106</v>
      </c>
      <c r="H2274" s="516">
        <v>5994</v>
      </c>
      <c r="I2274" s="515" t="s">
        <v>6915</v>
      </c>
    </row>
    <row r="2275" spans="2:9" ht="15" x14ac:dyDescent="0.35">
      <c r="B2275" s="512" t="s">
        <v>6295</v>
      </c>
      <c r="C2275" s="512" t="s">
        <v>6269</v>
      </c>
      <c r="D2275" s="512" t="s">
        <v>6269</v>
      </c>
      <c r="E2275" s="513">
        <v>7820</v>
      </c>
      <c r="F2275" s="512" t="s">
        <v>2290</v>
      </c>
      <c r="G2275" s="513" t="s">
        <v>29</v>
      </c>
      <c r="H2275" s="514">
        <v>35392</v>
      </c>
      <c r="I2275" s="515" t="s">
        <v>6915</v>
      </c>
    </row>
    <row r="2276" spans="2:9" ht="15" x14ac:dyDescent="0.35">
      <c r="B2276" s="512" t="s">
        <v>6298</v>
      </c>
      <c r="C2276" s="512" t="s">
        <v>6232</v>
      </c>
      <c r="D2276" s="512" t="s">
        <v>6232</v>
      </c>
      <c r="E2276" s="513">
        <v>7821</v>
      </c>
      <c r="F2276" s="512" t="s">
        <v>2291</v>
      </c>
      <c r="G2276" s="513" t="s">
        <v>26</v>
      </c>
      <c r="H2276" s="516">
        <v>14077</v>
      </c>
      <c r="I2276" s="515" t="s">
        <v>6915</v>
      </c>
    </row>
    <row r="2277" spans="2:9" ht="15" x14ac:dyDescent="0.35">
      <c r="B2277" s="512" t="s">
        <v>6298</v>
      </c>
      <c r="C2277" s="512" t="s">
        <v>6232</v>
      </c>
      <c r="D2277" s="512" t="s">
        <v>6232</v>
      </c>
      <c r="E2277" s="513">
        <v>7822</v>
      </c>
      <c r="F2277" s="512" t="s">
        <v>2292</v>
      </c>
      <c r="G2277" s="513" t="s">
        <v>26</v>
      </c>
      <c r="H2277" s="516">
        <v>14406</v>
      </c>
      <c r="I2277" s="512" t="s">
        <v>6915</v>
      </c>
    </row>
    <row r="2278" spans="2:9" ht="15" x14ac:dyDescent="0.35">
      <c r="B2278" s="512" t="s">
        <v>6298</v>
      </c>
      <c r="C2278" s="512" t="s">
        <v>6232</v>
      </c>
      <c r="D2278" s="512" t="s">
        <v>6232</v>
      </c>
      <c r="E2278" s="513">
        <v>7823</v>
      </c>
      <c r="F2278" s="512" t="s">
        <v>2293</v>
      </c>
      <c r="G2278" s="513" t="s">
        <v>26</v>
      </c>
      <c r="H2278" s="514">
        <v>15434</v>
      </c>
      <c r="I2278" s="515" t="s">
        <v>6915</v>
      </c>
    </row>
    <row r="2279" spans="2:9" ht="15" x14ac:dyDescent="0.35">
      <c r="B2279" s="512" t="s">
        <v>6298</v>
      </c>
      <c r="C2279" s="512" t="s">
        <v>6237</v>
      </c>
      <c r="D2279" s="512" t="s">
        <v>6238</v>
      </c>
      <c r="E2279" s="513">
        <v>7824</v>
      </c>
      <c r="F2279" s="512" t="s">
        <v>2294</v>
      </c>
      <c r="G2279" s="513" t="s">
        <v>29</v>
      </c>
      <c r="H2279" s="514">
        <v>100464</v>
      </c>
      <c r="I2279" s="515" t="s">
        <v>6915</v>
      </c>
    </row>
    <row r="2280" spans="2:9" ht="15" x14ac:dyDescent="0.35">
      <c r="B2280" s="512" t="s">
        <v>6298</v>
      </c>
      <c r="C2280" s="512" t="s">
        <v>6242</v>
      </c>
      <c r="D2280" s="512" t="s">
        <v>6260</v>
      </c>
      <c r="E2280" s="513">
        <v>7826</v>
      </c>
      <c r="F2280" s="512" t="s">
        <v>2295</v>
      </c>
      <c r="G2280" s="513" t="s">
        <v>21</v>
      </c>
      <c r="H2280" s="514">
        <v>64211</v>
      </c>
      <c r="I2280" s="515" t="s">
        <v>6915</v>
      </c>
    </row>
    <row r="2281" spans="2:9" ht="15" x14ac:dyDescent="0.35">
      <c r="B2281" s="512" t="s">
        <v>6298</v>
      </c>
      <c r="C2281" s="512" t="s">
        <v>6230</v>
      </c>
      <c r="D2281" s="512" t="s">
        <v>6231</v>
      </c>
      <c r="E2281" s="513">
        <v>7828</v>
      </c>
      <c r="F2281" s="512" t="s">
        <v>2296</v>
      </c>
      <c r="G2281" s="513" t="s">
        <v>26</v>
      </c>
      <c r="H2281" s="514">
        <v>42634</v>
      </c>
      <c r="I2281" s="515" t="s">
        <v>6915</v>
      </c>
    </row>
    <row r="2282" spans="2:9" ht="15" x14ac:dyDescent="0.35">
      <c r="B2282" s="512" t="s">
        <v>6298</v>
      </c>
      <c r="C2282" s="512" t="s">
        <v>6230</v>
      </c>
      <c r="D2282" s="512" t="s">
        <v>6231</v>
      </c>
      <c r="E2282" s="513">
        <v>7829</v>
      </c>
      <c r="F2282" s="512" t="s">
        <v>2297</v>
      </c>
      <c r="G2282" s="513" t="s">
        <v>26</v>
      </c>
      <c r="H2282" s="516">
        <v>21318</v>
      </c>
      <c r="I2282" s="512" t="s">
        <v>6915</v>
      </c>
    </row>
    <row r="2283" spans="2:9" ht="15" x14ac:dyDescent="0.35">
      <c r="B2283" s="512" t="s">
        <v>6298</v>
      </c>
      <c r="C2283" s="512" t="s">
        <v>6242</v>
      </c>
      <c r="D2283" s="512" t="s">
        <v>6255</v>
      </c>
      <c r="E2283" s="513">
        <v>7857</v>
      </c>
      <c r="F2283" s="512" t="s">
        <v>2298</v>
      </c>
      <c r="G2283" s="513" t="s">
        <v>29</v>
      </c>
      <c r="H2283" s="514">
        <v>8070956</v>
      </c>
      <c r="I2283" s="515" t="s">
        <v>6915</v>
      </c>
    </row>
    <row r="2284" spans="2:9" ht="15" x14ac:dyDescent="0.35">
      <c r="B2284" s="512" t="s">
        <v>6298</v>
      </c>
      <c r="C2284" s="512" t="s">
        <v>6240</v>
      </c>
      <c r="D2284" s="512" t="s">
        <v>6275</v>
      </c>
      <c r="E2284" s="513">
        <v>7861</v>
      </c>
      <c r="F2284" s="512" t="s">
        <v>2299</v>
      </c>
      <c r="G2284" s="513" t="s">
        <v>26</v>
      </c>
      <c r="H2284" s="514">
        <v>68743</v>
      </c>
      <c r="I2284" s="515" t="s">
        <v>6915</v>
      </c>
    </row>
    <row r="2285" spans="2:9" ht="15" x14ac:dyDescent="0.35">
      <c r="B2285" s="512" t="s">
        <v>6298</v>
      </c>
      <c r="C2285" s="512" t="s">
        <v>6237</v>
      </c>
      <c r="D2285" s="512" t="s">
        <v>6238</v>
      </c>
      <c r="E2285" s="513">
        <v>7862</v>
      </c>
      <c r="F2285" s="512" t="s">
        <v>2300</v>
      </c>
      <c r="G2285" s="513" t="s">
        <v>26</v>
      </c>
      <c r="H2285" s="516">
        <v>7983</v>
      </c>
      <c r="I2285" s="512" t="s">
        <v>6915</v>
      </c>
    </row>
    <row r="2286" spans="2:9" ht="15" x14ac:dyDescent="0.35">
      <c r="B2286" s="512" t="s">
        <v>6298</v>
      </c>
      <c r="C2286" s="512" t="s">
        <v>6237</v>
      </c>
      <c r="D2286" s="512" t="s">
        <v>6238</v>
      </c>
      <c r="E2286" s="513">
        <v>7863</v>
      </c>
      <c r="F2286" s="512" t="s">
        <v>2301</v>
      </c>
      <c r="G2286" s="513" t="s">
        <v>21</v>
      </c>
      <c r="H2286" s="516">
        <v>66467</v>
      </c>
      <c r="I2286" s="512" t="s">
        <v>6915</v>
      </c>
    </row>
    <row r="2287" spans="2:9" ht="15" x14ac:dyDescent="0.35">
      <c r="B2287" s="512" t="s">
        <v>6298</v>
      </c>
      <c r="C2287" s="512" t="s">
        <v>6252</v>
      </c>
      <c r="D2287" s="512" t="s">
        <v>6252</v>
      </c>
      <c r="E2287" s="513">
        <v>7864</v>
      </c>
      <c r="F2287" s="512" t="s">
        <v>2302</v>
      </c>
      <c r="G2287" s="513" t="s">
        <v>21</v>
      </c>
      <c r="H2287" s="514">
        <v>10166</v>
      </c>
      <c r="I2287" s="515" t="s">
        <v>6915</v>
      </c>
    </row>
    <row r="2288" spans="2:9" ht="15" x14ac:dyDescent="0.35">
      <c r="B2288" s="512" t="s">
        <v>6298</v>
      </c>
      <c r="C2288" s="512" t="s">
        <v>6232</v>
      </c>
      <c r="D2288" s="512" t="s">
        <v>6232</v>
      </c>
      <c r="E2288" s="513">
        <v>7865</v>
      </c>
      <c r="F2288" s="512" t="s">
        <v>2303</v>
      </c>
      <c r="G2288" s="513" t="s">
        <v>29</v>
      </c>
      <c r="H2288" s="514">
        <v>230595</v>
      </c>
      <c r="I2288" s="515" t="s">
        <v>6915</v>
      </c>
    </row>
    <row r="2289" spans="2:9" ht="15" x14ac:dyDescent="0.35">
      <c r="B2289" s="512" t="s">
        <v>6298</v>
      </c>
      <c r="C2289" s="512" t="s">
        <v>6232</v>
      </c>
      <c r="D2289" s="512" t="s">
        <v>6232</v>
      </c>
      <c r="E2289" s="513">
        <v>7869</v>
      </c>
      <c r="F2289" s="512" t="s">
        <v>2304</v>
      </c>
      <c r="G2289" s="513" t="s">
        <v>23</v>
      </c>
      <c r="H2289" s="514">
        <v>90973</v>
      </c>
      <c r="I2289" s="515" t="s">
        <v>6915</v>
      </c>
    </row>
    <row r="2290" spans="2:9" ht="15" x14ac:dyDescent="0.35">
      <c r="B2290" s="512" t="s">
        <v>6298</v>
      </c>
      <c r="C2290" s="512" t="s">
        <v>6232</v>
      </c>
      <c r="D2290" s="512" t="s">
        <v>6232</v>
      </c>
      <c r="E2290" s="513">
        <v>7870</v>
      </c>
      <c r="F2290" s="512" t="s">
        <v>2305</v>
      </c>
      <c r="G2290" s="513" t="s">
        <v>29</v>
      </c>
      <c r="H2290" s="514">
        <v>1467217</v>
      </c>
      <c r="I2290" s="515" t="s">
        <v>6915</v>
      </c>
    </row>
    <row r="2291" spans="2:9" ht="15" x14ac:dyDescent="0.35">
      <c r="B2291" s="512" t="s">
        <v>6298</v>
      </c>
      <c r="C2291" s="512" t="s">
        <v>6232</v>
      </c>
      <c r="D2291" s="512" t="s">
        <v>6232</v>
      </c>
      <c r="E2291" s="513">
        <v>7871</v>
      </c>
      <c r="F2291" s="512" t="s">
        <v>2306</v>
      </c>
      <c r="G2291" s="513" t="s">
        <v>26</v>
      </c>
      <c r="H2291" s="514">
        <v>42789</v>
      </c>
      <c r="I2291" s="515" t="s">
        <v>6915</v>
      </c>
    </row>
    <row r="2292" spans="2:9" ht="15" x14ac:dyDescent="0.35">
      <c r="B2292" s="512" t="s">
        <v>6298</v>
      </c>
      <c r="C2292" s="512" t="s">
        <v>6269</v>
      </c>
      <c r="D2292" s="512" t="s">
        <v>6269</v>
      </c>
      <c r="E2292" s="513">
        <v>7873</v>
      </c>
      <c r="F2292" s="512" t="s">
        <v>2307</v>
      </c>
      <c r="G2292" s="513" t="s">
        <v>367</v>
      </c>
      <c r="H2292" s="514">
        <v>1314</v>
      </c>
      <c r="I2292" s="515" t="s">
        <v>6915</v>
      </c>
    </row>
    <row r="2293" spans="2:9" ht="15" x14ac:dyDescent="0.35">
      <c r="B2293" s="512" t="s">
        <v>6298</v>
      </c>
      <c r="C2293" s="512" t="s">
        <v>6239</v>
      </c>
      <c r="D2293" s="512" t="s">
        <v>6239</v>
      </c>
      <c r="E2293" s="513">
        <v>7875</v>
      </c>
      <c r="F2293" s="512" t="s">
        <v>2308</v>
      </c>
      <c r="G2293" s="513" t="s">
        <v>29</v>
      </c>
      <c r="H2293" s="514">
        <v>43495</v>
      </c>
      <c r="I2293" s="515" t="s">
        <v>6915</v>
      </c>
    </row>
    <row r="2294" spans="2:9" ht="15" x14ac:dyDescent="0.35">
      <c r="B2294" s="512" t="s">
        <v>6298</v>
      </c>
      <c r="C2294" s="512" t="s">
        <v>6232</v>
      </c>
      <c r="D2294" s="512" t="s">
        <v>6232</v>
      </c>
      <c r="E2294" s="513">
        <v>7877</v>
      </c>
      <c r="F2294" s="512" t="s">
        <v>2309</v>
      </c>
      <c r="G2294" s="513" t="s">
        <v>26</v>
      </c>
      <c r="H2294" s="514">
        <v>7351</v>
      </c>
      <c r="I2294" s="515" t="s">
        <v>6915</v>
      </c>
    </row>
    <row r="2295" spans="2:9" ht="15" x14ac:dyDescent="0.35">
      <c r="B2295" s="512" t="s">
        <v>6298</v>
      </c>
      <c r="C2295" s="512" t="s">
        <v>6230</v>
      </c>
      <c r="D2295" s="512" t="s">
        <v>6246</v>
      </c>
      <c r="E2295" s="513">
        <v>7878</v>
      </c>
      <c r="F2295" s="512" t="s">
        <v>2310</v>
      </c>
      <c r="G2295" s="513" t="s">
        <v>21</v>
      </c>
      <c r="H2295" s="514">
        <v>83795</v>
      </c>
      <c r="I2295" s="515" t="s">
        <v>6915</v>
      </c>
    </row>
    <row r="2296" spans="2:9" ht="15" x14ac:dyDescent="0.35">
      <c r="B2296" s="512" t="s">
        <v>6298</v>
      </c>
      <c r="C2296" s="512" t="s">
        <v>6232</v>
      </c>
      <c r="D2296" s="512" t="s">
        <v>6232</v>
      </c>
      <c r="E2296" s="513">
        <v>7879</v>
      </c>
      <c r="F2296" s="512" t="s">
        <v>2311</v>
      </c>
      <c r="G2296" s="513" t="s">
        <v>29</v>
      </c>
      <c r="H2296" s="514">
        <v>297218</v>
      </c>
      <c r="I2296" s="515" t="s">
        <v>6915</v>
      </c>
    </row>
    <row r="2297" spans="2:9" ht="15" x14ac:dyDescent="0.35">
      <c r="B2297" s="512" t="s">
        <v>6298</v>
      </c>
      <c r="C2297" s="512" t="s">
        <v>6239</v>
      </c>
      <c r="D2297" s="512" t="s">
        <v>6239</v>
      </c>
      <c r="E2297" s="513">
        <v>7880</v>
      </c>
      <c r="F2297" s="512" t="s">
        <v>2312</v>
      </c>
      <c r="G2297" s="513" t="s">
        <v>29</v>
      </c>
      <c r="H2297" s="514">
        <v>52850</v>
      </c>
      <c r="I2297" s="515" t="s">
        <v>6915</v>
      </c>
    </row>
    <row r="2298" spans="2:9" ht="15" x14ac:dyDescent="0.35">
      <c r="B2298" s="512" t="s">
        <v>6298</v>
      </c>
      <c r="C2298" s="512" t="s">
        <v>6237</v>
      </c>
      <c r="D2298" s="512" t="s">
        <v>6238</v>
      </c>
      <c r="E2298" s="513">
        <v>7881</v>
      </c>
      <c r="F2298" s="512" t="s">
        <v>2313</v>
      </c>
      <c r="G2298" s="513" t="s">
        <v>29</v>
      </c>
      <c r="H2298" s="516">
        <v>6889</v>
      </c>
      <c r="I2298" s="512" t="s">
        <v>6915</v>
      </c>
    </row>
    <row r="2299" spans="2:9" ht="15" x14ac:dyDescent="0.35">
      <c r="B2299" s="512" t="s">
        <v>6298</v>
      </c>
      <c r="C2299" s="512" t="s">
        <v>6240</v>
      </c>
      <c r="D2299" s="512" t="s">
        <v>6275</v>
      </c>
      <c r="E2299" s="513">
        <v>7883</v>
      </c>
      <c r="F2299" s="512" t="s">
        <v>2314</v>
      </c>
      <c r="G2299" s="513" t="s">
        <v>1803</v>
      </c>
      <c r="H2299" s="516">
        <v>2417</v>
      </c>
      <c r="I2299" s="512" t="s">
        <v>6915</v>
      </c>
    </row>
    <row r="2300" spans="2:9" ht="15" x14ac:dyDescent="0.35">
      <c r="B2300" s="512" t="s">
        <v>6298</v>
      </c>
      <c r="C2300" s="512" t="s">
        <v>6240</v>
      </c>
      <c r="D2300" s="512" t="s">
        <v>6275</v>
      </c>
      <c r="E2300" s="513">
        <v>7884</v>
      </c>
      <c r="F2300" s="512" t="s">
        <v>2315</v>
      </c>
      <c r="G2300" s="513" t="s">
        <v>1803</v>
      </c>
      <c r="H2300" s="516">
        <v>2280</v>
      </c>
      <c r="I2300" s="512" t="s">
        <v>6915</v>
      </c>
    </row>
    <row r="2301" spans="2:9" ht="15" x14ac:dyDescent="0.35">
      <c r="B2301" s="512" t="s">
        <v>6298</v>
      </c>
      <c r="C2301" s="512" t="s">
        <v>6240</v>
      </c>
      <c r="D2301" s="512" t="s">
        <v>6275</v>
      </c>
      <c r="E2301" s="513">
        <v>7885</v>
      </c>
      <c r="F2301" s="512" t="s">
        <v>2316</v>
      </c>
      <c r="G2301" s="513" t="s">
        <v>1803</v>
      </c>
      <c r="H2301" s="514">
        <v>2604</v>
      </c>
      <c r="I2301" s="515" t="s">
        <v>6915</v>
      </c>
    </row>
    <row r="2302" spans="2:9" ht="15" x14ac:dyDescent="0.35">
      <c r="B2302" s="512" t="s">
        <v>6298</v>
      </c>
      <c r="C2302" s="512" t="s">
        <v>6240</v>
      </c>
      <c r="D2302" s="512" t="s">
        <v>6275</v>
      </c>
      <c r="E2302" s="513">
        <v>7886</v>
      </c>
      <c r="F2302" s="512" t="s">
        <v>2317</v>
      </c>
      <c r="G2302" s="513" t="s">
        <v>1803</v>
      </c>
      <c r="H2302" s="514">
        <v>1841</v>
      </c>
      <c r="I2302" s="515" t="s">
        <v>6915</v>
      </c>
    </row>
    <row r="2303" spans="2:9" ht="15" x14ac:dyDescent="0.35">
      <c r="B2303" s="512" t="s">
        <v>6298</v>
      </c>
      <c r="C2303" s="512" t="s">
        <v>6240</v>
      </c>
      <c r="D2303" s="512" t="s">
        <v>6275</v>
      </c>
      <c r="E2303" s="513">
        <v>7887</v>
      </c>
      <c r="F2303" s="512" t="s">
        <v>2318</v>
      </c>
      <c r="G2303" s="513" t="s">
        <v>1803</v>
      </c>
      <c r="H2303" s="514">
        <v>2039</v>
      </c>
      <c r="I2303" s="515" t="s">
        <v>6915</v>
      </c>
    </row>
    <row r="2304" spans="2:9" ht="15" x14ac:dyDescent="0.35">
      <c r="B2304" s="512" t="s">
        <v>6298</v>
      </c>
      <c r="C2304" s="512" t="s">
        <v>6232</v>
      </c>
      <c r="D2304" s="512" t="s">
        <v>6232</v>
      </c>
      <c r="E2304" s="513">
        <v>7888</v>
      </c>
      <c r="F2304" s="512" t="s">
        <v>5430</v>
      </c>
      <c r="G2304" s="513" t="s">
        <v>29</v>
      </c>
      <c r="H2304" s="514">
        <v>284083</v>
      </c>
      <c r="I2304" s="515" t="s">
        <v>6915</v>
      </c>
    </row>
    <row r="2305" spans="2:9" ht="15" x14ac:dyDescent="0.35">
      <c r="B2305" s="512" t="s">
        <v>6298</v>
      </c>
      <c r="C2305" s="512" t="s">
        <v>6240</v>
      </c>
      <c r="D2305" s="512" t="s">
        <v>6275</v>
      </c>
      <c r="E2305" s="513">
        <v>7889</v>
      </c>
      <c r="F2305" s="512" t="s">
        <v>2319</v>
      </c>
      <c r="G2305" s="513" t="s">
        <v>1803</v>
      </c>
      <c r="H2305" s="514">
        <v>2417</v>
      </c>
      <c r="I2305" s="515" t="s">
        <v>6915</v>
      </c>
    </row>
    <row r="2306" spans="2:9" ht="15" x14ac:dyDescent="0.35">
      <c r="B2306" s="512" t="s">
        <v>6298</v>
      </c>
      <c r="C2306" s="512" t="s">
        <v>6233</v>
      </c>
      <c r="D2306" s="512" t="s">
        <v>6234</v>
      </c>
      <c r="E2306" s="513">
        <v>7892</v>
      </c>
      <c r="F2306" s="512" t="s">
        <v>2320</v>
      </c>
      <c r="G2306" s="513" t="s">
        <v>26</v>
      </c>
      <c r="H2306" s="514">
        <v>107026</v>
      </c>
      <c r="I2306" s="512" t="s">
        <v>6915</v>
      </c>
    </row>
    <row r="2307" spans="2:9" ht="15" x14ac:dyDescent="0.35">
      <c r="B2307" s="512" t="s">
        <v>6298</v>
      </c>
      <c r="C2307" s="512" t="s">
        <v>6232</v>
      </c>
      <c r="D2307" s="512" t="s">
        <v>6232</v>
      </c>
      <c r="E2307" s="513">
        <v>7893</v>
      </c>
      <c r="F2307" s="512" t="s">
        <v>2321</v>
      </c>
      <c r="G2307" s="513" t="s">
        <v>29</v>
      </c>
      <c r="H2307" s="516">
        <v>298919</v>
      </c>
      <c r="I2307" s="512" t="s">
        <v>6915</v>
      </c>
    </row>
    <row r="2308" spans="2:9" ht="15" x14ac:dyDescent="0.35">
      <c r="B2308" s="512" t="s">
        <v>6298</v>
      </c>
      <c r="C2308" s="512" t="s">
        <v>6268</v>
      </c>
      <c r="D2308" s="512" t="s">
        <v>6268</v>
      </c>
      <c r="E2308" s="513">
        <v>7894</v>
      </c>
      <c r="F2308" s="512" t="s">
        <v>2322</v>
      </c>
      <c r="G2308" s="513" t="s">
        <v>29</v>
      </c>
      <c r="H2308" s="516">
        <v>799680</v>
      </c>
      <c r="I2308" s="512" t="s">
        <v>6915</v>
      </c>
    </row>
    <row r="2309" spans="2:9" ht="15" x14ac:dyDescent="0.35">
      <c r="B2309" s="512" t="s">
        <v>6298</v>
      </c>
      <c r="C2309" s="512" t="s">
        <v>6237</v>
      </c>
      <c r="D2309" s="512" t="s">
        <v>6247</v>
      </c>
      <c r="E2309" s="513">
        <v>7895</v>
      </c>
      <c r="F2309" s="512" t="s">
        <v>2323</v>
      </c>
      <c r="G2309" s="513" t="s">
        <v>29</v>
      </c>
      <c r="H2309" s="516">
        <v>573905</v>
      </c>
      <c r="I2309" s="515" t="s">
        <v>6915</v>
      </c>
    </row>
    <row r="2310" spans="2:9" ht="15" x14ac:dyDescent="0.35">
      <c r="B2310" s="512" t="s">
        <v>6298</v>
      </c>
      <c r="C2310" s="512" t="s">
        <v>6242</v>
      </c>
      <c r="D2310" s="512" t="s">
        <v>6255</v>
      </c>
      <c r="E2310" s="513">
        <v>7896</v>
      </c>
      <c r="F2310" s="512" t="s">
        <v>2324</v>
      </c>
      <c r="G2310" s="513" t="s">
        <v>29</v>
      </c>
      <c r="H2310" s="514">
        <v>1156</v>
      </c>
      <c r="I2310" s="515" t="s">
        <v>6915</v>
      </c>
    </row>
    <row r="2311" spans="2:9" ht="15" x14ac:dyDescent="0.35">
      <c r="B2311" s="512" t="s">
        <v>6298</v>
      </c>
      <c r="C2311" s="512" t="s">
        <v>6242</v>
      </c>
      <c r="D2311" s="512" t="s">
        <v>6243</v>
      </c>
      <c r="E2311" s="513">
        <v>7898</v>
      </c>
      <c r="F2311" s="512" t="s">
        <v>2325</v>
      </c>
      <c r="G2311" s="513" t="s">
        <v>23</v>
      </c>
      <c r="H2311" s="516">
        <v>1072096</v>
      </c>
      <c r="I2311" s="512" t="s">
        <v>6915</v>
      </c>
    </row>
    <row r="2312" spans="2:9" ht="15" x14ac:dyDescent="0.35">
      <c r="B2312" s="512" t="s">
        <v>6298</v>
      </c>
      <c r="C2312" s="512" t="s">
        <v>6242</v>
      </c>
      <c r="D2312" s="512" t="s">
        <v>6243</v>
      </c>
      <c r="E2312" s="513">
        <v>7899</v>
      </c>
      <c r="F2312" s="512" t="s">
        <v>2326</v>
      </c>
      <c r="G2312" s="513" t="s">
        <v>23</v>
      </c>
      <c r="H2312" s="514">
        <v>1110635</v>
      </c>
      <c r="I2312" s="515" t="s">
        <v>6915</v>
      </c>
    </row>
    <row r="2313" spans="2:9" ht="15" x14ac:dyDescent="0.35">
      <c r="B2313" s="512" t="s">
        <v>6298</v>
      </c>
      <c r="C2313" s="512" t="s">
        <v>6258</v>
      </c>
      <c r="D2313" s="512" t="s">
        <v>6259</v>
      </c>
      <c r="E2313" s="513">
        <v>7900</v>
      </c>
      <c r="F2313" s="512" t="s">
        <v>2327</v>
      </c>
      <c r="G2313" s="513" t="s">
        <v>21</v>
      </c>
      <c r="H2313" s="516">
        <v>74534</v>
      </c>
      <c r="I2313" s="512" t="s">
        <v>6915</v>
      </c>
    </row>
    <row r="2314" spans="2:9" ht="15" x14ac:dyDescent="0.35">
      <c r="B2314" s="512" t="s">
        <v>6298</v>
      </c>
      <c r="C2314" s="512" t="s">
        <v>6232</v>
      </c>
      <c r="D2314" s="512" t="s">
        <v>6232</v>
      </c>
      <c r="E2314" s="513">
        <v>7901</v>
      </c>
      <c r="F2314" s="512" t="s">
        <v>2328</v>
      </c>
      <c r="G2314" s="513" t="s">
        <v>676</v>
      </c>
      <c r="H2314" s="514">
        <v>12135</v>
      </c>
      <c r="I2314" s="515" t="s">
        <v>6915</v>
      </c>
    </row>
    <row r="2315" spans="2:9" ht="15" x14ac:dyDescent="0.35">
      <c r="B2315" s="512" t="s">
        <v>6298</v>
      </c>
      <c r="C2315" s="512" t="s">
        <v>6258</v>
      </c>
      <c r="D2315" s="512" t="s">
        <v>6259</v>
      </c>
      <c r="E2315" s="513">
        <v>7902</v>
      </c>
      <c r="F2315" s="512" t="s">
        <v>2329</v>
      </c>
      <c r="G2315" s="513" t="s">
        <v>26</v>
      </c>
      <c r="H2315" s="514">
        <v>87421</v>
      </c>
      <c r="I2315" s="515" t="s">
        <v>6915</v>
      </c>
    </row>
    <row r="2316" spans="2:9" ht="15" x14ac:dyDescent="0.35">
      <c r="B2316" s="512" t="s">
        <v>6298</v>
      </c>
      <c r="C2316" s="512" t="s">
        <v>6237</v>
      </c>
      <c r="D2316" s="512" t="s">
        <v>6276</v>
      </c>
      <c r="E2316" s="513">
        <v>7903</v>
      </c>
      <c r="F2316" s="512" t="s">
        <v>2330</v>
      </c>
      <c r="G2316" s="513" t="s">
        <v>29</v>
      </c>
      <c r="H2316" s="514">
        <v>107244</v>
      </c>
      <c r="I2316" s="515" t="s">
        <v>6915</v>
      </c>
    </row>
    <row r="2317" spans="2:9" ht="15" x14ac:dyDescent="0.35">
      <c r="B2317" s="512" t="s">
        <v>6298</v>
      </c>
      <c r="C2317" s="512" t="s">
        <v>6237</v>
      </c>
      <c r="D2317" s="512" t="s">
        <v>6276</v>
      </c>
      <c r="E2317" s="513">
        <v>7904</v>
      </c>
      <c r="F2317" s="512" t="s">
        <v>2331</v>
      </c>
      <c r="G2317" s="513" t="s">
        <v>1106</v>
      </c>
      <c r="H2317" s="514">
        <v>5215</v>
      </c>
      <c r="I2317" s="515" t="s">
        <v>6915</v>
      </c>
    </row>
    <row r="2318" spans="2:9" ht="15" x14ac:dyDescent="0.35">
      <c r="B2318" s="512" t="s">
        <v>6295</v>
      </c>
      <c r="C2318" s="512" t="s">
        <v>6220</v>
      </c>
      <c r="D2318" s="512" t="s">
        <v>6221</v>
      </c>
      <c r="E2318" s="513">
        <v>7905</v>
      </c>
      <c r="F2318" s="512" t="s">
        <v>2332</v>
      </c>
      <c r="G2318" s="513" t="s">
        <v>23</v>
      </c>
      <c r="H2318" s="516">
        <v>70342</v>
      </c>
      <c r="I2318" s="512" t="s">
        <v>6915</v>
      </c>
    </row>
    <row r="2319" spans="2:9" ht="15" x14ac:dyDescent="0.35">
      <c r="B2319" s="512" t="s">
        <v>6295</v>
      </c>
      <c r="C2319" s="512" t="s">
        <v>6220</v>
      </c>
      <c r="D2319" s="512" t="s">
        <v>6221</v>
      </c>
      <c r="E2319" s="513">
        <v>7944</v>
      </c>
      <c r="F2319" s="512" t="s">
        <v>2333</v>
      </c>
      <c r="G2319" s="513" t="s">
        <v>23</v>
      </c>
      <c r="H2319" s="514">
        <v>5155</v>
      </c>
      <c r="I2319" s="515" t="s">
        <v>6915</v>
      </c>
    </row>
    <row r="2320" spans="2:9" ht="15" x14ac:dyDescent="0.35">
      <c r="B2320" s="512" t="s">
        <v>6295</v>
      </c>
      <c r="C2320" s="512" t="s">
        <v>6220</v>
      </c>
      <c r="D2320" s="512" t="s">
        <v>6221</v>
      </c>
      <c r="E2320" s="513">
        <v>7945</v>
      </c>
      <c r="F2320" s="512" t="s">
        <v>2334</v>
      </c>
      <c r="G2320" s="513" t="s">
        <v>23</v>
      </c>
      <c r="H2320" s="516">
        <v>4356</v>
      </c>
      <c r="I2320" s="512" t="s">
        <v>6915</v>
      </c>
    </row>
    <row r="2321" spans="2:9" ht="15" x14ac:dyDescent="0.35">
      <c r="B2321" s="512" t="s">
        <v>6295</v>
      </c>
      <c r="C2321" s="512" t="s">
        <v>6220</v>
      </c>
      <c r="D2321" s="512" t="s">
        <v>6221</v>
      </c>
      <c r="E2321" s="513">
        <v>7946</v>
      </c>
      <c r="F2321" s="512" t="s">
        <v>2335</v>
      </c>
      <c r="G2321" s="513" t="s">
        <v>23</v>
      </c>
      <c r="H2321" s="514">
        <v>7392</v>
      </c>
      <c r="I2321" s="515" t="s">
        <v>6915</v>
      </c>
    </row>
    <row r="2322" spans="2:9" ht="15" x14ac:dyDescent="0.35">
      <c r="B2322" s="512" t="s">
        <v>6298</v>
      </c>
      <c r="C2322" s="512" t="s">
        <v>6224</v>
      </c>
      <c r="D2322" s="512" t="s">
        <v>6225</v>
      </c>
      <c r="E2322" s="513">
        <v>7947</v>
      </c>
      <c r="F2322" s="512" t="s">
        <v>2336</v>
      </c>
      <c r="G2322" s="513" t="s">
        <v>26</v>
      </c>
      <c r="H2322" s="514">
        <v>89441</v>
      </c>
      <c r="I2322" s="515" t="s">
        <v>6915</v>
      </c>
    </row>
    <row r="2323" spans="2:9" ht="15" x14ac:dyDescent="0.35">
      <c r="B2323" s="512" t="s">
        <v>6298</v>
      </c>
      <c r="C2323" s="512" t="s">
        <v>6224</v>
      </c>
      <c r="D2323" s="512" t="s">
        <v>6225</v>
      </c>
      <c r="E2323" s="513">
        <v>7948</v>
      </c>
      <c r="F2323" s="512" t="s">
        <v>2337</v>
      </c>
      <c r="G2323" s="513" t="s">
        <v>26</v>
      </c>
      <c r="H2323" s="514">
        <v>102897</v>
      </c>
      <c r="I2323" s="515" t="s">
        <v>6915</v>
      </c>
    </row>
    <row r="2324" spans="2:9" ht="15" x14ac:dyDescent="0.35">
      <c r="B2324" s="512" t="s">
        <v>6298</v>
      </c>
      <c r="C2324" s="512" t="s">
        <v>6224</v>
      </c>
      <c r="D2324" s="512" t="s">
        <v>6225</v>
      </c>
      <c r="E2324" s="513">
        <v>7949</v>
      </c>
      <c r="F2324" s="512" t="s">
        <v>2338</v>
      </c>
      <c r="G2324" s="513" t="s">
        <v>26</v>
      </c>
      <c r="H2324" s="514">
        <v>107480</v>
      </c>
      <c r="I2324" s="515" t="s">
        <v>6915</v>
      </c>
    </row>
    <row r="2325" spans="2:9" ht="15" x14ac:dyDescent="0.35">
      <c r="B2325" s="512" t="s">
        <v>6298</v>
      </c>
      <c r="C2325" s="512" t="s">
        <v>6224</v>
      </c>
      <c r="D2325" s="512" t="s">
        <v>6225</v>
      </c>
      <c r="E2325" s="513">
        <v>7950</v>
      </c>
      <c r="F2325" s="512" t="s">
        <v>2339</v>
      </c>
      <c r="G2325" s="513" t="s">
        <v>26</v>
      </c>
      <c r="H2325" s="516">
        <v>133442</v>
      </c>
      <c r="I2325" s="512" t="s">
        <v>6915</v>
      </c>
    </row>
    <row r="2326" spans="2:9" ht="15" x14ac:dyDescent="0.35">
      <c r="B2326" s="512" t="s">
        <v>6298</v>
      </c>
      <c r="C2326" s="512" t="s">
        <v>6224</v>
      </c>
      <c r="D2326" s="512" t="s">
        <v>6225</v>
      </c>
      <c r="E2326" s="513">
        <v>7951</v>
      </c>
      <c r="F2326" s="512" t="s">
        <v>2340</v>
      </c>
      <c r="G2326" s="513" t="s">
        <v>26</v>
      </c>
      <c r="H2326" s="516">
        <v>176204</v>
      </c>
      <c r="I2326" s="512" t="s">
        <v>6915</v>
      </c>
    </row>
    <row r="2327" spans="2:9" ht="15" x14ac:dyDescent="0.35">
      <c r="B2327" s="512" t="s">
        <v>6298</v>
      </c>
      <c r="C2327" s="512" t="s">
        <v>6252</v>
      </c>
      <c r="D2327" s="512" t="s">
        <v>6252</v>
      </c>
      <c r="E2327" s="513">
        <v>7953</v>
      </c>
      <c r="F2327" s="512" t="s">
        <v>2341</v>
      </c>
      <c r="G2327" s="513" t="s">
        <v>26</v>
      </c>
      <c r="H2327" s="514">
        <v>1822438</v>
      </c>
      <c r="I2327" s="515" t="s">
        <v>6915</v>
      </c>
    </row>
    <row r="2328" spans="2:9" ht="15" x14ac:dyDescent="0.35">
      <c r="B2328" s="512" t="s">
        <v>6298</v>
      </c>
      <c r="C2328" s="512" t="s">
        <v>6252</v>
      </c>
      <c r="D2328" s="512" t="s">
        <v>6252</v>
      </c>
      <c r="E2328" s="513">
        <v>7954</v>
      </c>
      <c r="F2328" s="512" t="s">
        <v>2342</v>
      </c>
      <c r="G2328" s="513" t="s">
        <v>29</v>
      </c>
      <c r="H2328" s="516">
        <v>926257</v>
      </c>
      <c r="I2328" s="512" t="s">
        <v>6915</v>
      </c>
    </row>
    <row r="2329" spans="2:9" ht="15" x14ac:dyDescent="0.35">
      <c r="B2329" s="512" t="s">
        <v>6298</v>
      </c>
      <c r="C2329" s="512" t="s">
        <v>6233</v>
      </c>
      <c r="D2329" s="512" t="s">
        <v>6234</v>
      </c>
      <c r="E2329" s="513">
        <v>7955</v>
      </c>
      <c r="F2329" s="512" t="s">
        <v>2343</v>
      </c>
      <c r="G2329" s="513" t="s">
        <v>29</v>
      </c>
      <c r="H2329" s="514">
        <v>1257466</v>
      </c>
      <c r="I2329" s="515" t="s">
        <v>6915</v>
      </c>
    </row>
    <row r="2330" spans="2:9" ht="15" x14ac:dyDescent="0.35">
      <c r="B2330" s="512" t="s">
        <v>6298</v>
      </c>
      <c r="C2330" s="512" t="s">
        <v>6233</v>
      </c>
      <c r="D2330" s="512" t="s">
        <v>6234</v>
      </c>
      <c r="E2330" s="513">
        <v>7956</v>
      </c>
      <c r="F2330" s="512" t="s">
        <v>2344</v>
      </c>
      <c r="G2330" s="513" t="s">
        <v>29</v>
      </c>
      <c r="H2330" s="516">
        <v>2018228</v>
      </c>
      <c r="I2330" s="512" t="s">
        <v>6915</v>
      </c>
    </row>
    <row r="2331" spans="2:9" ht="15" x14ac:dyDescent="0.35">
      <c r="B2331" s="512" t="s">
        <v>6298</v>
      </c>
      <c r="C2331" s="512" t="s">
        <v>6237</v>
      </c>
      <c r="D2331" s="512" t="s">
        <v>6238</v>
      </c>
      <c r="E2331" s="513">
        <v>7958</v>
      </c>
      <c r="F2331" s="512" t="s">
        <v>2345</v>
      </c>
      <c r="G2331" s="513" t="s">
        <v>26</v>
      </c>
      <c r="H2331" s="514">
        <v>17184</v>
      </c>
      <c r="I2331" s="515" t="s">
        <v>6915</v>
      </c>
    </row>
    <row r="2332" spans="2:9" ht="15" x14ac:dyDescent="0.35">
      <c r="B2332" s="512" t="s">
        <v>6298</v>
      </c>
      <c r="C2332" s="512" t="s">
        <v>6237</v>
      </c>
      <c r="D2332" s="512" t="s">
        <v>6238</v>
      </c>
      <c r="E2332" s="513">
        <v>7959</v>
      </c>
      <c r="F2332" s="512" t="s">
        <v>2346</v>
      </c>
      <c r="G2332" s="513" t="s">
        <v>26</v>
      </c>
      <c r="H2332" s="514">
        <v>20621</v>
      </c>
      <c r="I2332" s="515" t="s">
        <v>6915</v>
      </c>
    </row>
    <row r="2333" spans="2:9" ht="15" x14ac:dyDescent="0.35">
      <c r="B2333" s="512" t="s">
        <v>6298</v>
      </c>
      <c r="C2333" s="512" t="s">
        <v>6237</v>
      </c>
      <c r="D2333" s="512" t="s">
        <v>6238</v>
      </c>
      <c r="E2333" s="513">
        <v>7960</v>
      </c>
      <c r="F2333" s="512" t="s">
        <v>2347</v>
      </c>
      <c r="G2333" s="513" t="s">
        <v>26</v>
      </c>
      <c r="H2333" s="514">
        <v>17184</v>
      </c>
      <c r="I2333" s="515" t="s">
        <v>6915</v>
      </c>
    </row>
    <row r="2334" spans="2:9" ht="15" x14ac:dyDescent="0.35">
      <c r="B2334" s="512" t="s">
        <v>6298</v>
      </c>
      <c r="C2334" s="512" t="s">
        <v>6237</v>
      </c>
      <c r="D2334" s="512" t="s">
        <v>6238</v>
      </c>
      <c r="E2334" s="513">
        <v>7961</v>
      </c>
      <c r="F2334" s="512" t="s">
        <v>2348</v>
      </c>
      <c r="G2334" s="513" t="s">
        <v>26</v>
      </c>
      <c r="H2334" s="514">
        <v>25776</v>
      </c>
      <c r="I2334" s="515" t="s">
        <v>6915</v>
      </c>
    </row>
    <row r="2335" spans="2:9" ht="15" x14ac:dyDescent="0.35">
      <c r="B2335" s="512" t="s">
        <v>6298</v>
      </c>
      <c r="C2335" s="512" t="s">
        <v>6237</v>
      </c>
      <c r="D2335" s="512" t="s">
        <v>6238</v>
      </c>
      <c r="E2335" s="513">
        <v>7962</v>
      </c>
      <c r="F2335" s="512" t="s">
        <v>2349</v>
      </c>
      <c r="G2335" s="513" t="s">
        <v>29</v>
      </c>
      <c r="H2335" s="516">
        <v>12755</v>
      </c>
      <c r="I2335" s="512" t="s">
        <v>6915</v>
      </c>
    </row>
    <row r="2336" spans="2:9" ht="15" x14ac:dyDescent="0.35">
      <c r="B2336" s="512" t="s">
        <v>6298</v>
      </c>
      <c r="C2336" s="512" t="s">
        <v>6237</v>
      </c>
      <c r="D2336" s="512" t="s">
        <v>6247</v>
      </c>
      <c r="E2336" s="513">
        <v>7963</v>
      </c>
      <c r="F2336" s="512" t="s">
        <v>2350</v>
      </c>
      <c r="G2336" s="513" t="s">
        <v>29</v>
      </c>
      <c r="H2336" s="516">
        <v>673479</v>
      </c>
      <c r="I2336" s="512" t="s">
        <v>6915</v>
      </c>
    </row>
    <row r="2337" spans="2:9" ht="15" x14ac:dyDescent="0.35">
      <c r="B2337" s="512" t="s">
        <v>6298</v>
      </c>
      <c r="C2337" s="512" t="s">
        <v>6237</v>
      </c>
      <c r="D2337" s="512" t="s">
        <v>6247</v>
      </c>
      <c r="E2337" s="513">
        <v>7964</v>
      </c>
      <c r="F2337" s="512" t="s">
        <v>2351</v>
      </c>
      <c r="G2337" s="513" t="s">
        <v>29</v>
      </c>
      <c r="H2337" s="514">
        <v>673479</v>
      </c>
      <c r="I2337" s="515" t="s">
        <v>6915</v>
      </c>
    </row>
    <row r="2338" spans="2:9" ht="15" x14ac:dyDescent="0.35">
      <c r="B2338" s="512" t="s">
        <v>6298</v>
      </c>
      <c r="C2338" s="512" t="s">
        <v>6237</v>
      </c>
      <c r="D2338" s="512" t="s">
        <v>6247</v>
      </c>
      <c r="E2338" s="513">
        <v>7965</v>
      </c>
      <c r="F2338" s="512" t="s">
        <v>2352</v>
      </c>
      <c r="G2338" s="513" t="s">
        <v>29</v>
      </c>
      <c r="H2338" s="514">
        <v>5819194</v>
      </c>
      <c r="I2338" s="515" t="s">
        <v>6915</v>
      </c>
    </row>
    <row r="2339" spans="2:9" ht="15" x14ac:dyDescent="0.35">
      <c r="B2339" s="512" t="s">
        <v>6298</v>
      </c>
      <c r="C2339" s="512" t="s">
        <v>6233</v>
      </c>
      <c r="D2339" s="512" t="s">
        <v>6234</v>
      </c>
      <c r="E2339" s="513">
        <v>7966</v>
      </c>
      <c r="F2339" s="512" t="s">
        <v>2353</v>
      </c>
      <c r="G2339" s="513" t="s">
        <v>29</v>
      </c>
      <c r="H2339" s="516">
        <v>236691</v>
      </c>
      <c r="I2339" s="512" t="s">
        <v>6915</v>
      </c>
    </row>
    <row r="2340" spans="2:9" ht="15" x14ac:dyDescent="0.35">
      <c r="B2340" s="512" t="s">
        <v>6298</v>
      </c>
      <c r="C2340" s="512" t="s">
        <v>6226</v>
      </c>
      <c r="D2340" s="512" t="s">
        <v>6226</v>
      </c>
      <c r="E2340" s="513">
        <v>7967</v>
      </c>
      <c r="F2340" s="512" t="s">
        <v>2354</v>
      </c>
      <c r="G2340" s="513" t="s">
        <v>23</v>
      </c>
      <c r="H2340" s="514">
        <v>9674</v>
      </c>
      <c r="I2340" s="515" t="s">
        <v>6915</v>
      </c>
    </row>
    <row r="2341" spans="2:9" ht="15" x14ac:dyDescent="0.35">
      <c r="B2341" s="512" t="s">
        <v>6298</v>
      </c>
      <c r="C2341" s="512" t="s">
        <v>6240</v>
      </c>
      <c r="D2341" s="512" t="s">
        <v>6275</v>
      </c>
      <c r="E2341" s="513">
        <v>7968</v>
      </c>
      <c r="F2341" s="512" t="s">
        <v>2355</v>
      </c>
      <c r="G2341" s="513" t="s">
        <v>1803</v>
      </c>
      <c r="H2341" s="514">
        <v>2175</v>
      </c>
      <c r="I2341" s="515" t="s">
        <v>6915</v>
      </c>
    </row>
    <row r="2342" spans="2:9" ht="15" x14ac:dyDescent="0.35">
      <c r="B2342" s="512" t="s">
        <v>6298</v>
      </c>
      <c r="C2342" s="512" t="s">
        <v>6240</v>
      </c>
      <c r="D2342" s="512" t="s">
        <v>6275</v>
      </c>
      <c r="E2342" s="513">
        <v>7969</v>
      </c>
      <c r="F2342" s="512" t="s">
        <v>2356</v>
      </c>
      <c r="G2342" s="513" t="s">
        <v>1803</v>
      </c>
      <c r="H2342" s="516">
        <v>2175</v>
      </c>
      <c r="I2342" s="512" t="s">
        <v>6915</v>
      </c>
    </row>
    <row r="2343" spans="2:9" ht="15" x14ac:dyDescent="0.35">
      <c r="B2343" s="512" t="s">
        <v>6295</v>
      </c>
      <c r="C2343" s="512" t="s">
        <v>6242</v>
      </c>
      <c r="D2343" s="512" t="s">
        <v>6257</v>
      </c>
      <c r="E2343" s="513">
        <v>7972</v>
      </c>
      <c r="F2343" s="512" t="s">
        <v>2357</v>
      </c>
      <c r="G2343" s="513" t="s">
        <v>23</v>
      </c>
      <c r="H2343" s="516">
        <v>27344</v>
      </c>
      <c r="I2343" s="512" t="s">
        <v>6915</v>
      </c>
    </row>
    <row r="2344" spans="2:9" ht="15" x14ac:dyDescent="0.35">
      <c r="B2344" s="512" t="s">
        <v>6295</v>
      </c>
      <c r="C2344" s="512" t="s">
        <v>6233</v>
      </c>
      <c r="D2344" s="512" t="s">
        <v>6234</v>
      </c>
      <c r="E2344" s="513">
        <v>7974</v>
      </c>
      <c r="F2344" s="512" t="s">
        <v>2358</v>
      </c>
      <c r="G2344" s="513" t="s">
        <v>29</v>
      </c>
      <c r="H2344" s="514">
        <v>875084</v>
      </c>
      <c r="I2344" s="515" t="s">
        <v>6915</v>
      </c>
    </row>
    <row r="2345" spans="2:9" ht="15" x14ac:dyDescent="0.35">
      <c r="B2345" s="512" t="s">
        <v>6295</v>
      </c>
      <c r="C2345" s="512" t="s">
        <v>6224</v>
      </c>
      <c r="D2345" s="512" t="s">
        <v>6225</v>
      </c>
      <c r="E2345" s="513">
        <v>7989</v>
      </c>
      <c r="F2345" s="512" t="s">
        <v>2359</v>
      </c>
      <c r="G2345" s="513" t="s">
        <v>26</v>
      </c>
      <c r="H2345" s="516">
        <v>135759</v>
      </c>
      <c r="I2345" s="512" t="s">
        <v>6915</v>
      </c>
    </row>
    <row r="2346" spans="2:9" ht="15" x14ac:dyDescent="0.35">
      <c r="B2346" s="512" t="s">
        <v>6295</v>
      </c>
      <c r="C2346" s="512" t="s">
        <v>6277</v>
      </c>
      <c r="D2346" s="512" t="s">
        <v>6277</v>
      </c>
      <c r="E2346" s="513">
        <v>7991</v>
      </c>
      <c r="F2346" s="512" t="s">
        <v>2361</v>
      </c>
      <c r="G2346" s="513" t="s">
        <v>2360</v>
      </c>
      <c r="H2346" s="516">
        <v>165595</v>
      </c>
      <c r="I2346" s="512" t="s">
        <v>6915</v>
      </c>
    </row>
    <row r="2347" spans="2:9" ht="15" x14ac:dyDescent="0.35">
      <c r="B2347" s="512" t="s">
        <v>6299</v>
      </c>
      <c r="C2347" s="512" t="s">
        <v>6252</v>
      </c>
      <c r="D2347" s="512" t="s">
        <v>6252</v>
      </c>
      <c r="E2347" s="513">
        <v>7992</v>
      </c>
      <c r="F2347" s="512" t="s">
        <v>2362</v>
      </c>
      <c r="G2347" s="513" t="s">
        <v>26</v>
      </c>
      <c r="H2347" s="516">
        <v>21989</v>
      </c>
      <c r="I2347" s="512" t="s">
        <v>6915</v>
      </c>
    </row>
    <row r="2348" spans="2:9" ht="15" x14ac:dyDescent="0.35">
      <c r="B2348" s="512" t="s">
        <v>6299</v>
      </c>
      <c r="C2348" s="512" t="s">
        <v>6252</v>
      </c>
      <c r="D2348" s="512" t="s">
        <v>6252</v>
      </c>
      <c r="E2348" s="513">
        <v>7993</v>
      </c>
      <c r="F2348" s="512" t="s">
        <v>2363</v>
      </c>
      <c r="G2348" s="513" t="s">
        <v>26</v>
      </c>
      <c r="H2348" s="516">
        <v>29519</v>
      </c>
      <c r="I2348" s="512" t="s">
        <v>6915</v>
      </c>
    </row>
    <row r="2349" spans="2:9" ht="15" x14ac:dyDescent="0.35">
      <c r="B2349" s="512" t="s">
        <v>6299</v>
      </c>
      <c r="C2349" s="512" t="s">
        <v>6252</v>
      </c>
      <c r="D2349" s="512" t="s">
        <v>6252</v>
      </c>
      <c r="E2349" s="513">
        <v>7994</v>
      </c>
      <c r="F2349" s="512" t="s">
        <v>2364</v>
      </c>
      <c r="G2349" s="513" t="s">
        <v>26</v>
      </c>
      <c r="H2349" s="516">
        <v>66615</v>
      </c>
      <c r="I2349" s="512" t="s">
        <v>6915</v>
      </c>
    </row>
    <row r="2350" spans="2:9" ht="15" x14ac:dyDescent="0.35">
      <c r="B2350" s="512" t="s">
        <v>6299</v>
      </c>
      <c r="C2350" s="512" t="s">
        <v>6252</v>
      </c>
      <c r="D2350" s="512" t="s">
        <v>6252</v>
      </c>
      <c r="E2350" s="513">
        <v>7995</v>
      </c>
      <c r="F2350" s="512" t="s">
        <v>2365</v>
      </c>
      <c r="G2350" s="513" t="s">
        <v>26</v>
      </c>
      <c r="H2350" s="516">
        <v>1964</v>
      </c>
      <c r="I2350" s="512" t="s">
        <v>6915</v>
      </c>
    </row>
    <row r="2351" spans="2:9" ht="15" x14ac:dyDescent="0.35">
      <c r="B2351" s="512" t="s">
        <v>6299</v>
      </c>
      <c r="C2351" s="512" t="s">
        <v>6227</v>
      </c>
      <c r="D2351" s="512" t="s">
        <v>6248</v>
      </c>
      <c r="E2351" s="513">
        <v>7996</v>
      </c>
      <c r="F2351" s="512" t="s">
        <v>2366</v>
      </c>
      <c r="G2351" s="513" t="s">
        <v>23</v>
      </c>
      <c r="H2351" s="516">
        <v>115462</v>
      </c>
      <c r="I2351" s="512" t="s">
        <v>6915</v>
      </c>
    </row>
    <row r="2352" spans="2:9" ht="15" x14ac:dyDescent="0.35">
      <c r="B2352" s="512" t="s">
        <v>6299</v>
      </c>
      <c r="C2352" s="512" t="s">
        <v>6227</v>
      </c>
      <c r="D2352" s="512" t="s">
        <v>6248</v>
      </c>
      <c r="E2352" s="513">
        <v>7997</v>
      </c>
      <c r="F2352" s="512" t="s">
        <v>2367</v>
      </c>
      <c r="G2352" s="513" t="s">
        <v>23</v>
      </c>
      <c r="H2352" s="516">
        <v>111401</v>
      </c>
      <c r="I2352" s="515" t="s">
        <v>6915</v>
      </c>
    </row>
    <row r="2353" spans="2:9" ht="15" x14ac:dyDescent="0.35">
      <c r="B2353" s="512" t="s">
        <v>6299</v>
      </c>
      <c r="C2353" s="512" t="s">
        <v>6269</v>
      </c>
      <c r="D2353" s="512" t="s">
        <v>6269</v>
      </c>
      <c r="E2353" s="513">
        <v>8000</v>
      </c>
      <c r="F2353" s="512" t="s">
        <v>2368</v>
      </c>
      <c r="G2353" s="513" t="s">
        <v>1106</v>
      </c>
      <c r="H2353" s="516">
        <v>5994</v>
      </c>
      <c r="I2353" s="512" t="s">
        <v>6915</v>
      </c>
    </row>
    <row r="2354" spans="2:9" ht="15" x14ac:dyDescent="0.35">
      <c r="B2354" s="512" t="s">
        <v>6299</v>
      </c>
      <c r="C2354" s="512" t="s">
        <v>6232</v>
      </c>
      <c r="D2354" s="512" t="s">
        <v>6232</v>
      </c>
      <c r="E2354" s="513">
        <v>8001</v>
      </c>
      <c r="F2354" s="512" t="s">
        <v>2369</v>
      </c>
      <c r="G2354" s="513" t="s">
        <v>26</v>
      </c>
      <c r="H2354" s="514">
        <v>1725500</v>
      </c>
      <c r="I2354" s="515" t="s">
        <v>6915</v>
      </c>
    </row>
    <row r="2355" spans="2:9" ht="15" x14ac:dyDescent="0.35">
      <c r="B2355" s="512" t="s">
        <v>6299</v>
      </c>
      <c r="C2355" s="512" t="s">
        <v>6232</v>
      </c>
      <c r="D2355" s="512" t="s">
        <v>6232</v>
      </c>
      <c r="E2355" s="513">
        <v>8002</v>
      </c>
      <c r="F2355" s="512" t="s">
        <v>2370</v>
      </c>
      <c r="G2355" s="513" t="s">
        <v>26</v>
      </c>
      <c r="H2355" s="516">
        <v>1892100</v>
      </c>
      <c r="I2355" s="512" t="s">
        <v>6915</v>
      </c>
    </row>
    <row r="2356" spans="2:9" ht="15" x14ac:dyDescent="0.35">
      <c r="B2356" s="512" t="s">
        <v>6299</v>
      </c>
      <c r="C2356" s="512" t="s">
        <v>6232</v>
      </c>
      <c r="D2356" s="512" t="s">
        <v>6232</v>
      </c>
      <c r="E2356" s="513">
        <v>8003</v>
      </c>
      <c r="F2356" s="512" t="s">
        <v>2371</v>
      </c>
      <c r="G2356" s="513" t="s">
        <v>26</v>
      </c>
      <c r="H2356" s="516">
        <v>2082500</v>
      </c>
      <c r="I2356" s="512" t="s">
        <v>6915</v>
      </c>
    </row>
    <row r="2357" spans="2:9" ht="15" x14ac:dyDescent="0.35">
      <c r="B2357" s="512" t="s">
        <v>6299</v>
      </c>
      <c r="C2357" s="512" t="s">
        <v>6232</v>
      </c>
      <c r="D2357" s="512" t="s">
        <v>6232</v>
      </c>
      <c r="E2357" s="513">
        <v>8004</v>
      </c>
      <c r="F2357" s="512" t="s">
        <v>2372</v>
      </c>
      <c r="G2357" s="513" t="s">
        <v>26</v>
      </c>
      <c r="H2357" s="514">
        <v>2475200</v>
      </c>
      <c r="I2357" s="515" t="s">
        <v>6915</v>
      </c>
    </row>
    <row r="2358" spans="2:9" ht="15" x14ac:dyDescent="0.35">
      <c r="B2358" s="512" t="s">
        <v>6299</v>
      </c>
      <c r="C2358" s="512" t="s">
        <v>6232</v>
      </c>
      <c r="D2358" s="512" t="s">
        <v>6232</v>
      </c>
      <c r="E2358" s="513">
        <v>8005</v>
      </c>
      <c r="F2358" s="512" t="s">
        <v>2373</v>
      </c>
      <c r="G2358" s="513" t="s">
        <v>26</v>
      </c>
      <c r="H2358" s="514">
        <v>2826250</v>
      </c>
      <c r="I2358" s="515" t="s">
        <v>6915</v>
      </c>
    </row>
    <row r="2359" spans="2:9" ht="15" x14ac:dyDescent="0.35">
      <c r="B2359" s="512" t="s">
        <v>6299</v>
      </c>
      <c r="C2359" s="512" t="s">
        <v>6232</v>
      </c>
      <c r="D2359" s="512" t="s">
        <v>6232</v>
      </c>
      <c r="E2359" s="513">
        <v>8006</v>
      </c>
      <c r="F2359" s="512" t="s">
        <v>2374</v>
      </c>
      <c r="G2359" s="513" t="s">
        <v>26</v>
      </c>
      <c r="H2359" s="514">
        <v>3088050</v>
      </c>
      <c r="I2359" s="515" t="s">
        <v>6915</v>
      </c>
    </row>
    <row r="2360" spans="2:9" ht="15" x14ac:dyDescent="0.35">
      <c r="B2360" s="512" t="s">
        <v>6299</v>
      </c>
      <c r="C2360" s="512" t="s">
        <v>6232</v>
      </c>
      <c r="D2360" s="512" t="s">
        <v>6232</v>
      </c>
      <c r="E2360" s="513">
        <v>8007</v>
      </c>
      <c r="F2360" s="512" t="s">
        <v>2375</v>
      </c>
      <c r="G2360" s="513" t="s">
        <v>26</v>
      </c>
      <c r="H2360" s="514">
        <v>3790150</v>
      </c>
      <c r="I2360" s="515" t="s">
        <v>6915</v>
      </c>
    </row>
    <row r="2361" spans="2:9" ht="15" x14ac:dyDescent="0.35">
      <c r="B2361" s="512" t="s">
        <v>6299</v>
      </c>
      <c r="C2361" s="512" t="s">
        <v>6232</v>
      </c>
      <c r="D2361" s="512" t="s">
        <v>6232</v>
      </c>
      <c r="E2361" s="513">
        <v>8008</v>
      </c>
      <c r="F2361" s="512" t="s">
        <v>2376</v>
      </c>
      <c r="G2361" s="513" t="s">
        <v>26</v>
      </c>
      <c r="H2361" s="516">
        <v>4237152</v>
      </c>
      <c r="I2361" s="515" t="s">
        <v>6915</v>
      </c>
    </row>
    <row r="2362" spans="2:9" ht="15" x14ac:dyDescent="0.35">
      <c r="B2362" s="512" t="s">
        <v>6299</v>
      </c>
      <c r="C2362" s="512" t="s">
        <v>6232</v>
      </c>
      <c r="D2362" s="512" t="s">
        <v>6232</v>
      </c>
      <c r="E2362" s="513">
        <v>8009</v>
      </c>
      <c r="F2362" s="512" t="s">
        <v>2377</v>
      </c>
      <c r="G2362" s="513" t="s">
        <v>26</v>
      </c>
      <c r="H2362" s="514">
        <v>5033700</v>
      </c>
      <c r="I2362" s="515" t="s">
        <v>6915</v>
      </c>
    </row>
    <row r="2363" spans="2:9" ht="15" x14ac:dyDescent="0.35">
      <c r="B2363" s="512" t="s">
        <v>6299</v>
      </c>
      <c r="C2363" s="512" t="s">
        <v>6232</v>
      </c>
      <c r="D2363" s="512" t="s">
        <v>6232</v>
      </c>
      <c r="E2363" s="513">
        <v>8010</v>
      </c>
      <c r="F2363" s="512" t="s">
        <v>2378</v>
      </c>
      <c r="G2363" s="513" t="s">
        <v>26</v>
      </c>
      <c r="H2363" s="514">
        <v>6012016</v>
      </c>
      <c r="I2363" s="515" t="s">
        <v>6915</v>
      </c>
    </row>
    <row r="2364" spans="2:9" ht="15" x14ac:dyDescent="0.35">
      <c r="B2364" s="512" t="s">
        <v>6299</v>
      </c>
      <c r="C2364" s="512" t="s">
        <v>6232</v>
      </c>
      <c r="D2364" s="512" t="s">
        <v>6232</v>
      </c>
      <c r="E2364" s="513">
        <v>8011</v>
      </c>
      <c r="F2364" s="512" t="s">
        <v>2379</v>
      </c>
      <c r="G2364" s="513" t="s">
        <v>26</v>
      </c>
      <c r="H2364" s="514">
        <v>7610050</v>
      </c>
      <c r="I2364" s="515" t="s">
        <v>6915</v>
      </c>
    </row>
    <row r="2365" spans="2:9" ht="15" x14ac:dyDescent="0.35">
      <c r="B2365" s="512" t="s">
        <v>6299</v>
      </c>
      <c r="C2365" s="512" t="s">
        <v>6232</v>
      </c>
      <c r="D2365" s="512" t="s">
        <v>6232</v>
      </c>
      <c r="E2365" s="513">
        <v>8012</v>
      </c>
      <c r="F2365" s="512" t="s">
        <v>2380</v>
      </c>
      <c r="G2365" s="513" t="s">
        <v>26</v>
      </c>
      <c r="H2365" s="516">
        <v>9686600</v>
      </c>
      <c r="I2365" s="512" t="s">
        <v>6915</v>
      </c>
    </row>
    <row r="2366" spans="2:9" ht="15" x14ac:dyDescent="0.35">
      <c r="B2366" s="512" t="s">
        <v>6299</v>
      </c>
      <c r="C2366" s="512" t="s">
        <v>6232</v>
      </c>
      <c r="D2366" s="512" t="s">
        <v>6232</v>
      </c>
      <c r="E2366" s="513">
        <v>8013</v>
      </c>
      <c r="F2366" s="512" t="s">
        <v>2381</v>
      </c>
      <c r="G2366" s="513" t="s">
        <v>26</v>
      </c>
      <c r="H2366" s="514">
        <v>10642406</v>
      </c>
      <c r="I2366" s="515" t="s">
        <v>6915</v>
      </c>
    </row>
    <row r="2367" spans="2:9" ht="15" x14ac:dyDescent="0.35">
      <c r="B2367" s="512" t="s">
        <v>6299</v>
      </c>
      <c r="C2367" s="512" t="s">
        <v>6232</v>
      </c>
      <c r="D2367" s="512" t="s">
        <v>6232</v>
      </c>
      <c r="E2367" s="513">
        <v>8016</v>
      </c>
      <c r="F2367" s="512" t="s">
        <v>2382</v>
      </c>
      <c r="G2367" s="513" t="s">
        <v>26</v>
      </c>
      <c r="H2367" s="516">
        <v>744818</v>
      </c>
      <c r="I2367" s="512" t="s">
        <v>6915</v>
      </c>
    </row>
    <row r="2368" spans="2:9" ht="15" x14ac:dyDescent="0.35">
      <c r="B2368" s="512" t="s">
        <v>6299</v>
      </c>
      <c r="C2368" s="512" t="s">
        <v>6232</v>
      </c>
      <c r="D2368" s="512" t="s">
        <v>6232</v>
      </c>
      <c r="E2368" s="513">
        <v>8017</v>
      </c>
      <c r="F2368" s="512" t="s">
        <v>2383</v>
      </c>
      <c r="G2368" s="513" t="s">
        <v>29</v>
      </c>
      <c r="H2368" s="516">
        <v>1253294</v>
      </c>
      <c r="I2368" s="512" t="s">
        <v>6915</v>
      </c>
    </row>
    <row r="2369" spans="2:9" ht="15" x14ac:dyDescent="0.35">
      <c r="B2369" s="512" t="s">
        <v>6299</v>
      </c>
      <c r="C2369" s="512" t="s">
        <v>6232</v>
      </c>
      <c r="D2369" s="512" t="s">
        <v>6232</v>
      </c>
      <c r="E2369" s="513">
        <v>8018</v>
      </c>
      <c r="F2369" s="512" t="s">
        <v>2384</v>
      </c>
      <c r="G2369" s="513" t="s">
        <v>29</v>
      </c>
      <c r="H2369" s="516">
        <v>1548481</v>
      </c>
      <c r="I2369" s="512" t="s">
        <v>6915</v>
      </c>
    </row>
    <row r="2370" spans="2:9" ht="15" x14ac:dyDescent="0.35">
      <c r="B2370" s="512" t="s">
        <v>6299</v>
      </c>
      <c r="C2370" s="512" t="s">
        <v>6232</v>
      </c>
      <c r="D2370" s="512" t="s">
        <v>6232</v>
      </c>
      <c r="E2370" s="513">
        <v>8019</v>
      </c>
      <c r="F2370" s="512" t="s">
        <v>2385</v>
      </c>
      <c r="G2370" s="513" t="s">
        <v>26</v>
      </c>
      <c r="H2370" s="516">
        <v>1566285</v>
      </c>
      <c r="I2370" s="512" t="s">
        <v>6915</v>
      </c>
    </row>
    <row r="2371" spans="2:9" ht="15" x14ac:dyDescent="0.35">
      <c r="B2371" s="512" t="s">
        <v>6299</v>
      </c>
      <c r="C2371" s="512" t="s">
        <v>6232</v>
      </c>
      <c r="D2371" s="512" t="s">
        <v>6232</v>
      </c>
      <c r="E2371" s="513">
        <v>8020</v>
      </c>
      <c r="F2371" s="512" t="s">
        <v>2386</v>
      </c>
      <c r="G2371" s="513" t="s">
        <v>29</v>
      </c>
      <c r="H2371" s="516">
        <v>2586829</v>
      </c>
      <c r="I2371" s="512" t="s">
        <v>6915</v>
      </c>
    </row>
    <row r="2372" spans="2:9" ht="15" x14ac:dyDescent="0.35">
      <c r="B2372" s="512" t="s">
        <v>6299</v>
      </c>
      <c r="C2372" s="512" t="s">
        <v>6239</v>
      </c>
      <c r="D2372" s="512" t="s">
        <v>6239</v>
      </c>
      <c r="E2372" s="513">
        <v>8022</v>
      </c>
      <c r="F2372" s="512" t="s">
        <v>2387</v>
      </c>
      <c r="G2372" s="513" t="s">
        <v>29</v>
      </c>
      <c r="H2372" s="516">
        <v>705854</v>
      </c>
      <c r="I2372" s="512" t="s">
        <v>6915</v>
      </c>
    </row>
    <row r="2373" spans="2:9" ht="15" x14ac:dyDescent="0.35">
      <c r="B2373" s="512" t="s">
        <v>6299</v>
      </c>
      <c r="C2373" s="512" t="s">
        <v>6239</v>
      </c>
      <c r="D2373" s="512" t="s">
        <v>6239</v>
      </c>
      <c r="E2373" s="513">
        <v>8023</v>
      </c>
      <c r="F2373" s="512" t="s">
        <v>2388</v>
      </c>
      <c r="G2373" s="513" t="s">
        <v>29</v>
      </c>
      <c r="H2373" s="516">
        <v>970902</v>
      </c>
      <c r="I2373" s="512" t="s">
        <v>6915</v>
      </c>
    </row>
    <row r="2374" spans="2:9" ht="15" x14ac:dyDescent="0.35">
      <c r="B2374" s="512" t="s">
        <v>6299</v>
      </c>
      <c r="C2374" s="512" t="s">
        <v>6239</v>
      </c>
      <c r="D2374" s="512" t="s">
        <v>6239</v>
      </c>
      <c r="E2374" s="513">
        <v>8025</v>
      </c>
      <c r="F2374" s="512" t="s">
        <v>2389</v>
      </c>
      <c r="G2374" s="513" t="s">
        <v>29</v>
      </c>
      <c r="H2374" s="516">
        <v>523783</v>
      </c>
      <c r="I2374" s="512" t="s">
        <v>6915</v>
      </c>
    </row>
    <row r="2375" spans="2:9" ht="15" x14ac:dyDescent="0.35">
      <c r="B2375" s="512" t="s">
        <v>6299</v>
      </c>
      <c r="C2375" s="512" t="s">
        <v>6239</v>
      </c>
      <c r="D2375" s="512" t="s">
        <v>6239</v>
      </c>
      <c r="E2375" s="513">
        <v>8026</v>
      </c>
      <c r="F2375" s="512" t="s">
        <v>2390</v>
      </c>
      <c r="G2375" s="513" t="s">
        <v>29</v>
      </c>
      <c r="H2375" s="516">
        <v>824711</v>
      </c>
      <c r="I2375" s="515" t="s">
        <v>6915</v>
      </c>
    </row>
    <row r="2376" spans="2:9" ht="15" x14ac:dyDescent="0.35">
      <c r="B2376" s="512" t="s">
        <v>6299</v>
      </c>
      <c r="C2376" s="512" t="s">
        <v>6239</v>
      </c>
      <c r="D2376" s="512" t="s">
        <v>6239</v>
      </c>
      <c r="E2376" s="513">
        <v>8044</v>
      </c>
      <c r="F2376" s="512" t="s">
        <v>2391</v>
      </c>
      <c r="G2376" s="513" t="s">
        <v>29</v>
      </c>
      <c r="H2376" s="516">
        <v>3927818</v>
      </c>
      <c r="I2376" s="515" t="s">
        <v>6915</v>
      </c>
    </row>
    <row r="2377" spans="2:9" ht="15" x14ac:dyDescent="0.35">
      <c r="B2377" s="512" t="s">
        <v>6299</v>
      </c>
      <c r="C2377" s="512" t="s">
        <v>6239</v>
      </c>
      <c r="D2377" s="512" t="s">
        <v>6239</v>
      </c>
      <c r="E2377" s="513">
        <v>8045</v>
      </c>
      <c r="F2377" s="512" t="s">
        <v>2392</v>
      </c>
      <c r="G2377" s="513" t="s">
        <v>29</v>
      </c>
      <c r="H2377" s="514">
        <v>4822383</v>
      </c>
      <c r="I2377" s="515" t="s">
        <v>6915</v>
      </c>
    </row>
    <row r="2378" spans="2:9" ht="15" x14ac:dyDescent="0.35">
      <c r="B2378" s="512" t="s">
        <v>6299</v>
      </c>
      <c r="C2378" s="512" t="s">
        <v>6239</v>
      </c>
      <c r="D2378" s="512" t="s">
        <v>6239</v>
      </c>
      <c r="E2378" s="513">
        <v>8046</v>
      </c>
      <c r="F2378" s="512" t="s">
        <v>2393</v>
      </c>
      <c r="G2378" s="513" t="s">
        <v>29</v>
      </c>
      <c r="H2378" s="516">
        <v>5982330</v>
      </c>
      <c r="I2378" s="515" t="s">
        <v>6915</v>
      </c>
    </row>
    <row r="2379" spans="2:9" ht="15" x14ac:dyDescent="0.35">
      <c r="B2379" s="512" t="s">
        <v>6299</v>
      </c>
      <c r="C2379" s="512" t="s">
        <v>6239</v>
      </c>
      <c r="D2379" s="512" t="s">
        <v>6239</v>
      </c>
      <c r="E2379" s="513">
        <v>8047</v>
      </c>
      <c r="F2379" s="512" t="s">
        <v>2394</v>
      </c>
      <c r="G2379" s="513" t="s">
        <v>29</v>
      </c>
      <c r="H2379" s="516">
        <v>7540350</v>
      </c>
      <c r="I2379" s="515" t="s">
        <v>6915</v>
      </c>
    </row>
    <row r="2380" spans="2:9" ht="15" x14ac:dyDescent="0.35">
      <c r="B2380" s="512" t="s">
        <v>6299</v>
      </c>
      <c r="C2380" s="512" t="s">
        <v>6239</v>
      </c>
      <c r="D2380" s="512" t="s">
        <v>6239</v>
      </c>
      <c r="E2380" s="513">
        <v>8048</v>
      </c>
      <c r="F2380" s="512" t="s">
        <v>2395</v>
      </c>
      <c r="G2380" s="513" t="s">
        <v>29</v>
      </c>
      <c r="H2380" s="514">
        <v>4300441</v>
      </c>
      <c r="I2380" s="515" t="s">
        <v>6915</v>
      </c>
    </row>
    <row r="2381" spans="2:9" ht="15" x14ac:dyDescent="0.35">
      <c r="B2381" s="512" t="s">
        <v>6299</v>
      </c>
      <c r="C2381" s="512" t="s">
        <v>6239</v>
      </c>
      <c r="D2381" s="512" t="s">
        <v>6239</v>
      </c>
      <c r="E2381" s="513">
        <v>8049</v>
      </c>
      <c r="F2381" s="512" t="s">
        <v>2396</v>
      </c>
      <c r="G2381" s="513" t="s">
        <v>29</v>
      </c>
      <c r="H2381" s="516">
        <v>5423032</v>
      </c>
      <c r="I2381" s="515" t="s">
        <v>6915</v>
      </c>
    </row>
    <row r="2382" spans="2:9" ht="15" x14ac:dyDescent="0.35">
      <c r="B2382" s="512" t="s">
        <v>6299</v>
      </c>
      <c r="C2382" s="512" t="s">
        <v>6239</v>
      </c>
      <c r="D2382" s="512" t="s">
        <v>6239</v>
      </c>
      <c r="E2382" s="513">
        <v>8050</v>
      </c>
      <c r="F2382" s="512" t="s">
        <v>2397</v>
      </c>
      <c r="G2382" s="513" t="s">
        <v>29</v>
      </c>
      <c r="H2382" s="516">
        <v>4740811</v>
      </c>
      <c r="I2382" s="512" t="s">
        <v>6915</v>
      </c>
    </row>
    <row r="2383" spans="2:9" ht="15" x14ac:dyDescent="0.35">
      <c r="B2383" s="512" t="s">
        <v>6299</v>
      </c>
      <c r="C2383" s="512" t="s">
        <v>6239</v>
      </c>
      <c r="D2383" s="512" t="s">
        <v>6239</v>
      </c>
      <c r="E2383" s="513">
        <v>8051</v>
      </c>
      <c r="F2383" s="512" t="s">
        <v>2398</v>
      </c>
      <c r="G2383" s="513" t="s">
        <v>29</v>
      </c>
      <c r="H2383" s="516">
        <v>7219530</v>
      </c>
      <c r="I2383" s="512" t="s">
        <v>6915</v>
      </c>
    </row>
    <row r="2384" spans="2:9" ht="15" x14ac:dyDescent="0.35">
      <c r="B2384" s="512" t="s">
        <v>6299</v>
      </c>
      <c r="C2384" s="512" t="s">
        <v>6239</v>
      </c>
      <c r="D2384" s="512" t="s">
        <v>6239</v>
      </c>
      <c r="E2384" s="513">
        <v>8052</v>
      </c>
      <c r="F2384" s="512" t="s">
        <v>2399</v>
      </c>
      <c r="G2384" s="513" t="s">
        <v>29</v>
      </c>
      <c r="H2384" s="516">
        <v>9351918</v>
      </c>
      <c r="I2384" s="512" t="s">
        <v>6915</v>
      </c>
    </row>
    <row r="2385" spans="2:9" ht="15" x14ac:dyDescent="0.35">
      <c r="B2385" s="512" t="s">
        <v>6299</v>
      </c>
      <c r="C2385" s="512" t="s">
        <v>6239</v>
      </c>
      <c r="D2385" s="512" t="s">
        <v>6239</v>
      </c>
      <c r="E2385" s="513">
        <v>8058</v>
      </c>
      <c r="F2385" s="512" t="s">
        <v>2400</v>
      </c>
      <c r="G2385" s="513" t="s">
        <v>26</v>
      </c>
      <c r="H2385" s="516">
        <v>45332</v>
      </c>
      <c r="I2385" s="512" t="s">
        <v>6915</v>
      </c>
    </row>
    <row r="2386" spans="2:9" ht="15" x14ac:dyDescent="0.35">
      <c r="B2386" s="512" t="s">
        <v>6299</v>
      </c>
      <c r="C2386" s="512" t="s">
        <v>6239</v>
      </c>
      <c r="D2386" s="512" t="s">
        <v>6239</v>
      </c>
      <c r="E2386" s="513">
        <v>8060</v>
      </c>
      <c r="F2386" s="512" t="s">
        <v>2401</v>
      </c>
      <c r="G2386" s="513" t="s">
        <v>29</v>
      </c>
      <c r="H2386" s="516">
        <v>1492318</v>
      </c>
      <c r="I2386" s="512" t="s">
        <v>6915</v>
      </c>
    </row>
    <row r="2387" spans="2:9" ht="15" x14ac:dyDescent="0.35">
      <c r="B2387" s="512" t="s">
        <v>6299</v>
      </c>
      <c r="C2387" s="512" t="s">
        <v>6224</v>
      </c>
      <c r="D2387" s="512" t="s">
        <v>6225</v>
      </c>
      <c r="E2387" s="513">
        <v>8076</v>
      </c>
      <c r="F2387" s="512" t="s">
        <v>2402</v>
      </c>
      <c r="G2387" s="513" t="s">
        <v>29</v>
      </c>
      <c r="H2387" s="516">
        <v>51792</v>
      </c>
      <c r="I2387" s="512" t="s">
        <v>6915</v>
      </c>
    </row>
    <row r="2388" spans="2:9" ht="15" x14ac:dyDescent="0.35">
      <c r="B2388" s="512" t="s">
        <v>6299</v>
      </c>
      <c r="C2388" s="512" t="s">
        <v>6224</v>
      </c>
      <c r="D2388" s="512" t="s">
        <v>6225</v>
      </c>
      <c r="E2388" s="513">
        <v>8077</v>
      </c>
      <c r="F2388" s="512" t="s">
        <v>2403</v>
      </c>
      <c r="G2388" s="513" t="s">
        <v>29</v>
      </c>
      <c r="H2388" s="516">
        <v>307913</v>
      </c>
      <c r="I2388" s="512" t="s">
        <v>6915</v>
      </c>
    </row>
    <row r="2389" spans="2:9" ht="15" x14ac:dyDescent="0.35">
      <c r="B2389" s="512" t="s">
        <v>6299</v>
      </c>
      <c r="C2389" s="512" t="s">
        <v>6224</v>
      </c>
      <c r="D2389" s="512" t="s">
        <v>6225</v>
      </c>
      <c r="E2389" s="513">
        <v>8078</v>
      </c>
      <c r="F2389" s="512" t="s">
        <v>2404</v>
      </c>
      <c r="G2389" s="513" t="s">
        <v>29</v>
      </c>
      <c r="H2389" s="514">
        <v>252653</v>
      </c>
      <c r="I2389" s="515" t="s">
        <v>6915</v>
      </c>
    </row>
    <row r="2390" spans="2:9" ht="15" x14ac:dyDescent="0.35">
      <c r="B2390" s="512" t="s">
        <v>6299</v>
      </c>
      <c r="C2390" s="512" t="s">
        <v>6224</v>
      </c>
      <c r="D2390" s="512" t="s">
        <v>6225</v>
      </c>
      <c r="E2390" s="513">
        <v>8079</v>
      </c>
      <c r="F2390" s="512" t="s">
        <v>2405</v>
      </c>
      <c r="G2390" s="513" t="s">
        <v>29</v>
      </c>
      <c r="H2390" s="516">
        <v>358648</v>
      </c>
      <c r="I2390" s="512" t="s">
        <v>6915</v>
      </c>
    </row>
    <row r="2391" spans="2:9" ht="15" x14ac:dyDescent="0.35">
      <c r="B2391" s="512" t="s">
        <v>6299</v>
      </c>
      <c r="C2391" s="512" t="s">
        <v>6235</v>
      </c>
      <c r="D2391" s="512" t="s">
        <v>6236</v>
      </c>
      <c r="E2391" s="513">
        <v>8080</v>
      </c>
      <c r="F2391" s="512" t="s">
        <v>2406</v>
      </c>
      <c r="G2391" s="513" t="s">
        <v>29</v>
      </c>
      <c r="H2391" s="516">
        <v>153259</v>
      </c>
      <c r="I2391" s="512" t="s">
        <v>6425</v>
      </c>
    </row>
    <row r="2392" spans="2:9" ht="15" x14ac:dyDescent="0.35">
      <c r="B2392" s="512" t="s">
        <v>6299</v>
      </c>
      <c r="C2392" s="512" t="s">
        <v>6239</v>
      </c>
      <c r="D2392" s="512" t="s">
        <v>6239</v>
      </c>
      <c r="E2392" s="513">
        <v>8081</v>
      </c>
      <c r="F2392" s="512" t="s">
        <v>2407</v>
      </c>
      <c r="G2392" s="513" t="s">
        <v>29</v>
      </c>
      <c r="H2392" s="516">
        <v>32751</v>
      </c>
      <c r="I2392" s="512" t="s">
        <v>6915</v>
      </c>
    </row>
    <row r="2393" spans="2:9" ht="15" x14ac:dyDescent="0.35">
      <c r="B2393" s="512" t="s">
        <v>6299</v>
      </c>
      <c r="C2393" s="512" t="s">
        <v>6235</v>
      </c>
      <c r="D2393" s="512" t="s">
        <v>6236</v>
      </c>
      <c r="E2393" s="513">
        <v>8082</v>
      </c>
      <c r="F2393" s="512" t="s">
        <v>2408</v>
      </c>
      <c r="G2393" s="513" t="s">
        <v>21</v>
      </c>
      <c r="H2393" s="516">
        <v>113681</v>
      </c>
      <c r="I2393" s="512" t="s">
        <v>6915</v>
      </c>
    </row>
    <row r="2394" spans="2:9" ht="15" x14ac:dyDescent="0.35">
      <c r="B2394" s="512" t="s">
        <v>6299</v>
      </c>
      <c r="C2394" s="512" t="s">
        <v>6235</v>
      </c>
      <c r="D2394" s="512" t="s">
        <v>6236</v>
      </c>
      <c r="E2394" s="513">
        <v>8083</v>
      </c>
      <c r="F2394" s="512" t="s">
        <v>2409</v>
      </c>
      <c r="G2394" s="513" t="s">
        <v>21</v>
      </c>
      <c r="H2394" s="514">
        <v>90192</v>
      </c>
      <c r="I2394" s="515" t="s">
        <v>6915</v>
      </c>
    </row>
    <row r="2395" spans="2:9" ht="15" x14ac:dyDescent="0.35">
      <c r="B2395" s="512" t="s">
        <v>6299</v>
      </c>
      <c r="C2395" s="512" t="s">
        <v>6235</v>
      </c>
      <c r="D2395" s="512" t="s">
        <v>6236</v>
      </c>
      <c r="E2395" s="513">
        <v>8084</v>
      </c>
      <c r="F2395" s="512" t="s">
        <v>2410</v>
      </c>
      <c r="G2395" s="513" t="s">
        <v>21</v>
      </c>
      <c r="H2395" s="514">
        <v>65967</v>
      </c>
      <c r="I2395" s="512" t="s">
        <v>6915</v>
      </c>
    </row>
    <row r="2396" spans="2:9" ht="15" x14ac:dyDescent="0.35">
      <c r="B2396" s="512" t="s">
        <v>6299</v>
      </c>
      <c r="C2396" s="512" t="s">
        <v>6240</v>
      </c>
      <c r="D2396" s="512" t="s">
        <v>6241</v>
      </c>
      <c r="E2396" s="513">
        <v>8086</v>
      </c>
      <c r="F2396" s="512" t="s">
        <v>6445</v>
      </c>
      <c r="G2396" s="513" t="s">
        <v>23</v>
      </c>
      <c r="H2396" s="514">
        <v>1061152</v>
      </c>
      <c r="I2396" s="515" t="s">
        <v>6915</v>
      </c>
    </row>
    <row r="2397" spans="2:9" ht="15" x14ac:dyDescent="0.35">
      <c r="B2397" s="512" t="s">
        <v>6299</v>
      </c>
      <c r="C2397" s="512" t="s">
        <v>6240</v>
      </c>
      <c r="D2397" s="512" t="s">
        <v>6241</v>
      </c>
      <c r="E2397" s="513">
        <v>8087</v>
      </c>
      <c r="F2397" s="512" t="s">
        <v>2411</v>
      </c>
      <c r="G2397" s="513" t="s">
        <v>23</v>
      </c>
      <c r="H2397" s="516">
        <v>1098380</v>
      </c>
      <c r="I2397" s="512" t="s">
        <v>6915</v>
      </c>
    </row>
    <row r="2398" spans="2:9" ht="15" x14ac:dyDescent="0.35">
      <c r="B2398" s="512" t="s">
        <v>6299</v>
      </c>
      <c r="C2398" s="512" t="s">
        <v>6240</v>
      </c>
      <c r="D2398" s="512" t="s">
        <v>6241</v>
      </c>
      <c r="E2398" s="513">
        <v>8088</v>
      </c>
      <c r="F2398" s="512" t="s">
        <v>2412</v>
      </c>
      <c r="G2398" s="513" t="s">
        <v>23</v>
      </c>
      <c r="H2398" s="514">
        <v>1075994</v>
      </c>
      <c r="I2398" s="515" t="s">
        <v>6915</v>
      </c>
    </row>
    <row r="2399" spans="2:9" ht="15" x14ac:dyDescent="0.35">
      <c r="B2399" s="512" t="s">
        <v>6300</v>
      </c>
      <c r="C2399" s="512" t="s">
        <v>6230</v>
      </c>
      <c r="D2399" s="512" t="s">
        <v>6250</v>
      </c>
      <c r="E2399" s="513">
        <v>8090</v>
      </c>
      <c r="F2399" s="512" t="s">
        <v>2413</v>
      </c>
      <c r="G2399" s="513" t="s">
        <v>21</v>
      </c>
      <c r="H2399" s="514">
        <v>530380</v>
      </c>
      <c r="I2399" s="515" t="s">
        <v>6915</v>
      </c>
    </row>
    <row r="2400" spans="2:9" ht="15" x14ac:dyDescent="0.35">
      <c r="B2400" s="512" t="s">
        <v>6300</v>
      </c>
      <c r="C2400" s="512" t="s">
        <v>6220</v>
      </c>
      <c r="D2400" s="512" t="s">
        <v>6221</v>
      </c>
      <c r="E2400" s="513">
        <v>8091</v>
      </c>
      <c r="F2400" s="512" t="s">
        <v>2414</v>
      </c>
      <c r="G2400" s="513" t="s">
        <v>29</v>
      </c>
      <c r="H2400" s="514">
        <v>13551</v>
      </c>
      <c r="I2400" s="512" t="s">
        <v>6915</v>
      </c>
    </row>
    <row r="2401" spans="2:9" ht="15" x14ac:dyDescent="0.35">
      <c r="B2401" s="512" t="s">
        <v>6300</v>
      </c>
      <c r="C2401" s="512" t="s">
        <v>6237</v>
      </c>
      <c r="D2401" s="512" t="s">
        <v>6276</v>
      </c>
      <c r="E2401" s="513">
        <v>8092</v>
      </c>
      <c r="F2401" s="512" t="s">
        <v>2415</v>
      </c>
      <c r="G2401" s="513" t="s">
        <v>29</v>
      </c>
      <c r="H2401" s="514">
        <v>45976</v>
      </c>
      <c r="I2401" s="515" t="s">
        <v>6915</v>
      </c>
    </row>
    <row r="2402" spans="2:9" ht="15" x14ac:dyDescent="0.35">
      <c r="B2402" s="512" t="s">
        <v>6300</v>
      </c>
      <c r="C2402" s="512" t="s">
        <v>6237</v>
      </c>
      <c r="D2402" s="512" t="s">
        <v>6276</v>
      </c>
      <c r="E2402" s="513">
        <v>8093</v>
      </c>
      <c r="F2402" s="512" t="s">
        <v>2416</v>
      </c>
      <c r="G2402" s="513" t="s">
        <v>29</v>
      </c>
      <c r="H2402" s="514">
        <v>54009</v>
      </c>
      <c r="I2402" s="515" t="s">
        <v>6915</v>
      </c>
    </row>
    <row r="2403" spans="2:9" ht="15" x14ac:dyDescent="0.35">
      <c r="B2403" s="512" t="s">
        <v>6300</v>
      </c>
      <c r="C2403" s="512" t="s">
        <v>6235</v>
      </c>
      <c r="D2403" s="512" t="s">
        <v>6236</v>
      </c>
      <c r="E2403" s="513">
        <v>8094</v>
      </c>
      <c r="F2403" s="512" t="s">
        <v>2417</v>
      </c>
      <c r="G2403" s="513" t="s">
        <v>29</v>
      </c>
      <c r="H2403" s="514">
        <v>433315</v>
      </c>
      <c r="I2403" s="515" t="s">
        <v>6915</v>
      </c>
    </row>
    <row r="2404" spans="2:9" ht="15" x14ac:dyDescent="0.35">
      <c r="B2404" s="512" t="s">
        <v>6301</v>
      </c>
      <c r="C2404" s="512" t="s">
        <v>6277</v>
      </c>
      <c r="D2404" s="512" t="s">
        <v>6277</v>
      </c>
      <c r="E2404" s="513">
        <v>8098</v>
      </c>
      <c r="F2404" s="512" t="s">
        <v>2418</v>
      </c>
      <c r="G2404" s="513" t="s">
        <v>29</v>
      </c>
      <c r="H2404" s="514">
        <v>476000</v>
      </c>
      <c r="I2404" s="515" t="s">
        <v>6915</v>
      </c>
    </row>
    <row r="2405" spans="2:9" ht="15" x14ac:dyDescent="0.35">
      <c r="B2405" s="512" t="s">
        <v>6301</v>
      </c>
      <c r="C2405" s="512" t="s">
        <v>6258</v>
      </c>
      <c r="D2405" s="512" t="s">
        <v>6259</v>
      </c>
      <c r="E2405" s="513">
        <v>8099</v>
      </c>
      <c r="F2405" s="512" t="s">
        <v>2419</v>
      </c>
      <c r="G2405" s="513" t="s">
        <v>23</v>
      </c>
      <c r="H2405" s="514">
        <v>251102</v>
      </c>
      <c r="I2405" s="515" t="s">
        <v>6915</v>
      </c>
    </row>
    <row r="2406" spans="2:9" ht="15" x14ac:dyDescent="0.35">
      <c r="B2406" s="512" t="s">
        <v>6301</v>
      </c>
      <c r="C2406" s="512" t="s">
        <v>6232</v>
      </c>
      <c r="D2406" s="512" t="s">
        <v>6232</v>
      </c>
      <c r="E2406" s="513">
        <v>8100</v>
      </c>
      <c r="F2406" s="512" t="s">
        <v>2420</v>
      </c>
      <c r="G2406" s="513" t="s">
        <v>29</v>
      </c>
      <c r="H2406" s="514">
        <v>1419331</v>
      </c>
      <c r="I2406" s="515" t="s">
        <v>6915</v>
      </c>
    </row>
    <row r="2407" spans="2:9" ht="15" x14ac:dyDescent="0.35">
      <c r="B2407" s="512" t="s">
        <v>6301</v>
      </c>
      <c r="C2407" s="512" t="s">
        <v>6232</v>
      </c>
      <c r="D2407" s="512" t="s">
        <v>6232</v>
      </c>
      <c r="E2407" s="513">
        <v>8101</v>
      </c>
      <c r="F2407" s="512" t="s">
        <v>2421</v>
      </c>
      <c r="G2407" s="513" t="s">
        <v>29</v>
      </c>
      <c r="H2407" s="514">
        <v>3178623</v>
      </c>
      <c r="I2407" s="515" t="s">
        <v>6915</v>
      </c>
    </row>
    <row r="2408" spans="2:9" ht="15" x14ac:dyDescent="0.35">
      <c r="B2408" s="512" t="s">
        <v>6291</v>
      </c>
      <c r="C2408" s="512" t="s">
        <v>6252</v>
      </c>
      <c r="D2408" s="512" t="s">
        <v>6252</v>
      </c>
      <c r="E2408" s="513">
        <v>8103</v>
      </c>
      <c r="F2408" s="512" t="s">
        <v>2422</v>
      </c>
      <c r="G2408" s="513" t="s">
        <v>21</v>
      </c>
      <c r="H2408" s="516">
        <v>24656</v>
      </c>
      <c r="I2408" s="515" t="s">
        <v>6915</v>
      </c>
    </row>
    <row r="2409" spans="2:9" ht="15" x14ac:dyDescent="0.35">
      <c r="B2409" s="512" t="s">
        <v>6291</v>
      </c>
      <c r="C2409" s="512" t="s">
        <v>6252</v>
      </c>
      <c r="D2409" s="512" t="s">
        <v>6252</v>
      </c>
      <c r="E2409" s="513">
        <v>8104</v>
      </c>
      <c r="F2409" s="512" t="s">
        <v>2423</v>
      </c>
      <c r="G2409" s="513" t="s">
        <v>21</v>
      </c>
      <c r="H2409" s="516">
        <v>129812</v>
      </c>
      <c r="I2409" s="515" t="s">
        <v>6915</v>
      </c>
    </row>
    <row r="2410" spans="2:9" ht="15" x14ac:dyDescent="0.35">
      <c r="B2410" s="512" t="s">
        <v>6302</v>
      </c>
      <c r="C2410" s="512" t="s">
        <v>6242</v>
      </c>
      <c r="D2410" s="512" t="s">
        <v>6260</v>
      </c>
      <c r="E2410" s="513">
        <v>8106</v>
      </c>
      <c r="F2410" s="512" t="s">
        <v>2424</v>
      </c>
      <c r="G2410" s="513" t="s">
        <v>21</v>
      </c>
      <c r="H2410" s="516">
        <v>178212</v>
      </c>
      <c r="I2410" s="515" t="s">
        <v>6915</v>
      </c>
    </row>
    <row r="2411" spans="2:9" ht="15" x14ac:dyDescent="0.35">
      <c r="B2411" s="512" t="s">
        <v>6302</v>
      </c>
      <c r="C2411" s="512" t="s">
        <v>6230</v>
      </c>
      <c r="D2411" s="512" t="s">
        <v>6231</v>
      </c>
      <c r="E2411" s="513">
        <v>8107</v>
      </c>
      <c r="F2411" s="512" t="s">
        <v>2425</v>
      </c>
      <c r="G2411" s="513" t="s">
        <v>29</v>
      </c>
      <c r="H2411" s="516">
        <v>61621</v>
      </c>
      <c r="I2411" s="515" t="s">
        <v>6915</v>
      </c>
    </row>
    <row r="2412" spans="2:9" ht="15" x14ac:dyDescent="0.35">
      <c r="B2412" s="512" t="s">
        <v>6302</v>
      </c>
      <c r="C2412" s="512" t="s">
        <v>6224</v>
      </c>
      <c r="D2412" s="512" t="s">
        <v>6225</v>
      </c>
      <c r="E2412" s="513">
        <v>8109</v>
      </c>
      <c r="F2412" s="512" t="s">
        <v>2426</v>
      </c>
      <c r="G2412" s="513" t="s">
        <v>26</v>
      </c>
      <c r="H2412" s="514">
        <v>64305</v>
      </c>
      <c r="I2412" s="515" t="s">
        <v>6915</v>
      </c>
    </row>
    <row r="2413" spans="2:9" ht="15" x14ac:dyDescent="0.35">
      <c r="B2413" s="512" t="s">
        <v>6302</v>
      </c>
      <c r="C2413" s="512" t="s">
        <v>6224</v>
      </c>
      <c r="D2413" s="512" t="s">
        <v>6225</v>
      </c>
      <c r="E2413" s="513">
        <v>8110</v>
      </c>
      <c r="F2413" s="512" t="s">
        <v>2427</v>
      </c>
      <c r="G2413" s="513" t="s">
        <v>26</v>
      </c>
      <c r="H2413" s="514">
        <v>77127</v>
      </c>
      <c r="I2413" s="515" t="s">
        <v>6915</v>
      </c>
    </row>
    <row r="2414" spans="2:9" ht="15" x14ac:dyDescent="0.35">
      <c r="B2414" s="512" t="s">
        <v>6302</v>
      </c>
      <c r="C2414" s="512" t="s">
        <v>6224</v>
      </c>
      <c r="D2414" s="512" t="s">
        <v>6225</v>
      </c>
      <c r="E2414" s="513">
        <v>8111</v>
      </c>
      <c r="F2414" s="512" t="s">
        <v>2428</v>
      </c>
      <c r="G2414" s="513" t="s">
        <v>26</v>
      </c>
      <c r="H2414" s="514">
        <v>208838</v>
      </c>
      <c r="I2414" s="515" t="s">
        <v>6915</v>
      </c>
    </row>
    <row r="2415" spans="2:9" ht="15" x14ac:dyDescent="0.35">
      <c r="B2415" s="512" t="s">
        <v>6302</v>
      </c>
      <c r="C2415" s="512" t="s">
        <v>6233</v>
      </c>
      <c r="D2415" s="512" t="s">
        <v>6234</v>
      </c>
      <c r="E2415" s="513">
        <v>8112</v>
      </c>
      <c r="F2415" s="512" t="s">
        <v>2429</v>
      </c>
      <c r="G2415" s="513" t="s">
        <v>29</v>
      </c>
      <c r="H2415" s="514">
        <v>275363</v>
      </c>
      <c r="I2415" s="515" t="s">
        <v>6915</v>
      </c>
    </row>
    <row r="2416" spans="2:9" ht="15" x14ac:dyDescent="0.35">
      <c r="B2416" s="512" t="s">
        <v>6302</v>
      </c>
      <c r="C2416" s="512" t="s">
        <v>6233</v>
      </c>
      <c r="D2416" s="512" t="s">
        <v>6234</v>
      </c>
      <c r="E2416" s="513">
        <v>8113</v>
      </c>
      <c r="F2416" s="512" t="s">
        <v>2430</v>
      </c>
      <c r="G2416" s="513" t="s">
        <v>29</v>
      </c>
      <c r="H2416" s="514">
        <v>137682</v>
      </c>
      <c r="I2416" s="515" t="s">
        <v>6915</v>
      </c>
    </row>
    <row r="2417" spans="2:9" ht="15" x14ac:dyDescent="0.35">
      <c r="B2417" s="512" t="s">
        <v>6302</v>
      </c>
      <c r="C2417" s="512" t="s">
        <v>6237</v>
      </c>
      <c r="D2417" s="512" t="s">
        <v>6238</v>
      </c>
      <c r="E2417" s="513">
        <v>8114</v>
      </c>
      <c r="F2417" s="512" t="s">
        <v>2431</v>
      </c>
      <c r="G2417" s="513" t="s">
        <v>26</v>
      </c>
      <c r="H2417" s="514">
        <v>29134</v>
      </c>
      <c r="I2417" s="515" t="s">
        <v>6915</v>
      </c>
    </row>
    <row r="2418" spans="2:9" ht="15" x14ac:dyDescent="0.35">
      <c r="B2418" s="512" t="s">
        <v>6302</v>
      </c>
      <c r="C2418" s="512" t="s">
        <v>6237</v>
      </c>
      <c r="D2418" s="512" t="s">
        <v>6276</v>
      </c>
      <c r="E2418" s="513">
        <v>8115</v>
      </c>
      <c r="F2418" s="512" t="s">
        <v>2432</v>
      </c>
      <c r="G2418" s="513" t="s">
        <v>29</v>
      </c>
      <c r="H2418" s="514">
        <v>191623</v>
      </c>
      <c r="I2418" s="515" t="s">
        <v>6915</v>
      </c>
    </row>
    <row r="2419" spans="2:9" ht="15" x14ac:dyDescent="0.35">
      <c r="B2419" s="512" t="s">
        <v>6302</v>
      </c>
      <c r="C2419" s="512" t="s">
        <v>6233</v>
      </c>
      <c r="D2419" s="512" t="s">
        <v>6234</v>
      </c>
      <c r="E2419" s="513">
        <v>8116</v>
      </c>
      <c r="F2419" s="512" t="s">
        <v>2433</v>
      </c>
      <c r="G2419" s="513" t="s">
        <v>29</v>
      </c>
      <c r="H2419" s="516">
        <v>4344103</v>
      </c>
      <c r="I2419" s="512" t="s">
        <v>6915</v>
      </c>
    </row>
    <row r="2420" spans="2:9" ht="15" x14ac:dyDescent="0.35">
      <c r="B2420" s="512" t="s">
        <v>6302</v>
      </c>
      <c r="C2420" s="512" t="s">
        <v>6224</v>
      </c>
      <c r="D2420" s="512" t="s">
        <v>6225</v>
      </c>
      <c r="E2420" s="513">
        <v>8117</v>
      </c>
      <c r="F2420" s="512" t="s">
        <v>2434</v>
      </c>
      <c r="G2420" s="513" t="s">
        <v>26</v>
      </c>
      <c r="H2420" s="514">
        <v>45433</v>
      </c>
      <c r="I2420" s="515" t="s">
        <v>6915</v>
      </c>
    </row>
    <row r="2421" spans="2:9" ht="15" x14ac:dyDescent="0.35">
      <c r="B2421" s="512" t="s">
        <v>6302</v>
      </c>
      <c r="C2421" s="512" t="s">
        <v>6224</v>
      </c>
      <c r="D2421" s="512" t="s">
        <v>6225</v>
      </c>
      <c r="E2421" s="513">
        <v>8118</v>
      </c>
      <c r="F2421" s="512" t="s">
        <v>2435</v>
      </c>
      <c r="G2421" s="513" t="s">
        <v>26</v>
      </c>
      <c r="H2421" s="514">
        <v>39344</v>
      </c>
      <c r="I2421" s="515" t="s">
        <v>6915</v>
      </c>
    </row>
    <row r="2422" spans="2:9" ht="15" x14ac:dyDescent="0.35">
      <c r="B2422" s="512" t="s">
        <v>6302</v>
      </c>
      <c r="C2422" s="512" t="s">
        <v>6224</v>
      </c>
      <c r="D2422" s="512" t="s">
        <v>6225</v>
      </c>
      <c r="E2422" s="513">
        <v>8119</v>
      </c>
      <c r="F2422" s="512" t="s">
        <v>2436</v>
      </c>
      <c r="G2422" s="513" t="s">
        <v>29</v>
      </c>
      <c r="H2422" s="514">
        <v>433668</v>
      </c>
      <c r="I2422" s="515" t="s">
        <v>6915</v>
      </c>
    </row>
    <row r="2423" spans="2:9" ht="15" x14ac:dyDescent="0.35">
      <c r="B2423" s="512" t="s">
        <v>6302</v>
      </c>
      <c r="C2423" s="512" t="s">
        <v>6233</v>
      </c>
      <c r="D2423" s="512" t="s">
        <v>6234</v>
      </c>
      <c r="E2423" s="513">
        <v>8120</v>
      </c>
      <c r="F2423" s="512" t="s">
        <v>2437</v>
      </c>
      <c r="G2423" s="513" t="s">
        <v>29</v>
      </c>
      <c r="H2423" s="516">
        <v>2491355</v>
      </c>
      <c r="I2423" s="512" t="s">
        <v>6915</v>
      </c>
    </row>
    <row r="2424" spans="2:9" ht="15" x14ac:dyDescent="0.35">
      <c r="B2424" s="512" t="s">
        <v>6302</v>
      </c>
      <c r="C2424" s="512" t="s">
        <v>6233</v>
      </c>
      <c r="D2424" s="512" t="s">
        <v>6234</v>
      </c>
      <c r="E2424" s="513">
        <v>8121</v>
      </c>
      <c r="F2424" s="512" t="s">
        <v>2438</v>
      </c>
      <c r="G2424" s="513" t="s">
        <v>29</v>
      </c>
      <c r="H2424" s="516">
        <v>2725167</v>
      </c>
      <c r="I2424" s="512" t="s">
        <v>6915</v>
      </c>
    </row>
    <row r="2425" spans="2:9" ht="15" x14ac:dyDescent="0.35">
      <c r="B2425" s="512" t="s">
        <v>6302</v>
      </c>
      <c r="C2425" s="512" t="s">
        <v>6233</v>
      </c>
      <c r="D2425" s="512" t="s">
        <v>6234</v>
      </c>
      <c r="E2425" s="513">
        <v>8122</v>
      </c>
      <c r="F2425" s="512" t="s">
        <v>2439</v>
      </c>
      <c r="G2425" s="513" t="s">
        <v>29</v>
      </c>
      <c r="H2425" s="514">
        <v>1057278</v>
      </c>
      <c r="I2425" s="515" t="s">
        <v>6915</v>
      </c>
    </row>
    <row r="2426" spans="2:9" ht="15" x14ac:dyDescent="0.35">
      <c r="B2426" s="512" t="s">
        <v>6302</v>
      </c>
      <c r="C2426" s="512" t="s">
        <v>6230</v>
      </c>
      <c r="D2426" s="512" t="s">
        <v>6250</v>
      </c>
      <c r="E2426" s="513">
        <v>8123</v>
      </c>
      <c r="F2426" s="512" t="s">
        <v>2440</v>
      </c>
      <c r="G2426" s="513" t="s">
        <v>21</v>
      </c>
      <c r="H2426" s="514">
        <v>136309</v>
      </c>
      <c r="I2426" s="515" t="s">
        <v>6915</v>
      </c>
    </row>
    <row r="2427" spans="2:9" ht="15" x14ac:dyDescent="0.35">
      <c r="B2427" s="512" t="s">
        <v>6302</v>
      </c>
      <c r="C2427" s="512" t="s">
        <v>6233</v>
      </c>
      <c r="D2427" s="512" t="s">
        <v>6234</v>
      </c>
      <c r="E2427" s="513">
        <v>8125</v>
      </c>
      <c r="F2427" s="512" t="s">
        <v>2441</v>
      </c>
      <c r="G2427" s="513" t="s">
        <v>29</v>
      </c>
      <c r="H2427" s="516">
        <v>100459</v>
      </c>
      <c r="I2427" s="512" t="s">
        <v>6915</v>
      </c>
    </row>
    <row r="2428" spans="2:9" ht="15" x14ac:dyDescent="0.35">
      <c r="B2428" s="512" t="s">
        <v>6302</v>
      </c>
      <c r="C2428" s="512" t="s">
        <v>6224</v>
      </c>
      <c r="D2428" s="512" t="s">
        <v>6225</v>
      </c>
      <c r="E2428" s="513">
        <v>8126</v>
      </c>
      <c r="F2428" s="512" t="s">
        <v>2442</v>
      </c>
      <c r="G2428" s="513" t="s">
        <v>26</v>
      </c>
      <c r="H2428" s="514">
        <v>185590</v>
      </c>
      <c r="I2428" s="515" t="s">
        <v>6915</v>
      </c>
    </row>
    <row r="2429" spans="2:9" ht="15" x14ac:dyDescent="0.35">
      <c r="B2429" s="512" t="s">
        <v>6302</v>
      </c>
      <c r="C2429" s="512" t="s">
        <v>6224</v>
      </c>
      <c r="D2429" s="512" t="s">
        <v>6225</v>
      </c>
      <c r="E2429" s="513">
        <v>8129</v>
      </c>
      <c r="F2429" s="512" t="s">
        <v>2443</v>
      </c>
      <c r="G2429" s="513" t="s">
        <v>26</v>
      </c>
      <c r="H2429" s="514">
        <v>72778</v>
      </c>
      <c r="I2429" s="515" t="s">
        <v>6915</v>
      </c>
    </row>
    <row r="2430" spans="2:9" ht="15" x14ac:dyDescent="0.35">
      <c r="B2430" s="512" t="s">
        <v>6302</v>
      </c>
      <c r="C2430" s="512" t="s">
        <v>6224</v>
      </c>
      <c r="D2430" s="512" t="s">
        <v>6225</v>
      </c>
      <c r="E2430" s="513">
        <v>8130</v>
      </c>
      <c r="F2430" s="512" t="s">
        <v>2444</v>
      </c>
      <c r="G2430" s="513" t="s">
        <v>26</v>
      </c>
      <c r="H2430" s="514">
        <v>52986</v>
      </c>
      <c r="I2430" s="512" t="s">
        <v>6915</v>
      </c>
    </row>
    <row r="2431" spans="2:9" ht="15" x14ac:dyDescent="0.35">
      <c r="B2431" s="512" t="s">
        <v>6302</v>
      </c>
      <c r="C2431" s="512" t="s">
        <v>6224</v>
      </c>
      <c r="D2431" s="512" t="s">
        <v>6225</v>
      </c>
      <c r="E2431" s="513">
        <v>8131</v>
      </c>
      <c r="F2431" s="512" t="s">
        <v>2445</v>
      </c>
      <c r="G2431" s="513" t="s">
        <v>26</v>
      </c>
      <c r="H2431" s="516">
        <v>4120</v>
      </c>
      <c r="I2431" s="512" t="s">
        <v>6915</v>
      </c>
    </row>
    <row r="2432" spans="2:9" ht="15" x14ac:dyDescent="0.35">
      <c r="B2432" s="512" t="s">
        <v>6302</v>
      </c>
      <c r="C2432" s="512" t="s">
        <v>6224</v>
      </c>
      <c r="D2432" s="512" t="s">
        <v>6225</v>
      </c>
      <c r="E2432" s="513">
        <v>8133</v>
      </c>
      <c r="F2432" s="512" t="s">
        <v>2446</v>
      </c>
      <c r="G2432" s="513" t="s">
        <v>26</v>
      </c>
      <c r="H2432" s="514">
        <v>8780</v>
      </c>
      <c r="I2432" s="515" t="s">
        <v>6915</v>
      </c>
    </row>
    <row r="2433" spans="2:9" ht="15" x14ac:dyDescent="0.35">
      <c r="B2433" s="512" t="s">
        <v>6302</v>
      </c>
      <c r="C2433" s="512" t="s">
        <v>6233</v>
      </c>
      <c r="D2433" s="512" t="s">
        <v>6261</v>
      </c>
      <c r="E2433" s="513">
        <v>8134</v>
      </c>
      <c r="F2433" s="512" t="s">
        <v>2447</v>
      </c>
      <c r="G2433" s="513" t="s">
        <v>29</v>
      </c>
      <c r="H2433" s="514">
        <v>1006807</v>
      </c>
      <c r="I2433" s="515" t="s">
        <v>6915</v>
      </c>
    </row>
    <row r="2434" spans="2:9" ht="15" x14ac:dyDescent="0.35">
      <c r="B2434" s="512" t="s">
        <v>6302</v>
      </c>
      <c r="C2434" s="512" t="s">
        <v>6240</v>
      </c>
      <c r="D2434" s="512" t="s">
        <v>6241</v>
      </c>
      <c r="E2434" s="513">
        <v>8135</v>
      </c>
      <c r="F2434" s="512" t="s">
        <v>2448</v>
      </c>
      <c r="G2434" s="513" t="s">
        <v>26</v>
      </c>
      <c r="H2434" s="516">
        <v>915140</v>
      </c>
      <c r="I2434" s="512" t="s">
        <v>6915</v>
      </c>
    </row>
    <row r="2435" spans="2:9" ht="15" x14ac:dyDescent="0.35">
      <c r="B2435" s="512" t="s">
        <v>6302</v>
      </c>
      <c r="C2435" s="512" t="s">
        <v>6224</v>
      </c>
      <c r="D2435" s="512" t="s">
        <v>6225</v>
      </c>
      <c r="E2435" s="513">
        <v>8136</v>
      </c>
      <c r="F2435" s="512" t="s">
        <v>2449</v>
      </c>
      <c r="G2435" s="513" t="s">
        <v>26</v>
      </c>
      <c r="H2435" s="516">
        <v>83016</v>
      </c>
      <c r="I2435" s="512" t="s">
        <v>6915</v>
      </c>
    </row>
    <row r="2436" spans="2:9" ht="15" x14ac:dyDescent="0.35">
      <c r="B2436" s="512" t="s">
        <v>6302</v>
      </c>
      <c r="C2436" s="512" t="s">
        <v>6224</v>
      </c>
      <c r="D2436" s="512" t="s">
        <v>6225</v>
      </c>
      <c r="E2436" s="513">
        <v>8138</v>
      </c>
      <c r="F2436" s="512" t="s">
        <v>2450</v>
      </c>
      <c r="G2436" s="513" t="s">
        <v>26</v>
      </c>
      <c r="H2436" s="516">
        <v>110401</v>
      </c>
      <c r="I2436" s="515" t="s">
        <v>6915</v>
      </c>
    </row>
    <row r="2437" spans="2:9" ht="15" x14ac:dyDescent="0.35">
      <c r="B2437" s="512" t="s">
        <v>6302</v>
      </c>
      <c r="C2437" s="512" t="s">
        <v>6240</v>
      </c>
      <c r="D2437" s="512" t="s">
        <v>6241</v>
      </c>
      <c r="E2437" s="513">
        <v>8139</v>
      </c>
      <c r="F2437" s="512" t="s">
        <v>2451</v>
      </c>
      <c r="G2437" s="513" t="s">
        <v>23</v>
      </c>
      <c r="H2437" s="516">
        <v>772584</v>
      </c>
      <c r="I2437" s="512" t="s">
        <v>6915</v>
      </c>
    </row>
    <row r="2438" spans="2:9" ht="15" x14ac:dyDescent="0.35">
      <c r="B2438" s="512" t="s">
        <v>6302</v>
      </c>
      <c r="C2438" s="512" t="s">
        <v>6233</v>
      </c>
      <c r="D2438" s="512" t="s">
        <v>6261</v>
      </c>
      <c r="E2438" s="513">
        <v>8140</v>
      </c>
      <c r="F2438" s="512" t="s">
        <v>2452</v>
      </c>
      <c r="G2438" s="513" t="s">
        <v>29</v>
      </c>
      <c r="H2438" s="516">
        <v>1505291</v>
      </c>
      <c r="I2438" s="512" t="s">
        <v>6915</v>
      </c>
    </row>
    <row r="2439" spans="2:9" ht="15" x14ac:dyDescent="0.35">
      <c r="B2439" s="512" t="s">
        <v>6302</v>
      </c>
      <c r="C2439" s="512" t="s">
        <v>6232</v>
      </c>
      <c r="D2439" s="512" t="s">
        <v>6232</v>
      </c>
      <c r="E2439" s="513">
        <v>8142</v>
      </c>
      <c r="F2439" s="512" t="s">
        <v>2453</v>
      </c>
      <c r="G2439" s="513" t="s">
        <v>26</v>
      </c>
      <c r="H2439" s="516">
        <v>133413</v>
      </c>
      <c r="I2439" s="512" t="s">
        <v>6915</v>
      </c>
    </row>
    <row r="2440" spans="2:9" ht="15" x14ac:dyDescent="0.35">
      <c r="B2440" s="512" t="s">
        <v>6302</v>
      </c>
      <c r="C2440" s="512" t="s">
        <v>6233</v>
      </c>
      <c r="D2440" s="512" t="s">
        <v>6234</v>
      </c>
      <c r="E2440" s="513">
        <v>8143</v>
      </c>
      <c r="F2440" s="512" t="s">
        <v>2454</v>
      </c>
      <c r="G2440" s="513" t="s">
        <v>29</v>
      </c>
      <c r="H2440" s="516">
        <v>3209329</v>
      </c>
      <c r="I2440" s="512" t="s">
        <v>6915</v>
      </c>
    </row>
    <row r="2441" spans="2:9" ht="15" x14ac:dyDescent="0.35">
      <c r="B2441" s="512" t="s">
        <v>6302</v>
      </c>
      <c r="C2441" s="512" t="s">
        <v>6224</v>
      </c>
      <c r="D2441" s="512" t="s">
        <v>6225</v>
      </c>
      <c r="E2441" s="513">
        <v>8144</v>
      </c>
      <c r="F2441" s="512" t="s">
        <v>2455</v>
      </c>
      <c r="G2441" s="513" t="s">
        <v>29</v>
      </c>
      <c r="H2441" s="514">
        <v>1535912</v>
      </c>
      <c r="I2441" s="515" t="s">
        <v>6915</v>
      </c>
    </row>
    <row r="2442" spans="2:9" ht="15" x14ac:dyDescent="0.35">
      <c r="B2442" s="512" t="s">
        <v>6302</v>
      </c>
      <c r="C2442" s="512" t="s">
        <v>6233</v>
      </c>
      <c r="D2442" s="512" t="s">
        <v>6261</v>
      </c>
      <c r="E2442" s="513">
        <v>8145</v>
      </c>
      <c r="F2442" s="512" t="s">
        <v>2456</v>
      </c>
      <c r="G2442" s="513" t="s">
        <v>29</v>
      </c>
      <c r="H2442" s="516">
        <v>926700</v>
      </c>
      <c r="I2442" s="512" t="s">
        <v>6915</v>
      </c>
    </row>
    <row r="2443" spans="2:9" ht="15" x14ac:dyDescent="0.35">
      <c r="B2443" s="512" t="s">
        <v>6302</v>
      </c>
      <c r="C2443" s="512" t="s">
        <v>6233</v>
      </c>
      <c r="D2443" s="512" t="s">
        <v>6261</v>
      </c>
      <c r="E2443" s="513">
        <v>8146</v>
      </c>
      <c r="F2443" s="512" t="s">
        <v>2457</v>
      </c>
      <c r="G2443" s="513" t="s">
        <v>29</v>
      </c>
      <c r="H2443" s="516">
        <v>464954</v>
      </c>
      <c r="I2443" s="512" t="s">
        <v>6915</v>
      </c>
    </row>
    <row r="2444" spans="2:9" ht="15" x14ac:dyDescent="0.35">
      <c r="B2444" s="512" t="s">
        <v>6302</v>
      </c>
      <c r="C2444" s="512" t="s">
        <v>6232</v>
      </c>
      <c r="D2444" s="512" t="s">
        <v>6232</v>
      </c>
      <c r="E2444" s="513">
        <v>8148</v>
      </c>
      <c r="F2444" s="512" t="s">
        <v>2458</v>
      </c>
      <c r="G2444" s="513" t="s">
        <v>29</v>
      </c>
      <c r="H2444" s="514">
        <v>516431</v>
      </c>
      <c r="I2444" s="515" t="s">
        <v>6915</v>
      </c>
    </row>
    <row r="2445" spans="2:9" ht="15" x14ac:dyDescent="0.35">
      <c r="B2445" s="512" t="s">
        <v>6302</v>
      </c>
      <c r="C2445" s="512" t="s">
        <v>6233</v>
      </c>
      <c r="D2445" s="512" t="s">
        <v>6234</v>
      </c>
      <c r="E2445" s="513">
        <v>8150</v>
      </c>
      <c r="F2445" s="512" t="s">
        <v>2459</v>
      </c>
      <c r="G2445" s="513" t="s">
        <v>29</v>
      </c>
      <c r="H2445" s="514">
        <v>2551125</v>
      </c>
      <c r="I2445" s="515" t="s">
        <v>6915</v>
      </c>
    </row>
    <row r="2446" spans="2:9" ht="15" x14ac:dyDescent="0.35">
      <c r="B2446" s="512" t="s">
        <v>6302</v>
      </c>
      <c r="C2446" s="512" t="s">
        <v>6239</v>
      </c>
      <c r="D2446" s="512" t="s">
        <v>6239</v>
      </c>
      <c r="E2446" s="513">
        <v>8151</v>
      </c>
      <c r="F2446" s="512" t="s">
        <v>2460</v>
      </c>
      <c r="G2446" s="513" t="s">
        <v>29</v>
      </c>
      <c r="H2446" s="514">
        <v>2377885</v>
      </c>
      <c r="I2446" s="515" t="s">
        <v>6915</v>
      </c>
    </row>
    <row r="2447" spans="2:9" ht="15" x14ac:dyDescent="0.35">
      <c r="B2447" s="512" t="s">
        <v>6302</v>
      </c>
      <c r="C2447" s="512" t="s">
        <v>6232</v>
      </c>
      <c r="D2447" s="512" t="s">
        <v>6232</v>
      </c>
      <c r="E2447" s="513">
        <v>8152</v>
      </c>
      <c r="F2447" s="512" t="s">
        <v>2461</v>
      </c>
      <c r="G2447" s="513" t="s">
        <v>29</v>
      </c>
      <c r="H2447" s="514">
        <v>61949</v>
      </c>
      <c r="I2447" s="515" t="s">
        <v>6915</v>
      </c>
    </row>
    <row r="2448" spans="2:9" ht="15" x14ac:dyDescent="0.35">
      <c r="B2448" s="512" t="s">
        <v>6302</v>
      </c>
      <c r="C2448" s="512" t="s">
        <v>6224</v>
      </c>
      <c r="D2448" s="512" t="s">
        <v>6225</v>
      </c>
      <c r="E2448" s="513">
        <v>8153</v>
      </c>
      <c r="F2448" s="512" t="s">
        <v>2462</v>
      </c>
      <c r="G2448" s="513" t="s">
        <v>29</v>
      </c>
      <c r="H2448" s="516">
        <v>29634175</v>
      </c>
      <c r="I2448" s="512" t="s">
        <v>6915</v>
      </c>
    </row>
    <row r="2449" spans="2:9" ht="15" x14ac:dyDescent="0.35">
      <c r="B2449" s="512" t="s">
        <v>6302</v>
      </c>
      <c r="C2449" s="512" t="s">
        <v>6233</v>
      </c>
      <c r="D2449" s="512" t="s">
        <v>6234</v>
      </c>
      <c r="E2449" s="513">
        <v>8154</v>
      </c>
      <c r="F2449" s="512" t="s">
        <v>2463</v>
      </c>
      <c r="G2449" s="513" t="s">
        <v>29</v>
      </c>
      <c r="H2449" s="516">
        <v>1530280</v>
      </c>
      <c r="I2449" s="512" t="s">
        <v>6915</v>
      </c>
    </row>
    <row r="2450" spans="2:9" ht="15" x14ac:dyDescent="0.35">
      <c r="B2450" s="512" t="s">
        <v>6302</v>
      </c>
      <c r="C2450" s="512" t="s">
        <v>6233</v>
      </c>
      <c r="D2450" s="512" t="s">
        <v>6234</v>
      </c>
      <c r="E2450" s="513">
        <v>8155</v>
      </c>
      <c r="F2450" s="512" t="s">
        <v>2464</v>
      </c>
      <c r="G2450" s="513" t="s">
        <v>29</v>
      </c>
      <c r="H2450" s="516">
        <v>1974496</v>
      </c>
      <c r="I2450" s="512" t="s">
        <v>6915</v>
      </c>
    </row>
    <row r="2451" spans="2:9" ht="15" x14ac:dyDescent="0.35">
      <c r="B2451" s="512" t="s">
        <v>6302</v>
      </c>
      <c r="C2451" s="512" t="s">
        <v>6232</v>
      </c>
      <c r="D2451" s="512" t="s">
        <v>6232</v>
      </c>
      <c r="E2451" s="513">
        <v>8156</v>
      </c>
      <c r="F2451" s="512" t="s">
        <v>2465</v>
      </c>
      <c r="G2451" s="513" t="s">
        <v>29</v>
      </c>
      <c r="H2451" s="514">
        <v>6593</v>
      </c>
      <c r="I2451" s="515" t="s">
        <v>6915</v>
      </c>
    </row>
    <row r="2452" spans="2:9" ht="15" x14ac:dyDescent="0.35">
      <c r="B2452" s="512" t="s">
        <v>6302</v>
      </c>
      <c r="C2452" s="512" t="s">
        <v>6224</v>
      </c>
      <c r="D2452" s="512" t="s">
        <v>6225</v>
      </c>
      <c r="E2452" s="513">
        <v>8157</v>
      </c>
      <c r="F2452" s="512" t="s">
        <v>2466</v>
      </c>
      <c r="G2452" s="513" t="s">
        <v>29</v>
      </c>
      <c r="H2452" s="514">
        <v>24094007</v>
      </c>
      <c r="I2452" s="512" t="s">
        <v>6915</v>
      </c>
    </row>
    <row r="2453" spans="2:9" ht="15" x14ac:dyDescent="0.35">
      <c r="B2453" s="512" t="s">
        <v>6302</v>
      </c>
      <c r="C2453" s="512" t="s">
        <v>6240</v>
      </c>
      <c r="D2453" s="512" t="s">
        <v>6241</v>
      </c>
      <c r="E2453" s="513">
        <v>8158</v>
      </c>
      <c r="F2453" s="512" t="s">
        <v>2467</v>
      </c>
      <c r="G2453" s="513" t="s">
        <v>23</v>
      </c>
      <c r="H2453" s="516">
        <v>794297</v>
      </c>
      <c r="I2453" s="512" t="s">
        <v>6915</v>
      </c>
    </row>
    <row r="2454" spans="2:9" ht="15" x14ac:dyDescent="0.35">
      <c r="B2454" s="512" t="s">
        <v>6302</v>
      </c>
      <c r="C2454" s="512" t="s">
        <v>6224</v>
      </c>
      <c r="D2454" s="512" t="s">
        <v>6225</v>
      </c>
      <c r="E2454" s="513">
        <v>8159</v>
      </c>
      <c r="F2454" s="512" t="s">
        <v>2468</v>
      </c>
      <c r="G2454" s="513" t="s">
        <v>29</v>
      </c>
      <c r="H2454" s="516">
        <v>61785163</v>
      </c>
      <c r="I2454" s="512" t="s">
        <v>6915</v>
      </c>
    </row>
    <row r="2455" spans="2:9" ht="15" x14ac:dyDescent="0.35">
      <c r="B2455" s="512" t="s">
        <v>6302</v>
      </c>
      <c r="C2455" s="512" t="s">
        <v>6242</v>
      </c>
      <c r="D2455" s="512" t="s">
        <v>6260</v>
      </c>
      <c r="E2455" s="513">
        <v>8160</v>
      </c>
      <c r="F2455" s="512" t="s">
        <v>2469</v>
      </c>
      <c r="G2455" s="513" t="s">
        <v>26</v>
      </c>
      <c r="H2455" s="516">
        <v>30547</v>
      </c>
      <c r="I2455" s="512" t="s">
        <v>6915</v>
      </c>
    </row>
    <row r="2456" spans="2:9" ht="15" x14ac:dyDescent="0.35">
      <c r="B2456" s="512" t="s">
        <v>6302</v>
      </c>
      <c r="C2456" s="512" t="s">
        <v>6233</v>
      </c>
      <c r="D2456" s="512" t="s">
        <v>6234</v>
      </c>
      <c r="E2456" s="513">
        <v>8161</v>
      </c>
      <c r="F2456" s="512" t="s">
        <v>2470</v>
      </c>
      <c r="G2456" s="513" t="s">
        <v>29</v>
      </c>
      <c r="H2456" s="516">
        <v>2332428</v>
      </c>
      <c r="I2456" s="512" t="s">
        <v>6915</v>
      </c>
    </row>
    <row r="2457" spans="2:9" ht="15" x14ac:dyDescent="0.35">
      <c r="B2457" s="512" t="s">
        <v>6302</v>
      </c>
      <c r="C2457" s="512" t="s">
        <v>6232</v>
      </c>
      <c r="D2457" s="512" t="s">
        <v>6232</v>
      </c>
      <c r="E2457" s="513">
        <v>8162</v>
      </c>
      <c r="F2457" s="512" t="s">
        <v>2471</v>
      </c>
      <c r="G2457" s="513" t="s">
        <v>26</v>
      </c>
      <c r="H2457" s="514">
        <v>60830</v>
      </c>
      <c r="I2457" s="515" t="s">
        <v>6915</v>
      </c>
    </row>
    <row r="2458" spans="2:9" ht="15" x14ac:dyDescent="0.35">
      <c r="B2458" s="512" t="s">
        <v>6302</v>
      </c>
      <c r="C2458" s="512" t="s">
        <v>6232</v>
      </c>
      <c r="D2458" s="512" t="s">
        <v>6232</v>
      </c>
      <c r="E2458" s="513">
        <v>8163</v>
      </c>
      <c r="F2458" s="512" t="s">
        <v>2472</v>
      </c>
      <c r="G2458" s="513" t="s">
        <v>26</v>
      </c>
      <c r="H2458" s="514">
        <v>223022</v>
      </c>
      <c r="I2458" s="515" t="s">
        <v>6915</v>
      </c>
    </row>
    <row r="2459" spans="2:9" ht="15" x14ac:dyDescent="0.35">
      <c r="B2459" s="512" t="s">
        <v>6302</v>
      </c>
      <c r="C2459" s="512" t="s">
        <v>6253</v>
      </c>
      <c r="D2459" s="512" t="s">
        <v>5402</v>
      </c>
      <c r="E2459" s="513">
        <v>8165</v>
      </c>
      <c r="F2459" s="512" t="s">
        <v>2473</v>
      </c>
      <c r="G2459" s="513" t="s">
        <v>29</v>
      </c>
      <c r="H2459" s="514">
        <v>601862</v>
      </c>
      <c r="I2459" s="515" t="s">
        <v>6915</v>
      </c>
    </row>
    <row r="2460" spans="2:9" ht="15" x14ac:dyDescent="0.35">
      <c r="B2460" s="512" t="s">
        <v>6302</v>
      </c>
      <c r="C2460" s="512" t="s">
        <v>6230</v>
      </c>
      <c r="D2460" s="512" t="s">
        <v>6250</v>
      </c>
      <c r="E2460" s="513">
        <v>8166</v>
      </c>
      <c r="F2460" s="512" t="s">
        <v>2474</v>
      </c>
      <c r="G2460" s="513" t="s">
        <v>21</v>
      </c>
      <c r="H2460" s="514">
        <v>137916</v>
      </c>
      <c r="I2460" s="515" t="s">
        <v>6915</v>
      </c>
    </row>
    <row r="2461" spans="2:9" ht="15" x14ac:dyDescent="0.35">
      <c r="B2461" s="512" t="s">
        <v>6302</v>
      </c>
      <c r="C2461" s="512" t="s">
        <v>6235</v>
      </c>
      <c r="D2461" s="512" t="s">
        <v>6245</v>
      </c>
      <c r="E2461" s="513">
        <v>8167</v>
      </c>
      <c r="F2461" s="512" t="s">
        <v>2475</v>
      </c>
      <c r="G2461" s="513" t="s">
        <v>21</v>
      </c>
      <c r="H2461" s="514">
        <v>193651</v>
      </c>
      <c r="I2461" s="515" t="s">
        <v>6915</v>
      </c>
    </row>
    <row r="2462" spans="2:9" ht="15" x14ac:dyDescent="0.35">
      <c r="B2462" s="512" t="s">
        <v>6302</v>
      </c>
      <c r="C2462" s="512" t="s">
        <v>6233</v>
      </c>
      <c r="D2462" s="512" t="s">
        <v>6234</v>
      </c>
      <c r="E2462" s="513">
        <v>8168</v>
      </c>
      <c r="F2462" s="512" t="s">
        <v>2476</v>
      </c>
      <c r="G2462" s="513" t="s">
        <v>29</v>
      </c>
      <c r="H2462" s="514">
        <v>2721146</v>
      </c>
      <c r="I2462" s="515" t="s">
        <v>6915</v>
      </c>
    </row>
    <row r="2463" spans="2:9" ht="15" x14ac:dyDescent="0.35">
      <c r="B2463" s="512" t="s">
        <v>6302</v>
      </c>
      <c r="C2463" s="512" t="s">
        <v>6230</v>
      </c>
      <c r="D2463" s="512" t="s">
        <v>6250</v>
      </c>
      <c r="E2463" s="513">
        <v>8169</v>
      </c>
      <c r="F2463" s="512" t="s">
        <v>2477</v>
      </c>
      <c r="G2463" s="513" t="s">
        <v>21</v>
      </c>
      <c r="H2463" s="514">
        <v>137916</v>
      </c>
      <c r="I2463" s="515" t="s">
        <v>6915</v>
      </c>
    </row>
    <row r="2464" spans="2:9" ht="15" x14ac:dyDescent="0.35">
      <c r="B2464" s="512" t="s">
        <v>6302</v>
      </c>
      <c r="C2464" s="512" t="s">
        <v>6224</v>
      </c>
      <c r="D2464" s="512" t="s">
        <v>6225</v>
      </c>
      <c r="E2464" s="513">
        <v>8170</v>
      </c>
      <c r="F2464" s="512" t="s">
        <v>2478</v>
      </c>
      <c r="G2464" s="513" t="s">
        <v>29</v>
      </c>
      <c r="H2464" s="514">
        <v>1153609</v>
      </c>
      <c r="I2464" s="515" t="s">
        <v>6915</v>
      </c>
    </row>
    <row r="2465" spans="2:9" ht="15" x14ac:dyDescent="0.35">
      <c r="B2465" s="512" t="s">
        <v>6302</v>
      </c>
      <c r="C2465" s="512" t="s">
        <v>6232</v>
      </c>
      <c r="D2465" s="512" t="s">
        <v>6232</v>
      </c>
      <c r="E2465" s="513">
        <v>8171</v>
      </c>
      <c r="F2465" s="512" t="s">
        <v>2479</v>
      </c>
      <c r="G2465" s="513" t="s">
        <v>26</v>
      </c>
      <c r="H2465" s="514">
        <v>560060</v>
      </c>
      <c r="I2465" s="515" t="s">
        <v>6915</v>
      </c>
    </row>
    <row r="2466" spans="2:9" ht="15" x14ac:dyDescent="0.35">
      <c r="B2466" s="512" t="s">
        <v>6302</v>
      </c>
      <c r="C2466" s="512" t="s">
        <v>6224</v>
      </c>
      <c r="D2466" s="512" t="s">
        <v>6225</v>
      </c>
      <c r="E2466" s="513">
        <v>8172</v>
      </c>
      <c r="F2466" s="512" t="s">
        <v>2480</v>
      </c>
      <c r="G2466" s="513" t="s">
        <v>29</v>
      </c>
      <c r="H2466" s="514">
        <v>1106731</v>
      </c>
      <c r="I2466" s="515" t="s">
        <v>6915</v>
      </c>
    </row>
    <row r="2467" spans="2:9" ht="15" x14ac:dyDescent="0.35">
      <c r="B2467" s="512" t="s">
        <v>6302</v>
      </c>
      <c r="C2467" s="512" t="s">
        <v>6224</v>
      </c>
      <c r="D2467" s="512" t="s">
        <v>6225</v>
      </c>
      <c r="E2467" s="513">
        <v>8173</v>
      </c>
      <c r="F2467" s="512" t="s">
        <v>2481</v>
      </c>
      <c r="G2467" s="513" t="s">
        <v>29</v>
      </c>
      <c r="H2467" s="514">
        <v>1386038</v>
      </c>
      <c r="I2467" s="515" t="s">
        <v>6915</v>
      </c>
    </row>
    <row r="2468" spans="2:9" ht="15" x14ac:dyDescent="0.35">
      <c r="B2468" s="512" t="s">
        <v>6302</v>
      </c>
      <c r="C2468" s="512" t="s">
        <v>6232</v>
      </c>
      <c r="D2468" s="512" t="s">
        <v>6232</v>
      </c>
      <c r="E2468" s="513">
        <v>8177</v>
      </c>
      <c r="F2468" s="512" t="s">
        <v>2482</v>
      </c>
      <c r="G2468" s="513" t="s">
        <v>26</v>
      </c>
      <c r="H2468" s="514">
        <v>371082</v>
      </c>
      <c r="I2468" s="515" t="s">
        <v>6915</v>
      </c>
    </row>
    <row r="2469" spans="2:9" ht="15" x14ac:dyDescent="0.35">
      <c r="B2469" s="512" t="s">
        <v>6302</v>
      </c>
      <c r="C2469" s="512" t="s">
        <v>6239</v>
      </c>
      <c r="D2469" s="512" t="s">
        <v>6239</v>
      </c>
      <c r="E2469" s="513">
        <v>8181</v>
      </c>
      <c r="F2469" s="512" t="s">
        <v>2483</v>
      </c>
      <c r="G2469" s="513" t="s">
        <v>29</v>
      </c>
      <c r="H2469" s="514">
        <v>2902442</v>
      </c>
      <c r="I2469" s="515" t="s">
        <v>6915</v>
      </c>
    </row>
    <row r="2470" spans="2:9" ht="15" x14ac:dyDescent="0.35">
      <c r="B2470" s="512" t="s">
        <v>6302</v>
      </c>
      <c r="C2470" s="512" t="s">
        <v>6239</v>
      </c>
      <c r="D2470" s="512" t="s">
        <v>6239</v>
      </c>
      <c r="E2470" s="513">
        <v>8182</v>
      </c>
      <c r="F2470" s="512" t="s">
        <v>2484</v>
      </c>
      <c r="G2470" s="513" t="s">
        <v>29</v>
      </c>
      <c r="H2470" s="514">
        <v>7262026</v>
      </c>
      <c r="I2470" s="515" t="s">
        <v>6915</v>
      </c>
    </row>
    <row r="2471" spans="2:9" ht="15" x14ac:dyDescent="0.35">
      <c r="B2471" s="512" t="s">
        <v>6302</v>
      </c>
      <c r="C2471" s="512" t="s">
        <v>6272</v>
      </c>
      <c r="D2471" s="512" t="s">
        <v>6273</v>
      </c>
      <c r="E2471" s="513">
        <v>8184</v>
      </c>
      <c r="F2471" s="512" t="s">
        <v>2485</v>
      </c>
      <c r="G2471" s="513" t="s">
        <v>21</v>
      </c>
      <c r="H2471" s="514">
        <v>9671</v>
      </c>
      <c r="I2471" s="515" t="s">
        <v>6915</v>
      </c>
    </row>
    <row r="2472" spans="2:9" ht="15" x14ac:dyDescent="0.35">
      <c r="B2472" s="512" t="s">
        <v>6302</v>
      </c>
      <c r="C2472" s="512" t="s">
        <v>6232</v>
      </c>
      <c r="D2472" s="512" t="s">
        <v>6232</v>
      </c>
      <c r="E2472" s="513">
        <v>8185</v>
      </c>
      <c r="F2472" s="512" t="s">
        <v>2486</v>
      </c>
      <c r="G2472" s="513" t="s">
        <v>29</v>
      </c>
      <c r="H2472" s="514">
        <v>56219</v>
      </c>
      <c r="I2472" s="515" t="s">
        <v>6915</v>
      </c>
    </row>
    <row r="2473" spans="2:9" ht="15" x14ac:dyDescent="0.35">
      <c r="B2473" s="512" t="s">
        <v>6302</v>
      </c>
      <c r="C2473" s="512" t="s">
        <v>6235</v>
      </c>
      <c r="D2473" s="512" t="s">
        <v>6236</v>
      </c>
      <c r="E2473" s="513">
        <v>8186</v>
      </c>
      <c r="F2473" s="512" t="s">
        <v>2487</v>
      </c>
      <c r="G2473" s="513" t="s">
        <v>21</v>
      </c>
      <c r="H2473" s="516">
        <v>115308</v>
      </c>
      <c r="I2473" s="512" t="s">
        <v>6915</v>
      </c>
    </row>
    <row r="2474" spans="2:9" ht="15" x14ac:dyDescent="0.35">
      <c r="B2474" s="512" t="s">
        <v>6302</v>
      </c>
      <c r="C2474" s="512" t="s">
        <v>6233</v>
      </c>
      <c r="D2474" s="512" t="s">
        <v>6234</v>
      </c>
      <c r="E2474" s="513">
        <v>8187</v>
      </c>
      <c r="F2474" s="512" t="s">
        <v>2488</v>
      </c>
      <c r="G2474" s="513" t="s">
        <v>29</v>
      </c>
      <c r="H2474" s="514">
        <v>5615487</v>
      </c>
      <c r="I2474" s="515" t="s">
        <v>6915</v>
      </c>
    </row>
    <row r="2475" spans="2:9" ht="15" x14ac:dyDescent="0.35">
      <c r="B2475" s="512" t="s">
        <v>6302</v>
      </c>
      <c r="C2475" s="512" t="s">
        <v>6233</v>
      </c>
      <c r="D2475" s="512" t="s">
        <v>6234</v>
      </c>
      <c r="E2475" s="513">
        <v>8188</v>
      </c>
      <c r="F2475" s="512" t="s">
        <v>2489</v>
      </c>
      <c r="G2475" s="513" t="s">
        <v>29</v>
      </c>
      <c r="H2475" s="516">
        <v>5516735</v>
      </c>
      <c r="I2475" s="512" t="s">
        <v>6915</v>
      </c>
    </row>
    <row r="2476" spans="2:9" ht="15" x14ac:dyDescent="0.35">
      <c r="B2476" s="512" t="s">
        <v>6302</v>
      </c>
      <c r="C2476" s="512" t="s">
        <v>6240</v>
      </c>
      <c r="D2476" s="512" t="s">
        <v>6241</v>
      </c>
      <c r="E2476" s="513">
        <v>8195</v>
      </c>
      <c r="F2476" s="512" t="s">
        <v>2490</v>
      </c>
      <c r="G2476" s="513" t="s">
        <v>23</v>
      </c>
      <c r="H2476" s="516">
        <v>1429603</v>
      </c>
      <c r="I2476" s="512" t="s">
        <v>6915</v>
      </c>
    </row>
    <row r="2477" spans="2:9" ht="15" x14ac:dyDescent="0.35">
      <c r="B2477" s="512" t="s">
        <v>6302</v>
      </c>
      <c r="C2477" s="512" t="s">
        <v>6220</v>
      </c>
      <c r="D2477" s="512" t="s">
        <v>6221</v>
      </c>
      <c r="E2477" s="513">
        <v>8196</v>
      </c>
      <c r="F2477" s="512" t="s">
        <v>2491</v>
      </c>
      <c r="G2477" s="513" t="s">
        <v>23</v>
      </c>
      <c r="H2477" s="516">
        <v>963200</v>
      </c>
      <c r="I2477" s="512" t="s">
        <v>6915</v>
      </c>
    </row>
    <row r="2478" spans="2:9" ht="15" x14ac:dyDescent="0.35">
      <c r="B2478" s="512" t="s">
        <v>6302</v>
      </c>
      <c r="C2478" s="512" t="s">
        <v>6240</v>
      </c>
      <c r="D2478" s="512" t="s">
        <v>6241</v>
      </c>
      <c r="E2478" s="513">
        <v>8200</v>
      </c>
      <c r="F2478" s="512" t="s">
        <v>2492</v>
      </c>
      <c r="G2478" s="513" t="s">
        <v>26</v>
      </c>
      <c r="H2478" s="516">
        <v>1124804</v>
      </c>
      <c r="I2478" s="512" t="s">
        <v>6915</v>
      </c>
    </row>
    <row r="2479" spans="2:9" ht="15" x14ac:dyDescent="0.35">
      <c r="B2479" s="512" t="s">
        <v>6302</v>
      </c>
      <c r="C2479" s="512" t="s">
        <v>6224</v>
      </c>
      <c r="D2479" s="512" t="s">
        <v>6225</v>
      </c>
      <c r="E2479" s="513">
        <v>8202</v>
      </c>
      <c r="F2479" s="512" t="s">
        <v>2493</v>
      </c>
      <c r="G2479" s="513" t="s">
        <v>29</v>
      </c>
      <c r="H2479" s="514">
        <v>364748</v>
      </c>
      <c r="I2479" s="515" t="s">
        <v>6915</v>
      </c>
    </row>
    <row r="2480" spans="2:9" ht="15" x14ac:dyDescent="0.35">
      <c r="B2480" s="512" t="s">
        <v>6302</v>
      </c>
      <c r="C2480" s="512" t="s">
        <v>6240</v>
      </c>
      <c r="D2480" s="512" t="s">
        <v>6241</v>
      </c>
      <c r="E2480" s="513">
        <v>8204</v>
      </c>
      <c r="F2480" s="512" t="s">
        <v>2494</v>
      </c>
      <c r="G2480" s="513" t="s">
        <v>23</v>
      </c>
      <c r="H2480" s="514">
        <v>908984</v>
      </c>
      <c r="I2480" s="515" t="s">
        <v>6915</v>
      </c>
    </row>
    <row r="2481" spans="2:9" ht="15" x14ac:dyDescent="0.35">
      <c r="B2481" s="512" t="s">
        <v>6302</v>
      </c>
      <c r="C2481" s="512" t="s">
        <v>6240</v>
      </c>
      <c r="D2481" s="512" t="s">
        <v>6241</v>
      </c>
      <c r="E2481" s="513">
        <v>8205</v>
      </c>
      <c r="F2481" s="512" t="s">
        <v>6446</v>
      </c>
      <c r="G2481" s="513" t="s">
        <v>21</v>
      </c>
      <c r="H2481" s="516">
        <v>239913</v>
      </c>
      <c r="I2481" s="512" t="s">
        <v>6915</v>
      </c>
    </row>
    <row r="2482" spans="2:9" ht="15" x14ac:dyDescent="0.35">
      <c r="B2482" s="512" t="s">
        <v>6302</v>
      </c>
      <c r="C2482" s="512" t="s">
        <v>6240</v>
      </c>
      <c r="D2482" s="512" t="s">
        <v>6241</v>
      </c>
      <c r="E2482" s="513">
        <v>8209</v>
      </c>
      <c r="F2482" s="512" t="s">
        <v>2495</v>
      </c>
      <c r="G2482" s="513" t="s">
        <v>29</v>
      </c>
      <c r="H2482" s="516">
        <v>687251</v>
      </c>
      <c r="I2482" s="512" t="s">
        <v>6915</v>
      </c>
    </row>
    <row r="2483" spans="2:9" ht="15" x14ac:dyDescent="0.35">
      <c r="B2483" s="512" t="s">
        <v>6302</v>
      </c>
      <c r="C2483" s="512" t="s">
        <v>6253</v>
      </c>
      <c r="D2483" s="512" t="s">
        <v>5402</v>
      </c>
      <c r="E2483" s="513">
        <v>8210</v>
      </c>
      <c r="F2483" s="512" t="s">
        <v>2496</v>
      </c>
      <c r="G2483" s="513" t="s">
        <v>26</v>
      </c>
      <c r="H2483" s="516">
        <v>7962</v>
      </c>
      <c r="I2483" s="512" t="s">
        <v>6915</v>
      </c>
    </row>
    <row r="2484" spans="2:9" ht="15" x14ac:dyDescent="0.35">
      <c r="B2484" s="512" t="s">
        <v>6302</v>
      </c>
      <c r="C2484" s="512" t="s">
        <v>6230</v>
      </c>
      <c r="D2484" s="512" t="s">
        <v>6250</v>
      </c>
      <c r="E2484" s="513">
        <v>8212</v>
      </c>
      <c r="F2484" s="512" t="s">
        <v>2497</v>
      </c>
      <c r="G2484" s="513" t="s">
        <v>21</v>
      </c>
      <c r="H2484" s="516">
        <v>115042</v>
      </c>
      <c r="I2484" s="512" t="s">
        <v>6915</v>
      </c>
    </row>
    <row r="2485" spans="2:9" ht="15" x14ac:dyDescent="0.35">
      <c r="B2485" s="512" t="s">
        <v>6302</v>
      </c>
      <c r="C2485" s="512" t="s">
        <v>6224</v>
      </c>
      <c r="D2485" s="512" t="s">
        <v>6225</v>
      </c>
      <c r="E2485" s="513">
        <v>8213</v>
      </c>
      <c r="F2485" s="512" t="s">
        <v>2498</v>
      </c>
      <c r="G2485" s="513" t="s">
        <v>26</v>
      </c>
      <c r="H2485" s="516">
        <v>192226</v>
      </c>
      <c r="I2485" s="512" t="s">
        <v>6915</v>
      </c>
    </row>
    <row r="2486" spans="2:9" ht="15" x14ac:dyDescent="0.35">
      <c r="B2486" s="512" t="s">
        <v>6302</v>
      </c>
      <c r="C2486" s="512" t="s">
        <v>6224</v>
      </c>
      <c r="D2486" s="512" t="s">
        <v>6225</v>
      </c>
      <c r="E2486" s="513">
        <v>8214</v>
      </c>
      <c r="F2486" s="512" t="s">
        <v>2499</v>
      </c>
      <c r="G2486" s="513" t="s">
        <v>26</v>
      </c>
      <c r="H2486" s="514">
        <v>179118</v>
      </c>
      <c r="I2486" s="515" t="s">
        <v>6915</v>
      </c>
    </row>
    <row r="2487" spans="2:9" ht="15" x14ac:dyDescent="0.35">
      <c r="B2487" s="512" t="s">
        <v>6302</v>
      </c>
      <c r="C2487" s="512" t="s">
        <v>6224</v>
      </c>
      <c r="D2487" s="512" t="s">
        <v>6225</v>
      </c>
      <c r="E2487" s="513">
        <v>8217</v>
      </c>
      <c r="F2487" s="512" t="s">
        <v>2500</v>
      </c>
      <c r="G2487" s="513" t="s">
        <v>26</v>
      </c>
      <c r="H2487" s="516">
        <v>512553</v>
      </c>
      <c r="I2487" s="512" t="s">
        <v>6915</v>
      </c>
    </row>
    <row r="2488" spans="2:9" ht="15" x14ac:dyDescent="0.35">
      <c r="B2488" s="512" t="s">
        <v>6302</v>
      </c>
      <c r="C2488" s="512" t="s">
        <v>6224</v>
      </c>
      <c r="D2488" s="512" t="s">
        <v>6225</v>
      </c>
      <c r="E2488" s="513">
        <v>8218</v>
      </c>
      <c r="F2488" s="512" t="s">
        <v>2501</v>
      </c>
      <c r="G2488" s="513" t="s">
        <v>29</v>
      </c>
      <c r="H2488" s="516">
        <v>1778053</v>
      </c>
      <c r="I2488" s="512" t="s">
        <v>6915</v>
      </c>
    </row>
    <row r="2489" spans="2:9" ht="15" x14ac:dyDescent="0.35">
      <c r="B2489" s="512" t="s">
        <v>6302</v>
      </c>
      <c r="C2489" s="512" t="s">
        <v>6224</v>
      </c>
      <c r="D2489" s="512" t="s">
        <v>6225</v>
      </c>
      <c r="E2489" s="513">
        <v>8219</v>
      </c>
      <c r="F2489" s="512" t="s">
        <v>2502</v>
      </c>
      <c r="G2489" s="513" t="s">
        <v>29</v>
      </c>
      <c r="H2489" s="514">
        <v>1875866</v>
      </c>
      <c r="I2489" s="515" t="s">
        <v>6915</v>
      </c>
    </row>
    <row r="2490" spans="2:9" ht="15" x14ac:dyDescent="0.35">
      <c r="B2490" s="512" t="s">
        <v>6302</v>
      </c>
      <c r="C2490" s="512" t="s">
        <v>6224</v>
      </c>
      <c r="D2490" s="512" t="s">
        <v>6225</v>
      </c>
      <c r="E2490" s="513">
        <v>8220</v>
      </c>
      <c r="F2490" s="512" t="s">
        <v>2503</v>
      </c>
      <c r="G2490" s="513" t="s">
        <v>29</v>
      </c>
      <c r="H2490" s="514">
        <v>1764186</v>
      </c>
      <c r="I2490" s="515" t="s">
        <v>6915</v>
      </c>
    </row>
    <row r="2491" spans="2:9" ht="15" x14ac:dyDescent="0.35">
      <c r="B2491" s="512" t="s">
        <v>6302</v>
      </c>
      <c r="C2491" s="512" t="s">
        <v>6224</v>
      </c>
      <c r="D2491" s="512" t="s">
        <v>6225</v>
      </c>
      <c r="E2491" s="513">
        <v>8221</v>
      </c>
      <c r="F2491" s="512" t="s">
        <v>2504</v>
      </c>
      <c r="G2491" s="513" t="s">
        <v>29</v>
      </c>
      <c r="H2491" s="514">
        <v>492503</v>
      </c>
      <c r="I2491" s="515" t="s">
        <v>6915</v>
      </c>
    </row>
    <row r="2492" spans="2:9" ht="15" x14ac:dyDescent="0.35">
      <c r="B2492" s="512" t="s">
        <v>6302</v>
      </c>
      <c r="C2492" s="512" t="s">
        <v>6237</v>
      </c>
      <c r="D2492" s="512" t="s">
        <v>6276</v>
      </c>
      <c r="E2492" s="513">
        <v>8222</v>
      </c>
      <c r="F2492" s="512" t="s">
        <v>2505</v>
      </c>
      <c r="G2492" s="513" t="s">
        <v>21</v>
      </c>
      <c r="H2492" s="514">
        <v>81832</v>
      </c>
      <c r="I2492" s="515" t="s">
        <v>6915</v>
      </c>
    </row>
    <row r="2493" spans="2:9" ht="15" x14ac:dyDescent="0.35">
      <c r="B2493" s="512" t="s">
        <v>6302</v>
      </c>
      <c r="C2493" s="512" t="s">
        <v>6237</v>
      </c>
      <c r="D2493" s="512" t="s">
        <v>6238</v>
      </c>
      <c r="E2493" s="513">
        <v>8223</v>
      </c>
      <c r="F2493" s="512" t="s">
        <v>2506</v>
      </c>
      <c r="G2493" s="513" t="s">
        <v>21</v>
      </c>
      <c r="H2493" s="514">
        <v>81832</v>
      </c>
      <c r="I2493" s="515" t="s">
        <v>6915</v>
      </c>
    </row>
    <row r="2494" spans="2:9" ht="15" x14ac:dyDescent="0.35">
      <c r="B2494" s="512" t="s">
        <v>6302</v>
      </c>
      <c r="C2494" s="512" t="s">
        <v>6235</v>
      </c>
      <c r="D2494" s="512" t="s">
        <v>6245</v>
      </c>
      <c r="E2494" s="513">
        <v>8224</v>
      </c>
      <c r="F2494" s="512" t="s">
        <v>2507</v>
      </c>
      <c r="G2494" s="513" t="s">
        <v>29</v>
      </c>
      <c r="H2494" s="514">
        <v>8831220</v>
      </c>
      <c r="I2494" s="515" t="s">
        <v>6915</v>
      </c>
    </row>
    <row r="2495" spans="2:9" ht="15" x14ac:dyDescent="0.35">
      <c r="B2495" s="512" t="s">
        <v>6302</v>
      </c>
      <c r="C2495" s="512" t="s">
        <v>6235</v>
      </c>
      <c r="D2495" s="512" t="s">
        <v>6245</v>
      </c>
      <c r="E2495" s="513">
        <v>8225</v>
      </c>
      <c r="F2495" s="512" t="s">
        <v>2508</v>
      </c>
      <c r="G2495" s="513" t="s">
        <v>29</v>
      </c>
      <c r="H2495" s="514">
        <v>1898416</v>
      </c>
      <c r="I2495" s="515" t="s">
        <v>6915</v>
      </c>
    </row>
    <row r="2496" spans="2:9" ht="15" x14ac:dyDescent="0.35">
      <c r="B2496" s="512" t="s">
        <v>6302</v>
      </c>
      <c r="C2496" s="512" t="s">
        <v>6230</v>
      </c>
      <c r="D2496" s="512" t="s">
        <v>6250</v>
      </c>
      <c r="E2496" s="513">
        <v>8226</v>
      </c>
      <c r="F2496" s="512" t="s">
        <v>2509</v>
      </c>
      <c r="G2496" s="513" t="s">
        <v>21</v>
      </c>
      <c r="H2496" s="514">
        <v>71845</v>
      </c>
      <c r="I2496" s="515" t="s">
        <v>6915</v>
      </c>
    </row>
    <row r="2497" spans="2:9" ht="15" x14ac:dyDescent="0.35">
      <c r="B2497" s="512" t="s">
        <v>6302</v>
      </c>
      <c r="C2497" s="512" t="s">
        <v>6230</v>
      </c>
      <c r="D2497" s="512" t="s">
        <v>6231</v>
      </c>
      <c r="E2497" s="513">
        <v>8227</v>
      </c>
      <c r="F2497" s="512" t="s">
        <v>2510</v>
      </c>
      <c r="G2497" s="513" t="s">
        <v>26</v>
      </c>
      <c r="H2497" s="514">
        <v>80097</v>
      </c>
      <c r="I2497" s="515" t="s">
        <v>6915</v>
      </c>
    </row>
    <row r="2498" spans="2:9" ht="15" x14ac:dyDescent="0.35">
      <c r="B2498" s="512" t="s">
        <v>6302</v>
      </c>
      <c r="C2498" s="512" t="s">
        <v>6230</v>
      </c>
      <c r="D2498" s="512" t="s">
        <v>6250</v>
      </c>
      <c r="E2498" s="513">
        <v>8228</v>
      </c>
      <c r="F2498" s="512" t="s">
        <v>2511</v>
      </c>
      <c r="G2498" s="513" t="s">
        <v>26</v>
      </c>
      <c r="H2498" s="514">
        <v>34645</v>
      </c>
      <c r="I2498" s="515" t="s">
        <v>6915</v>
      </c>
    </row>
    <row r="2499" spans="2:9" ht="15" x14ac:dyDescent="0.35">
      <c r="B2499" s="512" t="s">
        <v>6302</v>
      </c>
      <c r="C2499" s="512" t="s">
        <v>6230</v>
      </c>
      <c r="D2499" s="512" t="s">
        <v>6250</v>
      </c>
      <c r="E2499" s="513">
        <v>8229</v>
      </c>
      <c r="F2499" s="512" t="s">
        <v>2512</v>
      </c>
      <c r="G2499" s="513" t="s">
        <v>26</v>
      </c>
      <c r="H2499" s="514">
        <v>25750</v>
      </c>
      <c r="I2499" s="515" t="s">
        <v>6915</v>
      </c>
    </row>
    <row r="2500" spans="2:9" ht="15" x14ac:dyDescent="0.35">
      <c r="B2500" s="512" t="s">
        <v>6302</v>
      </c>
      <c r="C2500" s="512" t="s">
        <v>6230</v>
      </c>
      <c r="D2500" s="512" t="s">
        <v>6250</v>
      </c>
      <c r="E2500" s="513">
        <v>8230</v>
      </c>
      <c r="F2500" s="512" t="s">
        <v>2513</v>
      </c>
      <c r="G2500" s="513" t="s">
        <v>21</v>
      </c>
      <c r="H2500" s="514">
        <v>170998</v>
      </c>
      <c r="I2500" s="515" t="s">
        <v>6915</v>
      </c>
    </row>
    <row r="2501" spans="2:9" ht="15" x14ac:dyDescent="0.35">
      <c r="B2501" s="512" t="s">
        <v>6303</v>
      </c>
      <c r="C2501" s="512" t="s">
        <v>6240</v>
      </c>
      <c r="D2501" s="512" t="s">
        <v>6275</v>
      </c>
      <c r="E2501" s="513">
        <v>8231</v>
      </c>
      <c r="F2501" s="512" t="s">
        <v>2514</v>
      </c>
      <c r="G2501" s="513" t="s">
        <v>367</v>
      </c>
      <c r="H2501" s="514">
        <v>20587</v>
      </c>
      <c r="I2501" s="515" t="s">
        <v>6425</v>
      </c>
    </row>
    <row r="2502" spans="2:9" ht="15" x14ac:dyDescent="0.35">
      <c r="B2502" s="512" t="s">
        <v>6303</v>
      </c>
      <c r="C2502" s="512" t="s">
        <v>6272</v>
      </c>
      <c r="D2502" s="512" t="s">
        <v>6280</v>
      </c>
      <c r="E2502" s="513">
        <v>8237</v>
      </c>
      <c r="F2502" s="512" t="s">
        <v>2515</v>
      </c>
      <c r="G2502" s="513" t="s">
        <v>26</v>
      </c>
      <c r="H2502" s="514">
        <v>26139</v>
      </c>
      <c r="I2502" s="515" t="s">
        <v>6915</v>
      </c>
    </row>
    <row r="2503" spans="2:9" ht="15" x14ac:dyDescent="0.35">
      <c r="B2503" s="512" t="s">
        <v>6303</v>
      </c>
      <c r="C2503" s="512" t="s">
        <v>6239</v>
      </c>
      <c r="D2503" s="512" t="s">
        <v>6239</v>
      </c>
      <c r="E2503" s="513">
        <v>8241</v>
      </c>
      <c r="F2503" s="512" t="s">
        <v>2516</v>
      </c>
      <c r="G2503" s="513" t="s">
        <v>29</v>
      </c>
      <c r="H2503" s="516">
        <v>8608323</v>
      </c>
      <c r="I2503" s="512" t="s">
        <v>6915</v>
      </c>
    </row>
    <row r="2504" spans="2:9" ht="15" x14ac:dyDescent="0.35">
      <c r="B2504" s="512" t="s">
        <v>6303</v>
      </c>
      <c r="C2504" s="512" t="s">
        <v>6239</v>
      </c>
      <c r="D2504" s="512" t="s">
        <v>6239</v>
      </c>
      <c r="E2504" s="513">
        <v>8242</v>
      </c>
      <c r="F2504" s="512" t="s">
        <v>2517</v>
      </c>
      <c r="G2504" s="513" t="s">
        <v>26</v>
      </c>
      <c r="H2504" s="514">
        <v>3718254</v>
      </c>
      <c r="I2504" s="515" t="s">
        <v>6915</v>
      </c>
    </row>
    <row r="2505" spans="2:9" ht="15" x14ac:dyDescent="0.35">
      <c r="B2505" s="512" t="s">
        <v>6303</v>
      </c>
      <c r="C2505" s="512" t="s">
        <v>6239</v>
      </c>
      <c r="D2505" s="512" t="s">
        <v>6239</v>
      </c>
      <c r="E2505" s="513">
        <v>8243</v>
      </c>
      <c r="F2505" s="512" t="s">
        <v>2518</v>
      </c>
      <c r="G2505" s="513" t="s">
        <v>29</v>
      </c>
      <c r="H2505" s="514">
        <v>12112672</v>
      </c>
      <c r="I2505" s="515" t="s">
        <v>6915</v>
      </c>
    </row>
    <row r="2506" spans="2:9" ht="15" x14ac:dyDescent="0.35">
      <c r="B2506" s="512" t="s">
        <v>6303</v>
      </c>
      <c r="C2506" s="512" t="s">
        <v>6239</v>
      </c>
      <c r="D2506" s="512" t="s">
        <v>6239</v>
      </c>
      <c r="E2506" s="513">
        <v>8244</v>
      </c>
      <c r="F2506" s="512" t="s">
        <v>2519</v>
      </c>
      <c r="G2506" s="513" t="s">
        <v>29</v>
      </c>
      <c r="H2506" s="516">
        <v>15550284</v>
      </c>
      <c r="I2506" s="512" t="s">
        <v>6915</v>
      </c>
    </row>
    <row r="2507" spans="2:9" ht="15" x14ac:dyDescent="0.35">
      <c r="B2507" s="512" t="s">
        <v>6303</v>
      </c>
      <c r="C2507" s="512" t="s">
        <v>6239</v>
      </c>
      <c r="D2507" s="512" t="s">
        <v>6239</v>
      </c>
      <c r="E2507" s="513">
        <v>8245</v>
      </c>
      <c r="F2507" s="512" t="s">
        <v>2520</v>
      </c>
      <c r="G2507" s="513" t="s">
        <v>29</v>
      </c>
      <c r="H2507" s="516">
        <v>19304837</v>
      </c>
      <c r="I2507" s="512" t="s">
        <v>6915</v>
      </c>
    </row>
    <row r="2508" spans="2:9" ht="15" x14ac:dyDescent="0.35">
      <c r="B2508" s="512" t="s">
        <v>6303</v>
      </c>
      <c r="C2508" s="512" t="s">
        <v>6239</v>
      </c>
      <c r="D2508" s="512" t="s">
        <v>6239</v>
      </c>
      <c r="E2508" s="513">
        <v>8246</v>
      </c>
      <c r="F2508" s="512" t="s">
        <v>2521</v>
      </c>
      <c r="G2508" s="513" t="s">
        <v>29</v>
      </c>
      <c r="H2508" s="516">
        <v>8593366</v>
      </c>
      <c r="I2508" s="512" t="s">
        <v>6915</v>
      </c>
    </row>
    <row r="2509" spans="2:9" ht="15" x14ac:dyDescent="0.35">
      <c r="B2509" s="512" t="s">
        <v>6303</v>
      </c>
      <c r="C2509" s="512" t="s">
        <v>6239</v>
      </c>
      <c r="D2509" s="512" t="s">
        <v>6239</v>
      </c>
      <c r="E2509" s="513">
        <v>8247</v>
      </c>
      <c r="F2509" s="512" t="s">
        <v>2522</v>
      </c>
      <c r="G2509" s="513" t="s">
        <v>29</v>
      </c>
      <c r="H2509" s="516">
        <v>11802826</v>
      </c>
      <c r="I2509" s="512" t="s">
        <v>6915</v>
      </c>
    </row>
    <row r="2510" spans="2:9" ht="15" x14ac:dyDescent="0.35">
      <c r="B2510" s="512" t="s">
        <v>6303</v>
      </c>
      <c r="C2510" s="512" t="s">
        <v>6239</v>
      </c>
      <c r="D2510" s="512" t="s">
        <v>6239</v>
      </c>
      <c r="E2510" s="513">
        <v>8252</v>
      </c>
      <c r="F2510" s="512" t="s">
        <v>2523</v>
      </c>
      <c r="G2510" s="513" t="s">
        <v>29</v>
      </c>
      <c r="H2510" s="516">
        <v>4770448</v>
      </c>
      <c r="I2510" s="512" t="s">
        <v>6915</v>
      </c>
    </row>
    <row r="2511" spans="2:9" ht="15" x14ac:dyDescent="0.35">
      <c r="B2511" s="512" t="s">
        <v>6303</v>
      </c>
      <c r="C2511" s="512" t="s">
        <v>6239</v>
      </c>
      <c r="D2511" s="512" t="s">
        <v>6239</v>
      </c>
      <c r="E2511" s="513">
        <v>8253</v>
      </c>
      <c r="F2511" s="512" t="s">
        <v>2524</v>
      </c>
      <c r="G2511" s="513" t="s">
        <v>29</v>
      </c>
      <c r="H2511" s="516">
        <v>9969745</v>
      </c>
      <c r="I2511" s="512" t="s">
        <v>6915</v>
      </c>
    </row>
    <row r="2512" spans="2:9" ht="15" x14ac:dyDescent="0.35">
      <c r="B2512" s="512" t="s">
        <v>6303</v>
      </c>
      <c r="C2512" s="512" t="s">
        <v>6239</v>
      </c>
      <c r="D2512" s="512" t="s">
        <v>6239</v>
      </c>
      <c r="E2512" s="513">
        <v>8255</v>
      </c>
      <c r="F2512" s="512" t="s">
        <v>2525</v>
      </c>
      <c r="G2512" s="513" t="s">
        <v>29</v>
      </c>
      <c r="H2512" s="514">
        <v>1025425</v>
      </c>
      <c r="I2512" s="515" t="s">
        <v>6915</v>
      </c>
    </row>
    <row r="2513" spans="2:9" ht="15" x14ac:dyDescent="0.35">
      <c r="B2513" s="512" t="s">
        <v>6303</v>
      </c>
      <c r="C2513" s="512" t="s">
        <v>6239</v>
      </c>
      <c r="D2513" s="512" t="s">
        <v>6239</v>
      </c>
      <c r="E2513" s="513">
        <v>8257</v>
      </c>
      <c r="F2513" s="512" t="s">
        <v>2526</v>
      </c>
      <c r="G2513" s="513" t="s">
        <v>29</v>
      </c>
      <c r="H2513" s="514">
        <v>12106130</v>
      </c>
      <c r="I2513" s="515" t="s">
        <v>6915</v>
      </c>
    </row>
    <row r="2514" spans="2:9" ht="15" x14ac:dyDescent="0.35">
      <c r="B2514" s="512" t="s">
        <v>6303</v>
      </c>
      <c r="C2514" s="512" t="s">
        <v>6239</v>
      </c>
      <c r="D2514" s="512" t="s">
        <v>6239</v>
      </c>
      <c r="E2514" s="513">
        <v>8258</v>
      </c>
      <c r="F2514" s="512" t="s">
        <v>2527</v>
      </c>
      <c r="G2514" s="513" t="s">
        <v>29</v>
      </c>
      <c r="H2514" s="514">
        <v>5864988</v>
      </c>
      <c r="I2514" s="515" t="s">
        <v>6915</v>
      </c>
    </row>
    <row r="2515" spans="2:9" ht="15" x14ac:dyDescent="0.35">
      <c r="B2515" s="512" t="s">
        <v>6303</v>
      </c>
      <c r="C2515" s="512" t="s">
        <v>6239</v>
      </c>
      <c r="D2515" s="512" t="s">
        <v>6239</v>
      </c>
      <c r="E2515" s="513">
        <v>8259</v>
      </c>
      <c r="F2515" s="512" t="s">
        <v>2528</v>
      </c>
      <c r="G2515" s="513" t="s">
        <v>29</v>
      </c>
      <c r="H2515" s="514">
        <v>5687156</v>
      </c>
      <c r="I2515" s="515" t="s">
        <v>6915</v>
      </c>
    </row>
    <row r="2516" spans="2:9" ht="15" x14ac:dyDescent="0.35">
      <c r="B2516" s="512" t="s">
        <v>6303</v>
      </c>
      <c r="C2516" s="512" t="s">
        <v>6239</v>
      </c>
      <c r="D2516" s="512" t="s">
        <v>6239</v>
      </c>
      <c r="E2516" s="513">
        <v>8262</v>
      </c>
      <c r="F2516" s="512" t="s">
        <v>2529</v>
      </c>
      <c r="G2516" s="513" t="s">
        <v>29</v>
      </c>
      <c r="H2516" s="514">
        <v>15236649</v>
      </c>
      <c r="I2516" s="515" t="s">
        <v>6915</v>
      </c>
    </row>
    <row r="2517" spans="2:9" ht="15" x14ac:dyDescent="0.35">
      <c r="B2517" s="512" t="s">
        <v>6303</v>
      </c>
      <c r="C2517" s="512" t="s">
        <v>6239</v>
      </c>
      <c r="D2517" s="512" t="s">
        <v>6239</v>
      </c>
      <c r="E2517" s="513">
        <v>8263</v>
      </c>
      <c r="F2517" s="512" t="s">
        <v>2530</v>
      </c>
      <c r="G2517" s="513" t="s">
        <v>29</v>
      </c>
      <c r="H2517" s="514">
        <v>16544837</v>
      </c>
      <c r="I2517" s="515" t="s">
        <v>6915</v>
      </c>
    </row>
    <row r="2518" spans="2:9" ht="15" x14ac:dyDescent="0.35">
      <c r="B2518" s="512" t="s">
        <v>6303</v>
      </c>
      <c r="C2518" s="512" t="s">
        <v>6239</v>
      </c>
      <c r="D2518" s="512" t="s">
        <v>6239</v>
      </c>
      <c r="E2518" s="513">
        <v>8265</v>
      </c>
      <c r="F2518" s="512" t="s">
        <v>2531</v>
      </c>
      <c r="G2518" s="513" t="s">
        <v>29</v>
      </c>
      <c r="H2518" s="514">
        <v>658001</v>
      </c>
      <c r="I2518" s="515" t="s">
        <v>6915</v>
      </c>
    </row>
    <row r="2519" spans="2:9" ht="15" x14ac:dyDescent="0.35">
      <c r="B2519" s="512" t="s">
        <v>6303</v>
      </c>
      <c r="C2519" s="512" t="s">
        <v>6239</v>
      </c>
      <c r="D2519" s="512" t="s">
        <v>6239</v>
      </c>
      <c r="E2519" s="513">
        <v>8267</v>
      </c>
      <c r="F2519" s="512" t="s">
        <v>2532</v>
      </c>
      <c r="G2519" s="513" t="s">
        <v>29</v>
      </c>
      <c r="H2519" s="514">
        <v>9259886</v>
      </c>
      <c r="I2519" s="515" t="s">
        <v>6915</v>
      </c>
    </row>
    <row r="2520" spans="2:9" ht="15" x14ac:dyDescent="0.35">
      <c r="B2520" s="512" t="s">
        <v>6303</v>
      </c>
      <c r="C2520" s="512" t="s">
        <v>6239</v>
      </c>
      <c r="D2520" s="512" t="s">
        <v>6239</v>
      </c>
      <c r="E2520" s="513">
        <v>8273</v>
      </c>
      <c r="F2520" s="512" t="s">
        <v>2533</v>
      </c>
      <c r="G2520" s="513" t="s">
        <v>29</v>
      </c>
      <c r="H2520" s="514">
        <v>2190837</v>
      </c>
      <c r="I2520" s="515" t="s">
        <v>6915</v>
      </c>
    </row>
    <row r="2521" spans="2:9" ht="15" x14ac:dyDescent="0.35">
      <c r="B2521" s="512" t="s">
        <v>6303</v>
      </c>
      <c r="C2521" s="512" t="s">
        <v>6239</v>
      </c>
      <c r="D2521" s="512" t="s">
        <v>6239</v>
      </c>
      <c r="E2521" s="513">
        <v>8274</v>
      </c>
      <c r="F2521" s="512" t="s">
        <v>2534</v>
      </c>
      <c r="G2521" s="513" t="s">
        <v>26</v>
      </c>
      <c r="H2521" s="514">
        <v>23440676</v>
      </c>
      <c r="I2521" s="515" t="s">
        <v>6915</v>
      </c>
    </row>
    <row r="2522" spans="2:9" ht="15" x14ac:dyDescent="0.35">
      <c r="B2522" s="512" t="s">
        <v>6303</v>
      </c>
      <c r="C2522" s="512" t="s">
        <v>6239</v>
      </c>
      <c r="D2522" s="512" t="s">
        <v>6239</v>
      </c>
      <c r="E2522" s="513">
        <v>8276</v>
      </c>
      <c r="F2522" s="512" t="s">
        <v>2535</v>
      </c>
      <c r="G2522" s="513" t="s">
        <v>29</v>
      </c>
      <c r="H2522" s="516">
        <v>409134</v>
      </c>
      <c r="I2522" s="512" t="s">
        <v>6915</v>
      </c>
    </row>
    <row r="2523" spans="2:9" ht="15" x14ac:dyDescent="0.35">
      <c r="B2523" s="512" t="s">
        <v>6303</v>
      </c>
      <c r="C2523" s="512" t="s">
        <v>6239</v>
      </c>
      <c r="D2523" s="512" t="s">
        <v>6239</v>
      </c>
      <c r="E2523" s="513">
        <v>8278</v>
      </c>
      <c r="F2523" s="512" t="s">
        <v>2536</v>
      </c>
      <c r="G2523" s="513" t="s">
        <v>29</v>
      </c>
      <c r="H2523" s="516">
        <v>1226914</v>
      </c>
      <c r="I2523" s="512" t="s">
        <v>6915</v>
      </c>
    </row>
    <row r="2524" spans="2:9" ht="15" x14ac:dyDescent="0.35">
      <c r="B2524" s="512" t="s">
        <v>6303</v>
      </c>
      <c r="C2524" s="512" t="s">
        <v>6239</v>
      </c>
      <c r="D2524" s="512" t="s">
        <v>6239</v>
      </c>
      <c r="E2524" s="513">
        <v>8291</v>
      </c>
      <c r="F2524" s="512" t="s">
        <v>2537</v>
      </c>
      <c r="G2524" s="513" t="s">
        <v>26</v>
      </c>
      <c r="H2524" s="514">
        <v>6983011</v>
      </c>
      <c r="I2524" s="515" t="s">
        <v>6915</v>
      </c>
    </row>
    <row r="2525" spans="2:9" ht="15" x14ac:dyDescent="0.35">
      <c r="B2525" s="512" t="s">
        <v>6303</v>
      </c>
      <c r="C2525" s="512" t="s">
        <v>6239</v>
      </c>
      <c r="D2525" s="512" t="s">
        <v>6239</v>
      </c>
      <c r="E2525" s="513">
        <v>8298</v>
      </c>
      <c r="F2525" s="512" t="s">
        <v>2538</v>
      </c>
      <c r="G2525" s="513" t="s">
        <v>29</v>
      </c>
      <c r="H2525" s="514">
        <v>3327184</v>
      </c>
      <c r="I2525" s="515" t="s">
        <v>6915</v>
      </c>
    </row>
    <row r="2526" spans="2:9" ht="15" x14ac:dyDescent="0.35">
      <c r="B2526" s="512" t="s">
        <v>6303</v>
      </c>
      <c r="C2526" s="512" t="s">
        <v>6239</v>
      </c>
      <c r="D2526" s="512" t="s">
        <v>6239</v>
      </c>
      <c r="E2526" s="513">
        <v>8301</v>
      </c>
      <c r="F2526" s="512" t="s">
        <v>2539</v>
      </c>
      <c r="G2526" s="513" t="s">
        <v>29</v>
      </c>
      <c r="H2526" s="514">
        <v>387773</v>
      </c>
      <c r="I2526" s="515" t="s">
        <v>6915</v>
      </c>
    </row>
    <row r="2527" spans="2:9" ht="15" x14ac:dyDescent="0.35">
      <c r="B2527" s="512" t="s">
        <v>6303</v>
      </c>
      <c r="C2527" s="512" t="s">
        <v>6232</v>
      </c>
      <c r="D2527" s="512" t="s">
        <v>6232</v>
      </c>
      <c r="E2527" s="513">
        <v>8304</v>
      </c>
      <c r="F2527" s="512" t="s">
        <v>2540</v>
      </c>
      <c r="G2527" s="513" t="s">
        <v>29</v>
      </c>
      <c r="H2527" s="514">
        <v>9529408</v>
      </c>
      <c r="I2527" s="515" t="s">
        <v>6915</v>
      </c>
    </row>
    <row r="2528" spans="2:9" ht="15" x14ac:dyDescent="0.35">
      <c r="B2528" s="512" t="s">
        <v>6303</v>
      </c>
      <c r="C2528" s="512" t="s">
        <v>6272</v>
      </c>
      <c r="D2528" s="512" t="s">
        <v>6272</v>
      </c>
      <c r="E2528" s="513">
        <v>8305</v>
      </c>
      <c r="F2528" s="512" t="s">
        <v>2541</v>
      </c>
      <c r="G2528" s="513" t="s">
        <v>29</v>
      </c>
      <c r="H2528" s="514">
        <v>4468799</v>
      </c>
      <c r="I2528" s="515" t="s">
        <v>6915</v>
      </c>
    </row>
    <row r="2529" spans="2:9" ht="15" x14ac:dyDescent="0.35">
      <c r="B2529" s="512" t="s">
        <v>6303</v>
      </c>
      <c r="C2529" s="512" t="s">
        <v>6239</v>
      </c>
      <c r="D2529" s="512" t="s">
        <v>6239</v>
      </c>
      <c r="E2529" s="513">
        <v>8306</v>
      </c>
      <c r="F2529" s="512" t="s">
        <v>2542</v>
      </c>
      <c r="G2529" s="513" t="s">
        <v>29</v>
      </c>
      <c r="H2529" s="514">
        <v>8176</v>
      </c>
      <c r="I2529" s="515" t="s">
        <v>6915</v>
      </c>
    </row>
    <row r="2530" spans="2:9" ht="15" x14ac:dyDescent="0.35">
      <c r="B2530" s="512" t="s">
        <v>6303</v>
      </c>
      <c r="C2530" s="512" t="s">
        <v>6232</v>
      </c>
      <c r="D2530" s="512" t="s">
        <v>6232</v>
      </c>
      <c r="E2530" s="513">
        <v>8307</v>
      </c>
      <c r="F2530" s="512" t="s">
        <v>2543</v>
      </c>
      <c r="G2530" s="513" t="s">
        <v>26</v>
      </c>
      <c r="H2530" s="514">
        <v>4126513</v>
      </c>
      <c r="I2530" s="515" t="s">
        <v>6915</v>
      </c>
    </row>
    <row r="2531" spans="2:9" ht="15" x14ac:dyDescent="0.35">
      <c r="B2531" s="512" t="s">
        <v>6303</v>
      </c>
      <c r="C2531" s="512" t="s">
        <v>6272</v>
      </c>
      <c r="D2531" s="512" t="s">
        <v>6272</v>
      </c>
      <c r="E2531" s="513">
        <v>8308</v>
      </c>
      <c r="F2531" s="512" t="s">
        <v>2544</v>
      </c>
      <c r="G2531" s="513" t="s">
        <v>29</v>
      </c>
      <c r="H2531" s="514">
        <v>9592687</v>
      </c>
      <c r="I2531" s="515" t="s">
        <v>6915</v>
      </c>
    </row>
    <row r="2532" spans="2:9" ht="15" x14ac:dyDescent="0.35">
      <c r="B2532" s="512" t="s">
        <v>6303</v>
      </c>
      <c r="C2532" s="512" t="s">
        <v>6232</v>
      </c>
      <c r="D2532" s="512" t="s">
        <v>6232</v>
      </c>
      <c r="E2532" s="513">
        <v>8309</v>
      </c>
      <c r="F2532" s="512" t="s">
        <v>2545</v>
      </c>
      <c r="G2532" s="513" t="s">
        <v>26</v>
      </c>
      <c r="H2532" s="514">
        <v>4508710</v>
      </c>
      <c r="I2532" s="515" t="s">
        <v>6915</v>
      </c>
    </row>
    <row r="2533" spans="2:9" ht="15" x14ac:dyDescent="0.35">
      <c r="B2533" s="512" t="s">
        <v>6303</v>
      </c>
      <c r="C2533" s="512" t="s">
        <v>6232</v>
      </c>
      <c r="D2533" s="512" t="s">
        <v>6232</v>
      </c>
      <c r="E2533" s="513">
        <v>8310</v>
      </c>
      <c r="F2533" s="512" t="s">
        <v>2546</v>
      </c>
      <c r="G2533" s="513" t="s">
        <v>26</v>
      </c>
      <c r="H2533" s="514">
        <v>5084376</v>
      </c>
      <c r="I2533" s="515" t="s">
        <v>6915</v>
      </c>
    </row>
    <row r="2534" spans="2:9" ht="15" x14ac:dyDescent="0.35">
      <c r="B2534" s="512" t="s">
        <v>6303</v>
      </c>
      <c r="C2534" s="512" t="s">
        <v>6232</v>
      </c>
      <c r="D2534" s="512" t="s">
        <v>6232</v>
      </c>
      <c r="E2534" s="513">
        <v>8311</v>
      </c>
      <c r="F2534" s="512" t="s">
        <v>2547</v>
      </c>
      <c r="G2534" s="513" t="s">
        <v>26</v>
      </c>
      <c r="H2534" s="514">
        <v>5699223</v>
      </c>
      <c r="I2534" s="515" t="s">
        <v>6915</v>
      </c>
    </row>
    <row r="2535" spans="2:9" ht="15" x14ac:dyDescent="0.35">
      <c r="B2535" s="512" t="s">
        <v>6303</v>
      </c>
      <c r="C2535" s="512" t="s">
        <v>6232</v>
      </c>
      <c r="D2535" s="512" t="s">
        <v>6232</v>
      </c>
      <c r="E2535" s="513">
        <v>8312</v>
      </c>
      <c r="F2535" s="512" t="s">
        <v>2548</v>
      </c>
      <c r="G2535" s="513" t="s">
        <v>26</v>
      </c>
      <c r="H2535" s="514">
        <v>7241468</v>
      </c>
      <c r="I2535" s="515" t="s">
        <v>6915</v>
      </c>
    </row>
    <row r="2536" spans="2:9" ht="15" x14ac:dyDescent="0.35">
      <c r="B2536" s="512" t="s">
        <v>6303</v>
      </c>
      <c r="C2536" s="512" t="s">
        <v>6232</v>
      </c>
      <c r="D2536" s="512" t="s">
        <v>6232</v>
      </c>
      <c r="E2536" s="513">
        <v>8313</v>
      </c>
      <c r="F2536" s="512" t="s">
        <v>2549</v>
      </c>
      <c r="G2536" s="513" t="s">
        <v>26</v>
      </c>
      <c r="H2536" s="514">
        <v>8815265</v>
      </c>
      <c r="I2536" s="515" t="s">
        <v>6915</v>
      </c>
    </row>
    <row r="2537" spans="2:9" ht="15" x14ac:dyDescent="0.35">
      <c r="B2537" s="512" t="s">
        <v>6303</v>
      </c>
      <c r="C2537" s="512" t="s">
        <v>6253</v>
      </c>
      <c r="D2537" s="512" t="s">
        <v>6284</v>
      </c>
      <c r="E2537" s="513">
        <v>8314</v>
      </c>
      <c r="F2537" s="512" t="s">
        <v>2550</v>
      </c>
      <c r="G2537" s="513" t="s">
        <v>29</v>
      </c>
      <c r="H2537" s="514">
        <v>884518</v>
      </c>
      <c r="I2537" s="515" t="s">
        <v>6915</v>
      </c>
    </row>
    <row r="2538" spans="2:9" ht="15" x14ac:dyDescent="0.35">
      <c r="B2538" s="512" t="s">
        <v>6303</v>
      </c>
      <c r="C2538" s="512" t="s">
        <v>6232</v>
      </c>
      <c r="D2538" s="512" t="s">
        <v>6232</v>
      </c>
      <c r="E2538" s="513">
        <v>8315</v>
      </c>
      <c r="F2538" s="512" t="s">
        <v>2551</v>
      </c>
      <c r="G2538" s="513" t="s">
        <v>29</v>
      </c>
      <c r="H2538" s="516">
        <v>833000</v>
      </c>
      <c r="I2538" s="512" t="s">
        <v>6915</v>
      </c>
    </row>
    <row r="2539" spans="2:9" ht="15" x14ac:dyDescent="0.35">
      <c r="B2539" s="512" t="s">
        <v>6303</v>
      </c>
      <c r="C2539" s="512" t="s">
        <v>6239</v>
      </c>
      <c r="D2539" s="512" t="s">
        <v>6239</v>
      </c>
      <c r="E2539" s="513">
        <v>8316</v>
      </c>
      <c r="F2539" s="512" t="s">
        <v>2552</v>
      </c>
      <c r="G2539" s="513" t="s">
        <v>29</v>
      </c>
      <c r="H2539" s="516">
        <v>20680</v>
      </c>
      <c r="I2539" s="515" t="s">
        <v>6915</v>
      </c>
    </row>
    <row r="2540" spans="2:9" ht="15" x14ac:dyDescent="0.35">
      <c r="B2540" s="512" t="s">
        <v>6303</v>
      </c>
      <c r="C2540" s="512" t="s">
        <v>6239</v>
      </c>
      <c r="D2540" s="512" t="s">
        <v>6239</v>
      </c>
      <c r="E2540" s="513">
        <v>8317</v>
      </c>
      <c r="F2540" s="512" t="s">
        <v>2553</v>
      </c>
      <c r="G2540" s="513" t="s">
        <v>26</v>
      </c>
      <c r="H2540" s="514">
        <v>47172</v>
      </c>
      <c r="I2540" s="515" t="s">
        <v>6915</v>
      </c>
    </row>
    <row r="2541" spans="2:9" ht="15" x14ac:dyDescent="0.35">
      <c r="B2541" s="512" t="s">
        <v>6303</v>
      </c>
      <c r="C2541" s="512" t="s">
        <v>6239</v>
      </c>
      <c r="D2541" s="512" t="s">
        <v>6239</v>
      </c>
      <c r="E2541" s="513">
        <v>8318</v>
      </c>
      <c r="F2541" s="512" t="s">
        <v>2554</v>
      </c>
      <c r="G2541" s="513" t="s">
        <v>26</v>
      </c>
      <c r="H2541" s="516">
        <v>67147</v>
      </c>
      <c r="I2541" s="512" t="s">
        <v>6915</v>
      </c>
    </row>
    <row r="2542" spans="2:9" ht="15" x14ac:dyDescent="0.35">
      <c r="B2542" s="512" t="s">
        <v>6303</v>
      </c>
      <c r="C2542" s="512" t="s">
        <v>6239</v>
      </c>
      <c r="D2542" s="512" t="s">
        <v>6239</v>
      </c>
      <c r="E2542" s="513">
        <v>8319</v>
      </c>
      <c r="F2542" s="512" t="s">
        <v>2555</v>
      </c>
      <c r="G2542" s="513" t="s">
        <v>26</v>
      </c>
      <c r="H2542" s="516">
        <v>92620</v>
      </c>
      <c r="I2542" s="512" t="s">
        <v>6915</v>
      </c>
    </row>
    <row r="2543" spans="2:9" ht="15" x14ac:dyDescent="0.35">
      <c r="B2543" s="512" t="s">
        <v>6303</v>
      </c>
      <c r="C2543" s="512" t="s">
        <v>6239</v>
      </c>
      <c r="D2543" s="512" t="s">
        <v>6239</v>
      </c>
      <c r="E2543" s="513">
        <v>8320</v>
      </c>
      <c r="F2543" s="512" t="s">
        <v>2556</v>
      </c>
      <c r="G2543" s="513" t="s">
        <v>29</v>
      </c>
      <c r="H2543" s="514">
        <v>185108</v>
      </c>
      <c r="I2543" s="515" t="s">
        <v>6915</v>
      </c>
    </row>
    <row r="2544" spans="2:9" ht="15" x14ac:dyDescent="0.35">
      <c r="B2544" s="512" t="s">
        <v>6303</v>
      </c>
      <c r="C2544" s="512" t="s">
        <v>6239</v>
      </c>
      <c r="D2544" s="512" t="s">
        <v>6239</v>
      </c>
      <c r="E2544" s="513">
        <v>8321</v>
      </c>
      <c r="F2544" s="512" t="s">
        <v>2557</v>
      </c>
      <c r="G2544" s="513" t="s">
        <v>29</v>
      </c>
      <c r="H2544" s="516">
        <v>339714</v>
      </c>
      <c r="I2544" s="512" t="s">
        <v>6915</v>
      </c>
    </row>
    <row r="2545" spans="2:9" ht="15" x14ac:dyDescent="0.35">
      <c r="B2545" s="512" t="s">
        <v>6303</v>
      </c>
      <c r="C2545" s="512" t="s">
        <v>6239</v>
      </c>
      <c r="D2545" s="512" t="s">
        <v>6239</v>
      </c>
      <c r="E2545" s="513">
        <v>8322</v>
      </c>
      <c r="F2545" s="512" t="s">
        <v>2558</v>
      </c>
      <c r="G2545" s="513" t="s">
        <v>29</v>
      </c>
      <c r="H2545" s="516">
        <v>400964</v>
      </c>
      <c r="I2545" s="512" t="s">
        <v>6915</v>
      </c>
    </row>
    <row r="2546" spans="2:9" ht="15" x14ac:dyDescent="0.35">
      <c r="B2546" s="512" t="s">
        <v>6303</v>
      </c>
      <c r="C2546" s="512" t="s">
        <v>6239</v>
      </c>
      <c r="D2546" s="512" t="s">
        <v>6239</v>
      </c>
      <c r="E2546" s="513">
        <v>8323</v>
      </c>
      <c r="F2546" s="512" t="s">
        <v>2559</v>
      </c>
      <c r="G2546" s="513" t="s">
        <v>29</v>
      </c>
      <c r="H2546" s="514">
        <v>579275</v>
      </c>
      <c r="I2546" s="515" t="s">
        <v>6915</v>
      </c>
    </row>
    <row r="2547" spans="2:9" ht="15" x14ac:dyDescent="0.35">
      <c r="B2547" s="512" t="s">
        <v>6303</v>
      </c>
      <c r="C2547" s="512" t="s">
        <v>6232</v>
      </c>
      <c r="D2547" s="512" t="s">
        <v>6232</v>
      </c>
      <c r="E2547" s="513">
        <v>8324</v>
      </c>
      <c r="F2547" s="512" t="s">
        <v>2560</v>
      </c>
      <c r="G2547" s="513" t="s">
        <v>29</v>
      </c>
      <c r="H2547" s="516">
        <v>4865148</v>
      </c>
      <c r="I2547" s="512" t="s">
        <v>6915</v>
      </c>
    </row>
    <row r="2548" spans="2:9" ht="15" x14ac:dyDescent="0.35">
      <c r="B2548" s="512" t="s">
        <v>6303</v>
      </c>
      <c r="C2548" s="512" t="s">
        <v>6232</v>
      </c>
      <c r="D2548" s="512" t="s">
        <v>6232</v>
      </c>
      <c r="E2548" s="513">
        <v>8325</v>
      </c>
      <c r="F2548" s="512" t="s">
        <v>2561</v>
      </c>
      <c r="G2548" s="513" t="s">
        <v>29</v>
      </c>
      <c r="H2548" s="516">
        <v>4865148</v>
      </c>
      <c r="I2548" s="512" t="s">
        <v>6915</v>
      </c>
    </row>
    <row r="2549" spans="2:9" ht="15" x14ac:dyDescent="0.35">
      <c r="B2549" s="512" t="s">
        <v>6303</v>
      </c>
      <c r="C2549" s="512" t="s">
        <v>6264</v>
      </c>
      <c r="D2549" s="512" t="s">
        <v>6264</v>
      </c>
      <c r="E2549" s="513">
        <v>8330</v>
      </c>
      <c r="F2549" s="512" t="s">
        <v>2562</v>
      </c>
      <c r="G2549" s="513" t="s">
        <v>26</v>
      </c>
      <c r="H2549" s="514">
        <v>162509</v>
      </c>
      <c r="I2549" s="515" t="s">
        <v>6915</v>
      </c>
    </row>
    <row r="2550" spans="2:9" ht="15" x14ac:dyDescent="0.35">
      <c r="B2550" s="512" t="s">
        <v>6303</v>
      </c>
      <c r="C2550" s="512" t="s">
        <v>6264</v>
      </c>
      <c r="D2550" s="512" t="s">
        <v>6264</v>
      </c>
      <c r="E2550" s="513">
        <v>8331</v>
      </c>
      <c r="F2550" s="512" t="s">
        <v>2563</v>
      </c>
      <c r="G2550" s="513" t="s">
        <v>26</v>
      </c>
      <c r="H2550" s="514">
        <v>40949</v>
      </c>
      <c r="I2550" s="515" t="s">
        <v>6915</v>
      </c>
    </row>
    <row r="2551" spans="2:9" ht="15" x14ac:dyDescent="0.35">
      <c r="B2551" s="512" t="s">
        <v>6303</v>
      </c>
      <c r="C2551" s="512" t="s">
        <v>6264</v>
      </c>
      <c r="D2551" s="512" t="s">
        <v>6264</v>
      </c>
      <c r="E2551" s="513">
        <v>8332</v>
      </c>
      <c r="F2551" s="512" t="s">
        <v>2564</v>
      </c>
      <c r="G2551" s="513" t="s">
        <v>26</v>
      </c>
      <c r="H2551" s="514">
        <v>160486</v>
      </c>
      <c r="I2551" s="515" t="s">
        <v>6915</v>
      </c>
    </row>
    <row r="2552" spans="2:9" ht="15" x14ac:dyDescent="0.35">
      <c r="B2552" s="512" t="s">
        <v>6303</v>
      </c>
      <c r="C2552" s="512" t="s">
        <v>6240</v>
      </c>
      <c r="D2552" s="512" t="s">
        <v>6241</v>
      </c>
      <c r="E2552" s="513">
        <v>8333</v>
      </c>
      <c r="F2552" s="512" t="s">
        <v>2565</v>
      </c>
      <c r="G2552" s="513" t="s">
        <v>26</v>
      </c>
      <c r="H2552" s="516">
        <v>99706</v>
      </c>
      <c r="I2552" s="512" t="s">
        <v>6915</v>
      </c>
    </row>
    <row r="2553" spans="2:9" ht="15" x14ac:dyDescent="0.35">
      <c r="B2553" s="512" t="s">
        <v>6303</v>
      </c>
      <c r="C2553" s="512" t="s">
        <v>6240</v>
      </c>
      <c r="D2553" s="512" t="s">
        <v>6241</v>
      </c>
      <c r="E2553" s="513">
        <v>8335</v>
      </c>
      <c r="F2553" s="512" t="s">
        <v>2566</v>
      </c>
      <c r="G2553" s="513" t="s">
        <v>23</v>
      </c>
      <c r="H2553" s="516">
        <v>1225640</v>
      </c>
      <c r="I2553" s="512" t="s">
        <v>6915</v>
      </c>
    </row>
    <row r="2554" spans="2:9" ht="15" x14ac:dyDescent="0.35">
      <c r="B2554" s="512" t="s">
        <v>6303</v>
      </c>
      <c r="C2554" s="512" t="s">
        <v>6223</v>
      </c>
      <c r="D2554" s="512" t="s">
        <v>6223</v>
      </c>
      <c r="E2554" s="513">
        <v>8336</v>
      </c>
      <c r="F2554" s="512" t="s">
        <v>2567</v>
      </c>
      <c r="G2554" s="513" t="s">
        <v>23</v>
      </c>
      <c r="H2554" s="514">
        <v>168203</v>
      </c>
      <c r="I2554" s="515" t="s">
        <v>6915</v>
      </c>
    </row>
    <row r="2555" spans="2:9" ht="15" x14ac:dyDescent="0.35">
      <c r="B2555" s="512" t="s">
        <v>6303</v>
      </c>
      <c r="C2555" s="512" t="s">
        <v>6264</v>
      </c>
      <c r="D2555" s="512" t="s">
        <v>6264</v>
      </c>
      <c r="E2555" s="513">
        <v>8337</v>
      </c>
      <c r="F2555" s="512" t="s">
        <v>2568</v>
      </c>
      <c r="G2555" s="513" t="s">
        <v>26</v>
      </c>
      <c r="H2555" s="516">
        <v>53004</v>
      </c>
      <c r="I2555" s="512" t="s">
        <v>6915</v>
      </c>
    </row>
    <row r="2556" spans="2:9" ht="15" x14ac:dyDescent="0.35">
      <c r="B2556" s="512" t="s">
        <v>6303</v>
      </c>
      <c r="C2556" s="512" t="s">
        <v>6240</v>
      </c>
      <c r="D2556" s="512" t="s">
        <v>6241</v>
      </c>
      <c r="E2556" s="513">
        <v>8338</v>
      </c>
      <c r="F2556" s="512" t="s">
        <v>2569</v>
      </c>
      <c r="G2556" s="513" t="s">
        <v>29</v>
      </c>
      <c r="H2556" s="516">
        <v>122735</v>
      </c>
      <c r="I2556" s="512" t="s">
        <v>6915</v>
      </c>
    </row>
    <row r="2557" spans="2:9" ht="15" x14ac:dyDescent="0.35">
      <c r="B2557" s="512" t="s">
        <v>6303</v>
      </c>
      <c r="C2557" s="512" t="s">
        <v>6232</v>
      </c>
      <c r="D2557" s="512" t="s">
        <v>6232</v>
      </c>
      <c r="E2557" s="513">
        <v>8339</v>
      </c>
      <c r="F2557" s="512" t="s">
        <v>2570</v>
      </c>
      <c r="G2557" s="513" t="s">
        <v>29</v>
      </c>
      <c r="H2557" s="514">
        <v>747027</v>
      </c>
      <c r="I2557" s="515" t="s">
        <v>6915</v>
      </c>
    </row>
    <row r="2558" spans="2:9" ht="15" x14ac:dyDescent="0.35">
      <c r="B2558" s="512" t="s">
        <v>6303</v>
      </c>
      <c r="C2558" s="512" t="s">
        <v>6232</v>
      </c>
      <c r="D2558" s="512" t="s">
        <v>6232</v>
      </c>
      <c r="E2558" s="513">
        <v>8342</v>
      </c>
      <c r="F2558" s="512" t="s">
        <v>2571</v>
      </c>
      <c r="G2558" s="513" t="s">
        <v>29</v>
      </c>
      <c r="H2558" s="514">
        <v>3587010</v>
      </c>
      <c r="I2558" s="515" t="s">
        <v>6915</v>
      </c>
    </row>
    <row r="2559" spans="2:9" ht="15" x14ac:dyDescent="0.35">
      <c r="B2559" s="512" t="s">
        <v>6303</v>
      </c>
      <c r="C2559" s="512" t="s">
        <v>6239</v>
      </c>
      <c r="D2559" s="512" t="s">
        <v>6239</v>
      </c>
      <c r="E2559" s="513">
        <v>8344</v>
      </c>
      <c r="F2559" s="512" t="s">
        <v>2572</v>
      </c>
      <c r="G2559" s="513" t="s">
        <v>29</v>
      </c>
      <c r="H2559" s="514">
        <v>5065423</v>
      </c>
      <c r="I2559" s="515" t="s">
        <v>6915</v>
      </c>
    </row>
    <row r="2560" spans="2:9" ht="15" x14ac:dyDescent="0.35">
      <c r="B2560" s="512" t="s">
        <v>6303</v>
      </c>
      <c r="C2560" s="512" t="s">
        <v>6239</v>
      </c>
      <c r="D2560" s="512" t="s">
        <v>6239</v>
      </c>
      <c r="E2560" s="513">
        <v>8345</v>
      </c>
      <c r="F2560" s="512" t="s">
        <v>2573</v>
      </c>
      <c r="G2560" s="513" t="s">
        <v>29</v>
      </c>
      <c r="H2560" s="514">
        <v>129746</v>
      </c>
      <c r="I2560" s="515" t="s">
        <v>6915</v>
      </c>
    </row>
    <row r="2561" spans="2:9" ht="15" x14ac:dyDescent="0.35">
      <c r="B2561" s="512" t="s">
        <v>6303</v>
      </c>
      <c r="C2561" s="512" t="s">
        <v>6239</v>
      </c>
      <c r="D2561" s="512" t="s">
        <v>6239</v>
      </c>
      <c r="E2561" s="513">
        <v>8346</v>
      </c>
      <c r="F2561" s="512" t="s">
        <v>2574</v>
      </c>
      <c r="G2561" s="513" t="s">
        <v>29</v>
      </c>
      <c r="H2561" s="514">
        <v>2577648</v>
      </c>
      <c r="I2561" s="515" t="s">
        <v>6915</v>
      </c>
    </row>
    <row r="2562" spans="2:9" ht="15" x14ac:dyDescent="0.35">
      <c r="B2562" s="512" t="s">
        <v>6303</v>
      </c>
      <c r="C2562" s="512" t="s">
        <v>6239</v>
      </c>
      <c r="D2562" s="512" t="s">
        <v>6239</v>
      </c>
      <c r="E2562" s="513">
        <v>8347</v>
      </c>
      <c r="F2562" s="512" t="s">
        <v>2575</v>
      </c>
      <c r="G2562" s="513" t="s">
        <v>29</v>
      </c>
      <c r="H2562" s="514">
        <v>1983390</v>
      </c>
      <c r="I2562" s="515" t="s">
        <v>6915</v>
      </c>
    </row>
    <row r="2563" spans="2:9" ht="15" x14ac:dyDescent="0.35">
      <c r="B2563" s="512" t="s">
        <v>6303</v>
      </c>
      <c r="C2563" s="512" t="s">
        <v>6239</v>
      </c>
      <c r="D2563" s="512" t="s">
        <v>6239</v>
      </c>
      <c r="E2563" s="513">
        <v>8348</v>
      </c>
      <c r="F2563" s="512" t="s">
        <v>2576</v>
      </c>
      <c r="G2563" s="513" t="s">
        <v>29</v>
      </c>
      <c r="H2563" s="516">
        <v>758258</v>
      </c>
      <c r="I2563" s="512" t="s">
        <v>6915</v>
      </c>
    </row>
    <row r="2564" spans="2:9" ht="15" x14ac:dyDescent="0.35">
      <c r="B2564" s="512" t="s">
        <v>6303</v>
      </c>
      <c r="C2564" s="512" t="s">
        <v>6239</v>
      </c>
      <c r="D2564" s="512" t="s">
        <v>6239</v>
      </c>
      <c r="E2564" s="513">
        <v>8349</v>
      </c>
      <c r="F2564" s="512" t="s">
        <v>2577</v>
      </c>
      <c r="G2564" s="513" t="s">
        <v>29</v>
      </c>
      <c r="H2564" s="516">
        <v>1117192</v>
      </c>
      <c r="I2564" s="512" t="s">
        <v>6915</v>
      </c>
    </row>
    <row r="2565" spans="2:9" ht="15" x14ac:dyDescent="0.35">
      <c r="B2565" s="512" t="s">
        <v>6303</v>
      </c>
      <c r="C2565" s="512" t="s">
        <v>6239</v>
      </c>
      <c r="D2565" s="512" t="s">
        <v>6239</v>
      </c>
      <c r="E2565" s="513">
        <v>8351</v>
      </c>
      <c r="F2565" s="512" t="s">
        <v>2578</v>
      </c>
      <c r="G2565" s="513" t="s">
        <v>29</v>
      </c>
      <c r="H2565" s="514">
        <v>2245880</v>
      </c>
      <c r="I2565" s="515" t="s">
        <v>6915</v>
      </c>
    </row>
    <row r="2566" spans="2:9" ht="15" x14ac:dyDescent="0.35">
      <c r="B2566" s="512" t="s">
        <v>6303</v>
      </c>
      <c r="C2566" s="512" t="s">
        <v>6239</v>
      </c>
      <c r="D2566" s="512" t="s">
        <v>6239</v>
      </c>
      <c r="E2566" s="513">
        <v>8352</v>
      </c>
      <c r="F2566" s="512" t="s">
        <v>2579</v>
      </c>
      <c r="G2566" s="513" t="s">
        <v>29</v>
      </c>
      <c r="H2566" s="516">
        <v>736170</v>
      </c>
      <c r="I2566" s="512" t="s">
        <v>6915</v>
      </c>
    </row>
    <row r="2567" spans="2:9" ht="15" x14ac:dyDescent="0.35">
      <c r="B2567" s="512" t="s">
        <v>6303</v>
      </c>
      <c r="C2567" s="512" t="s">
        <v>6239</v>
      </c>
      <c r="D2567" s="512" t="s">
        <v>6239</v>
      </c>
      <c r="E2567" s="513">
        <v>8353</v>
      </c>
      <c r="F2567" s="512" t="s">
        <v>2580</v>
      </c>
      <c r="G2567" s="513" t="s">
        <v>29</v>
      </c>
      <c r="H2567" s="514">
        <v>3583198</v>
      </c>
      <c r="I2567" s="515" t="s">
        <v>6915</v>
      </c>
    </row>
    <row r="2568" spans="2:9" ht="15" x14ac:dyDescent="0.35">
      <c r="B2568" s="512" t="s">
        <v>6303</v>
      </c>
      <c r="C2568" s="512" t="s">
        <v>6239</v>
      </c>
      <c r="D2568" s="512" t="s">
        <v>6239</v>
      </c>
      <c r="E2568" s="513">
        <v>8357</v>
      </c>
      <c r="F2568" s="512" t="s">
        <v>2581</v>
      </c>
      <c r="G2568" s="513" t="s">
        <v>29</v>
      </c>
      <c r="H2568" s="516">
        <v>4102579</v>
      </c>
      <c r="I2568" s="512" t="s">
        <v>6915</v>
      </c>
    </row>
    <row r="2569" spans="2:9" ht="15" x14ac:dyDescent="0.35">
      <c r="B2569" s="512" t="s">
        <v>6303</v>
      </c>
      <c r="C2569" s="512" t="s">
        <v>6239</v>
      </c>
      <c r="D2569" s="512" t="s">
        <v>6239</v>
      </c>
      <c r="E2569" s="513">
        <v>8361</v>
      </c>
      <c r="F2569" s="512" t="s">
        <v>2582</v>
      </c>
      <c r="G2569" s="513" t="s">
        <v>29</v>
      </c>
      <c r="H2569" s="516">
        <v>541250</v>
      </c>
      <c r="I2569" s="512" t="s">
        <v>6915</v>
      </c>
    </row>
    <row r="2570" spans="2:9" ht="15" x14ac:dyDescent="0.35">
      <c r="B2570" s="512" t="s">
        <v>6303</v>
      </c>
      <c r="C2570" s="512" t="s">
        <v>6239</v>
      </c>
      <c r="D2570" s="512" t="s">
        <v>6239</v>
      </c>
      <c r="E2570" s="513">
        <v>8362</v>
      </c>
      <c r="F2570" s="512" t="s">
        <v>2583</v>
      </c>
      <c r="G2570" s="513" t="s">
        <v>29</v>
      </c>
      <c r="H2570" s="514">
        <v>401661</v>
      </c>
      <c r="I2570" s="515" t="s">
        <v>6915</v>
      </c>
    </row>
    <row r="2571" spans="2:9" ht="15" x14ac:dyDescent="0.35">
      <c r="B2571" s="512" t="s">
        <v>6303</v>
      </c>
      <c r="C2571" s="512" t="s">
        <v>6239</v>
      </c>
      <c r="D2571" s="512" t="s">
        <v>6239</v>
      </c>
      <c r="E2571" s="513">
        <v>8364</v>
      </c>
      <c r="F2571" s="512" t="s">
        <v>2584</v>
      </c>
      <c r="G2571" s="513" t="s">
        <v>29</v>
      </c>
      <c r="H2571" s="516">
        <v>1325454</v>
      </c>
      <c r="I2571" s="512" t="s">
        <v>6915</v>
      </c>
    </row>
    <row r="2572" spans="2:9" ht="15" x14ac:dyDescent="0.35">
      <c r="B2572" s="512" t="s">
        <v>6303</v>
      </c>
      <c r="C2572" s="512" t="s">
        <v>6232</v>
      </c>
      <c r="D2572" s="512" t="s">
        <v>6232</v>
      </c>
      <c r="E2572" s="513">
        <v>8365</v>
      </c>
      <c r="F2572" s="512" t="s">
        <v>2585</v>
      </c>
      <c r="G2572" s="513" t="s">
        <v>29</v>
      </c>
      <c r="H2572" s="514">
        <v>242290</v>
      </c>
      <c r="I2572" s="515" t="s">
        <v>6915</v>
      </c>
    </row>
    <row r="2573" spans="2:9" ht="15" x14ac:dyDescent="0.35">
      <c r="B2573" s="512" t="s">
        <v>6303</v>
      </c>
      <c r="C2573" s="512" t="s">
        <v>6239</v>
      </c>
      <c r="D2573" s="512" t="s">
        <v>6239</v>
      </c>
      <c r="E2573" s="513">
        <v>8366</v>
      </c>
      <c r="F2573" s="512" t="s">
        <v>2586</v>
      </c>
      <c r="G2573" s="513" t="s">
        <v>29</v>
      </c>
      <c r="H2573" s="514">
        <v>29268167</v>
      </c>
      <c r="I2573" s="515" t="s">
        <v>6915</v>
      </c>
    </row>
    <row r="2574" spans="2:9" ht="15" x14ac:dyDescent="0.35">
      <c r="B2574" s="512" t="s">
        <v>6303</v>
      </c>
      <c r="C2574" s="512" t="s">
        <v>6232</v>
      </c>
      <c r="D2574" s="512" t="s">
        <v>6232</v>
      </c>
      <c r="E2574" s="513">
        <v>8367</v>
      </c>
      <c r="F2574" s="512" t="s">
        <v>2587</v>
      </c>
      <c r="G2574" s="513" t="s">
        <v>26</v>
      </c>
      <c r="H2574" s="514">
        <v>127982</v>
      </c>
      <c r="I2574" s="515" t="s">
        <v>6915</v>
      </c>
    </row>
    <row r="2575" spans="2:9" ht="15" x14ac:dyDescent="0.35">
      <c r="B2575" s="512" t="s">
        <v>6303</v>
      </c>
      <c r="C2575" s="512" t="s">
        <v>6232</v>
      </c>
      <c r="D2575" s="512" t="s">
        <v>6232</v>
      </c>
      <c r="E2575" s="513">
        <v>8368</v>
      </c>
      <c r="F2575" s="512" t="s">
        <v>2588</v>
      </c>
      <c r="G2575" s="513" t="s">
        <v>26</v>
      </c>
      <c r="H2575" s="514">
        <v>280316</v>
      </c>
      <c r="I2575" s="515" t="s">
        <v>6915</v>
      </c>
    </row>
    <row r="2576" spans="2:9" ht="15" x14ac:dyDescent="0.35">
      <c r="B2576" s="512" t="s">
        <v>6303</v>
      </c>
      <c r="C2576" s="512" t="s">
        <v>6232</v>
      </c>
      <c r="D2576" s="512" t="s">
        <v>6232</v>
      </c>
      <c r="E2576" s="513">
        <v>8369</v>
      </c>
      <c r="F2576" s="512" t="s">
        <v>2589</v>
      </c>
      <c r="G2576" s="513" t="s">
        <v>26</v>
      </c>
      <c r="H2576" s="516">
        <v>301911</v>
      </c>
      <c r="I2576" s="512" t="s">
        <v>6915</v>
      </c>
    </row>
    <row r="2577" spans="2:9" ht="15" x14ac:dyDescent="0.35">
      <c r="B2577" s="512" t="s">
        <v>6303</v>
      </c>
      <c r="C2577" s="512" t="s">
        <v>6232</v>
      </c>
      <c r="D2577" s="512" t="s">
        <v>6232</v>
      </c>
      <c r="E2577" s="513">
        <v>8370</v>
      </c>
      <c r="F2577" s="512" t="s">
        <v>2590</v>
      </c>
      <c r="G2577" s="513" t="s">
        <v>26</v>
      </c>
      <c r="H2577" s="514">
        <v>435500</v>
      </c>
      <c r="I2577" s="515" t="s">
        <v>6915</v>
      </c>
    </row>
    <row r="2578" spans="2:9" ht="15" x14ac:dyDescent="0.35">
      <c r="B2578" s="512" t="s">
        <v>6303</v>
      </c>
      <c r="C2578" s="512" t="s">
        <v>6232</v>
      </c>
      <c r="D2578" s="512" t="s">
        <v>6232</v>
      </c>
      <c r="E2578" s="513">
        <v>8371</v>
      </c>
      <c r="F2578" s="512" t="s">
        <v>2591</v>
      </c>
      <c r="G2578" s="513" t="s">
        <v>26</v>
      </c>
      <c r="H2578" s="514">
        <v>679962</v>
      </c>
      <c r="I2578" s="515" t="s">
        <v>6915</v>
      </c>
    </row>
    <row r="2579" spans="2:9" ht="15" x14ac:dyDescent="0.35">
      <c r="B2579" s="512" t="s">
        <v>6303</v>
      </c>
      <c r="C2579" s="512" t="s">
        <v>6239</v>
      </c>
      <c r="D2579" s="512" t="s">
        <v>6239</v>
      </c>
      <c r="E2579" s="513">
        <v>8384</v>
      </c>
      <c r="F2579" s="512" t="s">
        <v>2592</v>
      </c>
      <c r="G2579" s="513" t="s">
        <v>26</v>
      </c>
      <c r="H2579" s="514">
        <v>2317571</v>
      </c>
      <c r="I2579" s="515" t="s">
        <v>6915</v>
      </c>
    </row>
    <row r="2580" spans="2:9" ht="15" x14ac:dyDescent="0.35">
      <c r="B2580" s="512" t="s">
        <v>6303</v>
      </c>
      <c r="C2580" s="512" t="s">
        <v>6239</v>
      </c>
      <c r="D2580" s="512" t="s">
        <v>6239</v>
      </c>
      <c r="E2580" s="513">
        <v>8386</v>
      </c>
      <c r="F2580" s="512" t="s">
        <v>2593</v>
      </c>
      <c r="G2580" s="513" t="s">
        <v>29</v>
      </c>
      <c r="H2580" s="514">
        <v>2269307</v>
      </c>
      <c r="I2580" s="515" t="s">
        <v>6915</v>
      </c>
    </row>
    <row r="2581" spans="2:9" ht="15" x14ac:dyDescent="0.35">
      <c r="B2581" s="512" t="s">
        <v>6303</v>
      </c>
      <c r="C2581" s="512" t="s">
        <v>6239</v>
      </c>
      <c r="D2581" s="512" t="s">
        <v>6239</v>
      </c>
      <c r="E2581" s="513">
        <v>8388</v>
      </c>
      <c r="F2581" s="512" t="s">
        <v>2594</v>
      </c>
      <c r="G2581" s="513" t="s">
        <v>29</v>
      </c>
      <c r="H2581" s="514">
        <v>34745</v>
      </c>
      <c r="I2581" s="515" t="s">
        <v>6915</v>
      </c>
    </row>
    <row r="2582" spans="2:9" ht="15" x14ac:dyDescent="0.35">
      <c r="B2582" s="512" t="s">
        <v>6303</v>
      </c>
      <c r="C2582" s="512" t="s">
        <v>6239</v>
      </c>
      <c r="D2582" s="512" t="s">
        <v>6239</v>
      </c>
      <c r="E2582" s="513">
        <v>8389</v>
      </c>
      <c r="F2582" s="512" t="s">
        <v>2595</v>
      </c>
      <c r="G2582" s="513" t="s">
        <v>26</v>
      </c>
      <c r="H2582" s="514">
        <v>47802</v>
      </c>
      <c r="I2582" s="515" t="s">
        <v>6915</v>
      </c>
    </row>
    <row r="2583" spans="2:9" ht="15" x14ac:dyDescent="0.35">
      <c r="B2583" s="512" t="s">
        <v>6303</v>
      </c>
      <c r="C2583" s="512" t="s">
        <v>6239</v>
      </c>
      <c r="D2583" s="512" t="s">
        <v>6239</v>
      </c>
      <c r="E2583" s="513">
        <v>8390</v>
      </c>
      <c r="F2583" s="512" t="s">
        <v>2596</v>
      </c>
      <c r="G2583" s="513" t="s">
        <v>26</v>
      </c>
      <c r="H2583" s="514">
        <v>89029</v>
      </c>
      <c r="I2583" s="515" t="s">
        <v>6915</v>
      </c>
    </row>
    <row r="2584" spans="2:9" ht="15" x14ac:dyDescent="0.35">
      <c r="B2584" s="512" t="s">
        <v>6303</v>
      </c>
      <c r="C2584" s="512" t="s">
        <v>6232</v>
      </c>
      <c r="D2584" s="512" t="s">
        <v>6232</v>
      </c>
      <c r="E2584" s="513">
        <v>8392</v>
      </c>
      <c r="F2584" s="512" t="s">
        <v>2597</v>
      </c>
      <c r="G2584" s="513" t="s">
        <v>29</v>
      </c>
      <c r="H2584" s="516">
        <v>12206</v>
      </c>
      <c r="I2584" s="512" t="s">
        <v>6915</v>
      </c>
    </row>
    <row r="2585" spans="2:9" ht="15" x14ac:dyDescent="0.35">
      <c r="B2585" s="512" t="s">
        <v>6303</v>
      </c>
      <c r="C2585" s="512" t="s">
        <v>6239</v>
      </c>
      <c r="D2585" s="512" t="s">
        <v>6239</v>
      </c>
      <c r="E2585" s="513">
        <v>8393</v>
      </c>
      <c r="F2585" s="512" t="s">
        <v>2598</v>
      </c>
      <c r="G2585" s="513" t="s">
        <v>29</v>
      </c>
      <c r="H2585" s="514">
        <v>479377</v>
      </c>
      <c r="I2585" s="512" t="s">
        <v>6915</v>
      </c>
    </row>
    <row r="2586" spans="2:9" ht="15" x14ac:dyDescent="0.35">
      <c r="B2586" s="512" t="s">
        <v>6303</v>
      </c>
      <c r="C2586" s="512" t="s">
        <v>6224</v>
      </c>
      <c r="D2586" s="512" t="s">
        <v>6225</v>
      </c>
      <c r="E2586" s="513">
        <v>8402</v>
      </c>
      <c r="F2586" s="512" t="s">
        <v>2599</v>
      </c>
      <c r="G2586" s="513" t="s">
        <v>29</v>
      </c>
      <c r="H2586" s="514">
        <v>6250</v>
      </c>
      <c r="I2586" s="512" t="s">
        <v>6915</v>
      </c>
    </row>
    <row r="2587" spans="2:9" ht="15" x14ac:dyDescent="0.35">
      <c r="B2587" s="512" t="s">
        <v>6304</v>
      </c>
      <c r="C2587" s="512" t="s">
        <v>6240</v>
      </c>
      <c r="D2587" s="512" t="s">
        <v>6241</v>
      </c>
      <c r="E2587" s="513">
        <v>8407</v>
      </c>
      <c r="F2587" s="512" t="s">
        <v>2600</v>
      </c>
      <c r="G2587" s="513" t="s">
        <v>26</v>
      </c>
      <c r="H2587" s="514">
        <v>2020021</v>
      </c>
      <c r="I2587" s="512" t="s">
        <v>6915</v>
      </c>
    </row>
    <row r="2588" spans="2:9" ht="15" x14ac:dyDescent="0.35">
      <c r="B2588" s="512" t="s">
        <v>6304</v>
      </c>
      <c r="C2588" s="512" t="s">
        <v>6239</v>
      </c>
      <c r="D2588" s="512" t="s">
        <v>6239</v>
      </c>
      <c r="E2588" s="513">
        <v>8409</v>
      </c>
      <c r="F2588" s="512" t="s">
        <v>2601</v>
      </c>
      <c r="G2588" s="513" t="s">
        <v>29</v>
      </c>
      <c r="H2588" s="516">
        <v>6893662</v>
      </c>
      <c r="I2588" s="512" t="s">
        <v>6915</v>
      </c>
    </row>
    <row r="2589" spans="2:9" ht="15" x14ac:dyDescent="0.35">
      <c r="B2589" s="512" t="s">
        <v>6304</v>
      </c>
      <c r="C2589" s="512" t="s">
        <v>6239</v>
      </c>
      <c r="D2589" s="512" t="s">
        <v>6239</v>
      </c>
      <c r="E2589" s="513">
        <v>8410</v>
      </c>
      <c r="F2589" s="512" t="s">
        <v>2602</v>
      </c>
      <c r="G2589" s="513" t="s">
        <v>29</v>
      </c>
      <c r="H2589" s="514">
        <v>5724629</v>
      </c>
      <c r="I2589" s="515" t="s">
        <v>6915</v>
      </c>
    </row>
    <row r="2590" spans="2:9" ht="15" x14ac:dyDescent="0.35">
      <c r="B2590" s="512" t="s">
        <v>6304</v>
      </c>
      <c r="C2590" s="512" t="s">
        <v>6240</v>
      </c>
      <c r="D2590" s="512" t="s">
        <v>6241</v>
      </c>
      <c r="E2590" s="513">
        <v>8411</v>
      </c>
      <c r="F2590" s="512" t="s">
        <v>2603</v>
      </c>
      <c r="G2590" s="513" t="s">
        <v>26</v>
      </c>
      <c r="H2590" s="514">
        <v>793606</v>
      </c>
      <c r="I2590" s="515" t="s">
        <v>6915</v>
      </c>
    </row>
    <row r="2591" spans="2:9" ht="15" x14ac:dyDescent="0.35">
      <c r="B2591" s="512" t="s">
        <v>6304</v>
      </c>
      <c r="C2591" s="512" t="s">
        <v>6239</v>
      </c>
      <c r="D2591" s="512" t="s">
        <v>6239</v>
      </c>
      <c r="E2591" s="513">
        <v>8412</v>
      </c>
      <c r="F2591" s="512" t="s">
        <v>2604</v>
      </c>
      <c r="G2591" s="513" t="s">
        <v>29</v>
      </c>
      <c r="H2591" s="514">
        <v>1323717</v>
      </c>
      <c r="I2591" s="512" t="s">
        <v>6915</v>
      </c>
    </row>
    <row r="2592" spans="2:9" ht="15" x14ac:dyDescent="0.35">
      <c r="B2592" s="512" t="s">
        <v>6304</v>
      </c>
      <c r="C2592" s="512" t="s">
        <v>6239</v>
      </c>
      <c r="D2592" s="512" t="s">
        <v>6239</v>
      </c>
      <c r="E2592" s="513">
        <v>8413</v>
      </c>
      <c r="F2592" s="512" t="s">
        <v>2605</v>
      </c>
      <c r="G2592" s="513" t="s">
        <v>29</v>
      </c>
      <c r="H2592" s="516">
        <v>584377</v>
      </c>
      <c r="I2592" s="512" t="s">
        <v>6915</v>
      </c>
    </row>
    <row r="2593" spans="2:9" ht="15" x14ac:dyDescent="0.35">
      <c r="B2593" s="512" t="s">
        <v>6304</v>
      </c>
      <c r="C2593" s="512" t="s">
        <v>6239</v>
      </c>
      <c r="D2593" s="512" t="s">
        <v>6239</v>
      </c>
      <c r="E2593" s="513">
        <v>8414</v>
      </c>
      <c r="F2593" s="512" t="s">
        <v>2606</v>
      </c>
      <c r="G2593" s="513" t="s">
        <v>29</v>
      </c>
      <c r="H2593" s="514">
        <v>5089810</v>
      </c>
      <c r="I2593" s="515" t="s">
        <v>6915</v>
      </c>
    </row>
    <row r="2594" spans="2:9" ht="15" x14ac:dyDescent="0.35">
      <c r="B2594" s="512" t="s">
        <v>6304</v>
      </c>
      <c r="C2594" s="512" t="s">
        <v>6239</v>
      </c>
      <c r="D2594" s="512" t="s">
        <v>6239</v>
      </c>
      <c r="E2594" s="513">
        <v>8415</v>
      </c>
      <c r="F2594" s="512" t="s">
        <v>2607</v>
      </c>
      <c r="G2594" s="513" t="s">
        <v>29</v>
      </c>
      <c r="H2594" s="516">
        <v>1574457</v>
      </c>
      <c r="I2594" s="512" t="s">
        <v>6915</v>
      </c>
    </row>
    <row r="2595" spans="2:9" ht="15" x14ac:dyDescent="0.35">
      <c r="B2595" s="512" t="s">
        <v>6304</v>
      </c>
      <c r="C2595" s="512" t="s">
        <v>6239</v>
      </c>
      <c r="D2595" s="512" t="s">
        <v>6239</v>
      </c>
      <c r="E2595" s="513">
        <v>8416</v>
      </c>
      <c r="F2595" s="512" t="s">
        <v>2608</v>
      </c>
      <c r="G2595" s="513" t="s">
        <v>29</v>
      </c>
      <c r="H2595" s="516">
        <v>1645857</v>
      </c>
      <c r="I2595" s="512" t="s">
        <v>6915</v>
      </c>
    </row>
    <row r="2596" spans="2:9" ht="15" x14ac:dyDescent="0.35">
      <c r="B2596" s="512" t="s">
        <v>6304</v>
      </c>
      <c r="C2596" s="512" t="s">
        <v>6239</v>
      </c>
      <c r="D2596" s="512" t="s">
        <v>6239</v>
      </c>
      <c r="E2596" s="513">
        <v>8418</v>
      </c>
      <c r="F2596" s="512" t="s">
        <v>2609</v>
      </c>
      <c r="G2596" s="513" t="s">
        <v>29</v>
      </c>
      <c r="H2596" s="514">
        <v>21332837</v>
      </c>
      <c r="I2596" s="515" t="s">
        <v>6915</v>
      </c>
    </row>
    <row r="2597" spans="2:9" ht="15" x14ac:dyDescent="0.35">
      <c r="B2597" s="512" t="s">
        <v>6304</v>
      </c>
      <c r="C2597" s="512" t="s">
        <v>6239</v>
      </c>
      <c r="D2597" s="512" t="s">
        <v>6239</v>
      </c>
      <c r="E2597" s="513">
        <v>8419</v>
      </c>
      <c r="F2597" s="512" t="s">
        <v>2610</v>
      </c>
      <c r="G2597" s="513" t="s">
        <v>29</v>
      </c>
      <c r="H2597" s="516">
        <v>241090</v>
      </c>
      <c r="I2597" s="512" t="s">
        <v>6915</v>
      </c>
    </row>
    <row r="2598" spans="2:9" ht="15" x14ac:dyDescent="0.35">
      <c r="B2598" s="512" t="s">
        <v>6304</v>
      </c>
      <c r="C2598" s="512" t="s">
        <v>6239</v>
      </c>
      <c r="D2598" s="512" t="s">
        <v>6239</v>
      </c>
      <c r="E2598" s="513">
        <v>8420</v>
      </c>
      <c r="F2598" s="512" t="s">
        <v>2611</v>
      </c>
      <c r="G2598" s="513" t="s">
        <v>29</v>
      </c>
      <c r="H2598" s="516">
        <v>241090</v>
      </c>
      <c r="I2598" s="512" t="s">
        <v>6915</v>
      </c>
    </row>
    <row r="2599" spans="2:9" ht="15" x14ac:dyDescent="0.35">
      <c r="B2599" s="512" t="s">
        <v>6304</v>
      </c>
      <c r="C2599" s="512" t="s">
        <v>6239</v>
      </c>
      <c r="D2599" s="512" t="s">
        <v>6239</v>
      </c>
      <c r="E2599" s="513">
        <v>8421</v>
      </c>
      <c r="F2599" s="512" t="s">
        <v>2612</v>
      </c>
      <c r="G2599" s="513" t="s">
        <v>29</v>
      </c>
      <c r="H2599" s="514">
        <v>264048</v>
      </c>
      <c r="I2599" s="515" t="s">
        <v>6915</v>
      </c>
    </row>
    <row r="2600" spans="2:9" ht="15" x14ac:dyDescent="0.35">
      <c r="B2600" s="512" t="s">
        <v>6304</v>
      </c>
      <c r="C2600" s="512" t="s">
        <v>6239</v>
      </c>
      <c r="D2600" s="512" t="s">
        <v>6239</v>
      </c>
      <c r="E2600" s="513">
        <v>8422</v>
      </c>
      <c r="F2600" s="512" t="s">
        <v>2613</v>
      </c>
      <c r="G2600" s="513" t="s">
        <v>29</v>
      </c>
      <c r="H2600" s="516">
        <v>767193</v>
      </c>
      <c r="I2600" s="512" t="s">
        <v>6915</v>
      </c>
    </row>
    <row r="2601" spans="2:9" ht="15" x14ac:dyDescent="0.35">
      <c r="B2601" s="512" t="s">
        <v>6304</v>
      </c>
      <c r="C2601" s="512" t="s">
        <v>6239</v>
      </c>
      <c r="D2601" s="512" t="s">
        <v>6239</v>
      </c>
      <c r="E2601" s="513">
        <v>8423</v>
      </c>
      <c r="F2601" s="512" t="s">
        <v>2614</v>
      </c>
      <c r="G2601" s="513" t="s">
        <v>29</v>
      </c>
      <c r="H2601" s="516">
        <v>1388345</v>
      </c>
      <c r="I2601" s="512" t="s">
        <v>6915</v>
      </c>
    </row>
    <row r="2602" spans="2:9" ht="15" x14ac:dyDescent="0.35">
      <c r="B2602" s="512" t="s">
        <v>6304</v>
      </c>
      <c r="C2602" s="512" t="s">
        <v>6239</v>
      </c>
      <c r="D2602" s="512" t="s">
        <v>6239</v>
      </c>
      <c r="E2602" s="513">
        <v>8425</v>
      </c>
      <c r="F2602" s="512" t="s">
        <v>2615</v>
      </c>
      <c r="G2602" s="513" t="s">
        <v>29</v>
      </c>
      <c r="H2602" s="516">
        <v>262333</v>
      </c>
      <c r="I2602" s="512" t="s">
        <v>6915</v>
      </c>
    </row>
    <row r="2603" spans="2:9" ht="15" x14ac:dyDescent="0.35">
      <c r="B2603" s="512" t="s">
        <v>6304</v>
      </c>
      <c r="C2603" s="512" t="s">
        <v>6239</v>
      </c>
      <c r="D2603" s="512" t="s">
        <v>6239</v>
      </c>
      <c r="E2603" s="513">
        <v>8427</v>
      </c>
      <c r="F2603" s="512" t="s">
        <v>2616</v>
      </c>
      <c r="G2603" s="513" t="s">
        <v>29</v>
      </c>
      <c r="H2603" s="516">
        <v>950000</v>
      </c>
      <c r="I2603" s="512" t="s">
        <v>6915</v>
      </c>
    </row>
    <row r="2604" spans="2:9" ht="15" x14ac:dyDescent="0.35">
      <c r="B2604" s="512" t="s">
        <v>6304</v>
      </c>
      <c r="C2604" s="512" t="s">
        <v>6233</v>
      </c>
      <c r="D2604" s="512" t="s">
        <v>6234</v>
      </c>
      <c r="E2604" s="513">
        <v>8436</v>
      </c>
      <c r="F2604" s="512" t="s">
        <v>2617</v>
      </c>
      <c r="G2604" s="513" t="s">
        <v>29</v>
      </c>
      <c r="H2604" s="516">
        <v>281756</v>
      </c>
      <c r="I2604" s="512" t="s">
        <v>6915</v>
      </c>
    </row>
    <row r="2605" spans="2:9" ht="15" x14ac:dyDescent="0.35">
      <c r="B2605" s="512" t="s">
        <v>6304</v>
      </c>
      <c r="C2605" s="512" t="s">
        <v>6237</v>
      </c>
      <c r="D2605" s="512" t="s">
        <v>6276</v>
      </c>
      <c r="E2605" s="513">
        <v>8437</v>
      </c>
      <c r="F2605" s="512" t="s">
        <v>2618</v>
      </c>
      <c r="G2605" s="513" t="s">
        <v>29</v>
      </c>
      <c r="H2605" s="516">
        <v>626671</v>
      </c>
      <c r="I2605" s="512" t="s">
        <v>6915</v>
      </c>
    </row>
    <row r="2606" spans="2:9" ht="15" x14ac:dyDescent="0.35">
      <c r="B2606" s="512" t="s">
        <v>6304</v>
      </c>
      <c r="C2606" s="512" t="s">
        <v>6272</v>
      </c>
      <c r="D2606" s="512" t="s">
        <v>6280</v>
      </c>
      <c r="E2606" s="513">
        <v>8438</v>
      </c>
      <c r="F2606" s="512" t="s">
        <v>2619</v>
      </c>
      <c r="G2606" s="513" t="s">
        <v>21</v>
      </c>
      <c r="H2606" s="514">
        <v>126882</v>
      </c>
      <c r="I2606" s="515" t="s">
        <v>6915</v>
      </c>
    </row>
    <row r="2607" spans="2:9" ht="15" x14ac:dyDescent="0.35">
      <c r="B2607" s="512" t="s">
        <v>6304</v>
      </c>
      <c r="C2607" s="512" t="s">
        <v>6235</v>
      </c>
      <c r="D2607" s="512" t="s">
        <v>6245</v>
      </c>
      <c r="E2607" s="513">
        <v>8439</v>
      </c>
      <c r="F2607" s="512" t="s">
        <v>2620</v>
      </c>
      <c r="G2607" s="513" t="s">
        <v>21</v>
      </c>
      <c r="H2607" s="514">
        <v>126882</v>
      </c>
      <c r="I2607" s="515" t="s">
        <v>6915</v>
      </c>
    </row>
    <row r="2608" spans="2:9" ht="15" x14ac:dyDescent="0.35">
      <c r="B2608" s="512" t="s">
        <v>6304</v>
      </c>
      <c r="C2608" s="512" t="s">
        <v>6235</v>
      </c>
      <c r="D2608" s="512" t="s">
        <v>6245</v>
      </c>
      <c r="E2608" s="513">
        <v>8440</v>
      </c>
      <c r="F2608" s="512" t="s">
        <v>2621</v>
      </c>
      <c r="G2608" s="513" t="s">
        <v>21</v>
      </c>
      <c r="H2608" s="514">
        <v>126882</v>
      </c>
      <c r="I2608" s="515" t="s">
        <v>6915</v>
      </c>
    </row>
    <row r="2609" spans="2:9" ht="15" x14ac:dyDescent="0.35">
      <c r="B2609" s="512" t="s">
        <v>6304</v>
      </c>
      <c r="C2609" s="512" t="s">
        <v>6224</v>
      </c>
      <c r="D2609" s="512" t="s">
        <v>6225</v>
      </c>
      <c r="E2609" s="513">
        <v>8442</v>
      </c>
      <c r="F2609" s="512" t="s">
        <v>2622</v>
      </c>
      <c r="G2609" s="513" t="s">
        <v>26</v>
      </c>
      <c r="H2609" s="516">
        <v>7871</v>
      </c>
      <c r="I2609" s="512" t="s">
        <v>6915</v>
      </c>
    </row>
    <row r="2610" spans="2:9" ht="15" x14ac:dyDescent="0.35">
      <c r="B2610" s="512" t="s">
        <v>6304</v>
      </c>
      <c r="C2610" s="512" t="s">
        <v>6224</v>
      </c>
      <c r="D2610" s="512" t="s">
        <v>6225</v>
      </c>
      <c r="E2610" s="513">
        <v>8445</v>
      </c>
      <c r="F2610" s="512" t="s">
        <v>2623</v>
      </c>
      <c r="G2610" s="513" t="s">
        <v>29</v>
      </c>
      <c r="H2610" s="514">
        <v>1108848</v>
      </c>
      <c r="I2610" s="515" t="s">
        <v>6915</v>
      </c>
    </row>
    <row r="2611" spans="2:9" ht="15" x14ac:dyDescent="0.35">
      <c r="B2611" s="512" t="s">
        <v>6304</v>
      </c>
      <c r="C2611" s="512" t="s">
        <v>6235</v>
      </c>
      <c r="D2611" s="512" t="s">
        <v>6245</v>
      </c>
      <c r="E2611" s="513">
        <v>8448</v>
      </c>
      <c r="F2611" s="512" t="s">
        <v>2624</v>
      </c>
      <c r="G2611" s="513" t="s">
        <v>21</v>
      </c>
      <c r="H2611" s="516">
        <v>126882</v>
      </c>
      <c r="I2611" s="512" t="s">
        <v>6915</v>
      </c>
    </row>
    <row r="2612" spans="2:9" ht="15" x14ac:dyDescent="0.35">
      <c r="B2612" s="512" t="s">
        <v>6304</v>
      </c>
      <c r="C2612" s="512" t="s">
        <v>6235</v>
      </c>
      <c r="D2612" s="512" t="s">
        <v>6245</v>
      </c>
      <c r="E2612" s="513">
        <v>8449</v>
      </c>
      <c r="F2612" s="512" t="s">
        <v>2625</v>
      </c>
      <c r="G2612" s="513" t="s">
        <v>21</v>
      </c>
      <c r="H2612" s="516">
        <v>126882</v>
      </c>
      <c r="I2612" s="512" t="s">
        <v>6915</v>
      </c>
    </row>
    <row r="2613" spans="2:9" ht="15" x14ac:dyDescent="0.35">
      <c r="B2613" s="512" t="s">
        <v>6304</v>
      </c>
      <c r="C2613" s="512" t="s">
        <v>6237</v>
      </c>
      <c r="D2613" s="512" t="s">
        <v>6238</v>
      </c>
      <c r="E2613" s="513">
        <v>8452</v>
      </c>
      <c r="F2613" s="512" t="s">
        <v>2626</v>
      </c>
      <c r="G2613" s="513" t="s">
        <v>26</v>
      </c>
      <c r="H2613" s="514">
        <v>336569</v>
      </c>
      <c r="I2613" s="515" t="s">
        <v>6915</v>
      </c>
    </row>
    <row r="2614" spans="2:9" ht="15" x14ac:dyDescent="0.35">
      <c r="B2614" s="512" t="s">
        <v>6304</v>
      </c>
      <c r="C2614" s="512" t="s">
        <v>6224</v>
      </c>
      <c r="D2614" s="512" t="s">
        <v>6225</v>
      </c>
      <c r="E2614" s="513">
        <v>8453</v>
      </c>
      <c r="F2614" s="512" t="s">
        <v>2627</v>
      </c>
      <c r="G2614" s="513" t="s">
        <v>26</v>
      </c>
      <c r="H2614" s="514">
        <v>29707</v>
      </c>
      <c r="I2614" s="515" t="s">
        <v>6915</v>
      </c>
    </row>
    <row r="2615" spans="2:9" ht="15" x14ac:dyDescent="0.35">
      <c r="B2615" s="512" t="s">
        <v>6304</v>
      </c>
      <c r="C2615" s="512" t="s">
        <v>6224</v>
      </c>
      <c r="D2615" s="512" t="s">
        <v>6225</v>
      </c>
      <c r="E2615" s="513">
        <v>8455</v>
      </c>
      <c r="F2615" s="512" t="s">
        <v>2628</v>
      </c>
      <c r="G2615" s="513" t="s">
        <v>29</v>
      </c>
      <c r="H2615" s="514">
        <v>56231598</v>
      </c>
      <c r="I2615" s="515" t="s">
        <v>6915</v>
      </c>
    </row>
    <row r="2616" spans="2:9" ht="15" x14ac:dyDescent="0.35">
      <c r="B2616" s="512" t="s">
        <v>6304</v>
      </c>
      <c r="C2616" s="512" t="s">
        <v>6224</v>
      </c>
      <c r="D2616" s="512" t="s">
        <v>6225</v>
      </c>
      <c r="E2616" s="513">
        <v>8456</v>
      </c>
      <c r="F2616" s="512" t="s">
        <v>2629</v>
      </c>
      <c r="G2616" s="513" t="s">
        <v>29</v>
      </c>
      <c r="H2616" s="516">
        <v>58627551</v>
      </c>
      <c r="I2616" s="512" t="s">
        <v>6915</v>
      </c>
    </row>
    <row r="2617" spans="2:9" ht="15" x14ac:dyDescent="0.35">
      <c r="B2617" s="512" t="s">
        <v>6304</v>
      </c>
      <c r="C2617" s="512" t="s">
        <v>6224</v>
      </c>
      <c r="D2617" s="512" t="s">
        <v>6225</v>
      </c>
      <c r="E2617" s="513">
        <v>8457</v>
      </c>
      <c r="F2617" s="512" t="s">
        <v>2630</v>
      </c>
      <c r="G2617" s="513" t="s">
        <v>29</v>
      </c>
      <c r="H2617" s="516">
        <v>19975413</v>
      </c>
      <c r="I2617" s="512" t="s">
        <v>6915</v>
      </c>
    </row>
    <row r="2618" spans="2:9" ht="15" x14ac:dyDescent="0.35">
      <c r="B2618" s="512" t="s">
        <v>6304</v>
      </c>
      <c r="C2618" s="512" t="s">
        <v>6224</v>
      </c>
      <c r="D2618" s="512" t="s">
        <v>6225</v>
      </c>
      <c r="E2618" s="513">
        <v>8458</v>
      </c>
      <c r="F2618" s="512" t="s">
        <v>2631</v>
      </c>
      <c r="G2618" s="513" t="s">
        <v>29</v>
      </c>
      <c r="H2618" s="514">
        <v>6694730</v>
      </c>
      <c r="I2618" s="515" t="s">
        <v>6915</v>
      </c>
    </row>
    <row r="2619" spans="2:9" ht="15" x14ac:dyDescent="0.35">
      <c r="B2619" s="512" t="s">
        <v>6304</v>
      </c>
      <c r="C2619" s="512" t="s">
        <v>6224</v>
      </c>
      <c r="D2619" s="512" t="s">
        <v>6225</v>
      </c>
      <c r="E2619" s="513">
        <v>8459</v>
      </c>
      <c r="F2619" s="512" t="s">
        <v>2632</v>
      </c>
      <c r="G2619" s="513" t="s">
        <v>29</v>
      </c>
      <c r="H2619" s="516">
        <v>9132583</v>
      </c>
      <c r="I2619" s="512" t="s">
        <v>6915</v>
      </c>
    </row>
    <row r="2620" spans="2:9" ht="15" x14ac:dyDescent="0.35">
      <c r="B2620" s="512" t="s">
        <v>6304</v>
      </c>
      <c r="C2620" s="512" t="s">
        <v>6224</v>
      </c>
      <c r="D2620" s="512" t="s">
        <v>6225</v>
      </c>
      <c r="E2620" s="513">
        <v>8460</v>
      </c>
      <c r="F2620" s="512" t="s">
        <v>2633</v>
      </c>
      <c r="G2620" s="513" t="s">
        <v>29</v>
      </c>
      <c r="H2620" s="514">
        <v>14133951</v>
      </c>
      <c r="I2620" s="515" t="s">
        <v>6915</v>
      </c>
    </row>
    <row r="2621" spans="2:9" ht="15" x14ac:dyDescent="0.35">
      <c r="B2621" s="512" t="s">
        <v>6305</v>
      </c>
      <c r="C2621" s="512" t="s">
        <v>6230</v>
      </c>
      <c r="D2621" s="512" t="s">
        <v>6231</v>
      </c>
      <c r="E2621" s="513">
        <v>8464</v>
      </c>
      <c r="F2621" s="512" t="s">
        <v>2634</v>
      </c>
      <c r="G2621" s="513" t="s">
        <v>26</v>
      </c>
      <c r="H2621" s="516">
        <v>66014</v>
      </c>
      <c r="I2621" s="512" t="s">
        <v>6915</v>
      </c>
    </row>
    <row r="2622" spans="2:9" ht="15" x14ac:dyDescent="0.35">
      <c r="B2622" s="512" t="s">
        <v>6305</v>
      </c>
      <c r="C2622" s="512" t="s">
        <v>6230</v>
      </c>
      <c r="D2622" s="512" t="s">
        <v>6246</v>
      </c>
      <c r="E2622" s="513">
        <v>8466</v>
      </c>
      <c r="F2622" s="512" t="s">
        <v>2635</v>
      </c>
      <c r="G2622" s="513" t="s">
        <v>26</v>
      </c>
      <c r="H2622" s="514">
        <v>125523</v>
      </c>
      <c r="I2622" s="515" t="s">
        <v>6915</v>
      </c>
    </row>
    <row r="2623" spans="2:9" ht="15" x14ac:dyDescent="0.35">
      <c r="B2623" s="512" t="s">
        <v>6305</v>
      </c>
      <c r="C2623" s="512" t="s">
        <v>6252</v>
      </c>
      <c r="D2623" s="512" t="s">
        <v>6252</v>
      </c>
      <c r="E2623" s="513">
        <v>8467</v>
      </c>
      <c r="F2623" s="512" t="s">
        <v>2636</v>
      </c>
      <c r="G2623" s="513" t="s">
        <v>21</v>
      </c>
      <c r="H2623" s="514">
        <v>34592</v>
      </c>
      <c r="I2623" s="515" t="s">
        <v>6915</v>
      </c>
    </row>
    <row r="2624" spans="2:9" ht="15" x14ac:dyDescent="0.35">
      <c r="B2624" s="512" t="s">
        <v>6305</v>
      </c>
      <c r="C2624" s="512" t="s">
        <v>6251</v>
      </c>
      <c r="D2624" s="512" t="s">
        <v>6251</v>
      </c>
      <c r="E2624" s="513">
        <v>8471</v>
      </c>
      <c r="F2624" s="512" t="s">
        <v>2637</v>
      </c>
      <c r="G2624" s="513" t="s">
        <v>367</v>
      </c>
      <c r="H2624" s="514">
        <v>7085</v>
      </c>
      <c r="I2624" s="515" t="s">
        <v>6915</v>
      </c>
    </row>
    <row r="2625" spans="2:9" ht="15" x14ac:dyDescent="0.35">
      <c r="B2625" s="512" t="s">
        <v>6305</v>
      </c>
      <c r="C2625" s="512" t="s">
        <v>6224</v>
      </c>
      <c r="D2625" s="512" t="s">
        <v>6225</v>
      </c>
      <c r="E2625" s="513">
        <v>8472</v>
      </c>
      <c r="F2625" s="512" t="s">
        <v>2638</v>
      </c>
      <c r="G2625" s="513" t="s">
        <v>29</v>
      </c>
      <c r="H2625" s="516">
        <v>1507751</v>
      </c>
      <c r="I2625" s="512" t="s">
        <v>6915</v>
      </c>
    </row>
    <row r="2626" spans="2:9" ht="15" x14ac:dyDescent="0.35">
      <c r="B2626" s="512" t="s">
        <v>6305</v>
      </c>
      <c r="C2626" s="512" t="s">
        <v>6224</v>
      </c>
      <c r="D2626" s="512" t="s">
        <v>6225</v>
      </c>
      <c r="E2626" s="513">
        <v>8474</v>
      </c>
      <c r="F2626" s="512" t="s">
        <v>2639</v>
      </c>
      <c r="G2626" s="513" t="s">
        <v>29</v>
      </c>
      <c r="H2626" s="514">
        <v>744930</v>
      </c>
      <c r="I2626" s="515" t="s">
        <v>6915</v>
      </c>
    </row>
    <row r="2627" spans="2:9" ht="15" x14ac:dyDescent="0.35">
      <c r="B2627" s="512" t="s">
        <v>6305</v>
      </c>
      <c r="C2627" s="512" t="s">
        <v>6230</v>
      </c>
      <c r="D2627" s="512" t="s">
        <v>6231</v>
      </c>
      <c r="E2627" s="513">
        <v>8475</v>
      </c>
      <c r="F2627" s="512" t="s">
        <v>2640</v>
      </c>
      <c r="G2627" s="513" t="s">
        <v>26</v>
      </c>
      <c r="H2627" s="514">
        <v>68238</v>
      </c>
      <c r="I2627" s="515" t="s">
        <v>6915</v>
      </c>
    </row>
    <row r="2628" spans="2:9" ht="15" x14ac:dyDescent="0.35">
      <c r="B2628" s="512" t="s">
        <v>6305</v>
      </c>
      <c r="C2628" s="512" t="s">
        <v>6235</v>
      </c>
      <c r="D2628" s="512" t="s">
        <v>6245</v>
      </c>
      <c r="E2628" s="513">
        <v>8476</v>
      </c>
      <c r="F2628" s="512" t="s">
        <v>2641</v>
      </c>
      <c r="G2628" s="513" t="s">
        <v>29</v>
      </c>
      <c r="H2628" s="514">
        <v>2278752</v>
      </c>
      <c r="I2628" s="515" t="s">
        <v>6915</v>
      </c>
    </row>
    <row r="2629" spans="2:9" ht="15" x14ac:dyDescent="0.35">
      <c r="B2629" s="512" t="s">
        <v>6305</v>
      </c>
      <c r="C2629" s="512" t="s">
        <v>6224</v>
      </c>
      <c r="D2629" s="512" t="s">
        <v>6225</v>
      </c>
      <c r="E2629" s="513">
        <v>8480</v>
      </c>
      <c r="F2629" s="512" t="s">
        <v>2642</v>
      </c>
      <c r="G2629" s="513" t="s">
        <v>29</v>
      </c>
      <c r="H2629" s="516">
        <v>744930</v>
      </c>
      <c r="I2629" s="512" t="s">
        <v>6915</v>
      </c>
    </row>
    <row r="2630" spans="2:9" ht="15" x14ac:dyDescent="0.35">
      <c r="B2630" s="512" t="s">
        <v>6305</v>
      </c>
      <c r="C2630" s="512" t="s">
        <v>6224</v>
      </c>
      <c r="D2630" s="512" t="s">
        <v>6225</v>
      </c>
      <c r="E2630" s="513">
        <v>8482</v>
      </c>
      <c r="F2630" s="512" t="s">
        <v>2643</v>
      </c>
      <c r="G2630" s="513" t="s">
        <v>29</v>
      </c>
      <c r="H2630" s="516">
        <v>1871871</v>
      </c>
      <c r="I2630" s="512" t="s">
        <v>6915</v>
      </c>
    </row>
    <row r="2631" spans="2:9" ht="15" x14ac:dyDescent="0.35">
      <c r="B2631" s="512" t="s">
        <v>6305</v>
      </c>
      <c r="C2631" s="512" t="s">
        <v>6224</v>
      </c>
      <c r="D2631" s="512" t="s">
        <v>6225</v>
      </c>
      <c r="E2631" s="513">
        <v>8483</v>
      </c>
      <c r="F2631" s="512" t="s">
        <v>2644</v>
      </c>
      <c r="G2631" s="513" t="s">
        <v>29</v>
      </c>
      <c r="H2631" s="516">
        <v>1300910</v>
      </c>
      <c r="I2631" s="512" t="s">
        <v>6915</v>
      </c>
    </row>
    <row r="2632" spans="2:9" ht="15" x14ac:dyDescent="0.35">
      <c r="B2632" s="512" t="s">
        <v>6305</v>
      </c>
      <c r="C2632" s="512" t="s">
        <v>6224</v>
      </c>
      <c r="D2632" s="512" t="s">
        <v>6225</v>
      </c>
      <c r="E2632" s="513">
        <v>8484</v>
      </c>
      <c r="F2632" s="512" t="s">
        <v>2645</v>
      </c>
      <c r="G2632" s="513" t="s">
        <v>29</v>
      </c>
      <c r="H2632" s="514">
        <v>378692</v>
      </c>
      <c r="I2632" s="515" t="s">
        <v>6915</v>
      </c>
    </row>
    <row r="2633" spans="2:9" ht="15" x14ac:dyDescent="0.35">
      <c r="B2633" s="512" t="s">
        <v>6305</v>
      </c>
      <c r="C2633" s="512" t="s">
        <v>6233</v>
      </c>
      <c r="D2633" s="512" t="s">
        <v>6234</v>
      </c>
      <c r="E2633" s="513">
        <v>8486</v>
      </c>
      <c r="F2633" s="512" t="s">
        <v>2646</v>
      </c>
      <c r="G2633" s="513" t="s">
        <v>26</v>
      </c>
      <c r="H2633" s="514">
        <v>1153279</v>
      </c>
      <c r="I2633" s="515" t="s">
        <v>6915</v>
      </c>
    </row>
    <row r="2634" spans="2:9" ht="15" x14ac:dyDescent="0.35">
      <c r="B2634" s="512" t="s">
        <v>6305</v>
      </c>
      <c r="C2634" s="512" t="s">
        <v>6224</v>
      </c>
      <c r="D2634" s="512" t="s">
        <v>6225</v>
      </c>
      <c r="E2634" s="513">
        <v>8487</v>
      </c>
      <c r="F2634" s="512" t="s">
        <v>2647</v>
      </c>
      <c r="G2634" s="513" t="s">
        <v>26</v>
      </c>
      <c r="H2634" s="516">
        <v>35509</v>
      </c>
      <c r="I2634" s="512" t="s">
        <v>6915</v>
      </c>
    </row>
    <row r="2635" spans="2:9" ht="15" x14ac:dyDescent="0.35">
      <c r="B2635" s="512" t="s">
        <v>6305</v>
      </c>
      <c r="C2635" s="512" t="s">
        <v>6224</v>
      </c>
      <c r="D2635" s="512" t="s">
        <v>6225</v>
      </c>
      <c r="E2635" s="513">
        <v>8488</v>
      </c>
      <c r="F2635" s="512" t="s">
        <v>2648</v>
      </c>
      <c r="G2635" s="513" t="s">
        <v>26</v>
      </c>
      <c r="H2635" s="514">
        <v>24246</v>
      </c>
      <c r="I2635" s="515" t="s">
        <v>6915</v>
      </c>
    </row>
    <row r="2636" spans="2:9" ht="15" x14ac:dyDescent="0.35">
      <c r="B2636" s="512" t="s">
        <v>6305</v>
      </c>
      <c r="C2636" s="512" t="s">
        <v>6235</v>
      </c>
      <c r="D2636" s="512" t="s">
        <v>6245</v>
      </c>
      <c r="E2636" s="513">
        <v>8489</v>
      </c>
      <c r="F2636" s="512" t="s">
        <v>2649</v>
      </c>
      <c r="G2636" s="513" t="s">
        <v>29</v>
      </c>
      <c r="H2636" s="514">
        <v>58406</v>
      </c>
      <c r="I2636" s="515" t="s">
        <v>6915</v>
      </c>
    </row>
    <row r="2637" spans="2:9" ht="15" x14ac:dyDescent="0.35">
      <c r="B2637" s="512" t="s">
        <v>6305</v>
      </c>
      <c r="C2637" s="512" t="s">
        <v>6235</v>
      </c>
      <c r="D2637" s="512" t="s">
        <v>6245</v>
      </c>
      <c r="E2637" s="513">
        <v>8491</v>
      </c>
      <c r="F2637" s="512" t="s">
        <v>2650</v>
      </c>
      <c r="G2637" s="513" t="s">
        <v>29</v>
      </c>
      <c r="H2637" s="514">
        <v>12721</v>
      </c>
      <c r="I2637" s="515" t="s">
        <v>6915</v>
      </c>
    </row>
    <row r="2638" spans="2:9" ht="15" x14ac:dyDescent="0.35">
      <c r="B2638" s="512" t="s">
        <v>6305</v>
      </c>
      <c r="C2638" s="512" t="s">
        <v>6235</v>
      </c>
      <c r="D2638" s="512" t="s">
        <v>6245</v>
      </c>
      <c r="E2638" s="513">
        <v>8492</v>
      </c>
      <c r="F2638" s="512" t="s">
        <v>2651</v>
      </c>
      <c r="G2638" s="513" t="s">
        <v>29</v>
      </c>
      <c r="H2638" s="514">
        <v>204406</v>
      </c>
      <c r="I2638" s="515" t="s">
        <v>6915</v>
      </c>
    </row>
    <row r="2639" spans="2:9" ht="15" x14ac:dyDescent="0.35">
      <c r="B2639" s="512" t="s">
        <v>6305</v>
      </c>
      <c r="C2639" s="512" t="s">
        <v>6224</v>
      </c>
      <c r="D2639" s="512" t="s">
        <v>6225</v>
      </c>
      <c r="E2639" s="513">
        <v>8493</v>
      </c>
      <c r="F2639" s="512" t="s">
        <v>2652</v>
      </c>
      <c r="G2639" s="513" t="s">
        <v>29</v>
      </c>
      <c r="H2639" s="516">
        <v>828130</v>
      </c>
      <c r="I2639" s="512" t="s">
        <v>6915</v>
      </c>
    </row>
    <row r="2640" spans="2:9" ht="15" x14ac:dyDescent="0.35">
      <c r="B2640" s="512" t="s">
        <v>6305</v>
      </c>
      <c r="C2640" s="512" t="s">
        <v>6224</v>
      </c>
      <c r="D2640" s="512" t="s">
        <v>6225</v>
      </c>
      <c r="E2640" s="513">
        <v>8494</v>
      </c>
      <c r="F2640" s="512" t="s">
        <v>2653</v>
      </c>
      <c r="G2640" s="513" t="s">
        <v>29</v>
      </c>
      <c r="H2640" s="516">
        <v>1504120</v>
      </c>
      <c r="I2640" s="512" t="s">
        <v>6915</v>
      </c>
    </row>
    <row r="2641" spans="2:9" ht="15" x14ac:dyDescent="0.35">
      <c r="B2641" s="512" t="s">
        <v>6305</v>
      </c>
      <c r="C2641" s="512" t="s">
        <v>6224</v>
      </c>
      <c r="D2641" s="512" t="s">
        <v>6225</v>
      </c>
      <c r="E2641" s="513">
        <v>8495</v>
      </c>
      <c r="F2641" s="512" t="s">
        <v>2654</v>
      </c>
      <c r="G2641" s="513" t="s">
        <v>26</v>
      </c>
      <c r="H2641" s="514">
        <v>35396</v>
      </c>
      <c r="I2641" s="515" t="s">
        <v>6915</v>
      </c>
    </row>
    <row r="2642" spans="2:9" ht="15" x14ac:dyDescent="0.35">
      <c r="B2642" s="512" t="s">
        <v>6305</v>
      </c>
      <c r="C2642" s="512" t="s">
        <v>6224</v>
      </c>
      <c r="D2642" s="512" t="s">
        <v>6225</v>
      </c>
      <c r="E2642" s="513">
        <v>8496</v>
      </c>
      <c r="F2642" s="512" t="s">
        <v>2655</v>
      </c>
      <c r="G2642" s="513" t="s">
        <v>26</v>
      </c>
      <c r="H2642" s="514">
        <v>31491</v>
      </c>
      <c r="I2642" s="515" t="s">
        <v>6915</v>
      </c>
    </row>
    <row r="2643" spans="2:9" ht="15" x14ac:dyDescent="0.35">
      <c r="B2643" s="512" t="s">
        <v>6305</v>
      </c>
      <c r="C2643" s="512" t="s">
        <v>6224</v>
      </c>
      <c r="D2643" s="512" t="s">
        <v>6225</v>
      </c>
      <c r="E2643" s="513">
        <v>8497</v>
      </c>
      <c r="F2643" s="512" t="s">
        <v>2656</v>
      </c>
      <c r="G2643" s="513" t="s">
        <v>26</v>
      </c>
      <c r="H2643" s="514">
        <v>29531</v>
      </c>
      <c r="I2643" s="515" t="s">
        <v>6915</v>
      </c>
    </row>
    <row r="2644" spans="2:9" ht="15" x14ac:dyDescent="0.35">
      <c r="B2644" s="512" t="s">
        <v>6305</v>
      </c>
      <c r="C2644" s="512" t="s">
        <v>6230</v>
      </c>
      <c r="D2644" s="512" t="s">
        <v>6246</v>
      </c>
      <c r="E2644" s="513">
        <v>8498</v>
      </c>
      <c r="F2644" s="512" t="s">
        <v>2657</v>
      </c>
      <c r="G2644" s="513" t="s">
        <v>26</v>
      </c>
      <c r="H2644" s="514">
        <v>12339</v>
      </c>
      <c r="I2644" s="515" t="s">
        <v>6915</v>
      </c>
    </row>
    <row r="2645" spans="2:9" ht="15" x14ac:dyDescent="0.35">
      <c r="B2645" s="512" t="s">
        <v>6305</v>
      </c>
      <c r="C2645" s="512" t="s">
        <v>6230</v>
      </c>
      <c r="D2645" s="512" t="s">
        <v>6250</v>
      </c>
      <c r="E2645" s="513">
        <v>8499</v>
      </c>
      <c r="F2645" s="512" t="s">
        <v>2658</v>
      </c>
      <c r="G2645" s="513" t="s">
        <v>21</v>
      </c>
      <c r="H2645" s="514">
        <v>152558</v>
      </c>
      <c r="I2645" s="515" t="s">
        <v>6915</v>
      </c>
    </row>
    <row r="2646" spans="2:9" ht="15" x14ac:dyDescent="0.35">
      <c r="B2646" s="512" t="s">
        <v>6305</v>
      </c>
      <c r="C2646" s="512" t="s">
        <v>6237</v>
      </c>
      <c r="D2646" s="512" t="s">
        <v>6238</v>
      </c>
      <c r="E2646" s="513">
        <v>8500</v>
      </c>
      <c r="F2646" s="512" t="s">
        <v>2659</v>
      </c>
      <c r="G2646" s="513" t="s">
        <v>21</v>
      </c>
      <c r="H2646" s="514">
        <v>67582</v>
      </c>
      <c r="I2646" s="515" t="s">
        <v>6915</v>
      </c>
    </row>
    <row r="2647" spans="2:9" ht="15" x14ac:dyDescent="0.35">
      <c r="B2647" s="512" t="s">
        <v>6291</v>
      </c>
      <c r="C2647" s="512" t="s">
        <v>6230</v>
      </c>
      <c r="D2647" s="512" t="s">
        <v>6231</v>
      </c>
      <c r="E2647" s="513">
        <v>8501</v>
      </c>
      <c r="F2647" s="512" t="s">
        <v>2660</v>
      </c>
      <c r="G2647" s="513" t="s">
        <v>29</v>
      </c>
      <c r="H2647" s="514">
        <v>135543</v>
      </c>
      <c r="I2647" s="515" t="s">
        <v>6915</v>
      </c>
    </row>
    <row r="2648" spans="2:9" ht="15" x14ac:dyDescent="0.35">
      <c r="B2648" s="512" t="s">
        <v>6291</v>
      </c>
      <c r="C2648" s="512" t="s">
        <v>6230</v>
      </c>
      <c r="D2648" s="512" t="s">
        <v>6231</v>
      </c>
      <c r="E2648" s="513">
        <v>8503</v>
      </c>
      <c r="F2648" s="512" t="s">
        <v>2661</v>
      </c>
      <c r="G2648" s="513" t="s">
        <v>29</v>
      </c>
      <c r="H2648" s="516">
        <v>130381</v>
      </c>
      <c r="I2648" s="512" t="s">
        <v>6915</v>
      </c>
    </row>
    <row r="2649" spans="2:9" ht="15" x14ac:dyDescent="0.35">
      <c r="B2649" s="512" t="s">
        <v>6291</v>
      </c>
      <c r="C2649" s="512" t="s">
        <v>6239</v>
      </c>
      <c r="D2649" s="512" t="s">
        <v>6239</v>
      </c>
      <c r="E2649" s="513">
        <v>8504</v>
      </c>
      <c r="F2649" s="512" t="s">
        <v>2662</v>
      </c>
      <c r="G2649" s="513" t="s">
        <v>29</v>
      </c>
      <c r="H2649" s="514">
        <v>394606</v>
      </c>
      <c r="I2649" s="515" t="s">
        <v>6915</v>
      </c>
    </row>
    <row r="2650" spans="2:9" ht="15" x14ac:dyDescent="0.35">
      <c r="B2650" s="512" t="s">
        <v>6291</v>
      </c>
      <c r="C2650" s="512" t="s">
        <v>6239</v>
      </c>
      <c r="D2650" s="512" t="s">
        <v>6239</v>
      </c>
      <c r="E2650" s="513">
        <v>8505</v>
      </c>
      <c r="F2650" s="512" t="s">
        <v>2663</v>
      </c>
      <c r="G2650" s="513" t="s">
        <v>29</v>
      </c>
      <c r="H2650" s="514">
        <v>1097504</v>
      </c>
      <c r="I2650" s="515" t="s">
        <v>6915</v>
      </c>
    </row>
    <row r="2651" spans="2:9" ht="15" x14ac:dyDescent="0.35">
      <c r="B2651" s="512" t="s">
        <v>6291</v>
      </c>
      <c r="C2651" s="512" t="s">
        <v>6237</v>
      </c>
      <c r="D2651" s="512" t="s">
        <v>6247</v>
      </c>
      <c r="E2651" s="513">
        <v>8506</v>
      </c>
      <c r="F2651" s="512" t="s">
        <v>2664</v>
      </c>
      <c r="G2651" s="513" t="s">
        <v>29</v>
      </c>
      <c r="H2651" s="514">
        <v>737084</v>
      </c>
      <c r="I2651" s="515" t="s">
        <v>6915</v>
      </c>
    </row>
    <row r="2652" spans="2:9" ht="15" x14ac:dyDescent="0.35">
      <c r="B2652" s="512" t="s">
        <v>6291</v>
      </c>
      <c r="C2652" s="512" t="s">
        <v>6232</v>
      </c>
      <c r="D2652" s="512" t="s">
        <v>6232</v>
      </c>
      <c r="E2652" s="513">
        <v>8507</v>
      </c>
      <c r="F2652" s="512" t="s">
        <v>2665</v>
      </c>
      <c r="G2652" s="513" t="s">
        <v>26</v>
      </c>
      <c r="H2652" s="514">
        <v>876809</v>
      </c>
      <c r="I2652" s="515" t="s">
        <v>6915</v>
      </c>
    </row>
    <row r="2653" spans="2:9" ht="15" x14ac:dyDescent="0.35">
      <c r="B2653" s="512" t="s">
        <v>6291</v>
      </c>
      <c r="C2653" s="512" t="s">
        <v>6232</v>
      </c>
      <c r="D2653" s="512" t="s">
        <v>6232</v>
      </c>
      <c r="E2653" s="513">
        <v>8508</v>
      </c>
      <c r="F2653" s="512" t="s">
        <v>2666</v>
      </c>
      <c r="G2653" s="513" t="s">
        <v>26</v>
      </c>
      <c r="H2653" s="516">
        <v>893547</v>
      </c>
      <c r="I2653" s="512" t="s">
        <v>6915</v>
      </c>
    </row>
    <row r="2654" spans="2:9" ht="15" x14ac:dyDescent="0.35">
      <c r="B2654" s="512" t="s">
        <v>6291</v>
      </c>
      <c r="C2654" s="512" t="s">
        <v>6232</v>
      </c>
      <c r="D2654" s="512" t="s">
        <v>6232</v>
      </c>
      <c r="E2654" s="513">
        <v>8509</v>
      </c>
      <c r="F2654" s="512" t="s">
        <v>2667</v>
      </c>
      <c r="G2654" s="513" t="s">
        <v>26</v>
      </c>
      <c r="H2654" s="516">
        <v>1007908</v>
      </c>
      <c r="I2654" s="512" t="s">
        <v>6915</v>
      </c>
    </row>
    <row r="2655" spans="2:9" ht="15" x14ac:dyDescent="0.35">
      <c r="B2655" s="512" t="s">
        <v>6291</v>
      </c>
      <c r="C2655" s="512" t="s">
        <v>6239</v>
      </c>
      <c r="D2655" s="512" t="s">
        <v>6239</v>
      </c>
      <c r="E2655" s="513">
        <v>8511</v>
      </c>
      <c r="F2655" s="512" t="s">
        <v>2668</v>
      </c>
      <c r="G2655" s="513" t="s">
        <v>26</v>
      </c>
      <c r="H2655" s="514">
        <v>530446</v>
      </c>
      <c r="I2655" s="512" t="s">
        <v>6425</v>
      </c>
    </row>
    <row r="2656" spans="2:9" ht="15" x14ac:dyDescent="0.35">
      <c r="B2656" s="512" t="s">
        <v>6291</v>
      </c>
      <c r="C2656" s="512" t="s">
        <v>6230</v>
      </c>
      <c r="D2656" s="512" t="s">
        <v>6231</v>
      </c>
      <c r="E2656" s="513">
        <v>8512</v>
      </c>
      <c r="F2656" s="512" t="s">
        <v>2669</v>
      </c>
      <c r="G2656" s="513" t="s">
        <v>26</v>
      </c>
      <c r="H2656" s="514">
        <v>237638</v>
      </c>
      <c r="I2656" s="512" t="s">
        <v>6915</v>
      </c>
    </row>
    <row r="2657" spans="2:9" ht="15" x14ac:dyDescent="0.35">
      <c r="B2657" s="512" t="s">
        <v>6291</v>
      </c>
      <c r="C2657" s="512" t="s">
        <v>6239</v>
      </c>
      <c r="D2657" s="512" t="s">
        <v>6239</v>
      </c>
      <c r="E2657" s="513">
        <v>8513</v>
      </c>
      <c r="F2657" s="512" t="s">
        <v>2670</v>
      </c>
      <c r="G2657" s="513" t="s">
        <v>29</v>
      </c>
      <c r="H2657" s="514">
        <v>708532</v>
      </c>
      <c r="I2657" s="512" t="s">
        <v>6915</v>
      </c>
    </row>
    <row r="2658" spans="2:9" ht="15" x14ac:dyDescent="0.35">
      <c r="B2658" s="512" t="s">
        <v>6291</v>
      </c>
      <c r="C2658" s="512" t="s">
        <v>6239</v>
      </c>
      <c r="D2658" s="512" t="s">
        <v>6239</v>
      </c>
      <c r="E2658" s="513">
        <v>8514</v>
      </c>
      <c r="F2658" s="512" t="s">
        <v>2671</v>
      </c>
      <c r="G2658" s="513" t="s">
        <v>26</v>
      </c>
      <c r="H2658" s="514">
        <v>23214</v>
      </c>
      <c r="I2658" s="512" t="s">
        <v>6915</v>
      </c>
    </row>
    <row r="2659" spans="2:9" ht="15" x14ac:dyDescent="0.35">
      <c r="B2659" s="512" t="s">
        <v>6291</v>
      </c>
      <c r="C2659" s="512" t="s">
        <v>6239</v>
      </c>
      <c r="D2659" s="512" t="s">
        <v>6239</v>
      </c>
      <c r="E2659" s="513">
        <v>8515</v>
      </c>
      <c r="F2659" s="512" t="s">
        <v>2672</v>
      </c>
      <c r="G2659" s="513" t="s">
        <v>29</v>
      </c>
      <c r="H2659" s="516">
        <v>22503</v>
      </c>
      <c r="I2659" s="512" t="s">
        <v>6915</v>
      </c>
    </row>
    <row r="2660" spans="2:9" ht="15" x14ac:dyDescent="0.35">
      <c r="B2660" s="512" t="s">
        <v>6291</v>
      </c>
      <c r="C2660" s="512" t="s">
        <v>6239</v>
      </c>
      <c r="D2660" s="512" t="s">
        <v>6239</v>
      </c>
      <c r="E2660" s="513">
        <v>8516</v>
      </c>
      <c r="F2660" s="512" t="s">
        <v>2673</v>
      </c>
      <c r="G2660" s="513" t="s">
        <v>29</v>
      </c>
      <c r="H2660" s="516">
        <v>48736</v>
      </c>
      <c r="I2660" s="512" t="s">
        <v>6915</v>
      </c>
    </row>
    <row r="2661" spans="2:9" ht="15" x14ac:dyDescent="0.35">
      <c r="B2661" s="512" t="s">
        <v>6291</v>
      </c>
      <c r="C2661" s="512" t="s">
        <v>6239</v>
      </c>
      <c r="D2661" s="512" t="s">
        <v>6239</v>
      </c>
      <c r="E2661" s="513">
        <v>8518</v>
      </c>
      <c r="F2661" s="512" t="s">
        <v>2674</v>
      </c>
      <c r="G2661" s="513" t="s">
        <v>29</v>
      </c>
      <c r="H2661" s="514">
        <v>37372</v>
      </c>
      <c r="I2661" s="512" t="s">
        <v>6915</v>
      </c>
    </row>
    <row r="2662" spans="2:9" ht="15" x14ac:dyDescent="0.35">
      <c r="B2662" s="512" t="s">
        <v>6291</v>
      </c>
      <c r="C2662" s="512" t="s">
        <v>6239</v>
      </c>
      <c r="D2662" s="512" t="s">
        <v>6239</v>
      </c>
      <c r="E2662" s="513">
        <v>8519</v>
      </c>
      <c r="F2662" s="512" t="s">
        <v>2675</v>
      </c>
      <c r="G2662" s="513" t="s">
        <v>29</v>
      </c>
      <c r="H2662" s="516">
        <v>27458</v>
      </c>
      <c r="I2662" s="512" t="s">
        <v>6915</v>
      </c>
    </row>
    <row r="2663" spans="2:9" ht="15" x14ac:dyDescent="0.35">
      <c r="B2663" s="512" t="s">
        <v>6291</v>
      </c>
      <c r="C2663" s="512" t="s">
        <v>6239</v>
      </c>
      <c r="D2663" s="512" t="s">
        <v>6239</v>
      </c>
      <c r="E2663" s="513">
        <v>8522</v>
      </c>
      <c r="F2663" s="512" t="s">
        <v>2676</v>
      </c>
      <c r="G2663" s="513" t="s">
        <v>26</v>
      </c>
      <c r="H2663" s="514">
        <v>16318</v>
      </c>
      <c r="I2663" s="515" t="s">
        <v>6915</v>
      </c>
    </row>
    <row r="2664" spans="2:9" ht="15" x14ac:dyDescent="0.35">
      <c r="B2664" s="512" t="s">
        <v>6291</v>
      </c>
      <c r="C2664" s="512" t="s">
        <v>6239</v>
      </c>
      <c r="D2664" s="512" t="s">
        <v>6239</v>
      </c>
      <c r="E2664" s="513">
        <v>8523</v>
      </c>
      <c r="F2664" s="512" t="s">
        <v>2677</v>
      </c>
      <c r="G2664" s="513" t="s">
        <v>29</v>
      </c>
      <c r="H2664" s="516">
        <v>7748</v>
      </c>
      <c r="I2664" s="512" t="s">
        <v>6915</v>
      </c>
    </row>
    <row r="2665" spans="2:9" ht="15" x14ac:dyDescent="0.35">
      <c r="B2665" s="512" t="s">
        <v>6291</v>
      </c>
      <c r="C2665" s="512" t="s">
        <v>6239</v>
      </c>
      <c r="D2665" s="512" t="s">
        <v>6239</v>
      </c>
      <c r="E2665" s="513">
        <v>8524</v>
      </c>
      <c r="F2665" s="512" t="s">
        <v>2678</v>
      </c>
      <c r="G2665" s="513" t="s">
        <v>29</v>
      </c>
      <c r="H2665" s="516">
        <v>8552</v>
      </c>
      <c r="I2665" s="512" t="s">
        <v>6915</v>
      </c>
    </row>
    <row r="2666" spans="2:9" ht="15" x14ac:dyDescent="0.35">
      <c r="B2666" s="512" t="s">
        <v>6291</v>
      </c>
      <c r="C2666" s="512" t="s">
        <v>6239</v>
      </c>
      <c r="D2666" s="512" t="s">
        <v>6239</v>
      </c>
      <c r="E2666" s="513">
        <v>8525</v>
      </c>
      <c r="F2666" s="512" t="s">
        <v>2679</v>
      </c>
      <c r="G2666" s="513" t="s">
        <v>29</v>
      </c>
      <c r="H2666" s="514">
        <v>8950</v>
      </c>
      <c r="I2666" s="515" t="s">
        <v>6915</v>
      </c>
    </row>
    <row r="2667" spans="2:9" ht="15" x14ac:dyDescent="0.35">
      <c r="B2667" s="512" t="s">
        <v>6291</v>
      </c>
      <c r="C2667" s="512" t="s">
        <v>6239</v>
      </c>
      <c r="D2667" s="512" t="s">
        <v>6239</v>
      </c>
      <c r="E2667" s="513">
        <v>8526</v>
      </c>
      <c r="F2667" s="512" t="s">
        <v>2680</v>
      </c>
      <c r="G2667" s="513" t="s">
        <v>29</v>
      </c>
      <c r="H2667" s="514">
        <v>20693</v>
      </c>
      <c r="I2667" s="512" t="s">
        <v>6915</v>
      </c>
    </row>
    <row r="2668" spans="2:9" ht="15" x14ac:dyDescent="0.35">
      <c r="B2668" s="512" t="s">
        <v>6291</v>
      </c>
      <c r="C2668" s="512" t="s">
        <v>6239</v>
      </c>
      <c r="D2668" s="512" t="s">
        <v>6239</v>
      </c>
      <c r="E2668" s="513">
        <v>8527</v>
      </c>
      <c r="F2668" s="512" t="s">
        <v>2681</v>
      </c>
      <c r="G2668" s="513" t="s">
        <v>29</v>
      </c>
      <c r="H2668" s="514">
        <v>22493</v>
      </c>
      <c r="I2668" s="515" t="s">
        <v>6915</v>
      </c>
    </row>
    <row r="2669" spans="2:9" ht="15" x14ac:dyDescent="0.35">
      <c r="B2669" s="512" t="s">
        <v>6291</v>
      </c>
      <c r="C2669" s="512" t="s">
        <v>6239</v>
      </c>
      <c r="D2669" s="512" t="s">
        <v>6239</v>
      </c>
      <c r="E2669" s="513">
        <v>8528</v>
      </c>
      <c r="F2669" s="512" t="s">
        <v>2682</v>
      </c>
      <c r="G2669" s="513" t="s">
        <v>29</v>
      </c>
      <c r="H2669" s="516">
        <v>27124</v>
      </c>
      <c r="I2669" s="512" t="s">
        <v>6915</v>
      </c>
    </row>
    <row r="2670" spans="2:9" ht="15" x14ac:dyDescent="0.35">
      <c r="B2670" s="512" t="s">
        <v>6291</v>
      </c>
      <c r="C2670" s="512" t="s">
        <v>6239</v>
      </c>
      <c r="D2670" s="512" t="s">
        <v>6239</v>
      </c>
      <c r="E2670" s="513">
        <v>8529</v>
      </c>
      <c r="F2670" s="512" t="s">
        <v>2683</v>
      </c>
      <c r="G2670" s="513" t="s">
        <v>29</v>
      </c>
      <c r="H2670" s="514">
        <v>27341</v>
      </c>
      <c r="I2670" s="515" t="s">
        <v>6915</v>
      </c>
    </row>
    <row r="2671" spans="2:9" ht="15" x14ac:dyDescent="0.35">
      <c r="B2671" s="512" t="s">
        <v>6291</v>
      </c>
      <c r="C2671" s="512" t="s">
        <v>6239</v>
      </c>
      <c r="D2671" s="512" t="s">
        <v>6239</v>
      </c>
      <c r="E2671" s="513">
        <v>8530</v>
      </c>
      <c r="F2671" s="512" t="s">
        <v>2684</v>
      </c>
      <c r="G2671" s="513" t="s">
        <v>29</v>
      </c>
      <c r="H2671" s="516">
        <v>64492</v>
      </c>
      <c r="I2671" s="512" t="s">
        <v>6915</v>
      </c>
    </row>
    <row r="2672" spans="2:9" ht="15" x14ac:dyDescent="0.35">
      <c r="B2672" s="512" t="s">
        <v>6291</v>
      </c>
      <c r="C2672" s="512" t="s">
        <v>6239</v>
      </c>
      <c r="D2672" s="512" t="s">
        <v>6239</v>
      </c>
      <c r="E2672" s="513">
        <v>8531</v>
      </c>
      <c r="F2672" s="512" t="s">
        <v>2685</v>
      </c>
      <c r="G2672" s="513" t="s">
        <v>29</v>
      </c>
      <c r="H2672" s="516">
        <v>189850</v>
      </c>
      <c r="I2672" s="512" t="s">
        <v>6915</v>
      </c>
    </row>
    <row r="2673" spans="2:9" ht="15" x14ac:dyDescent="0.35">
      <c r="B2673" s="512" t="s">
        <v>6291</v>
      </c>
      <c r="C2673" s="512" t="s">
        <v>6224</v>
      </c>
      <c r="D2673" s="512" t="s">
        <v>6225</v>
      </c>
      <c r="E2673" s="513">
        <v>8533</v>
      </c>
      <c r="F2673" s="512" t="s">
        <v>2686</v>
      </c>
      <c r="G2673" s="513" t="s">
        <v>29</v>
      </c>
      <c r="H2673" s="516">
        <v>33853</v>
      </c>
      <c r="I2673" s="512" t="s">
        <v>6915</v>
      </c>
    </row>
    <row r="2674" spans="2:9" ht="15" x14ac:dyDescent="0.35">
      <c r="B2674" s="512" t="s">
        <v>6306</v>
      </c>
      <c r="C2674" s="512" t="s">
        <v>6235</v>
      </c>
      <c r="D2674" s="512" t="s">
        <v>6236</v>
      </c>
      <c r="E2674" s="513">
        <v>8534</v>
      </c>
      <c r="F2674" s="512" t="s">
        <v>2687</v>
      </c>
      <c r="G2674" s="513" t="s">
        <v>29</v>
      </c>
      <c r="H2674" s="516">
        <v>509917</v>
      </c>
      <c r="I2674" s="512" t="s">
        <v>6425</v>
      </c>
    </row>
    <row r="2675" spans="2:9" ht="15" x14ac:dyDescent="0.35">
      <c r="B2675" s="512" t="s">
        <v>6306</v>
      </c>
      <c r="C2675" s="512" t="s">
        <v>6235</v>
      </c>
      <c r="D2675" s="512" t="s">
        <v>6236</v>
      </c>
      <c r="E2675" s="513">
        <v>8535</v>
      </c>
      <c r="F2675" s="512" t="s">
        <v>2688</v>
      </c>
      <c r="G2675" s="513" t="s">
        <v>29</v>
      </c>
      <c r="H2675" s="516">
        <v>557517</v>
      </c>
      <c r="I2675" s="512" t="s">
        <v>6425</v>
      </c>
    </row>
    <row r="2676" spans="2:9" ht="15" x14ac:dyDescent="0.35">
      <c r="B2676" s="512" t="s">
        <v>6307</v>
      </c>
      <c r="C2676" s="512" t="s">
        <v>6237</v>
      </c>
      <c r="D2676" s="512" t="s">
        <v>6238</v>
      </c>
      <c r="E2676" s="513">
        <v>8536</v>
      </c>
      <c r="F2676" s="512" t="s">
        <v>2689</v>
      </c>
      <c r="G2676" s="513" t="s">
        <v>21</v>
      </c>
      <c r="H2676" s="514">
        <v>24781</v>
      </c>
      <c r="I2676" s="515" t="s">
        <v>6915</v>
      </c>
    </row>
    <row r="2677" spans="2:9" ht="15" x14ac:dyDescent="0.35">
      <c r="B2677" s="512" t="s">
        <v>6307</v>
      </c>
      <c r="C2677" s="512" t="s">
        <v>6233</v>
      </c>
      <c r="D2677" s="512" t="s">
        <v>6234</v>
      </c>
      <c r="E2677" s="513">
        <v>8537</v>
      </c>
      <c r="F2677" s="512" t="s">
        <v>2690</v>
      </c>
      <c r="G2677" s="513" t="s">
        <v>29</v>
      </c>
      <c r="H2677" s="516">
        <v>2252746</v>
      </c>
      <c r="I2677" s="512" t="s">
        <v>6915</v>
      </c>
    </row>
    <row r="2678" spans="2:9" ht="15" x14ac:dyDescent="0.35">
      <c r="B2678" s="512" t="s">
        <v>6307</v>
      </c>
      <c r="C2678" s="512" t="s">
        <v>6224</v>
      </c>
      <c r="D2678" s="512" t="s">
        <v>6225</v>
      </c>
      <c r="E2678" s="513">
        <v>8538</v>
      </c>
      <c r="F2678" s="512" t="s">
        <v>2691</v>
      </c>
      <c r="G2678" s="513" t="s">
        <v>26</v>
      </c>
      <c r="H2678" s="514">
        <v>52124</v>
      </c>
      <c r="I2678" s="515" t="s">
        <v>6915</v>
      </c>
    </row>
    <row r="2679" spans="2:9" ht="15" x14ac:dyDescent="0.35">
      <c r="B2679" s="512" t="s">
        <v>6307</v>
      </c>
      <c r="C2679" s="512" t="s">
        <v>6224</v>
      </c>
      <c r="D2679" s="512" t="s">
        <v>6225</v>
      </c>
      <c r="E2679" s="513">
        <v>8539</v>
      </c>
      <c r="F2679" s="512" t="s">
        <v>2692</v>
      </c>
      <c r="G2679" s="513" t="s">
        <v>26</v>
      </c>
      <c r="H2679" s="514">
        <v>57482</v>
      </c>
      <c r="I2679" s="515" t="s">
        <v>6915</v>
      </c>
    </row>
    <row r="2680" spans="2:9" ht="15" x14ac:dyDescent="0.35">
      <c r="B2680" s="512" t="s">
        <v>6307</v>
      </c>
      <c r="C2680" s="512" t="s">
        <v>6224</v>
      </c>
      <c r="D2680" s="512" t="s">
        <v>6225</v>
      </c>
      <c r="E2680" s="513">
        <v>8540</v>
      </c>
      <c r="F2680" s="512" t="s">
        <v>2693</v>
      </c>
      <c r="G2680" s="513" t="s">
        <v>26</v>
      </c>
      <c r="H2680" s="514">
        <v>118835</v>
      </c>
      <c r="I2680" s="515" t="s">
        <v>6915</v>
      </c>
    </row>
    <row r="2681" spans="2:9" ht="15" x14ac:dyDescent="0.35">
      <c r="B2681" s="512" t="s">
        <v>6307</v>
      </c>
      <c r="C2681" s="512" t="s">
        <v>6224</v>
      </c>
      <c r="D2681" s="512" t="s">
        <v>6225</v>
      </c>
      <c r="E2681" s="513">
        <v>8541</v>
      </c>
      <c r="F2681" s="512" t="s">
        <v>2694</v>
      </c>
      <c r="G2681" s="513" t="s">
        <v>26</v>
      </c>
      <c r="H2681" s="514">
        <v>493114</v>
      </c>
      <c r="I2681" s="515" t="s">
        <v>6915</v>
      </c>
    </row>
    <row r="2682" spans="2:9" ht="15" x14ac:dyDescent="0.35">
      <c r="B2682" s="512" t="s">
        <v>6307</v>
      </c>
      <c r="C2682" s="512" t="s">
        <v>6230</v>
      </c>
      <c r="D2682" s="512" t="s">
        <v>6231</v>
      </c>
      <c r="E2682" s="513">
        <v>8542</v>
      </c>
      <c r="F2682" s="512" t="s">
        <v>2695</v>
      </c>
      <c r="G2682" s="513" t="s">
        <v>29</v>
      </c>
      <c r="H2682" s="516">
        <v>181413</v>
      </c>
      <c r="I2682" s="512" t="s">
        <v>6915</v>
      </c>
    </row>
    <row r="2683" spans="2:9" ht="15" x14ac:dyDescent="0.35">
      <c r="B2683" s="512" t="s">
        <v>6307</v>
      </c>
      <c r="C2683" s="512" t="s">
        <v>6223</v>
      </c>
      <c r="D2683" s="512" t="s">
        <v>6223</v>
      </c>
      <c r="E2683" s="513">
        <v>8543</v>
      </c>
      <c r="F2683" s="512" t="s">
        <v>2696</v>
      </c>
      <c r="G2683" s="513" t="s">
        <v>29</v>
      </c>
      <c r="H2683" s="516">
        <v>1597</v>
      </c>
      <c r="I2683" s="512" t="s">
        <v>6915</v>
      </c>
    </row>
    <row r="2684" spans="2:9" ht="15" x14ac:dyDescent="0.35">
      <c r="B2684" s="512" t="s">
        <v>6307</v>
      </c>
      <c r="C2684" s="512" t="s">
        <v>6223</v>
      </c>
      <c r="D2684" s="512" t="s">
        <v>6223</v>
      </c>
      <c r="E2684" s="513">
        <v>8544</v>
      </c>
      <c r="F2684" s="512" t="s">
        <v>2697</v>
      </c>
      <c r="G2684" s="513" t="s">
        <v>29</v>
      </c>
      <c r="H2684" s="516">
        <v>1597</v>
      </c>
      <c r="I2684" s="512" t="s">
        <v>6915</v>
      </c>
    </row>
    <row r="2685" spans="2:9" ht="15" x14ac:dyDescent="0.35">
      <c r="B2685" s="512" t="s">
        <v>6307</v>
      </c>
      <c r="C2685" s="512" t="s">
        <v>6223</v>
      </c>
      <c r="D2685" s="512" t="s">
        <v>6223</v>
      </c>
      <c r="E2685" s="513">
        <v>8545</v>
      </c>
      <c r="F2685" s="512" t="s">
        <v>2698</v>
      </c>
      <c r="G2685" s="513" t="s">
        <v>23</v>
      </c>
      <c r="H2685" s="516">
        <v>62652</v>
      </c>
      <c r="I2685" s="512" t="s">
        <v>6915</v>
      </c>
    </row>
    <row r="2686" spans="2:9" ht="15" x14ac:dyDescent="0.35">
      <c r="B2686" s="512" t="s">
        <v>6307</v>
      </c>
      <c r="C2686" s="512" t="s">
        <v>6237</v>
      </c>
      <c r="D2686" s="512" t="s">
        <v>6247</v>
      </c>
      <c r="E2686" s="513">
        <v>8546</v>
      </c>
      <c r="F2686" s="512" t="s">
        <v>2699</v>
      </c>
      <c r="G2686" s="513" t="s">
        <v>29</v>
      </c>
      <c r="H2686" s="514">
        <v>561716</v>
      </c>
      <c r="I2686" s="515" t="s">
        <v>6915</v>
      </c>
    </row>
    <row r="2687" spans="2:9" ht="15" x14ac:dyDescent="0.35">
      <c r="B2687" s="512" t="s">
        <v>6307</v>
      </c>
      <c r="C2687" s="512" t="s">
        <v>6237</v>
      </c>
      <c r="D2687" s="512" t="s">
        <v>6247</v>
      </c>
      <c r="E2687" s="513">
        <v>8547</v>
      </c>
      <c r="F2687" s="512" t="s">
        <v>2700</v>
      </c>
      <c r="G2687" s="513" t="s">
        <v>29</v>
      </c>
      <c r="H2687" s="514">
        <v>561716</v>
      </c>
      <c r="I2687" s="515" t="s">
        <v>6915</v>
      </c>
    </row>
    <row r="2688" spans="2:9" ht="15" x14ac:dyDescent="0.35">
      <c r="B2688" s="512" t="s">
        <v>6307</v>
      </c>
      <c r="C2688" s="512" t="s">
        <v>6237</v>
      </c>
      <c r="D2688" s="512" t="s">
        <v>6247</v>
      </c>
      <c r="E2688" s="513">
        <v>8548</v>
      </c>
      <c r="F2688" s="512" t="s">
        <v>2701</v>
      </c>
      <c r="G2688" s="513" t="s">
        <v>29</v>
      </c>
      <c r="H2688" s="514">
        <v>418432</v>
      </c>
      <c r="I2688" s="515" t="s">
        <v>6915</v>
      </c>
    </row>
    <row r="2689" spans="2:9" ht="15" x14ac:dyDescent="0.35">
      <c r="B2689" s="512" t="s">
        <v>6307</v>
      </c>
      <c r="C2689" s="512" t="s">
        <v>6237</v>
      </c>
      <c r="D2689" s="512" t="s">
        <v>6247</v>
      </c>
      <c r="E2689" s="513">
        <v>8549</v>
      </c>
      <c r="F2689" s="512" t="s">
        <v>2702</v>
      </c>
      <c r="G2689" s="513" t="s">
        <v>29</v>
      </c>
      <c r="H2689" s="514">
        <v>648090</v>
      </c>
      <c r="I2689" s="515" t="s">
        <v>6915</v>
      </c>
    </row>
    <row r="2690" spans="2:9" ht="15" x14ac:dyDescent="0.35">
      <c r="B2690" s="512" t="s">
        <v>6308</v>
      </c>
      <c r="C2690" s="512" t="s">
        <v>6235</v>
      </c>
      <c r="D2690" s="512" t="s">
        <v>6245</v>
      </c>
      <c r="E2690" s="513">
        <v>8553</v>
      </c>
      <c r="F2690" s="512" t="s">
        <v>2703</v>
      </c>
      <c r="G2690" s="513" t="s">
        <v>29</v>
      </c>
      <c r="H2690" s="514">
        <v>65948</v>
      </c>
      <c r="I2690" s="515" t="s">
        <v>6915</v>
      </c>
    </row>
    <row r="2691" spans="2:9" ht="15" x14ac:dyDescent="0.35">
      <c r="B2691" s="512" t="s">
        <v>6308</v>
      </c>
      <c r="C2691" s="512" t="s">
        <v>6272</v>
      </c>
      <c r="D2691" s="512" t="s">
        <v>6280</v>
      </c>
      <c r="E2691" s="513">
        <v>8556</v>
      </c>
      <c r="F2691" s="512" t="s">
        <v>2704</v>
      </c>
      <c r="G2691" s="513" t="s">
        <v>21</v>
      </c>
      <c r="H2691" s="516">
        <v>79992</v>
      </c>
      <c r="I2691" s="512" t="s">
        <v>6915</v>
      </c>
    </row>
    <row r="2692" spans="2:9" ht="15" x14ac:dyDescent="0.35">
      <c r="B2692" s="512" t="s">
        <v>6308</v>
      </c>
      <c r="C2692" s="512" t="s">
        <v>6230</v>
      </c>
      <c r="D2692" s="512" t="s">
        <v>6250</v>
      </c>
      <c r="E2692" s="513">
        <v>8557</v>
      </c>
      <c r="F2692" s="512" t="s">
        <v>2705</v>
      </c>
      <c r="G2692" s="513" t="s">
        <v>21</v>
      </c>
      <c r="H2692" s="516">
        <v>154498</v>
      </c>
      <c r="I2692" s="512" t="s">
        <v>6915</v>
      </c>
    </row>
    <row r="2693" spans="2:9" ht="15" x14ac:dyDescent="0.35">
      <c r="B2693" s="512" t="s">
        <v>6308</v>
      </c>
      <c r="C2693" s="512" t="s">
        <v>6224</v>
      </c>
      <c r="D2693" s="512" t="s">
        <v>6225</v>
      </c>
      <c r="E2693" s="513">
        <v>8558</v>
      </c>
      <c r="F2693" s="512" t="s">
        <v>2706</v>
      </c>
      <c r="G2693" s="513" t="s">
        <v>29</v>
      </c>
      <c r="H2693" s="514">
        <v>25209604</v>
      </c>
      <c r="I2693" s="515" t="s">
        <v>6915</v>
      </c>
    </row>
    <row r="2694" spans="2:9" ht="15" x14ac:dyDescent="0.35">
      <c r="B2694" s="512" t="s">
        <v>6308</v>
      </c>
      <c r="C2694" s="512" t="s">
        <v>6224</v>
      </c>
      <c r="D2694" s="512" t="s">
        <v>6225</v>
      </c>
      <c r="E2694" s="513">
        <v>8559</v>
      </c>
      <c r="F2694" s="512" t="s">
        <v>2707</v>
      </c>
      <c r="G2694" s="513" t="s">
        <v>29</v>
      </c>
      <c r="H2694" s="516">
        <v>18873494</v>
      </c>
      <c r="I2694" s="512" t="s">
        <v>6915</v>
      </c>
    </row>
    <row r="2695" spans="2:9" ht="15" x14ac:dyDescent="0.35">
      <c r="B2695" s="512" t="s">
        <v>6308</v>
      </c>
      <c r="C2695" s="512" t="s">
        <v>6224</v>
      </c>
      <c r="D2695" s="512" t="s">
        <v>6225</v>
      </c>
      <c r="E2695" s="513">
        <v>8560</v>
      </c>
      <c r="F2695" s="512" t="s">
        <v>2708</v>
      </c>
      <c r="G2695" s="513" t="s">
        <v>29</v>
      </c>
      <c r="H2695" s="516">
        <v>2692984</v>
      </c>
      <c r="I2695" s="512" t="s">
        <v>6915</v>
      </c>
    </row>
    <row r="2696" spans="2:9" ht="15" x14ac:dyDescent="0.35">
      <c r="B2696" s="512" t="s">
        <v>6308</v>
      </c>
      <c r="C2696" s="512" t="s">
        <v>6237</v>
      </c>
      <c r="D2696" s="512" t="s">
        <v>6247</v>
      </c>
      <c r="E2696" s="513">
        <v>8561</v>
      </c>
      <c r="F2696" s="512" t="s">
        <v>2709</v>
      </c>
      <c r="G2696" s="513" t="s">
        <v>29</v>
      </c>
      <c r="H2696" s="514">
        <v>438683</v>
      </c>
      <c r="I2696" s="515" t="s">
        <v>6915</v>
      </c>
    </row>
    <row r="2697" spans="2:9" ht="15" x14ac:dyDescent="0.35">
      <c r="B2697" s="512" t="s">
        <v>6308</v>
      </c>
      <c r="C2697" s="512" t="s">
        <v>6237</v>
      </c>
      <c r="D2697" s="512" t="s">
        <v>6276</v>
      </c>
      <c r="E2697" s="513">
        <v>8562</v>
      </c>
      <c r="F2697" s="512" t="s">
        <v>2710</v>
      </c>
      <c r="G2697" s="513" t="s">
        <v>29</v>
      </c>
      <c r="H2697" s="514">
        <v>397706</v>
      </c>
      <c r="I2697" s="515" t="s">
        <v>6915</v>
      </c>
    </row>
    <row r="2698" spans="2:9" ht="15" x14ac:dyDescent="0.35">
      <c r="B2698" s="512" t="s">
        <v>6308</v>
      </c>
      <c r="C2698" s="512" t="s">
        <v>6237</v>
      </c>
      <c r="D2698" s="512" t="s">
        <v>6276</v>
      </c>
      <c r="E2698" s="513">
        <v>8563</v>
      </c>
      <c r="F2698" s="512" t="s">
        <v>2711</v>
      </c>
      <c r="G2698" s="513" t="s">
        <v>29</v>
      </c>
      <c r="H2698" s="514">
        <v>438683</v>
      </c>
      <c r="I2698" s="515" t="s">
        <v>6915</v>
      </c>
    </row>
    <row r="2699" spans="2:9" ht="15" x14ac:dyDescent="0.35">
      <c r="B2699" s="512" t="s">
        <v>6308</v>
      </c>
      <c r="C2699" s="512" t="s">
        <v>6237</v>
      </c>
      <c r="D2699" s="512" t="s">
        <v>6276</v>
      </c>
      <c r="E2699" s="513">
        <v>8564</v>
      </c>
      <c r="F2699" s="512" t="s">
        <v>2712</v>
      </c>
      <c r="G2699" s="513" t="s">
        <v>29</v>
      </c>
      <c r="H2699" s="514">
        <v>438683</v>
      </c>
      <c r="I2699" s="515" t="s">
        <v>6915</v>
      </c>
    </row>
    <row r="2700" spans="2:9" ht="15" x14ac:dyDescent="0.35">
      <c r="B2700" s="512" t="s">
        <v>6308</v>
      </c>
      <c r="C2700" s="512" t="s">
        <v>6237</v>
      </c>
      <c r="D2700" s="512" t="s">
        <v>6238</v>
      </c>
      <c r="E2700" s="513">
        <v>8566</v>
      </c>
      <c r="F2700" s="512" t="s">
        <v>2713</v>
      </c>
      <c r="G2700" s="513" t="s">
        <v>21</v>
      </c>
      <c r="H2700" s="514">
        <v>148233</v>
      </c>
      <c r="I2700" s="515" t="s">
        <v>6915</v>
      </c>
    </row>
    <row r="2701" spans="2:9" ht="15" x14ac:dyDescent="0.35">
      <c r="B2701" s="512" t="s">
        <v>6308</v>
      </c>
      <c r="C2701" s="512" t="s">
        <v>6224</v>
      </c>
      <c r="D2701" s="512" t="s">
        <v>6225</v>
      </c>
      <c r="E2701" s="513">
        <v>8569</v>
      </c>
      <c r="F2701" s="512" t="s">
        <v>2714</v>
      </c>
      <c r="G2701" s="513" t="s">
        <v>29</v>
      </c>
      <c r="H2701" s="514">
        <v>26978207</v>
      </c>
      <c r="I2701" s="515" t="s">
        <v>6915</v>
      </c>
    </row>
    <row r="2702" spans="2:9" ht="15" x14ac:dyDescent="0.35">
      <c r="B2702" s="512" t="s">
        <v>6300</v>
      </c>
      <c r="C2702" s="512" t="s">
        <v>6239</v>
      </c>
      <c r="D2702" s="512" t="s">
        <v>6239</v>
      </c>
      <c r="E2702" s="513">
        <v>8574</v>
      </c>
      <c r="F2702" s="512" t="s">
        <v>2715</v>
      </c>
      <c r="G2702" s="513" t="s">
        <v>29</v>
      </c>
      <c r="H2702" s="514">
        <v>168754</v>
      </c>
      <c r="I2702" s="515" t="s">
        <v>6915</v>
      </c>
    </row>
    <row r="2703" spans="2:9" ht="15" x14ac:dyDescent="0.35">
      <c r="B2703" s="512" t="s">
        <v>6300</v>
      </c>
      <c r="C2703" s="512" t="s">
        <v>6239</v>
      </c>
      <c r="D2703" s="512" t="s">
        <v>6239</v>
      </c>
      <c r="E2703" s="513">
        <v>8575</v>
      </c>
      <c r="F2703" s="512" t="s">
        <v>2716</v>
      </c>
      <c r="G2703" s="513" t="s">
        <v>29</v>
      </c>
      <c r="H2703" s="514">
        <v>10394</v>
      </c>
      <c r="I2703" s="515" t="s">
        <v>6915</v>
      </c>
    </row>
    <row r="2704" spans="2:9" ht="15" x14ac:dyDescent="0.35">
      <c r="B2704" s="512" t="s">
        <v>6300</v>
      </c>
      <c r="C2704" s="512" t="s">
        <v>6239</v>
      </c>
      <c r="D2704" s="512" t="s">
        <v>6239</v>
      </c>
      <c r="E2704" s="513">
        <v>8576</v>
      </c>
      <c r="F2704" s="512" t="s">
        <v>2717</v>
      </c>
      <c r="G2704" s="513" t="s">
        <v>29</v>
      </c>
      <c r="H2704" s="514">
        <v>207927</v>
      </c>
      <c r="I2704" s="515" t="s">
        <v>6915</v>
      </c>
    </row>
    <row r="2705" spans="2:9" ht="15" x14ac:dyDescent="0.35">
      <c r="B2705" s="512" t="s">
        <v>6300</v>
      </c>
      <c r="C2705" s="512" t="s">
        <v>6239</v>
      </c>
      <c r="D2705" s="512" t="s">
        <v>6239</v>
      </c>
      <c r="E2705" s="513">
        <v>8579</v>
      </c>
      <c r="F2705" s="512" t="s">
        <v>2718</v>
      </c>
      <c r="G2705" s="513" t="s">
        <v>29</v>
      </c>
      <c r="H2705" s="514">
        <v>192408</v>
      </c>
      <c r="I2705" s="515" t="s">
        <v>6915</v>
      </c>
    </row>
    <row r="2706" spans="2:9" ht="15" x14ac:dyDescent="0.35">
      <c r="B2706" s="512" t="s">
        <v>6300</v>
      </c>
      <c r="C2706" s="512" t="s">
        <v>6239</v>
      </c>
      <c r="D2706" s="512" t="s">
        <v>6239</v>
      </c>
      <c r="E2706" s="513">
        <v>8581</v>
      </c>
      <c r="F2706" s="512" t="s">
        <v>2719</v>
      </c>
      <c r="G2706" s="513" t="s">
        <v>29</v>
      </c>
      <c r="H2706" s="514">
        <v>7629</v>
      </c>
      <c r="I2706" s="515" t="s">
        <v>6915</v>
      </c>
    </row>
    <row r="2707" spans="2:9" ht="15" x14ac:dyDescent="0.35">
      <c r="B2707" s="512" t="s">
        <v>6300</v>
      </c>
      <c r="C2707" s="512" t="s">
        <v>6239</v>
      </c>
      <c r="D2707" s="512" t="s">
        <v>6239</v>
      </c>
      <c r="E2707" s="513">
        <v>8582</v>
      </c>
      <c r="F2707" s="512" t="s">
        <v>2720</v>
      </c>
      <c r="G2707" s="513" t="s">
        <v>29</v>
      </c>
      <c r="H2707" s="514">
        <v>9452</v>
      </c>
      <c r="I2707" s="512" t="s">
        <v>6915</v>
      </c>
    </row>
    <row r="2708" spans="2:9" ht="15" x14ac:dyDescent="0.35">
      <c r="B2708" s="512" t="s">
        <v>6300</v>
      </c>
      <c r="C2708" s="512" t="s">
        <v>6239</v>
      </c>
      <c r="D2708" s="512" t="s">
        <v>6239</v>
      </c>
      <c r="E2708" s="513">
        <v>8583</v>
      </c>
      <c r="F2708" s="512" t="s">
        <v>2721</v>
      </c>
      <c r="G2708" s="513" t="s">
        <v>26</v>
      </c>
      <c r="H2708" s="514">
        <v>10881</v>
      </c>
      <c r="I2708" s="515" t="s">
        <v>6915</v>
      </c>
    </row>
    <row r="2709" spans="2:9" ht="15" x14ac:dyDescent="0.35">
      <c r="B2709" s="512" t="s">
        <v>6300</v>
      </c>
      <c r="C2709" s="512" t="s">
        <v>6239</v>
      </c>
      <c r="D2709" s="512" t="s">
        <v>6239</v>
      </c>
      <c r="E2709" s="513">
        <v>8584</v>
      </c>
      <c r="F2709" s="512" t="s">
        <v>2722</v>
      </c>
      <c r="G2709" s="513" t="s">
        <v>29</v>
      </c>
      <c r="H2709" s="514">
        <v>9972</v>
      </c>
      <c r="I2709" s="515" t="s">
        <v>6915</v>
      </c>
    </row>
    <row r="2710" spans="2:9" ht="15" x14ac:dyDescent="0.35">
      <c r="B2710" s="512" t="s">
        <v>6300</v>
      </c>
      <c r="C2710" s="512" t="s">
        <v>6239</v>
      </c>
      <c r="D2710" s="512" t="s">
        <v>6239</v>
      </c>
      <c r="E2710" s="513">
        <v>8585</v>
      </c>
      <c r="F2710" s="512" t="s">
        <v>2723</v>
      </c>
      <c r="G2710" s="513" t="s">
        <v>29</v>
      </c>
      <c r="H2710" s="514">
        <v>7015</v>
      </c>
      <c r="I2710" s="515" t="s">
        <v>6915</v>
      </c>
    </row>
    <row r="2711" spans="2:9" ht="15" x14ac:dyDescent="0.35">
      <c r="B2711" s="512" t="s">
        <v>6300</v>
      </c>
      <c r="C2711" s="512" t="s">
        <v>6239</v>
      </c>
      <c r="D2711" s="512" t="s">
        <v>6239</v>
      </c>
      <c r="E2711" s="513">
        <v>8586</v>
      </c>
      <c r="F2711" s="512" t="s">
        <v>2724</v>
      </c>
      <c r="G2711" s="513" t="s">
        <v>29</v>
      </c>
      <c r="H2711" s="514">
        <v>9364</v>
      </c>
      <c r="I2711" s="515" t="s">
        <v>6915</v>
      </c>
    </row>
    <row r="2712" spans="2:9" ht="15" x14ac:dyDescent="0.35">
      <c r="B2712" s="512" t="s">
        <v>6300</v>
      </c>
      <c r="C2712" s="512" t="s">
        <v>6239</v>
      </c>
      <c r="D2712" s="512" t="s">
        <v>6239</v>
      </c>
      <c r="E2712" s="513">
        <v>8587</v>
      </c>
      <c r="F2712" s="512" t="s">
        <v>2725</v>
      </c>
      <c r="G2712" s="513" t="s">
        <v>29</v>
      </c>
      <c r="H2712" s="516">
        <v>21581</v>
      </c>
      <c r="I2712" s="512" t="s">
        <v>6915</v>
      </c>
    </row>
    <row r="2713" spans="2:9" ht="15" x14ac:dyDescent="0.35">
      <c r="B2713" s="512" t="s">
        <v>6300</v>
      </c>
      <c r="C2713" s="512" t="s">
        <v>6239</v>
      </c>
      <c r="D2713" s="512" t="s">
        <v>6239</v>
      </c>
      <c r="E2713" s="513">
        <v>8588</v>
      </c>
      <c r="F2713" s="512" t="s">
        <v>2726</v>
      </c>
      <c r="G2713" s="513" t="s">
        <v>29</v>
      </c>
      <c r="H2713" s="516">
        <v>21581</v>
      </c>
      <c r="I2713" s="512" t="s">
        <v>6915</v>
      </c>
    </row>
    <row r="2714" spans="2:9" ht="15" x14ac:dyDescent="0.35">
      <c r="B2714" s="512" t="s">
        <v>6300</v>
      </c>
      <c r="C2714" s="512" t="s">
        <v>6239</v>
      </c>
      <c r="D2714" s="512" t="s">
        <v>6239</v>
      </c>
      <c r="E2714" s="513">
        <v>8589</v>
      </c>
      <c r="F2714" s="512" t="s">
        <v>2727</v>
      </c>
      <c r="G2714" s="513" t="s">
        <v>29</v>
      </c>
      <c r="H2714" s="514">
        <v>21581</v>
      </c>
      <c r="I2714" s="515" t="s">
        <v>6915</v>
      </c>
    </row>
    <row r="2715" spans="2:9" ht="15" x14ac:dyDescent="0.35">
      <c r="B2715" s="512" t="s">
        <v>6300</v>
      </c>
      <c r="C2715" s="512" t="s">
        <v>6240</v>
      </c>
      <c r="D2715" s="512" t="s">
        <v>6241</v>
      </c>
      <c r="E2715" s="513">
        <v>8590</v>
      </c>
      <c r="F2715" s="512" t="s">
        <v>2728</v>
      </c>
      <c r="G2715" s="513" t="s">
        <v>29</v>
      </c>
      <c r="H2715" s="516">
        <v>2761263</v>
      </c>
      <c r="I2715" s="512" t="s">
        <v>6915</v>
      </c>
    </row>
    <row r="2716" spans="2:9" ht="15" x14ac:dyDescent="0.35">
      <c r="B2716" s="512" t="s">
        <v>6300</v>
      </c>
      <c r="C2716" s="512" t="s">
        <v>6272</v>
      </c>
      <c r="D2716" s="512" t="s">
        <v>6272</v>
      </c>
      <c r="E2716" s="513">
        <v>8591</v>
      </c>
      <c r="F2716" s="512" t="s">
        <v>2729</v>
      </c>
      <c r="G2716" s="513" t="s">
        <v>21</v>
      </c>
      <c r="H2716" s="514">
        <v>85907</v>
      </c>
      <c r="I2716" s="515" t="s">
        <v>6915</v>
      </c>
    </row>
    <row r="2717" spans="2:9" ht="15" x14ac:dyDescent="0.35">
      <c r="B2717" s="512" t="s">
        <v>6300</v>
      </c>
      <c r="C2717" s="512" t="s">
        <v>6230</v>
      </c>
      <c r="D2717" s="512" t="s">
        <v>6231</v>
      </c>
      <c r="E2717" s="513">
        <v>8592</v>
      </c>
      <c r="F2717" s="512" t="s">
        <v>2730</v>
      </c>
      <c r="G2717" s="513" t="s">
        <v>26</v>
      </c>
      <c r="H2717" s="516">
        <v>143324</v>
      </c>
      <c r="I2717" s="512" t="s">
        <v>6915</v>
      </c>
    </row>
    <row r="2718" spans="2:9" ht="15" x14ac:dyDescent="0.35">
      <c r="B2718" s="512" t="s">
        <v>6300</v>
      </c>
      <c r="C2718" s="512" t="s">
        <v>6239</v>
      </c>
      <c r="D2718" s="512" t="s">
        <v>6239</v>
      </c>
      <c r="E2718" s="513">
        <v>8593</v>
      </c>
      <c r="F2718" s="512" t="s">
        <v>2731</v>
      </c>
      <c r="G2718" s="513" t="s">
        <v>29</v>
      </c>
      <c r="H2718" s="516">
        <v>63525</v>
      </c>
      <c r="I2718" s="512" t="s">
        <v>6915</v>
      </c>
    </row>
    <row r="2719" spans="2:9" ht="15" x14ac:dyDescent="0.35">
      <c r="B2719" s="512" t="s">
        <v>6300</v>
      </c>
      <c r="C2719" s="512" t="s">
        <v>6239</v>
      </c>
      <c r="D2719" s="512" t="s">
        <v>6239</v>
      </c>
      <c r="E2719" s="513">
        <v>8594</v>
      </c>
      <c r="F2719" s="512" t="s">
        <v>2732</v>
      </c>
      <c r="G2719" s="513" t="s">
        <v>29</v>
      </c>
      <c r="H2719" s="516">
        <v>256169</v>
      </c>
      <c r="I2719" s="512" t="s">
        <v>6915</v>
      </c>
    </row>
    <row r="2720" spans="2:9" ht="15" x14ac:dyDescent="0.35">
      <c r="B2720" s="512" t="s">
        <v>6300</v>
      </c>
      <c r="C2720" s="512" t="s">
        <v>6239</v>
      </c>
      <c r="D2720" s="512" t="s">
        <v>6239</v>
      </c>
      <c r="E2720" s="513">
        <v>8595</v>
      </c>
      <c r="F2720" s="512" t="s">
        <v>2733</v>
      </c>
      <c r="G2720" s="513" t="s">
        <v>29</v>
      </c>
      <c r="H2720" s="516">
        <v>278779</v>
      </c>
      <c r="I2720" s="512" t="s">
        <v>6915</v>
      </c>
    </row>
    <row r="2721" spans="2:9" ht="15" x14ac:dyDescent="0.35">
      <c r="B2721" s="512" t="s">
        <v>6300</v>
      </c>
      <c r="C2721" s="512" t="s">
        <v>6239</v>
      </c>
      <c r="D2721" s="512" t="s">
        <v>6239</v>
      </c>
      <c r="E2721" s="513">
        <v>8597</v>
      </c>
      <c r="F2721" s="512" t="s">
        <v>2734</v>
      </c>
      <c r="G2721" s="513" t="s">
        <v>29</v>
      </c>
      <c r="H2721" s="516">
        <v>181458</v>
      </c>
      <c r="I2721" s="512" t="s">
        <v>6915</v>
      </c>
    </row>
    <row r="2722" spans="2:9" ht="15" x14ac:dyDescent="0.35">
      <c r="B2722" s="512" t="s">
        <v>6300</v>
      </c>
      <c r="C2722" s="512" t="s">
        <v>6239</v>
      </c>
      <c r="D2722" s="512" t="s">
        <v>6239</v>
      </c>
      <c r="E2722" s="513">
        <v>8598</v>
      </c>
      <c r="F2722" s="512" t="s">
        <v>2735</v>
      </c>
      <c r="G2722" s="513" t="s">
        <v>29</v>
      </c>
      <c r="H2722" s="514">
        <v>434666</v>
      </c>
      <c r="I2722" s="512" t="s">
        <v>6915</v>
      </c>
    </row>
    <row r="2723" spans="2:9" ht="15" x14ac:dyDescent="0.35">
      <c r="B2723" s="512" t="s">
        <v>6300</v>
      </c>
      <c r="C2723" s="512" t="s">
        <v>6239</v>
      </c>
      <c r="D2723" s="512" t="s">
        <v>6239</v>
      </c>
      <c r="E2723" s="513">
        <v>8599</v>
      </c>
      <c r="F2723" s="512" t="s">
        <v>2736</v>
      </c>
      <c r="G2723" s="513" t="s">
        <v>29</v>
      </c>
      <c r="H2723" s="516">
        <v>78727</v>
      </c>
      <c r="I2723" s="512" t="s">
        <v>6915</v>
      </c>
    </row>
    <row r="2724" spans="2:9" ht="15" x14ac:dyDescent="0.35">
      <c r="B2724" s="512" t="s">
        <v>6300</v>
      </c>
      <c r="C2724" s="512" t="s">
        <v>6239</v>
      </c>
      <c r="D2724" s="512" t="s">
        <v>6239</v>
      </c>
      <c r="E2724" s="513">
        <v>8601</v>
      </c>
      <c r="F2724" s="512" t="s">
        <v>2737</v>
      </c>
      <c r="G2724" s="513" t="s">
        <v>29</v>
      </c>
      <c r="H2724" s="514">
        <v>300413</v>
      </c>
      <c r="I2724" s="515" t="s">
        <v>6915</v>
      </c>
    </row>
    <row r="2725" spans="2:9" ht="15" x14ac:dyDescent="0.35">
      <c r="B2725" s="512" t="s">
        <v>6300</v>
      </c>
      <c r="C2725" s="512" t="s">
        <v>6239</v>
      </c>
      <c r="D2725" s="512" t="s">
        <v>6239</v>
      </c>
      <c r="E2725" s="513">
        <v>8603</v>
      </c>
      <c r="F2725" s="512" t="s">
        <v>2738</v>
      </c>
      <c r="G2725" s="513" t="s">
        <v>29</v>
      </c>
      <c r="H2725" s="514">
        <v>68587</v>
      </c>
      <c r="I2725" s="515" t="s">
        <v>6915</v>
      </c>
    </row>
    <row r="2726" spans="2:9" ht="15" x14ac:dyDescent="0.35">
      <c r="B2726" s="512" t="s">
        <v>6300</v>
      </c>
      <c r="C2726" s="512" t="s">
        <v>6272</v>
      </c>
      <c r="D2726" s="512" t="s">
        <v>6272</v>
      </c>
      <c r="E2726" s="513">
        <v>8605</v>
      </c>
      <c r="F2726" s="512" t="s">
        <v>2739</v>
      </c>
      <c r="G2726" s="513" t="s">
        <v>21</v>
      </c>
      <c r="H2726" s="514">
        <v>91990</v>
      </c>
      <c r="I2726" s="515" t="s">
        <v>6915</v>
      </c>
    </row>
    <row r="2727" spans="2:9" ht="15" x14ac:dyDescent="0.35">
      <c r="B2727" s="512" t="s">
        <v>6308</v>
      </c>
      <c r="C2727" s="512" t="s">
        <v>6223</v>
      </c>
      <c r="D2727" s="512" t="s">
        <v>6223</v>
      </c>
      <c r="E2727" s="513">
        <v>8606</v>
      </c>
      <c r="F2727" s="512" t="s">
        <v>2740</v>
      </c>
      <c r="G2727" s="513" t="s">
        <v>21</v>
      </c>
      <c r="H2727" s="514">
        <v>14157</v>
      </c>
      <c r="I2727" s="515" t="s">
        <v>6915</v>
      </c>
    </row>
    <row r="2728" spans="2:9" ht="15" x14ac:dyDescent="0.35">
      <c r="B2728" s="512" t="s">
        <v>6308</v>
      </c>
      <c r="C2728" s="512" t="s">
        <v>6224</v>
      </c>
      <c r="D2728" s="512" t="s">
        <v>6225</v>
      </c>
      <c r="E2728" s="513">
        <v>8610</v>
      </c>
      <c r="F2728" s="512" t="s">
        <v>2741</v>
      </c>
      <c r="G2728" s="513" t="s">
        <v>29</v>
      </c>
      <c r="H2728" s="514">
        <v>37189990</v>
      </c>
      <c r="I2728" s="515" t="s">
        <v>6915</v>
      </c>
    </row>
    <row r="2729" spans="2:9" ht="15" x14ac:dyDescent="0.35">
      <c r="B2729" s="512" t="s">
        <v>6309</v>
      </c>
      <c r="C2729" s="512" t="s">
        <v>6240</v>
      </c>
      <c r="D2729" s="512" t="s">
        <v>6256</v>
      </c>
      <c r="E2729" s="513">
        <v>8611</v>
      </c>
      <c r="F2729" s="512" t="s">
        <v>2742</v>
      </c>
      <c r="G2729" s="513" t="s">
        <v>367</v>
      </c>
      <c r="H2729" s="514">
        <v>5653</v>
      </c>
      <c r="I2729" s="515" t="s">
        <v>6915</v>
      </c>
    </row>
    <row r="2730" spans="2:9" ht="15" x14ac:dyDescent="0.35">
      <c r="B2730" s="512" t="s">
        <v>6309</v>
      </c>
      <c r="C2730" s="512" t="s">
        <v>6252</v>
      </c>
      <c r="D2730" s="512" t="s">
        <v>6252</v>
      </c>
      <c r="E2730" s="513">
        <v>8612</v>
      </c>
      <c r="F2730" s="512" t="s">
        <v>2743</v>
      </c>
      <c r="G2730" s="513" t="s">
        <v>21</v>
      </c>
      <c r="H2730" s="514">
        <v>236716</v>
      </c>
      <c r="I2730" s="515" t="s">
        <v>6915</v>
      </c>
    </row>
    <row r="2731" spans="2:9" ht="15" x14ac:dyDescent="0.35">
      <c r="B2731" s="512" t="s">
        <v>6309</v>
      </c>
      <c r="C2731" s="512" t="s">
        <v>6242</v>
      </c>
      <c r="D2731" s="512" t="s">
        <v>6257</v>
      </c>
      <c r="E2731" s="513">
        <v>8613</v>
      </c>
      <c r="F2731" s="512" t="s">
        <v>2744</v>
      </c>
      <c r="G2731" s="513" t="s">
        <v>23</v>
      </c>
      <c r="H2731" s="516">
        <v>1472746</v>
      </c>
      <c r="I2731" s="512" t="s">
        <v>6915</v>
      </c>
    </row>
    <row r="2732" spans="2:9" ht="15" x14ac:dyDescent="0.35">
      <c r="B2732" s="512" t="s">
        <v>6309</v>
      </c>
      <c r="C2732" s="512" t="s">
        <v>6242</v>
      </c>
      <c r="D2732" s="512" t="s">
        <v>6257</v>
      </c>
      <c r="E2732" s="513">
        <v>8614</v>
      </c>
      <c r="F2732" s="512" t="s">
        <v>2745</v>
      </c>
      <c r="G2732" s="513" t="s">
        <v>23</v>
      </c>
      <c r="H2732" s="514">
        <v>1365015</v>
      </c>
      <c r="I2732" s="515" t="s">
        <v>6915</v>
      </c>
    </row>
    <row r="2733" spans="2:9" ht="15" x14ac:dyDescent="0.35">
      <c r="B2733" s="512" t="s">
        <v>6309</v>
      </c>
      <c r="C2733" s="512" t="s">
        <v>6227</v>
      </c>
      <c r="D2733" s="512" t="s">
        <v>6248</v>
      </c>
      <c r="E2733" s="513">
        <v>8615</v>
      </c>
      <c r="F2733" s="512" t="s">
        <v>2746</v>
      </c>
      <c r="G2733" s="513" t="s">
        <v>23</v>
      </c>
      <c r="H2733" s="514">
        <v>251932</v>
      </c>
      <c r="I2733" s="515" t="s">
        <v>6915</v>
      </c>
    </row>
    <row r="2734" spans="2:9" ht="15" x14ac:dyDescent="0.35">
      <c r="B2734" s="512" t="s">
        <v>6309</v>
      </c>
      <c r="C2734" s="512" t="s">
        <v>6227</v>
      </c>
      <c r="D2734" s="512" t="s">
        <v>6248</v>
      </c>
      <c r="E2734" s="513">
        <v>8616</v>
      </c>
      <c r="F2734" s="512" t="s">
        <v>2747</v>
      </c>
      <c r="G2734" s="513" t="s">
        <v>23</v>
      </c>
      <c r="H2734" s="516">
        <v>230570</v>
      </c>
      <c r="I2734" s="512" t="s">
        <v>6915</v>
      </c>
    </row>
    <row r="2735" spans="2:9" ht="15" x14ac:dyDescent="0.35">
      <c r="B2735" s="512" t="s">
        <v>6309</v>
      </c>
      <c r="C2735" s="512" t="s">
        <v>6227</v>
      </c>
      <c r="D2735" s="512" t="s">
        <v>6248</v>
      </c>
      <c r="E2735" s="513">
        <v>8617</v>
      </c>
      <c r="F2735" s="512" t="s">
        <v>2748</v>
      </c>
      <c r="G2735" s="513" t="s">
        <v>23</v>
      </c>
      <c r="H2735" s="514">
        <v>204760</v>
      </c>
      <c r="I2735" s="515" t="s">
        <v>6915</v>
      </c>
    </row>
    <row r="2736" spans="2:9" ht="15" x14ac:dyDescent="0.35">
      <c r="B2736" s="512" t="s">
        <v>6309</v>
      </c>
      <c r="C2736" s="512" t="s">
        <v>6242</v>
      </c>
      <c r="D2736" s="512" t="s">
        <v>6257</v>
      </c>
      <c r="E2736" s="513">
        <v>8618</v>
      </c>
      <c r="F2736" s="512" t="s">
        <v>2749</v>
      </c>
      <c r="G2736" s="513" t="s">
        <v>23</v>
      </c>
      <c r="H2736" s="514">
        <v>1340339</v>
      </c>
      <c r="I2736" s="515" t="s">
        <v>6915</v>
      </c>
    </row>
    <row r="2737" spans="2:9" ht="15" x14ac:dyDescent="0.35">
      <c r="B2737" s="512" t="s">
        <v>6309</v>
      </c>
      <c r="C2737" s="512" t="s">
        <v>6242</v>
      </c>
      <c r="D2737" s="512" t="s">
        <v>6257</v>
      </c>
      <c r="E2737" s="513">
        <v>8619</v>
      </c>
      <c r="F2737" s="512" t="s">
        <v>2750</v>
      </c>
      <c r="G2737" s="513" t="s">
        <v>23</v>
      </c>
      <c r="H2737" s="514">
        <v>1512912</v>
      </c>
      <c r="I2737" s="515" t="s">
        <v>6915</v>
      </c>
    </row>
    <row r="2738" spans="2:9" ht="15" x14ac:dyDescent="0.35">
      <c r="B2738" s="512" t="s">
        <v>6309</v>
      </c>
      <c r="C2738" s="512" t="s">
        <v>6242</v>
      </c>
      <c r="D2738" s="512" t="s">
        <v>6257</v>
      </c>
      <c r="E2738" s="513">
        <v>8620</v>
      </c>
      <c r="F2738" s="512" t="s">
        <v>2751</v>
      </c>
      <c r="G2738" s="513" t="s">
        <v>23</v>
      </c>
      <c r="H2738" s="514">
        <v>1383715</v>
      </c>
      <c r="I2738" s="515" t="s">
        <v>6915</v>
      </c>
    </row>
    <row r="2739" spans="2:9" ht="15" x14ac:dyDescent="0.35">
      <c r="B2739" s="512" t="s">
        <v>6309</v>
      </c>
      <c r="C2739" s="512" t="s">
        <v>6242</v>
      </c>
      <c r="D2739" s="512" t="s">
        <v>6257</v>
      </c>
      <c r="E2739" s="513">
        <v>8621</v>
      </c>
      <c r="F2739" s="512" t="s">
        <v>2752</v>
      </c>
      <c r="G2739" s="513" t="s">
        <v>23</v>
      </c>
      <c r="H2739" s="514">
        <v>1342830</v>
      </c>
      <c r="I2739" s="515" t="s">
        <v>6915</v>
      </c>
    </row>
    <row r="2740" spans="2:9" ht="15" x14ac:dyDescent="0.35">
      <c r="B2740" s="512" t="s">
        <v>6310</v>
      </c>
      <c r="C2740" s="512" t="s">
        <v>6233</v>
      </c>
      <c r="D2740" s="512" t="s">
        <v>6234</v>
      </c>
      <c r="E2740" s="513">
        <v>8624</v>
      </c>
      <c r="F2740" s="512" t="s">
        <v>2753</v>
      </c>
      <c r="G2740" s="513" t="s">
        <v>29</v>
      </c>
      <c r="H2740" s="516">
        <v>5970804</v>
      </c>
      <c r="I2740" s="512" t="s">
        <v>6915</v>
      </c>
    </row>
    <row r="2741" spans="2:9" ht="15" x14ac:dyDescent="0.35">
      <c r="B2741" s="512" t="s">
        <v>6310</v>
      </c>
      <c r="C2741" s="512" t="s">
        <v>6233</v>
      </c>
      <c r="D2741" s="512" t="s">
        <v>6289</v>
      </c>
      <c r="E2741" s="513">
        <v>8625</v>
      </c>
      <c r="F2741" s="512" t="s">
        <v>2754</v>
      </c>
      <c r="G2741" s="513" t="s">
        <v>29</v>
      </c>
      <c r="H2741" s="514">
        <v>427196</v>
      </c>
      <c r="I2741" s="515" t="s">
        <v>6915</v>
      </c>
    </row>
    <row r="2742" spans="2:9" ht="15" x14ac:dyDescent="0.35">
      <c r="B2742" s="512" t="s">
        <v>6310</v>
      </c>
      <c r="C2742" s="512" t="s">
        <v>6233</v>
      </c>
      <c r="D2742" s="512" t="s">
        <v>6289</v>
      </c>
      <c r="E2742" s="513">
        <v>8626</v>
      </c>
      <c r="F2742" s="512" t="s">
        <v>2755</v>
      </c>
      <c r="G2742" s="513" t="s">
        <v>29</v>
      </c>
      <c r="H2742" s="514">
        <v>3060420</v>
      </c>
      <c r="I2742" s="515" t="s">
        <v>6915</v>
      </c>
    </row>
    <row r="2743" spans="2:9" ht="15" x14ac:dyDescent="0.35">
      <c r="B2743" s="512" t="s">
        <v>6310</v>
      </c>
      <c r="C2743" s="512" t="s">
        <v>6233</v>
      </c>
      <c r="D2743" s="512" t="s">
        <v>6289</v>
      </c>
      <c r="E2743" s="513">
        <v>8627</v>
      </c>
      <c r="F2743" s="512" t="s">
        <v>2756</v>
      </c>
      <c r="G2743" s="513" t="s">
        <v>29</v>
      </c>
      <c r="H2743" s="514">
        <v>716953</v>
      </c>
      <c r="I2743" s="515" t="s">
        <v>6915</v>
      </c>
    </row>
    <row r="2744" spans="2:9" ht="15" x14ac:dyDescent="0.35">
      <c r="B2744" s="512" t="s">
        <v>6310</v>
      </c>
      <c r="C2744" s="512" t="s">
        <v>6233</v>
      </c>
      <c r="D2744" s="512" t="s">
        <v>6289</v>
      </c>
      <c r="E2744" s="513">
        <v>8628</v>
      </c>
      <c r="F2744" s="512" t="s">
        <v>2757</v>
      </c>
      <c r="G2744" s="513" t="s">
        <v>29</v>
      </c>
      <c r="H2744" s="514">
        <v>244110</v>
      </c>
      <c r="I2744" s="515" t="s">
        <v>6915</v>
      </c>
    </row>
    <row r="2745" spans="2:9" ht="15" x14ac:dyDescent="0.35">
      <c r="B2745" s="512" t="s">
        <v>6310</v>
      </c>
      <c r="C2745" s="512" t="s">
        <v>6232</v>
      </c>
      <c r="D2745" s="512" t="s">
        <v>6232</v>
      </c>
      <c r="E2745" s="513">
        <v>8629</v>
      </c>
      <c r="F2745" s="512" t="s">
        <v>2758</v>
      </c>
      <c r="G2745" s="513" t="s">
        <v>26</v>
      </c>
      <c r="H2745" s="514">
        <v>1295750</v>
      </c>
      <c r="I2745" s="515" t="s">
        <v>6915</v>
      </c>
    </row>
    <row r="2746" spans="2:9" ht="15" x14ac:dyDescent="0.35">
      <c r="B2746" s="512" t="s">
        <v>6310</v>
      </c>
      <c r="C2746" s="512" t="s">
        <v>6239</v>
      </c>
      <c r="D2746" s="512" t="s">
        <v>6239</v>
      </c>
      <c r="E2746" s="513">
        <v>8631</v>
      </c>
      <c r="F2746" s="512" t="s">
        <v>2759</v>
      </c>
      <c r="G2746" s="513" t="s">
        <v>29</v>
      </c>
      <c r="H2746" s="516">
        <v>1487237</v>
      </c>
      <c r="I2746" s="512" t="s">
        <v>6915</v>
      </c>
    </row>
    <row r="2747" spans="2:9" ht="15" x14ac:dyDescent="0.35">
      <c r="B2747" s="512" t="s">
        <v>6310</v>
      </c>
      <c r="C2747" s="512" t="s">
        <v>6232</v>
      </c>
      <c r="D2747" s="512" t="s">
        <v>6232</v>
      </c>
      <c r="E2747" s="513">
        <v>8632</v>
      </c>
      <c r="F2747" s="512" t="s">
        <v>2760</v>
      </c>
      <c r="G2747" s="513" t="s">
        <v>26</v>
      </c>
      <c r="H2747" s="516">
        <v>585621</v>
      </c>
      <c r="I2747" s="512" t="s">
        <v>6915</v>
      </c>
    </row>
    <row r="2748" spans="2:9" ht="15" x14ac:dyDescent="0.35">
      <c r="B2748" s="512" t="s">
        <v>6310</v>
      </c>
      <c r="C2748" s="512" t="s">
        <v>6232</v>
      </c>
      <c r="D2748" s="512" t="s">
        <v>6232</v>
      </c>
      <c r="E2748" s="513">
        <v>8633</v>
      </c>
      <c r="F2748" s="512" t="s">
        <v>2761</v>
      </c>
      <c r="G2748" s="513" t="s">
        <v>26</v>
      </c>
      <c r="H2748" s="516">
        <v>1287421</v>
      </c>
      <c r="I2748" s="512" t="s">
        <v>6915</v>
      </c>
    </row>
    <row r="2749" spans="2:9" ht="15" x14ac:dyDescent="0.35">
      <c r="B2749" s="512" t="s">
        <v>6310</v>
      </c>
      <c r="C2749" s="512" t="s">
        <v>6239</v>
      </c>
      <c r="D2749" s="512" t="s">
        <v>6239</v>
      </c>
      <c r="E2749" s="513">
        <v>8634</v>
      </c>
      <c r="F2749" s="512" t="s">
        <v>2762</v>
      </c>
      <c r="G2749" s="513" t="s">
        <v>29</v>
      </c>
      <c r="H2749" s="516">
        <v>1511563</v>
      </c>
      <c r="I2749" s="515" t="s">
        <v>6915</v>
      </c>
    </row>
    <row r="2750" spans="2:9" ht="15" x14ac:dyDescent="0.35">
      <c r="B2750" s="512" t="s">
        <v>6310</v>
      </c>
      <c r="C2750" s="512" t="s">
        <v>6239</v>
      </c>
      <c r="D2750" s="512" t="s">
        <v>6239</v>
      </c>
      <c r="E2750" s="513">
        <v>8636</v>
      </c>
      <c r="F2750" s="512" t="s">
        <v>2763</v>
      </c>
      <c r="G2750" s="513" t="s">
        <v>29</v>
      </c>
      <c r="H2750" s="516">
        <v>930322</v>
      </c>
      <c r="I2750" s="512" t="s">
        <v>6915</v>
      </c>
    </row>
    <row r="2751" spans="2:9" ht="15" x14ac:dyDescent="0.35">
      <c r="B2751" s="512" t="s">
        <v>6310</v>
      </c>
      <c r="C2751" s="512" t="s">
        <v>6239</v>
      </c>
      <c r="D2751" s="512" t="s">
        <v>6239</v>
      </c>
      <c r="E2751" s="513">
        <v>8637</v>
      </c>
      <c r="F2751" s="512" t="s">
        <v>2764</v>
      </c>
      <c r="G2751" s="513" t="s">
        <v>29</v>
      </c>
      <c r="H2751" s="516">
        <v>2507646</v>
      </c>
      <c r="I2751" s="515" t="s">
        <v>6915</v>
      </c>
    </row>
    <row r="2752" spans="2:9" ht="15" x14ac:dyDescent="0.35">
      <c r="B2752" s="512" t="s">
        <v>6310</v>
      </c>
      <c r="C2752" s="512" t="s">
        <v>6232</v>
      </c>
      <c r="D2752" s="512" t="s">
        <v>6232</v>
      </c>
      <c r="E2752" s="513">
        <v>8638</v>
      </c>
      <c r="F2752" s="512" t="s">
        <v>2765</v>
      </c>
      <c r="G2752" s="513" t="s">
        <v>29</v>
      </c>
      <c r="H2752" s="516">
        <v>5067962</v>
      </c>
      <c r="I2752" s="515" t="s">
        <v>6915</v>
      </c>
    </row>
    <row r="2753" spans="2:9" ht="15" x14ac:dyDescent="0.35">
      <c r="B2753" s="512" t="s">
        <v>6310</v>
      </c>
      <c r="C2753" s="512" t="s">
        <v>6232</v>
      </c>
      <c r="D2753" s="512" t="s">
        <v>6232</v>
      </c>
      <c r="E2753" s="513">
        <v>8639</v>
      </c>
      <c r="F2753" s="512" t="s">
        <v>2766</v>
      </c>
      <c r="G2753" s="513" t="s">
        <v>29</v>
      </c>
      <c r="H2753" s="516">
        <v>8622265</v>
      </c>
      <c r="I2753" s="512" t="s">
        <v>6915</v>
      </c>
    </row>
    <row r="2754" spans="2:9" ht="15" x14ac:dyDescent="0.35">
      <c r="B2754" s="512" t="s">
        <v>6310</v>
      </c>
      <c r="C2754" s="512" t="s">
        <v>6239</v>
      </c>
      <c r="D2754" s="512" t="s">
        <v>6239</v>
      </c>
      <c r="E2754" s="513">
        <v>8640</v>
      </c>
      <c r="F2754" s="512" t="s">
        <v>2767</v>
      </c>
      <c r="G2754" s="513" t="s">
        <v>29</v>
      </c>
      <c r="H2754" s="514">
        <v>183922</v>
      </c>
      <c r="I2754" s="515" t="s">
        <v>6915</v>
      </c>
    </row>
    <row r="2755" spans="2:9" ht="15" x14ac:dyDescent="0.35">
      <c r="B2755" s="512" t="s">
        <v>6310</v>
      </c>
      <c r="C2755" s="512" t="s">
        <v>6239</v>
      </c>
      <c r="D2755" s="512" t="s">
        <v>6239</v>
      </c>
      <c r="E2755" s="513">
        <v>8641</v>
      </c>
      <c r="F2755" s="512" t="s">
        <v>2768</v>
      </c>
      <c r="G2755" s="513" t="s">
        <v>29</v>
      </c>
      <c r="H2755" s="516">
        <v>2225964</v>
      </c>
      <c r="I2755" s="512" t="s">
        <v>6915</v>
      </c>
    </row>
    <row r="2756" spans="2:9" ht="15" x14ac:dyDescent="0.35">
      <c r="B2756" s="512" t="s">
        <v>6310</v>
      </c>
      <c r="C2756" s="512" t="s">
        <v>6239</v>
      </c>
      <c r="D2756" s="512" t="s">
        <v>6239</v>
      </c>
      <c r="E2756" s="513">
        <v>8642</v>
      </c>
      <c r="F2756" s="512" t="s">
        <v>2769</v>
      </c>
      <c r="G2756" s="513" t="s">
        <v>29</v>
      </c>
      <c r="H2756" s="516">
        <v>153183</v>
      </c>
      <c r="I2756" s="512" t="s">
        <v>6915</v>
      </c>
    </row>
    <row r="2757" spans="2:9" ht="15" x14ac:dyDescent="0.35">
      <c r="B2757" s="512" t="s">
        <v>6310</v>
      </c>
      <c r="C2757" s="512" t="s">
        <v>6232</v>
      </c>
      <c r="D2757" s="512" t="s">
        <v>6232</v>
      </c>
      <c r="E2757" s="513">
        <v>8644</v>
      </c>
      <c r="F2757" s="512" t="s">
        <v>2770</v>
      </c>
      <c r="G2757" s="513" t="s">
        <v>29</v>
      </c>
      <c r="H2757" s="514">
        <v>5149669</v>
      </c>
      <c r="I2757" s="515" t="s">
        <v>6915</v>
      </c>
    </row>
    <row r="2758" spans="2:9" ht="15" x14ac:dyDescent="0.35">
      <c r="B2758" s="512" t="s">
        <v>6310</v>
      </c>
      <c r="C2758" s="512" t="s">
        <v>6239</v>
      </c>
      <c r="D2758" s="512" t="s">
        <v>6239</v>
      </c>
      <c r="E2758" s="513">
        <v>8645</v>
      </c>
      <c r="F2758" s="512" t="s">
        <v>2771</v>
      </c>
      <c r="G2758" s="513" t="s">
        <v>29</v>
      </c>
      <c r="H2758" s="514">
        <v>3063571</v>
      </c>
      <c r="I2758" s="515" t="s">
        <v>6915</v>
      </c>
    </row>
    <row r="2759" spans="2:9" ht="15" x14ac:dyDescent="0.35">
      <c r="B2759" s="512" t="s">
        <v>6310</v>
      </c>
      <c r="C2759" s="512" t="s">
        <v>6239</v>
      </c>
      <c r="D2759" s="512" t="s">
        <v>6239</v>
      </c>
      <c r="E2759" s="513">
        <v>8647</v>
      </c>
      <c r="F2759" s="512" t="s">
        <v>2772</v>
      </c>
      <c r="G2759" s="513" t="s">
        <v>29</v>
      </c>
      <c r="H2759" s="514">
        <v>6112710</v>
      </c>
      <c r="I2759" s="515" t="s">
        <v>6915</v>
      </c>
    </row>
    <row r="2760" spans="2:9" ht="15" x14ac:dyDescent="0.35">
      <c r="B2760" s="512" t="s">
        <v>6310</v>
      </c>
      <c r="C2760" s="512" t="s">
        <v>6240</v>
      </c>
      <c r="D2760" s="512" t="s">
        <v>6241</v>
      </c>
      <c r="E2760" s="513">
        <v>8648</v>
      </c>
      <c r="F2760" s="512" t="s">
        <v>2773</v>
      </c>
      <c r="G2760" s="513" t="s">
        <v>26</v>
      </c>
      <c r="H2760" s="514">
        <v>690169</v>
      </c>
      <c r="I2760" s="515" t="s">
        <v>6915</v>
      </c>
    </row>
    <row r="2761" spans="2:9" ht="15" x14ac:dyDescent="0.35">
      <c r="B2761" s="512" t="s">
        <v>6310</v>
      </c>
      <c r="C2761" s="512" t="s">
        <v>6240</v>
      </c>
      <c r="D2761" s="512" t="s">
        <v>6241</v>
      </c>
      <c r="E2761" s="513">
        <v>8649</v>
      </c>
      <c r="F2761" s="512" t="s">
        <v>2774</v>
      </c>
      <c r="G2761" s="513" t="s">
        <v>26</v>
      </c>
      <c r="H2761" s="514">
        <v>575407</v>
      </c>
      <c r="I2761" s="515" t="s">
        <v>6915</v>
      </c>
    </row>
    <row r="2762" spans="2:9" ht="15" x14ac:dyDescent="0.35">
      <c r="B2762" s="512" t="s">
        <v>6310</v>
      </c>
      <c r="C2762" s="512" t="s">
        <v>6252</v>
      </c>
      <c r="D2762" s="512" t="s">
        <v>6252</v>
      </c>
      <c r="E2762" s="513">
        <v>8650</v>
      </c>
      <c r="F2762" s="512" t="s">
        <v>2775</v>
      </c>
      <c r="G2762" s="513" t="s">
        <v>2776</v>
      </c>
      <c r="H2762" s="514">
        <v>70</v>
      </c>
      <c r="I2762" s="515" t="s">
        <v>6425</v>
      </c>
    </row>
    <row r="2763" spans="2:9" ht="15" x14ac:dyDescent="0.35">
      <c r="B2763" s="512" t="s">
        <v>6310</v>
      </c>
      <c r="C2763" s="512" t="s">
        <v>6235</v>
      </c>
      <c r="D2763" s="512" t="s">
        <v>6236</v>
      </c>
      <c r="E2763" s="513">
        <v>8651</v>
      </c>
      <c r="F2763" s="512" t="s">
        <v>2777</v>
      </c>
      <c r="G2763" s="513" t="s">
        <v>29</v>
      </c>
      <c r="H2763" s="514">
        <v>204483</v>
      </c>
      <c r="I2763" s="515" t="s">
        <v>6425</v>
      </c>
    </row>
    <row r="2764" spans="2:9" ht="15" x14ac:dyDescent="0.35">
      <c r="B2764" s="512" t="s">
        <v>6310</v>
      </c>
      <c r="C2764" s="512" t="s">
        <v>6235</v>
      </c>
      <c r="D2764" s="512" t="s">
        <v>6236</v>
      </c>
      <c r="E2764" s="513">
        <v>8652</v>
      </c>
      <c r="F2764" s="512" t="s">
        <v>2778</v>
      </c>
      <c r="G2764" s="513" t="s">
        <v>29</v>
      </c>
      <c r="H2764" s="514">
        <v>160223</v>
      </c>
      <c r="I2764" s="515" t="s">
        <v>6425</v>
      </c>
    </row>
    <row r="2765" spans="2:9" ht="15" x14ac:dyDescent="0.35">
      <c r="B2765" s="512" t="s">
        <v>6310</v>
      </c>
      <c r="C2765" s="512" t="s">
        <v>6235</v>
      </c>
      <c r="D2765" s="512" t="s">
        <v>6236</v>
      </c>
      <c r="E2765" s="513">
        <v>8653</v>
      </c>
      <c r="F2765" s="512" t="s">
        <v>2779</v>
      </c>
      <c r="G2765" s="513" t="s">
        <v>29</v>
      </c>
      <c r="H2765" s="514">
        <v>232050</v>
      </c>
      <c r="I2765" s="515" t="s">
        <v>6425</v>
      </c>
    </row>
    <row r="2766" spans="2:9" ht="15" x14ac:dyDescent="0.35">
      <c r="B2766" s="512" t="s">
        <v>6310</v>
      </c>
      <c r="C2766" s="512" t="s">
        <v>6235</v>
      </c>
      <c r="D2766" s="512" t="s">
        <v>6236</v>
      </c>
      <c r="E2766" s="513">
        <v>8654</v>
      </c>
      <c r="F2766" s="512" t="s">
        <v>2780</v>
      </c>
      <c r="G2766" s="513" t="s">
        <v>29</v>
      </c>
      <c r="H2766" s="514">
        <v>324685</v>
      </c>
      <c r="I2766" s="515" t="s">
        <v>6425</v>
      </c>
    </row>
    <row r="2767" spans="2:9" ht="15" x14ac:dyDescent="0.35">
      <c r="B2767" s="512" t="s">
        <v>6310</v>
      </c>
      <c r="C2767" s="512" t="s">
        <v>6227</v>
      </c>
      <c r="D2767" s="512" t="s">
        <v>6229</v>
      </c>
      <c r="E2767" s="513">
        <v>8655</v>
      </c>
      <c r="F2767" s="512" t="s">
        <v>2781</v>
      </c>
      <c r="G2767" s="513" t="s">
        <v>23</v>
      </c>
      <c r="H2767" s="516">
        <v>107957</v>
      </c>
      <c r="I2767" s="512" t="s">
        <v>6915</v>
      </c>
    </row>
    <row r="2768" spans="2:9" ht="15" x14ac:dyDescent="0.35">
      <c r="B2768" s="512" t="s">
        <v>6310</v>
      </c>
      <c r="C2768" s="512" t="s">
        <v>6252</v>
      </c>
      <c r="D2768" s="512" t="s">
        <v>6252</v>
      </c>
      <c r="E2768" s="513">
        <v>8656</v>
      </c>
      <c r="F2768" s="512" t="s">
        <v>2782</v>
      </c>
      <c r="G2768" s="513" t="s">
        <v>23</v>
      </c>
      <c r="H2768" s="516">
        <v>25458</v>
      </c>
      <c r="I2768" s="512" t="s">
        <v>6915</v>
      </c>
    </row>
    <row r="2769" spans="2:9" ht="15" x14ac:dyDescent="0.35">
      <c r="B2769" s="512" t="s">
        <v>6309</v>
      </c>
      <c r="C2769" s="512" t="s">
        <v>6252</v>
      </c>
      <c r="D2769" s="512" t="s">
        <v>6252</v>
      </c>
      <c r="E2769" s="513">
        <v>8657</v>
      </c>
      <c r="F2769" s="512" t="s">
        <v>2783</v>
      </c>
      <c r="G2769" s="513" t="s">
        <v>21</v>
      </c>
      <c r="H2769" s="516">
        <v>14560</v>
      </c>
      <c r="I2769" s="512" t="s">
        <v>6915</v>
      </c>
    </row>
    <row r="2770" spans="2:9" ht="15" x14ac:dyDescent="0.35">
      <c r="B2770" s="512" t="s">
        <v>6263</v>
      </c>
      <c r="C2770" s="512" t="s">
        <v>6252</v>
      </c>
      <c r="D2770" s="512" t="s">
        <v>6252</v>
      </c>
      <c r="E2770" s="513">
        <v>8659</v>
      </c>
      <c r="F2770" s="512" t="s">
        <v>2784</v>
      </c>
      <c r="G2770" s="513" t="s">
        <v>21</v>
      </c>
      <c r="H2770" s="516">
        <v>23852</v>
      </c>
      <c r="I2770" s="512" t="s">
        <v>6915</v>
      </c>
    </row>
    <row r="2771" spans="2:9" ht="15" x14ac:dyDescent="0.35">
      <c r="B2771" s="512" t="s">
        <v>6263</v>
      </c>
      <c r="C2771" s="512" t="s">
        <v>6252</v>
      </c>
      <c r="D2771" s="512" t="s">
        <v>6252</v>
      </c>
      <c r="E2771" s="513">
        <v>8660</v>
      </c>
      <c r="F2771" s="512" t="s">
        <v>2785</v>
      </c>
      <c r="G2771" s="513" t="s">
        <v>21</v>
      </c>
      <c r="H2771" s="514">
        <v>193940</v>
      </c>
      <c r="I2771" s="515" t="s">
        <v>6915</v>
      </c>
    </row>
    <row r="2772" spans="2:9" ht="15" x14ac:dyDescent="0.35">
      <c r="B2772" s="512" t="s">
        <v>6263</v>
      </c>
      <c r="C2772" s="512" t="s">
        <v>6252</v>
      </c>
      <c r="D2772" s="512" t="s">
        <v>6252</v>
      </c>
      <c r="E2772" s="513">
        <v>8661</v>
      </c>
      <c r="F2772" s="512" t="s">
        <v>2786</v>
      </c>
      <c r="G2772" s="513" t="s">
        <v>21</v>
      </c>
      <c r="H2772" s="516">
        <v>378668</v>
      </c>
      <c r="I2772" s="512" t="s">
        <v>6915</v>
      </c>
    </row>
    <row r="2773" spans="2:9" ht="15" x14ac:dyDescent="0.35">
      <c r="B2773" s="512" t="s">
        <v>6263</v>
      </c>
      <c r="C2773" s="512" t="s">
        <v>6252</v>
      </c>
      <c r="D2773" s="512" t="s">
        <v>6252</v>
      </c>
      <c r="E2773" s="513">
        <v>8662</v>
      </c>
      <c r="F2773" s="512" t="s">
        <v>2787</v>
      </c>
      <c r="G2773" s="513" t="s">
        <v>21</v>
      </c>
      <c r="H2773" s="516">
        <v>581986</v>
      </c>
      <c r="I2773" s="512" t="s">
        <v>6915</v>
      </c>
    </row>
    <row r="2774" spans="2:9" ht="15" x14ac:dyDescent="0.35">
      <c r="B2774" s="512" t="s">
        <v>6263</v>
      </c>
      <c r="C2774" s="512" t="s">
        <v>6252</v>
      </c>
      <c r="D2774" s="512" t="s">
        <v>6252</v>
      </c>
      <c r="E2774" s="513">
        <v>8663</v>
      </c>
      <c r="F2774" s="512" t="s">
        <v>2788</v>
      </c>
      <c r="G2774" s="513" t="s">
        <v>21</v>
      </c>
      <c r="H2774" s="516">
        <v>575268</v>
      </c>
      <c r="I2774" s="512" t="s">
        <v>6915</v>
      </c>
    </row>
    <row r="2775" spans="2:9" ht="15" x14ac:dyDescent="0.35">
      <c r="B2775" s="512" t="s">
        <v>6263</v>
      </c>
      <c r="C2775" s="512" t="s">
        <v>6252</v>
      </c>
      <c r="D2775" s="512" t="s">
        <v>6252</v>
      </c>
      <c r="E2775" s="513">
        <v>8664</v>
      </c>
      <c r="F2775" s="512" t="s">
        <v>2789</v>
      </c>
      <c r="G2775" s="513" t="s">
        <v>21</v>
      </c>
      <c r="H2775" s="516">
        <v>637937</v>
      </c>
      <c r="I2775" s="512" t="s">
        <v>6915</v>
      </c>
    </row>
    <row r="2776" spans="2:9" ht="15" x14ac:dyDescent="0.35">
      <c r="B2776" s="512" t="s">
        <v>6263</v>
      </c>
      <c r="C2776" s="512" t="s">
        <v>6252</v>
      </c>
      <c r="D2776" s="512" t="s">
        <v>6252</v>
      </c>
      <c r="E2776" s="513">
        <v>8665</v>
      </c>
      <c r="F2776" s="512" t="s">
        <v>2790</v>
      </c>
      <c r="G2776" s="513" t="s">
        <v>21</v>
      </c>
      <c r="H2776" s="514">
        <v>657569</v>
      </c>
      <c r="I2776" s="515" t="s">
        <v>6915</v>
      </c>
    </row>
    <row r="2777" spans="2:9" ht="15" x14ac:dyDescent="0.35">
      <c r="B2777" s="512" t="s">
        <v>6263</v>
      </c>
      <c r="C2777" s="512" t="s">
        <v>6252</v>
      </c>
      <c r="D2777" s="512" t="s">
        <v>6252</v>
      </c>
      <c r="E2777" s="513">
        <v>8667</v>
      </c>
      <c r="F2777" s="512" t="s">
        <v>2791</v>
      </c>
      <c r="G2777" s="513" t="s">
        <v>21</v>
      </c>
      <c r="H2777" s="514">
        <v>20371</v>
      </c>
      <c r="I2777" s="515" t="s">
        <v>6915</v>
      </c>
    </row>
    <row r="2778" spans="2:9" ht="15" x14ac:dyDescent="0.35">
      <c r="B2778" s="512" t="s">
        <v>6263</v>
      </c>
      <c r="C2778" s="512" t="s">
        <v>6252</v>
      </c>
      <c r="D2778" s="512" t="s">
        <v>6252</v>
      </c>
      <c r="E2778" s="513">
        <v>8668</v>
      </c>
      <c r="F2778" s="512" t="s">
        <v>2792</v>
      </c>
      <c r="G2778" s="513" t="s">
        <v>21</v>
      </c>
      <c r="H2778" s="514">
        <v>191873</v>
      </c>
      <c r="I2778" s="515" t="s">
        <v>6915</v>
      </c>
    </row>
    <row r="2779" spans="2:9" ht="15" x14ac:dyDescent="0.35">
      <c r="B2779" s="512" t="s">
        <v>6263</v>
      </c>
      <c r="C2779" s="512" t="s">
        <v>6252</v>
      </c>
      <c r="D2779" s="512" t="s">
        <v>6252</v>
      </c>
      <c r="E2779" s="513">
        <v>8669</v>
      </c>
      <c r="F2779" s="512" t="s">
        <v>2793</v>
      </c>
      <c r="G2779" s="513" t="s">
        <v>21</v>
      </c>
      <c r="H2779" s="514">
        <v>252605</v>
      </c>
      <c r="I2779" s="515" t="s">
        <v>6915</v>
      </c>
    </row>
    <row r="2780" spans="2:9" ht="15" x14ac:dyDescent="0.35">
      <c r="B2780" s="512" t="s">
        <v>6263</v>
      </c>
      <c r="C2780" s="512" t="s">
        <v>6252</v>
      </c>
      <c r="D2780" s="512" t="s">
        <v>6252</v>
      </c>
      <c r="E2780" s="513">
        <v>8670</v>
      </c>
      <c r="F2780" s="512" t="s">
        <v>2794</v>
      </c>
      <c r="G2780" s="513" t="s">
        <v>21</v>
      </c>
      <c r="H2780" s="514">
        <v>577197</v>
      </c>
      <c r="I2780" s="515" t="s">
        <v>6915</v>
      </c>
    </row>
    <row r="2781" spans="2:9" ht="15" x14ac:dyDescent="0.35">
      <c r="B2781" s="512" t="s">
        <v>6263</v>
      </c>
      <c r="C2781" s="512" t="s">
        <v>6252</v>
      </c>
      <c r="D2781" s="512" t="s">
        <v>6252</v>
      </c>
      <c r="E2781" s="513">
        <v>8671</v>
      </c>
      <c r="F2781" s="512" t="s">
        <v>2795</v>
      </c>
      <c r="G2781" s="513" t="s">
        <v>21</v>
      </c>
      <c r="H2781" s="516">
        <v>568233</v>
      </c>
      <c r="I2781" s="512" t="s">
        <v>6915</v>
      </c>
    </row>
    <row r="2782" spans="2:9" ht="15" x14ac:dyDescent="0.35">
      <c r="B2782" s="512" t="s">
        <v>6263</v>
      </c>
      <c r="C2782" s="512" t="s">
        <v>6252</v>
      </c>
      <c r="D2782" s="512" t="s">
        <v>6252</v>
      </c>
      <c r="E2782" s="513">
        <v>8672</v>
      </c>
      <c r="F2782" s="512" t="s">
        <v>2796</v>
      </c>
      <c r="G2782" s="513" t="s">
        <v>21</v>
      </c>
      <c r="H2782" s="514">
        <v>632700</v>
      </c>
      <c r="I2782" s="515" t="s">
        <v>6915</v>
      </c>
    </row>
    <row r="2783" spans="2:9" ht="15" x14ac:dyDescent="0.35">
      <c r="B2783" s="512" t="s">
        <v>6263</v>
      </c>
      <c r="C2783" s="512" t="s">
        <v>6252</v>
      </c>
      <c r="D2783" s="512" t="s">
        <v>6252</v>
      </c>
      <c r="E2783" s="513">
        <v>8673</v>
      </c>
      <c r="F2783" s="512" t="s">
        <v>2797</v>
      </c>
      <c r="G2783" s="513" t="s">
        <v>21</v>
      </c>
      <c r="H2783" s="514">
        <v>653011</v>
      </c>
      <c r="I2783" s="515" t="s">
        <v>6915</v>
      </c>
    </row>
    <row r="2784" spans="2:9" ht="15" x14ac:dyDescent="0.35">
      <c r="B2784" s="512" t="s">
        <v>6263</v>
      </c>
      <c r="C2784" s="512" t="s">
        <v>6252</v>
      </c>
      <c r="D2784" s="512" t="s">
        <v>6252</v>
      </c>
      <c r="E2784" s="513">
        <v>8675</v>
      </c>
      <c r="F2784" s="512" t="s">
        <v>2798</v>
      </c>
      <c r="G2784" s="513" t="s">
        <v>21</v>
      </c>
      <c r="H2784" s="516">
        <v>13458</v>
      </c>
      <c r="I2784" s="512" t="s">
        <v>6915</v>
      </c>
    </row>
    <row r="2785" spans="2:9" ht="15" x14ac:dyDescent="0.35">
      <c r="B2785" s="512" t="s">
        <v>6263</v>
      </c>
      <c r="C2785" s="512" t="s">
        <v>6252</v>
      </c>
      <c r="D2785" s="512" t="s">
        <v>6252</v>
      </c>
      <c r="E2785" s="513">
        <v>8676</v>
      </c>
      <c r="F2785" s="512" t="s">
        <v>2799</v>
      </c>
      <c r="G2785" s="513" t="s">
        <v>21</v>
      </c>
      <c r="H2785" s="516">
        <v>129582</v>
      </c>
      <c r="I2785" s="512" t="s">
        <v>6915</v>
      </c>
    </row>
    <row r="2786" spans="2:9" ht="15" x14ac:dyDescent="0.35">
      <c r="B2786" s="512" t="s">
        <v>6263</v>
      </c>
      <c r="C2786" s="512" t="s">
        <v>6252</v>
      </c>
      <c r="D2786" s="512" t="s">
        <v>6252</v>
      </c>
      <c r="E2786" s="513">
        <v>8677</v>
      </c>
      <c r="F2786" s="512" t="s">
        <v>2800</v>
      </c>
      <c r="G2786" s="513" t="s">
        <v>21</v>
      </c>
      <c r="H2786" s="516">
        <v>251949</v>
      </c>
      <c r="I2786" s="512" t="s">
        <v>6915</v>
      </c>
    </row>
    <row r="2787" spans="2:9" ht="15" x14ac:dyDescent="0.35">
      <c r="B2787" s="512" t="s">
        <v>6263</v>
      </c>
      <c r="C2787" s="512" t="s">
        <v>6252</v>
      </c>
      <c r="D2787" s="512" t="s">
        <v>6252</v>
      </c>
      <c r="E2787" s="513">
        <v>8678</v>
      </c>
      <c r="F2787" s="512" t="s">
        <v>2801</v>
      </c>
      <c r="G2787" s="513" t="s">
        <v>21</v>
      </c>
      <c r="H2787" s="514">
        <v>442035</v>
      </c>
      <c r="I2787" s="515" t="s">
        <v>6915</v>
      </c>
    </row>
    <row r="2788" spans="2:9" ht="15" x14ac:dyDescent="0.35">
      <c r="B2788" s="512" t="s">
        <v>6263</v>
      </c>
      <c r="C2788" s="512" t="s">
        <v>6252</v>
      </c>
      <c r="D2788" s="512" t="s">
        <v>6252</v>
      </c>
      <c r="E2788" s="513">
        <v>8679</v>
      </c>
      <c r="F2788" s="512" t="s">
        <v>2802</v>
      </c>
      <c r="G2788" s="513" t="s">
        <v>21</v>
      </c>
      <c r="H2788" s="516">
        <v>529969</v>
      </c>
      <c r="I2788" s="512" t="s">
        <v>6915</v>
      </c>
    </row>
    <row r="2789" spans="2:9" ht="15" x14ac:dyDescent="0.35">
      <c r="B2789" s="512" t="s">
        <v>6263</v>
      </c>
      <c r="C2789" s="512" t="s">
        <v>6252</v>
      </c>
      <c r="D2789" s="512" t="s">
        <v>6252</v>
      </c>
      <c r="E2789" s="513">
        <v>8680</v>
      </c>
      <c r="F2789" s="512" t="s">
        <v>2803</v>
      </c>
      <c r="G2789" s="513" t="s">
        <v>21</v>
      </c>
      <c r="H2789" s="514">
        <v>551764</v>
      </c>
      <c r="I2789" s="515" t="s">
        <v>6915</v>
      </c>
    </row>
    <row r="2790" spans="2:9" ht="15" x14ac:dyDescent="0.35">
      <c r="B2790" s="512" t="s">
        <v>6263</v>
      </c>
      <c r="C2790" s="512" t="s">
        <v>6252</v>
      </c>
      <c r="D2790" s="512" t="s">
        <v>6252</v>
      </c>
      <c r="E2790" s="513">
        <v>8681</v>
      </c>
      <c r="F2790" s="512" t="s">
        <v>2804</v>
      </c>
      <c r="G2790" s="513" t="s">
        <v>21</v>
      </c>
      <c r="H2790" s="516">
        <v>604814</v>
      </c>
      <c r="I2790" s="512" t="s">
        <v>6915</v>
      </c>
    </row>
    <row r="2791" spans="2:9" ht="15" x14ac:dyDescent="0.35">
      <c r="B2791" s="512" t="s">
        <v>6263</v>
      </c>
      <c r="C2791" s="512" t="s">
        <v>6252</v>
      </c>
      <c r="D2791" s="512" t="s">
        <v>6252</v>
      </c>
      <c r="E2791" s="513">
        <v>8683</v>
      </c>
      <c r="F2791" s="512" t="s">
        <v>2805</v>
      </c>
      <c r="G2791" s="513" t="s">
        <v>21</v>
      </c>
      <c r="H2791" s="516">
        <v>13458</v>
      </c>
      <c r="I2791" s="512" t="s">
        <v>6915</v>
      </c>
    </row>
    <row r="2792" spans="2:9" ht="15" x14ac:dyDescent="0.35">
      <c r="B2792" s="512" t="s">
        <v>6263</v>
      </c>
      <c r="C2792" s="512" t="s">
        <v>6252</v>
      </c>
      <c r="D2792" s="512" t="s">
        <v>6252</v>
      </c>
      <c r="E2792" s="513">
        <v>8684</v>
      </c>
      <c r="F2792" s="512" t="s">
        <v>2806</v>
      </c>
      <c r="G2792" s="513" t="s">
        <v>21</v>
      </c>
      <c r="H2792" s="516">
        <v>111663</v>
      </c>
      <c r="I2792" s="512" t="s">
        <v>6915</v>
      </c>
    </row>
    <row r="2793" spans="2:9" ht="15" x14ac:dyDescent="0.35">
      <c r="B2793" s="512" t="s">
        <v>6263</v>
      </c>
      <c r="C2793" s="512" t="s">
        <v>6252</v>
      </c>
      <c r="D2793" s="512" t="s">
        <v>6252</v>
      </c>
      <c r="E2793" s="513">
        <v>8685</v>
      </c>
      <c r="F2793" s="512" t="s">
        <v>2807</v>
      </c>
      <c r="G2793" s="513" t="s">
        <v>21</v>
      </c>
      <c r="H2793" s="514">
        <v>251949</v>
      </c>
      <c r="I2793" s="515" t="s">
        <v>6915</v>
      </c>
    </row>
    <row r="2794" spans="2:9" ht="15" x14ac:dyDescent="0.35">
      <c r="B2794" s="512" t="s">
        <v>6263</v>
      </c>
      <c r="C2794" s="512" t="s">
        <v>6252</v>
      </c>
      <c r="D2794" s="512" t="s">
        <v>6252</v>
      </c>
      <c r="E2794" s="513">
        <v>8686</v>
      </c>
      <c r="F2794" s="512" t="s">
        <v>2808</v>
      </c>
      <c r="G2794" s="513" t="s">
        <v>21</v>
      </c>
      <c r="H2794" s="514">
        <v>398659</v>
      </c>
      <c r="I2794" s="515" t="s">
        <v>6915</v>
      </c>
    </row>
    <row r="2795" spans="2:9" ht="15" x14ac:dyDescent="0.35">
      <c r="B2795" s="512" t="s">
        <v>6263</v>
      </c>
      <c r="C2795" s="512" t="s">
        <v>6252</v>
      </c>
      <c r="D2795" s="512" t="s">
        <v>6252</v>
      </c>
      <c r="E2795" s="513">
        <v>8687</v>
      </c>
      <c r="F2795" s="512" t="s">
        <v>2809</v>
      </c>
      <c r="G2795" s="513" t="s">
        <v>21</v>
      </c>
      <c r="H2795" s="514">
        <v>370429</v>
      </c>
      <c r="I2795" s="515" t="s">
        <v>6915</v>
      </c>
    </row>
    <row r="2796" spans="2:9" ht="15" x14ac:dyDescent="0.35">
      <c r="B2796" s="512" t="s">
        <v>6263</v>
      </c>
      <c r="C2796" s="512" t="s">
        <v>6252</v>
      </c>
      <c r="D2796" s="512" t="s">
        <v>6252</v>
      </c>
      <c r="E2796" s="513">
        <v>8688</v>
      </c>
      <c r="F2796" s="512" t="s">
        <v>2810</v>
      </c>
      <c r="G2796" s="513" t="s">
        <v>21</v>
      </c>
      <c r="H2796" s="514">
        <v>508277</v>
      </c>
      <c r="I2796" s="515" t="s">
        <v>6915</v>
      </c>
    </row>
    <row r="2797" spans="2:9" ht="15" x14ac:dyDescent="0.35">
      <c r="B2797" s="512" t="s">
        <v>6263</v>
      </c>
      <c r="C2797" s="512" t="s">
        <v>6252</v>
      </c>
      <c r="D2797" s="512" t="s">
        <v>6252</v>
      </c>
      <c r="E2797" s="513">
        <v>8689</v>
      </c>
      <c r="F2797" s="512" t="s">
        <v>2811</v>
      </c>
      <c r="G2797" s="513" t="s">
        <v>21</v>
      </c>
      <c r="H2797" s="514">
        <v>445876</v>
      </c>
      <c r="I2797" s="515" t="s">
        <v>6915</v>
      </c>
    </row>
    <row r="2798" spans="2:9" ht="15" x14ac:dyDescent="0.35">
      <c r="B2798" s="512" t="s">
        <v>6263</v>
      </c>
      <c r="C2798" s="512" t="s">
        <v>6252</v>
      </c>
      <c r="D2798" s="512" t="s">
        <v>6252</v>
      </c>
      <c r="E2798" s="513">
        <v>8690</v>
      </c>
      <c r="F2798" s="512" t="s">
        <v>2812</v>
      </c>
      <c r="G2798" s="513" t="s">
        <v>21</v>
      </c>
      <c r="H2798" s="516">
        <v>30516</v>
      </c>
      <c r="I2798" s="512" t="s">
        <v>6915</v>
      </c>
    </row>
    <row r="2799" spans="2:9" ht="15" x14ac:dyDescent="0.35">
      <c r="B2799" s="512" t="s">
        <v>6263</v>
      </c>
      <c r="C2799" s="512" t="s">
        <v>6252</v>
      </c>
      <c r="D2799" s="512" t="s">
        <v>6252</v>
      </c>
      <c r="E2799" s="513">
        <v>8691</v>
      </c>
      <c r="F2799" s="512" t="s">
        <v>2813</v>
      </c>
      <c r="G2799" s="513" t="s">
        <v>21</v>
      </c>
      <c r="H2799" s="516">
        <v>55976</v>
      </c>
      <c r="I2799" s="512" t="s">
        <v>6915</v>
      </c>
    </row>
    <row r="2800" spans="2:9" ht="15" x14ac:dyDescent="0.35">
      <c r="B2800" s="512" t="s">
        <v>6263</v>
      </c>
      <c r="C2800" s="512" t="s">
        <v>6252</v>
      </c>
      <c r="D2800" s="512" t="s">
        <v>6252</v>
      </c>
      <c r="E2800" s="513">
        <v>8692</v>
      </c>
      <c r="F2800" s="512" t="s">
        <v>2814</v>
      </c>
      <c r="G2800" s="513" t="s">
        <v>21</v>
      </c>
      <c r="H2800" s="516">
        <v>74146</v>
      </c>
      <c r="I2800" s="512" t="s">
        <v>6915</v>
      </c>
    </row>
    <row r="2801" spans="2:9" ht="15" x14ac:dyDescent="0.35">
      <c r="B2801" s="512" t="s">
        <v>6263</v>
      </c>
      <c r="C2801" s="512" t="s">
        <v>6252</v>
      </c>
      <c r="D2801" s="512" t="s">
        <v>6252</v>
      </c>
      <c r="E2801" s="513">
        <v>8693</v>
      </c>
      <c r="F2801" s="512" t="s">
        <v>2815</v>
      </c>
      <c r="G2801" s="513" t="s">
        <v>21</v>
      </c>
      <c r="H2801" s="514">
        <v>30298</v>
      </c>
      <c r="I2801" s="515" t="s">
        <v>6915</v>
      </c>
    </row>
    <row r="2802" spans="2:9" ht="15" x14ac:dyDescent="0.35">
      <c r="B2802" s="512" t="s">
        <v>6263</v>
      </c>
      <c r="C2802" s="512" t="s">
        <v>6252</v>
      </c>
      <c r="D2802" s="512" t="s">
        <v>6252</v>
      </c>
      <c r="E2802" s="513">
        <v>8694</v>
      </c>
      <c r="F2802" s="512" t="s">
        <v>2816</v>
      </c>
      <c r="G2802" s="513" t="s">
        <v>21</v>
      </c>
      <c r="H2802" s="516">
        <v>59254</v>
      </c>
      <c r="I2802" s="512" t="s">
        <v>6915</v>
      </c>
    </row>
    <row r="2803" spans="2:9" ht="15" x14ac:dyDescent="0.35">
      <c r="B2803" s="512" t="s">
        <v>6263</v>
      </c>
      <c r="C2803" s="512" t="s">
        <v>6252</v>
      </c>
      <c r="D2803" s="512" t="s">
        <v>6252</v>
      </c>
      <c r="E2803" s="513">
        <v>8695</v>
      </c>
      <c r="F2803" s="512" t="s">
        <v>2817</v>
      </c>
      <c r="G2803" s="513" t="s">
        <v>21</v>
      </c>
      <c r="H2803" s="514">
        <v>74146</v>
      </c>
      <c r="I2803" s="515" t="s">
        <v>6915</v>
      </c>
    </row>
    <row r="2804" spans="2:9" ht="15" x14ac:dyDescent="0.35">
      <c r="B2804" s="512" t="s">
        <v>6263</v>
      </c>
      <c r="C2804" s="512" t="s">
        <v>6252</v>
      </c>
      <c r="D2804" s="512" t="s">
        <v>6252</v>
      </c>
      <c r="E2804" s="513">
        <v>8697</v>
      </c>
      <c r="F2804" s="512" t="s">
        <v>2818</v>
      </c>
      <c r="G2804" s="513" t="s">
        <v>21</v>
      </c>
      <c r="H2804" s="514">
        <v>20338</v>
      </c>
      <c r="I2804" s="515" t="s">
        <v>6915</v>
      </c>
    </row>
    <row r="2805" spans="2:9" ht="15" x14ac:dyDescent="0.35">
      <c r="B2805" s="512" t="s">
        <v>6263</v>
      </c>
      <c r="C2805" s="512" t="s">
        <v>6252</v>
      </c>
      <c r="D2805" s="512" t="s">
        <v>6252</v>
      </c>
      <c r="E2805" s="513">
        <v>8698</v>
      </c>
      <c r="F2805" s="512" t="s">
        <v>2819</v>
      </c>
      <c r="G2805" s="513" t="s">
        <v>21</v>
      </c>
      <c r="H2805" s="514">
        <v>62653</v>
      </c>
      <c r="I2805" s="515" t="s">
        <v>6915</v>
      </c>
    </row>
    <row r="2806" spans="2:9" ht="15" x14ac:dyDescent="0.35">
      <c r="B2806" s="512" t="s">
        <v>6263</v>
      </c>
      <c r="C2806" s="512" t="s">
        <v>6252</v>
      </c>
      <c r="D2806" s="512" t="s">
        <v>6252</v>
      </c>
      <c r="E2806" s="513">
        <v>8699</v>
      </c>
      <c r="F2806" s="512" t="s">
        <v>2820</v>
      </c>
      <c r="G2806" s="513" t="s">
        <v>21</v>
      </c>
      <c r="H2806" s="514">
        <v>202725</v>
      </c>
      <c r="I2806" s="515" t="s">
        <v>6915</v>
      </c>
    </row>
    <row r="2807" spans="2:9" ht="15" x14ac:dyDescent="0.35">
      <c r="B2807" s="512" t="s">
        <v>6263</v>
      </c>
      <c r="C2807" s="512" t="s">
        <v>6252</v>
      </c>
      <c r="D2807" s="512" t="s">
        <v>6252</v>
      </c>
      <c r="E2807" s="513">
        <v>8700</v>
      </c>
      <c r="F2807" s="512" t="s">
        <v>2821</v>
      </c>
      <c r="G2807" s="513" t="s">
        <v>21</v>
      </c>
      <c r="H2807" s="514">
        <v>404185</v>
      </c>
      <c r="I2807" s="515" t="s">
        <v>6915</v>
      </c>
    </row>
    <row r="2808" spans="2:9" ht="15" x14ac:dyDescent="0.35">
      <c r="B2808" s="512" t="s">
        <v>6263</v>
      </c>
      <c r="C2808" s="512" t="s">
        <v>6252</v>
      </c>
      <c r="D2808" s="512" t="s">
        <v>6252</v>
      </c>
      <c r="E2808" s="513">
        <v>8701</v>
      </c>
      <c r="F2808" s="512" t="s">
        <v>2822</v>
      </c>
      <c r="G2808" s="513" t="s">
        <v>21</v>
      </c>
      <c r="H2808" s="516">
        <v>422701</v>
      </c>
      <c r="I2808" s="512" t="s">
        <v>6915</v>
      </c>
    </row>
    <row r="2809" spans="2:9" ht="15" x14ac:dyDescent="0.35">
      <c r="B2809" s="512" t="s">
        <v>6263</v>
      </c>
      <c r="C2809" s="512" t="s">
        <v>6252</v>
      </c>
      <c r="D2809" s="512" t="s">
        <v>6252</v>
      </c>
      <c r="E2809" s="513">
        <v>8702</v>
      </c>
      <c r="F2809" s="512" t="s">
        <v>2823</v>
      </c>
      <c r="G2809" s="513" t="s">
        <v>21</v>
      </c>
      <c r="H2809" s="514">
        <v>459761</v>
      </c>
      <c r="I2809" s="515" t="s">
        <v>6915</v>
      </c>
    </row>
    <row r="2810" spans="2:9" ht="15" x14ac:dyDescent="0.35">
      <c r="B2810" s="512" t="s">
        <v>6263</v>
      </c>
      <c r="C2810" s="512" t="s">
        <v>6252</v>
      </c>
      <c r="D2810" s="512" t="s">
        <v>6252</v>
      </c>
      <c r="E2810" s="513">
        <v>8703</v>
      </c>
      <c r="F2810" s="512" t="s">
        <v>2824</v>
      </c>
      <c r="G2810" s="513" t="s">
        <v>21</v>
      </c>
      <c r="H2810" s="514">
        <v>478652</v>
      </c>
      <c r="I2810" s="515" t="s">
        <v>6915</v>
      </c>
    </row>
    <row r="2811" spans="2:9" ht="15" x14ac:dyDescent="0.35">
      <c r="B2811" s="512" t="s">
        <v>6263</v>
      </c>
      <c r="C2811" s="512" t="s">
        <v>6252</v>
      </c>
      <c r="D2811" s="512" t="s">
        <v>6252</v>
      </c>
      <c r="E2811" s="513">
        <v>8705</v>
      </c>
      <c r="F2811" s="512" t="s">
        <v>2825</v>
      </c>
      <c r="G2811" s="513" t="s">
        <v>21</v>
      </c>
      <c r="H2811" s="514">
        <v>12085</v>
      </c>
      <c r="I2811" s="515" t="s">
        <v>6915</v>
      </c>
    </row>
    <row r="2812" spans="2:9" ht="15" x14ac:dyDescent="0.35">
      <c r="B2812" s="512" t="s">
        <v>6263</v>
      </c>
      <c r="C2812" s="512" t="s">
        <v>6252</v>
      </c>
      <c r="D2812" s="512" t="s">
        <v>6252</v>
      </c>
      <c r="E2812" s="513">
        <v>8706</v>
      </c>
      <c r="F2812" s="512" t="s">
        <v>2826</v>
      </c>
      <c r="G2812" s="513" t="s">
        <v>21</v>
      </c>
      <c r="H2812" s="514">
        <v>36650</v>
      </c>
      <c r="I2812" s="515" t="s">
        <v>6915</v>
      </c>
    </row>
    <row r="2813" spans="2:9" ht="15" x14ac:dyDescent="0.35">
      <c r="B2813" s="512" t="s">
        <v>6263</v>
      </c>
      <c r="C2813" s="512" t="s">
        <v>6252</v>
      </c>
      <c r="D2813" s="512" t="s">
        <v>6252</v>
      </c>
      <c r="E2813" s="513">
        <v>8707</v>
      </c>
      <c r="F2813" s="512" t="s">
        <v>2827</v>
      </c>
      <c r="G2813" s="513" t="s">
        <v>21</v>
      </c>
      <c r="H2813" s="514">
        <v>211851</v>
      </c>
      <c r="I2813" s="515" t="s">
        <v>6915</v>
      </c>
    </row>
    <row r="2814" spans="2:9" ht="15" x14ac:dyDescent="0.35">
      <c r="B2814" s="512" t="s">
        <v>6263</v>
      </c>
      <c r="C2814" s="512" t="s">
        <v>6252</v>
      </c>
      <c r="D2814" s="512" t="s">
        <v>6252</v>
      </c>
      <c r="E2814" s="513">
        <v>8708</v>
      </c>
      <c r="F2814" s="512" t="s">
        <v>2828</v>
      </c>
      <c r="G2814" s="513" t="s">
        <v>21</v>
      </c>
      <c r="H2814" s="514">
        <v>396304</v>
      </c>
      <c r="I2814" s="515" t="s">
        <v>6915</v>
      </c>
    </row>
    <row r="2815" spans="2:9" ht="15" x14ac:dyDescent="0.35">
      <c r="B2815" s="512" t="s">
        <v>6263</v>
      </c>
      <c r="C2815" s="512" t="s">
        <v>6252</v>
      </c>
      <c r="D2815" s="512" t="s">
        <v>6252</v>
      </c>
      <c r="E2815" s="513">
        <v>8709</v>
      </c>
      <c r="F2815" s="512" t="s">
        <v>2829</v>
      </c>
      <c r="G2815" s="513" t="s">
        <v>21</v>
      </c>
      <c r="H2815" s="514">
        <v>442769</v>
      </c>
      <c r="I2815" s="515" t="s">
        <v>6915</v>
      </c>
    </row>
    <row r="2816" spans="2:9" ht="15" x14ac:dyDescent="0.35">
      <c r="B2816" s="512" t="s">
        <v>6263</v>
      </c>
      <c r="C2816" s="512" t="s">
        <v>6252</v>
      </c>
      <c r="D2816" s="512" t="s">
        <v>6252</v>
      </c>
      <c r="E2816" s="513">
        <v>8710</v>
      </c>
      <c r="F2816" s="512" t="s">
        <v>2830</v>
      </c>
      <c r="G2816" s="513" t="s">
        <v>21</v>
      </c>
      <c r="H2816" s="514">
        <v>451830</v>
      </c>
      <c r="I2816" s="515" t="s">
        <v>6915</v>
      </c>
    </row>
    <row r="2817" spans="2:9" ht="15" x14ac:dyDescent="0.35">
      <c r="B2817" s="512" t="s">
        <v>6263</v>
      </c>
      <c r="C2817" s="512" t="s">
        <v>6252</v>
      </c>
      <c r="D2817" s="512" t="s">
        <v>6252</v>
      </c>
      <c r="E2817" s="513">
        <v>8711</v>
      </c>
      <c r="F2817" s="512" t="s">
        <v>2831</v>
      </c>
      <c r="G2817" s="513" t="s">
        <v>21</v>
      </c>
      <c r="H2817" s="514">
        <v>498720</v>
      </c>
      <c r="I2817" s="515" t="s">
        <v>6915</v>
      </c>
    </row>
    <row r="2818" spans="2:9" ht="15" x14ac:dyDescent="0.35">
      <c r="B2818" s="512" t="s">
        <v>6301</v>
      </c>
      <c r="C2818" s="512" t="s">
        <v>6224</v>
      </c>
      <c r="D2818" s="512" t="s">
        <v>6225</v>
      </c>
      <c r="E2818" s="513">
        <v>8712</v>
      </c>
      <c r="F2818" s="512" t="s">
        <v>2832</v>
      </c>
      <c r="G2818" s="513" t="s">
        <v>26</v>
      </c>
      <c r="H2818" s="514">
        <v>414516</v>
      </c>
      <c r="I2818" s="515" t="s">
        <v>6915</v>
      </c>
    </row>
    <row r="2819" spans="2:9" ht="15" x14ac:dyDescent="0.35">
      <c r="B2819" s="512" t="s">
        <v>6301</v>
      </c>
      <c r="C2819" s="512" t="s">
        <v>6224</v>
      </c>
      <c r="D2819" s="512" t="s">
        <v>6225</v>
      </c>
      <c r="E2819" s="513">
        <v>8713</v>
      </c>
      <c r="F2819" s="512" t="s">
        <v>2833</v>
      </c>
      <c r="G2819" s="513" t="s">
        <v>26</v>
      </c>
      <c r="H2819" s="514">
        <v>171771</v>
      </c>
      <c r="I2819" s="515" t="s">
        <v>6915</v>
      </c>
    </row>
    <row r="2820" spans="2:9" ht="15" x14ac:dyDescent="0.35">
      <c r="B2820" s="512" t="s">
        <v>6301</v>
      </c>
      <c r="C2820" s="512" t="s">
        <v>6224</v>
      </c>
      <c r="D2820" s="512" t="s">
        <v>6225</v>
      </c>
      <c r="E2820" s="513">
        <v>8714</v>
      </c>
      <c r="F2820" s="512" t="s">
        <v>2834</v>
      </c>
      <c r="G2820" s="513" t="s">
        <v>26</v>
      </c>
      <c r="H2820" s="514">
        <v>214073</v>
      </c>
      <c r="I2820" s="512" t="s">
        <v>6915</v>
      </c>
    </row>
    <row r="2821" spans="2:9" ht="15" x14ac:dyDescent="0.35">
      <c r="B2821" s="512" t="s">
        <v>6301</v>
      </c>
      <c r="C2821" s="512" t="s">
        <v>6233</v>
      </c>
      <c r="D2821" s="512" t="s">
        <v>6289</v>
      </c>
      <c r="E2821" s="513">
        <v>8715</v>
      </c>
      <c r="F2821" s="512" t="s">
        <v>2835</v>
      </c>
      <c r="G2821" s="513" t="s">
        <v>29</v>
      </c>
      <c r="H2821" s="516">
        <v>772008</v>
      </c>
      <c r="I2821" s="515" t="s">
        <v>6915</v>
      </c>
    </row>
    <row r="2822" spans="2:9" ht="15" x14ac:dyDescent="0.35">
      <c r="B2822" s="512" t="s">
        <v>6301</v>
      </c>
      <c r="C2822" s="512" t="s">
        <v>6224</v>
      </c>
      <c r="D2822" s="512" t="s">
        <v>6225</v>
      </c>
      <c r="E2822" s="513">
        <v>8716</v>
      </c>
      <c r="F2822" s="512" t="s">
        <v>2836</v>
      </c>
      <c r="G2822" s="513" t="s">
        <v>26</v>
      </c>
      <c r="H2822" s="516">
        <v>67172</v>
      </c>
      <c r="I2822" s="515" t="s">
        <v>6915</v>
      </c>
    </row>
    <row r="2823" spans="2:9" ht="15" x14ac:dyDescent="0.35">
      <c r="B2823" s="512" t="s">
        <v>6301</v>
      </c>
      <c r="C2823" s="512" t="s">
        <v>6233</v>
      </c>
      <c r="D2823" s="512" t="s">
        <v>6289</v>
      </c>
      <c r="E2823" s="513">
        <v>8717</v>
      </c>
      <c r="F2823" s="512" t="s">
        <v>2837</v>
      </c>
      <c r="G2823" s="513" t="s">
        <v>29</v>
      </c>
      <c r="H2823" s="514">
        <v>1269256</v>
      </c>
      <c r="I2823" s="515" t="s">
        <v>6915</v>
      </c>
    </row>
    <row r="2824" spans="2:9" ht="15" x14ac:dyDescent="0.35">
      <c r="B2824" s="512" t="s">
        <v>6301</v>
      </c>
      <c r="C2824" s="512" t="s">
        <v>6239</v>
      </c>
      <c r="D2824" s="512" t="s">
        <v>6239</v>
      </c>
      <c r="E2824" s="513">
        <v>8718</v>
      </c>
      <c r="F2824" s="512" t="s">
        <v>2838</v>
      </c>
      <c r="G2824" s="513" t="s">
        <v>29</v>
      </c>
      <c r="H2824" s="514">
        <v>2923080</v>
      </c>
      <c r="I2824" s="515" t="s">
        <v>6915</v>
      </c>
    </row>
    <row r="2825" spans="2:9" ht="15" x14ac:dyDescent="0.35">
      <c r="B2825" s="512" t="s">
        <v>6301</v>
      </c>
      <c r="C2825" s="512" t="s">
        <v>6239</v>
      </c>
      <c r="D2825" s="512" t="s">
        <v>6239</v>
      </c>
      <c r="E2825" s="513">
        <v>8719</v>
      </c>
      <c r="F2825" s="512" t="s">
        <v>2839</v>
      </c>
      <c r="G2825" s="513" t="s">
        <v>29</v>
      </c>
      <c r="H2825" s="514">
        <v>2042131</v>
      </c>
      <c r="I2825" s="515" t="s">
        <v>6915</v>
      </c>
    </row>
    <row r="2826" spans="2:9" ht="15" x14ac:dyDescent="0.35">
      <c r="B2826" s="512" t="s">
        <v>6301</v>
      </c>
      <c r="C2826" s="512" t="s">
        <v>6239</v>
      </c>
      <c r="D2826" s="512" t="s">
        <v>6239</v>
      </c>
      <c r="E2826" s="513">
        <v>8720</v>
      </c>
      <c r="F2826" s="512" t="s">
        <v>2840</v>
      </c>
      <c r="G2826" s="513" t="s">
        <v>29</v>
      </c>
      <c r="H2826" s="514">
        <v>774798</v>
      </c>
      <c r="I2826" s="515" t="s">
        <v>6915</v>
      </c>
    </row>
    <row r="2827" spans="2:9" ht="15" x14ac:dyDescent="0.35">
      <c r="B2827" s="512" t="s">
        <v>6301</v>
      </c>
      <c r="C2827" s="512" t="s">
        <v>6239</v>
      </c>
      <c r="D2827" s="512" t="s">
        <v>6239</v>
      </c>
      <c r="E2827" s="513">
        <v>8722</v>
      </c>
      <c r="F2827" s="512" t="s">
        <v>2841</v>
      </c>
      <c r="G2827" s="513" t="s">
        <v>29</v>
      </c>
      <c r="H2827" s="516">
        <v>228656</v>
      </c>
      <c r="I2827" s="512" t="s">
        <v>6915</v>
      </c>
    </row>
    <row r="2828" spans="2:9" ht="15" x14ac:dyDescent="0.35">
      <c r="B2828" s="512" t="s">
        <v>6301</v>
      </c>
      <c r="C2828" s="512" t="s">
        <v>6235</v>
      </c>
      <c r="D2828" s="512" t="s">
        <v>6236</v>
      </c>
      <c r="E2828" s="513">
        <v>8724</v>
      </c>
      <c r="F2828" s="512" t="s">
        <v>2842</v>
      </c>
      <c r="G2828" s="513" t="s">
        <v>29</v>
      </c>
      <c r="H2828" s="516">
        <v>153259</v>
      </c>
      <c r="I2828" s="512" t="s">
        <v>6425</v>
      </c>
    </row>
    <row r="2829" spans="2:9" ht="15" x14ac:dyDescent="0.35">
      <c r="B2829" s="512" t="s">
        <v>6301</v>
      </c>
      <c r="C2829" s="512" t="s">
        <v>6269</v>
      </c>
      <c r="D2829" s="512" t="s">
        <v>6269</v>
      </c>
      <c r="E2829" s="513">
        <v>8725</v>
      </c>
      <c r="F2829" s="512" t="s">
        <v>2843</v>
      </c>
      <c r="G2829" s="513" t="s">
        <v>26</v>
      </c>
      <c r="H2829" s="516">
        <v>69354</v>
      </c>
      <c r="I2829" s="512" t="s">
        <v>6915</v>
      </c>
    </row>
    <row r="2830" spans="2:9" ht="15" x14ac:dyDescent="0.35">
      <c r="B2830" s="512" t="s">
        <v>6301</v>
      </c>
      <c r="C2830" s="512" t="s">
        <v>6232</v>
      </c>
      <c r="D2830" s="512" t="s">
        <v>6232</v>
      </c>
      <c r="E2830" s="513">
        <v>8726</v>
      </c>
      <c r="F2830" s="512" t="s">
        <v>2844</v>
      </c>
      <c r="G2830" s="513" t="s">
        <v>29</v>
      </c>
      <c r="H2830" s="516">
        <v>1378994</v>
      </c>
      <c r="I2830" s="512" t="s">
        <v>6915</v>
      </c>
    </row>
    <row r="2831" spans="2:9" ht="15" x14ac:dyDescent="0.35">
      <c r="B2831" s="512" t="s">
        <v>6301</v>
      </c>
      <c r="C2831" s="512" t="s">
        <v>6235</v>
      </c>
      <c r="D2831" s="512" t="s">
        <v>6236</v>
      </c>
      <c r="E2831" s="513">
        <v>8727</v>
      </c>
      <c r="F2831" s="512" t="s">
        <v>6447</v>
      </c>
      <c r="G2831" s="513" t="s">
        <v>21</v>
      </c>
      <c r="H2831" s="514">
        <v>797330</v>
      </c>
      <c r="I2831" s="515" t="s">
        <v>6915</v>
      </c>
    </row>
    <row r="2832" spans="2:9" ht="15" x14ac:dyDescent="0.35">
      <c r="B2832" s="512" t="s">
        <v>6301</v>
      </c>
      <c r="C2832" s="512" t="s">
        <v>6239</v>
      </c>
      <c r="D2832" s="512" t="s">
        <v>6239</v>
      </c>
      <c r="E2832" s="513">
        <v>8728</v>
      </c>
      <c r="F2832" s="512" t="s">
        <v>2845</v>
      </c>
      <c r="G2832" s="513" t="s">
        <v>26</v>
      </c>
      <c r="H2832" s="514">
        <v>758403</v>
      </c>
      <c r="I2832" s="515" t="s">
        <v>6425</v>
      </c>
    </row>
    <row r="2833" spans="2:9" ht="15" x14ac:dyDescent="0.35">
      <c r="B2833" s="512" t="s">
        <v>6301</v>
      </c>
      <c r="C2833" s="512" t="s">
        <v>6239</v>
      </c>
      <c r="D2833" s="512" t="s">
        <v>6239</v>
      </c>
      <c r="E2833" s="513">
        <v>8729</v>
      </c>
      <c r="F2833" s="512" t="s">
        <v>2846</v>
      </c>
      <c r="G2833" s="513" t="s">
        <v>26</v>
      </c>
      <c r="H2833" s="514">
        <v>2004311</v>
      </c>
      <c r="I2833" s="515" t="s">
        <v>6915</v>
      </c>
    </row>
    <row r="2834" spans="2:9" ht="15" x14ac:dyDescent="0.35">
      <c r="B2834" s="512" t="s">
        <v>6301</v>
      </c>
      <c r="C2834" s="512" t="s">
        <v>6233</v>
      </c>
      <c r="D2834" s="512" t="s">
        <v>6234</v>
      </c>
      <c r="E2834" s="513">
        <v>8730</v>
      </c>
      <c r="F2834" s="512" t="s">
        <v>2847</v>
      </c>
      <c r="G2834" s="513" t="s">
        <v>29</v>
      </c>
      <c r="H2834" s="514">
        <v>5107308</v>
      </c>
      <c r="I2834" s="515" t="s">
        <v>6915</v>
      </c>
    </row>
    <row r="2835" spans="2:9" ht="15" x14ac:dyDescent="0.35">
      <c r="B2835" s="512" t="s">
        <v>6301</v>
      </c>
      <c r="C2835" s="512" t="s">
        <v>6233</v>
      </c>
      <c r="D2835" s="512" t="s">
        <v>6289</v>
      </c>
      <c r="E2835" s="513">
        <v>8731</v>
      </c>
      <c r="F2835" s="512" t="s">
        <v>2848</v>
      </c>
      <c r="G2835" s="513" t="s">
        <v>29</v>
      </c>
      <c r="H2835" s="516">
        <v>424704</v>
      </c>
      <c r="I2835" s="512" t="s">
        <v>6915</v>
      </c>
    </row>
    <row r="2836" spans="2:9" ht="15" x14ac:dyDescent="0.35">
      <c r="B2836" s="512" t="s">
        <v>6301</v>
      </c>
      <c r="C2836" s="512" t="s">
        <v>6233</v>
      </c>
      <c r="D2836" s="512" t="s">
        <v>6289</v>
      </c>
      <c r="E2836" s="513">
        <v>8732</v>
      </c>
      <c r="F2836" s="512" t="s">
        <v>2849</v>
      </c>
      <c r="G2836" s="513" t="s">
        <v>29</v>
      </c>
      <c r="H2836" s="514">
        <v>716918</v>
      </c>
      <c r="I2836" s="515" t="s">
        <v>6915</v>
      </c>
    </row>
    <row r="2837" spans="2:9" ht="15" x14ac:dyDescent="0.35">
      <c r="B2837" s="512" t="s">
        <v>6301</v>
      </c>
      <c r="C2837" s="512" t="s">
        <v>6224</v>
      </c>
      <c r="D2837" s="512" t="s">
        <v>6225</v>
      </c>
      <c r="E2837" s="513">
        <v>8733</v>
      </c>
      <c r="F2837" s="512" t="s">
        <v>2850</v>
      </c>
      <c r="G2837" s="513" t="s">
        <v>26</v>
      </c>
      <c r="H2837" s="516">
        <v>254336</v>
      </c>
      <c r="I2837" s="512" t="s">
        <v>6915</v>
      </c>
    </row>
    <row r="2838" spans="2:9" ht="15" x14ac:dyDescent="0.35">
      <c r="B2838" s="512" t="s">
        <v>6301</v>
      </c>
      <c r="C2838" s="512" t="s">
        <v>6224</v>
      </c>
      <c r="D2838" s="512" t="s">
        <v>6225</v>
      </c>
      <c r="E2838" s="513">
        <v>8734</v>
      </c>
      <c r="F2838" s="512" t="s">
        <v>2851</v>
      </c>
      <c r="G2838" s="513" t="s">
        <v>26</v>
      </c>
      <c r="H2838" s="514">
        <v>321709</v>
      </c>
      <c r="I2838" s="515" t="s">
        <v>6915</v>
      </c>
    </row>
    <row r="2839" spans="2:9" ht="15" x14ac:dyDescent="0.35">
      <c r="B2839" s="512" t="s">
        <v>6301</v>
      </c>
      <c r="C2839" s="512" t="s">
        <v>6224</v>
      </c>
      <c r="D2839" s="512" t="s">
        <v>6225</v>
      </c>
      <c r="E2839" s="513">
        <v>8735</v>
      </c>
      <c r="F2839" s="512" t="s">
        <v>2852</v>
      </c>
      <c r="G2839" s="513" t="s">
        <v>26</v>
      </c>
      <c r="H2839" s="514">
        <v>684826</v>
      </c>
      <c r="I2839" s="515" t="s">
        <v>6915</v>
      </c>
    </row>
    <row r="2840" spans="2:9" ht="15" x14ac:dyDescent="0.35">
      <c r="B2840" s="512" t="s">
        <v>6301</v>
      </c>
      <c r="C2840" s="512" t="s">
        <v>6224</v>
      </c>
      <c r="D2840" s="512" t="s">
        <v>6225</v>
      </c>
      <c r="E2840" s="513">
        <v>8736</v>
      </c>
      <c r="F2840" s="512" t="s">
        <v>2853</v>
      </c>
      <c r="G2840" s="513" t="s">
        <v>26</v>
      </c>
      <c r="H2840" s="514">
        <v>347702</v>
      </c>
      <c r="I2840" s="515" t="s">
        <v>6915</v>
      </c>
    </row>
    <row r="2841" spans="2:9" ht="15" x14ac:dyDescent="0.35">
      <c r="B2841" s="512" t="s">
        <v>6301</v>
      </c>
      <c r="C2841" s="512" t="s">
        <v>6239</v>
      </c>
      <c r="D2841" s="512" t="s">
        <v>6239</v>
      </c>
      <c r="E2841" s="513">
        <v>8737</v>
      </c>
      <c r="F2841" s="512" t="s">
        <v>2854</v>
      </c>
      <c r="G2841" s="513" t="s">
        <v>29</v>
      </c>
      <c r="H2841" s="514">
        <v>8829</v>
      </c>
      <c r="I2841" s="515" t="s">
        <v>6915</v>
      </c>
    </row>
    <row r="2842" spans="2:9" ht="15" x14ac:dyDescent="0.35">
      <c r="B2842" s="512" t="s">
        <v>6301</v>
      </c>
      <c r="C2842" s="512" t="s">
        <v>6224</v>
      </c>
      <c r="D2842" s="512" t="s">
        <v>6225</v>
      </c>
      <c r="E2842" s="513">
        <v>8738</v>
      </c>
      <c r="F2842" s="512" t="s">
        <v>2855</v>
      </c>
      <c r="G2842" s="513" t="s">
        <v>29</v>
      </c>
      <c r="H2842" s="514">
        <v>438658</v>
      </c>
      <c r="I2842" s="515" t="s">
        <v>6915</v>
      </c>
    </row>
    <row r="2843" spans="2:9" ht="15" x14ac:dyDescent="0.35">
      <c r="B2843" s="512" t="s">
        <v>6301</v>
      </c>
      <c r="C2843" s="512" t="s">
        <v>6224</v>
      </c>
      <c r="D2843" s="512" t="s">
        <v>6225</v>
      </c>
      <c r="E2843" s="513">
        <v>8739</v>
      </c>
      <c r="F2843" s="512" t="s">
        <v>2856</v>
      </c>
      <c r="G2843" s="513" t="s">
        <v>26</v>
      </c>
      <c r="H2843" s="514">
        <v>187343</v>
      </c>
      <c r="I2843" s="515" t="s">
        <v>6915</v>
      </c>
    </row>
    <row r="2844" spans="2:9" ht="15" x14ac:dyDescent="0.35">
      <c r="B2844" s="512" t="s">
        <v>6301</v>
      </c>
      <c r="C2844" s="512" t="s">
        <v>6224</v>
      </c>
      <c r="D2844" s="512" t="s">
        <v>6225</v>
      </c>
      <c r="E2844" s="513">
        <v>8740</v>
      </c>
      <c r="F2844" s="512" t="s">
        <v>2857</v>
      </c>
      <c r="G2844" s="513" t="s">
        <v>26</v>
      </c>
      <c r="H2844" s="514">
        <v>388092</v>
      </c>
      <c r="I2844" s="515" t="s">
        <v>6915</v>
      </c>
    </row>
    <row r="2845" spans="2:9" ht="15" x14ac:dyDescent="0.35">
      <c r="B2845" s="512" t="s">
        <v>6301</v>
      </c>
      <c r="C2845" s="512" t="s">
        <v>6224</v>
      </c>
      <c r="D2845" s="512" t="s">
        <v>6225</v>
      </c>
      <c r="E2845" s="513">
        <v>8741</v>
      </c>
      <c r="F2845" s="512" t="s">
        <v>2858</v>
      </c>
      <c r="G2845" s="513" t="s">
        <v>26</v>
      </c>
      <c r="H2845" s="514">
        <v>120071</v>
      </c>
      <c r="I2845" s="515" t="s">
        <v>6915</v>
      </c>
    </row>
    <row r="2846" spans="2:9" ht="15" x14ac:dyDescent="0.35">
      <c r="B2846" s="512" t="s">
        <v>6301</v>
      </c>
      <c r="C2846" s="512" t="s">
        <v>6224</v>
      </c>
      <c r="D2846" s="512" t="s">
        <v>6225</v>
      </c>
      <c r="E2846" s="513">
        <v>8742</v>
      </c>
      <c r="F2846" s="512" t="s">
        <v>2859</v>
      </c>
      <c r="G2846" s="513" t="s">
        <v>26</v>
      </c>
      <c r="H2846" s="516">
        <v>280709</v>
      </c>
      <c r="I2846" s="512" t="s">
        <v>6915</v>
      </c>
    </row>
    <row r="2847" spans="2:9" ht="15" x14ac:dyDescent="0.35">
      <c r="B2847" s="512" t="s">
        <v>6301</v>
      </c>
      <c r="C2847" s="512" t="s">
        <v>6232</v>
      </c>
      <c r="D2847" s="512" t="s">
        <v>6232</v>
      </c>
      <c r="E2847" s="513">
        <v>8743</v>
      </c>
      <c r="F2847" s="512" t="s">
        <v>2860</v>
      </c>
      <c r="G2847" s="513" t="s">
        <v>29</v>
      </c>
      <c r="H2847" s="514">
        <v>5646890</v>
      </c>
      <c r="I2847" s="515" t="s">
        <v>6915</v>
      </c>
    </row>
    <row r="2848" spans="2:9" ht="15" x14ac:dyDescent="0.35">
      <c r="B2848" s="512" t="s">
        <v>6301</v>
      </c>
      <c r="C2848" s="512" t="s">
        <v>6239</v>
      </c>
      <c r="D2848" s="512" t="s">
        <v>6239</v>
      </c>
      <c r="E2848" s="513">
        <v>8744</v>
      </c>
      <c r="F2848" s="512" t="s">
        <v>2861</v>
      </c>
      <c r="G2848" s="513" t="s">
        <v>29</v>
      </c>
      <c r="H2848" s="514">
        <v>2609494</v>
      </c>
      <c r="I2848" s="515" t="s">
        <v>6915</v>
      </c>
    </row>
    <row r="2849" spans="2:9" ht="15" x14ac:dyDescent="0.35">
      <c r="B2849" s="512" t="s">
        <v>6301</v>
      </c>
      <c r="C2849" s="512" t="s">
        <v>6233</v>
      </c>
      <c r="D2849" s="512" t="s">
        <v>6261</v>
      </c>
      <c r="E2849" s="513">
        <v>8745</v>
      </c>
      <c r="F2849" s="512" t="s">
        <v>2862</v>
      </c>
      <c r="G2849" s="513" t="s">
        <v>29</v>
      </c>
      <c r="H2849" s="514">
        <v>4443670</v>
      </c>
      <c r="I2849" s="515" t="s">
        <v>6915</v>
      </c>
    </row>
    <row r="2850" spans="2:9" ht="15" x14ac:dyDescent="0.35">
      <c r="B2850" s="512" t="s">
        <v>6301</v>
      </c>
      <c r="C2850" s="512" t="s">
        <v>6233</v>
      </c>
      <c r="D2850" s="512" t="s">
        <v>6261</v>
      </c>
      <c r="E2850" s="513">
        <v>8746</v>
      </c>
      <c r="F2850" s="512" t="s">
        <v>2863</v>
      </c>
      <c r="G2850" s="513" t="s">
        <v>29</v>
      </c>
      <c r="H2850" s="514">
        <v>1396418</v>
      </c>
      <c r="I2850" s="515" t="s">
        <v>6915</v>
      </c>
    </row>
    <row r="2851" spans="2:9" ht="15" x14ac:dyDescent="0.35">
      <c r="B2851" s="512" t="s">
        <v>6301</v>
      </c>
      <c r="C2851" s="512" t="s">
        <v>6233</v>
      </c>
      <c r="D2851" s="512" t="s">
        <v>6261</v>
      </c>
      <c r="E2851" s="513">
        <v>8747</v>
      </c>
      <c r="F2851" s="512" t="s">
        <v>2864</v>
      </c>
      <c r="G2851" s="513" t="s">
        <v>29</v>
      </c>
      <c r="H2851" s="514">
        <v>904272</v>
      </c>
      <c r="I2851" s="515" t="s">
        <v>6915</v>
      </c>
    </row>
    <row r="2852" spans="2:9" ht="15" x14ac:dyDescent="0.35">
      <c r="B2852" s="512" t="s">
        <v>6301</v>
      </c>
      <c r="C2852" s="512" t="s">
        <v>6232</v>
      </c>
      <c r="D2852" s="512" t="s">
        <v>6232</v>
      </c>
      <c r="E2852" s="513">
        <v>8748</v>
      </c>
      <c r="F2852" s="512" t="s">
        <v>2865</v>
      </c>
      <c r="G2852" s="513" t="s">
        <v>29</v>
      </c>
      <c r="H2852" s="514">
        <v>655166</v>
      </c>
      <c r="I2852" s="515" t="s">
        <v>6915</v>
      </c>
    </row>
    <row r="2853" spans="2:9" ht="15" x14ac:dyDescent="0.35">
      <c r="B2853" s="512" t="s">
        <v>6301</v>
      </c>
      <c r="C2853" s="512" t="s">
        <v>6232</v>
      </c>
      <c r="D2853" s="512" t="s">
        <v>6232</v>
      </c>
      <c r="E2853" s="513">
        <v>8749</v>
      </c>
      <c r="F2853" s="512" t="s">
        <v>2866</v>
      </c>
      <c r="G2853" s="513" t="s">
        <v>29</v>
      </c>
      <c r="H2853" s="514">
        <v>235706</v>
      </c>
      <c r="I2853" s="515" t="s">
        <v>6915</v>
      </c>
    </row>
    <row r="2854" spans="2:9" ht="15" x14ac:dyDescent="0.35">
      <c r="B2854" s="512" t="s">
        <v>6301</v>
      </c>
      <c r="C2854" s="512" t="s">
        <v>6239</v>
      </c>
      <c r="D2854" s="512" t="s">
        <v>6239</v>
      </c>
      <c r="E2854" s="513">
        <v>8750</v>
      </c>
      <c r="F2854" s="512" t="s">
        <v>2867</v>
      </c>
      <c r="G2854" s="513" t="s">
        <v>29</v>
      </c>
      <c r="H2854" s="514">
        <v>1738875</v>
      </c>
      <c r="I2854" s="515" t="s">
        <v>6915</v>
      </c>
    </row>
    <row r="2855" spans="2:9" ht="15" x14ac:dyDescent="0.35">
      <c r="B2855" s="512" t="s">
        <v>6301</v>
      </c>
      <c r="C2855" s="512" t="s">
        <v>6237</v>
      </c>
      <c r="D2855" s="512" t="s">
        <v>6276</v>
      </c>
      <c r="E2855" s="513">
        <v>8753</v>
      </c>
      <c r="F2855" s="512" t="s">
        <v>2868</v>
      </c>
      <c r="G2855" s="513" t="s">
        <v>29</v>
      </c>
      <c r="H2855" s="514">
        <v>179522</v>
      </c>
      <c r="I2855" s="515" t="s">
        <v>6915</v>
      </c>
    </row>
    <row r="2856" spans="2:9" ht="15" x14ac:dyDescent="0.35">
      <c r="B2856" s="512" t="s">
        <v>6301</v>
      </c>
      <c r="C2856" s="512" t="s">
        <v>6237</v>
      </c>
      <c r="D2856" s="512" t="s">
        <v>6276</v>
      </c>
      <c r="E2856" s="513">
        <v>8754</v>
      </c>
      <c r="F2856" s="512" t="s">
        <v>2869</v>
      </c>
      <c r="G2856" s="513" t="s">
        <v>29</v>
      </c>
      <c r="H2856" s="514">
        <v>86526</v>
      </c>
      <c r="I2856" s="515" t="s">
        <v>6915</v>
      </c>
    </row>
    <row r="2857" spans="2:9" ht="15" x14ac:dyDescent="0.35">
      <c r="B2857" s="512" t="s">
        <v>6301</v>
      </c>
      <c r="C2857" s="512" t="s">
        <v>6237</v>
      </c>
      <c r="D2857" s="512" t="s">
        <v>6276</v>
      </c>
      <c r="E2857" s="513">
        <v>8755</v>
      </c>
      <c r="F2857" s="512" t="s">
        <v>2870</v>
      </c>
      <c r="G2857" s="513" t="s">
        <v>29</v>
      </c>
      <c r="H2857" s="514">
        <v>41927</v>
      </c>
      <c r="I2857" s="515" t="s">
        <v>6915</v>
      </c>
    </row>
    <row r="2858" spans="2:9" ht="15" x14ac:dyDescent="0.35">
      <c r="B2858" s="512" t="s">
        <v>6301</v>
      </c>
      <c r="C2858" s="512" t="s">
        <v>6237</v>
      </c>
      <c r="D2858" s="512" t="s">
        <v>6276</v>
      </c>
      <c r="E2858" s="513">
        <v>8756</v>
      </c>
      <c r="F2858" s="512" t="s">
        <v>2871</v>
      </c>
      <c r="G2858" s="513" t="s">
        <v>29</v>
      </c>
      <c r="H2858" s="514">
        <v>41927</v>
      </c>
      <c r="I2858" s="515" t="s">
        <v>6915</v>
      </c>
    </row>
    <row r="2859" spans="2:9" ht="15" x14ac:dyDescent="0.35">
      <c r="B2859" s="512" t="s">
        <v>6311</v>
      </c>
      <c r="C2859" s="512" t="s">
        <v>6268</v>
      </c>
      <c r="D2859" s="512" t="s">
        <v>6268</v>
      </c>
      <c r="E2859" s="513">
        <v>8764</v>
      </c>
      <c r="F2859" s="512" t="s">
        <v>2872</v>
      </c>
      <c r="G2859" s="513" t="s">
        <v>1106</v>
      </c>
      <c r="H2859" s="514">
        <v>4443</v>
      </c>
      <c r="I2859" s="515" t="s">
        <v>6915</v>
      </c>
    </row>
    <row r="2860" spans="2:9" ht="15" x14ac:dyDescent="0.35">
      <c r="B2860" s="512" t="s">
        <v>6311</v>
      </c>
      <c r="C2860" s="512" t="s">
        <v>6268</v>
      </c>
      <c r="D2860" s="512" t="s">
        <v>6268</v>
      </c>
      <c r="E2860" s="513">
        <v>8765</v>
      </c>
      <c r="F2860" s="512" t="s">
        <v>2873</v>
      </c>
      <c r="G2860" s="513" t="s">
        <v>1106</v>
      </c>
      <c r="H2860" s="514">
        <v>8093</v>
      </c>
      <c r="I2860" s="515" t="s">
        <v>6915</v>
      </c>
    </row>
    <row r="2861" spans="2:9" ht="15" x14ac:dyDescent="0.35">
      <c r="B2861" s="512" t="s">
        <v>6311</v>
      </c>
      <c r="C2861" s="512" t="s">
        <v>6268</v>
      </c>
      <c r="D2861" s="512" t="s">
        <v>6268</v>
      </c>
      <c r="E2861" s="513">
        <v>8766</v>
      </c>
      <c r="F2861" s="512" t="s">
        <v>2874</v>
      </c>
      <c r="G2861" s="513" t="s">
        <v>1106</v>
      </c>
      <c r="H2861" s="514">
        <v>5858</v>
      </c>
      <c r="I2861" s="515" t="s">
        <v>6915</v>
      </c>
    </row>
    <row r="2862" spans="2:9" ht="15" x14ac:dyDescent="0.35">
      <c r="B2862" s="512" t="s">
        <v>6311</v>
      </c>
      <c r="C2862" s="512" t="s">
        <v>6268</v>
      </c>
      <c r="D2862" s="512" t="s">
        <v>6268</v>
      </c>
      <c r="E2862" s="513">
        <v>8768</v>
      </c>
      <c r="F2862" s="512" t="s">
        <v>2875</v>
      </c>
      <c r="G2862" s="513" t="s">
        <v>1106</v>
      </c>
      <c r="H2862" s="514">
        <v>82500</v>
      </c>
      <c r="I2862" s="515" t="s">
        <v>6915</v>
      </c>
    </row>
    <row r="2863" spans="2:9" ht="15" x14ac:dyDescent="0.35">
      <c r="B2863" s="512" t="s">
        <v>6311</v>
      </c>
      <c r="C2863" s="512" t="s">
        <v>6268</v>
      </c>
      <c r="D2863" s="512" t="s">
        <v>6268</v>
      </c>
      <c r="E2863" s="513">
        <v>8771</v>
      </c>
      <c r="F2863" s="512" t="s">
        <v>2876</v>
      </c>
      <c r="G2863" s="513" t="s">
        <v>1106</v>
      </c>
      <c r="H2863" s="516">
        <v>13388</v>
      </c>
      <c r="I2863" s="515" t="s">
        <v>6425</v>
      </c>
    </row>
    <row r="2864" spans="2:9" ht="15" x14ac:dyDescent="0.35">
      <c r="B2864" s="512" t="s">
        <v>6311</v>
      </c>
      <c r="C2864" s="512" t="s">
        <v>6268</v>
      </c>
      <c r="D2864" s="512" t="s">
        <v>6268</v>
      </c>
      <c r="E2864" s="513">
        <v>8772</v>
      </c>
      <c r="F2864" s="512" t="s">
        <v>2877</v>
      </c>
      <c r="G2864" s="513" t="s">
        <v>1106</v>
      </c>
      <c r="H2864" s="514">
        <v>8163</v>
      </c>
      <c r="I2864" s="515" t="s">
        <v>6915</v>
      </c>
    </row>
    <row r="2865" spans="2:9" ht="15" x14ac:dyDescent="0.35">
      <c r="B2865" s="512" t="s">
        <v>6311</v>
      </c>
      <c r="C2865" s="512" t="s">
        <v>6268</v>
      </c>
      <c r="D2865" s="512" t="s">
        <v>6268</v>
      </c>
      <c r="E2865" s="513">
        <v>8773</v>
      </c>
      <c r="F2865" s="512" t="s">
        <v>2878</v>
      </c>
      <c r="G2865" s="513" t="s">
        <v>1106</v>
      </c>
      <c r="H2865" s="514">
        <v>794576</v>
      </c>
      <c r="I2865" s="515" t="s">
        <v>6915</v>
      </c>
    </row>
    <row r="2866" spans="2:9" ht="15" x14ac:dyDescent="0.35">
      <c r="B2866" s="512" t="s">
        <v>6311</v>
      </c>
      <c r="C2866" s="512" t="s">
        <v>6268</v>
      </c>
      <c r="D2866" s="512" t="s">
        <v>6268</v>
      </c>
      <c r="E2866" s="513">
        <v>8774</v>
      </c>
      <c r="F2866" s="512" t="s">
        <v>2879</v>
      </c>
      <c r="G2866" s="513" t="s">
        <v>1106</v>
      </c>
      <c r="H2866" s="514">
        <v>583892</v>
      </c>
      <c r="I2866" s="515" t="s">
        <v>6915</v>
      </c>
    </row>
    <row r="2867" spans="2:9" ht="15" x14ac:dyDescent="0.35">
      <c r="B2867" s="512" t="s">
        <v>6311</v>
      </c>
      <c r="C2867" s="512" t="s">
        <v>6268</v>
      </c>
      <c r="D2867" s="512" t="s">
        <v>6268</v>
      </c>
      <c r="E2867" s="513">
        <v>8775</v>
      </c>
      <c r="F2867" s="512" t="s">
        <v>2880</v>
      </c>
      <c r="G2867" s="513" t="s">
        <v>1106</v>
      </c>
      <c r="H2867" s="514">
        <v>53843</v>
      </c>
      <c r="I2867" s="515" t="s">
        <v>6915</v>
      </c>
    </row>
    <row r="2868" spans="2:9" ht="15" x14ac:dyDescent="0.35">
      <c r="B2868" s="512" t="s">
        <v>6301</v>
      </c>
      <c r="C2868" s="512" t="s">
        <v>6230</v>
      </c>
      <c r="D2868" s="512" t="s">
        <v>6250</v>
      </c>
      <c r="E2868" s="513">
        <v>8776</v>
      </c>
      <c r="F2868" s="512" t="s">
        <v>2881</v>
      </c>
      <c r="G2868" s="513" t="s">
        <v>26</v>
      </c>
      <c r="H2868" s="516">
        <v>38206</v>
      </c>
      <c r="I2868" s="512" t="s">
        <v>6915</v>
      </c>
    </row>
    <row r="2869" spans="2:9" ht="15" x14ac:dyDescent="0.35">
      <c r="B2869" s="512" t="s">
        <v>6301</v>
      </c>
      <c r="C2869" s="512" t="s">
        <v>6235</v>
      </c>
      <c r="D2869" s="512" t="s">
        <v>6236</v>
      </c>
      <c r="E2869" s="513">
        <v>8779</v>
      </c>
      <c r="F2869" s="512" t="s">
        <v>2882</v>
      </c>
      <c r="G2869" s="513" t="s">
        <v>21</v>
      </c>
      <c r="H2869" s="516">
        <v>3991</v>
      </c>
      <c r="I2869" s="512" t="s">
        <v>6915</v>
      </c>
    </row>
    <row r="2870" spans="2:9" ht="15" x14ac:dyDescent="0.35">
      <c r="B2870" s="512" t="s">
        <v>6301</v>
      </c>
      <c r="C2870" s="512" t="s">
        <v>6235</v>
      </c>
      <c r="D2870" s="512" t="s">
        <v>6236</v>
      </c>
      <c r="E2870" s="513">
        <v>8780</v>
      </c>
      <c r="F2870" s="512" t="s">
        <v>2883</v>
      </c>
      <c r="G2870" s="513" t="s">
        <v>23</v>
      </c>
      <c r="H2870" s="516">
        <v>109359</v>
      </c>
      <c r="I2870" s="512" t="s">
        <v>6915</v>
      </c>
    </row>
    <row r="2871" spans="2:9" ht="15" x14ac:dyDescent="0.35">
      <c r="B2871" s="512" t="s">
        <v>6301</v>
      </c>
      <c r="C2871" s="512" t="s">
        <v>6239</v>
      </c>
      <c r="D2871" s="512" t="s">
        <v>6239</v>
      </c>
      <c r="E2871" s="513">
        <v>8781</v>
      </c>
      <c r="F2871" s="512" t="s">
        <v>2884</v>
      </c>
      <c r="G2871" s="513" t="s">
        <v>29</v>
      </c>
      <c r="H2871" s="514">
        <v>3449696</v>
      </c>
      <c r="I2871" s="515" t="s">
        <v>6915</v>
      </c>
    </row>
    <row r="2872" spans="2:9" ht="15" x14ac:dyDescent="0.35">
      <c r="B2872" s="512" t="s">
        <v>6301</v>
      </c>
      <c r="C2872" s="512" t="s">
        <v>6239</v>
      </c>
      <c r="D2872" s="512" t="s">
        <v>6239</v>
      </c>
      <c r="E2872" s="513">
        <v>8782</v>
      </c>
      <c r="F2872" s="512" t="s">
        <v>2885</v>
      </c>
      <c r="G2872" s="513" t="s">
        <v>29</v>
      </c>
      <c r="H2872" s="516">
        <v>155114</v>
      </c>
      <c r="I2872" s="512" t="s">
        <v>6915</v>
      </c>
    </row>
    <row r="2873" spans="2:9" ht="15" x14ac:dyDescent="0.35">
      <c r="B2873" s="512" t="s">
        <v>6301</v>
      </c>
      <c r="C2873" s="512" t="s">
        <v>6239</v>
      </c>
      <c r="D2873" s="512" t="s">
        <v>6239</v>
      </c>
      <c r="E2873" s="513">
        <v>8785</v>
      </c>
      <c r="F2873" s="512" t="s">
        <v>2886</v>
      </c>
      <c r="G2873" s="513" t="s">
        <v>29</v>
      </c>
      <c r="H2873" s="514">
        <v>702672</v>
      </c>
      <c r="I2873" s="515" t="s">
        <v>6915</v>
      </c>
    </row>
    <row r="2874" spans="2:9" ht="15" x14ac:dyDescent="0.35">
      <c r="B2874" s="512" t="s">
        <v>6301</v>
      </c>
      <c r="C2874" s="512" t="s">
        <v>6239</v>
      </c>
      <c r="D2874" s="512" t="s">
        <v>6239</v>
      </c>
      <c r="E2874" s="513">
        <v>8786</v>
      </c>
      <c r="F2874" s="512" t="s">
        <v>2887</v>
      </c>
      <c r="G2874" s="513" t="s">
        <v>29</v>
      </c>
      <c r="H2874" s="516">
        <v>1121945</v>
      </c>
      <c r="I2874" s="512" t="s">
        <v>6915</v>
      </c>
    </row>
    <row r="2875" spans="2:9" ht="15" x14ac:dyDescent="0.35">
      <c r="B2875" s="512" t="s">
        <v>6301</v>
      </c>
      <c r="C2875" s="512" t="s">
        <v>6239</v>
      </c>
      <c r="D2875" s="512" t="s">
        <v>6239</v>
      </c>
      <c r="E2875" s="513">
        <v>8787</v>
      </c>
      <c r="F2875" s="512" t="s">
        <v>2888</v>
      </c>
      <c r="G2875" s="513" t="s">
        <v>29</v>
      </c>
      <c r="H2875" s="516">
        <v>4055300</v>
      </c>
      <c r="I2875" s="512" t="s">
        <v>6915</v>
      </c>
    </row>
    <row r="2876" spans="2:9" ht="15" x14ac:dyDescent="0.35">
      <c r="B2876" s="512" t="s">
        <v>6301</v>
      </c>
      <c r="C2876" s="512" t="s">
        <v>6239</v>
      </c>
      <c r="D2876" s="512" t="s">
        <v>6239</v>
      </c>
      <c r="E2876" s="513">
        <v>8788</v>
      </c>
      <c r="F2876" s="512" t="s">
        <v>2889</v>
      </c>
      <c r="G2876" s="513" t="s">
        <v>29</v>
      </c>
      <c r="H2876" s="514">
        <v>4055300</v>
      </c>
      <c r="I2876" s="515" t="s">
        <v>6915</v>
      </c>
    </row>
    <row r="2877" spans="2:9" ht="15" x14ac:dyDescent="0.35">
      <c r="B2877" s="512" t="s">
        <v>6301</v>
      </c>
      <c r="C2877" s="512" t="s">
        <v>6235</v>
      </c>
      <c r="D2877" s="512" t="s">
        <v>6236</v>
      </c>
      <c r="E2877" s="513">
        <v>8789</v>
      </c>
      <c r="F2877" s="512" t="s">
        <v>2890</v>
      </c>
      <c r="G2877" s="513" t="s">
        <v>23</v>
      </c>
      <c r="H2877" s="514">
        <v>12487427</v>
      </c>
      <c r="I2877" s="515" t="s">
        <v>6915</v>
      </c>
    </row>
    <row r="2878" spans="2:9" ht="15" x14ac:dyDescent="0.35">
      <c r="B2878" s="512" t="s">
        <v>6301</v>
      </c>
      <c r="C2878" s="512" t="s">
        <v>6252</v>
      </c>
      <c r="D2878" s="512" t="s">
        <v>6252</v>
      </c>
      <c r="E2878" s="513">
        <v>8791</v>
      </c>
      <c r="F2878" s="512" t="s">
        <v>2891</v>
      </c>
      <c r="G2878" s="513" t="s">
        <v>26</v>
      </c>
      <c r="H2878" s="514">
        <v>954919</v>
      </c>
      <c r="I2878" s="515" t="s">
        <v>6915</v>
      </c>
    </row>
    <row r="2879" spans="2:9" ht="15" x14ac:dyDescent="0.35">
      <c r="B2879" s="512" t="s">
        <v>6301</v>
      </c>
      <c r="C2879" s="512" t="s">
        <v>6232</v>
      </c>
      <c r="D2879" s="512" t="s">
        <v>6232</v>
      </c>
      <c r="E2879" s="513">
        <v>8792</v>
      </c>
      <c r="F2879" s="512" t="s">
        <v>2892</v>
      </c>
      <c r="G2879" s="513" t="s">
        <v>26</v>
      </c>
      <c r="H2879" s="516">
        <v>242906</v>
      </c>
      <c r="I2879" s="512" t="s">
        <v>6915</v>
      </c>
    </row>
    <row r="2880" spans="2:9" ht="15" x14ac:dyDescent="0.35">
      <c r="B2880" s="512" t="s">
        <v>6301</v>
      </c>
      <c r="C2880" s="512" t="s">
        <v>6232</v>
      </c>
      <c r="D2880" s="512" t="s">
        <v>6232</v>
      </c>
      <c r="E2880" s="513">
        <v>8793</v>
      </c>
      <c r="F2880" s="512" t="s">
        <v>2893</v>
      </c>
      <c r="G2880" s="513" t="s">
        <v>29</v>
      </c>
      <c r="H2880" s="516">
        <v>260914</v>
      </c>
      <c r="I2880" s="512" t="s">
        <v>6915</v>
      </c>
    </row>
    <row r="2881" spans="2:9" ht="15" x14ac:dyDescent="0.35">
      <c r="B2881" s="512" t="s">
        <v>6301</v>
      </c>
      <c r="C2881" s="512" t="s">
        <v>6239</v>
      </c>
      <c r="D2881" s="512" t="s">
        <v>6239</v>
      </c>
      <c r="E2881" s="513">
        <v>8799</v>
      </c>
      <c r="F2881" s="512" t="s">
        <v>2894</v>
      </c>
      <c r="G2881" s="513" t="s">
        <v>29</v>
      </c>
      <c r="H2881" s="516">
        <v>441945</v>
      </c>
      <c r="I2881" s="512" t="s">
        <v>6915</v>
      </c>
    </row>
    <row r="2882" spans="2:9" ht="15" x14ac:dyDescent="0.35">
      <c r="B2882" s="512" t="s">
        <v>6301</v>
      </c>
      <c r="C2882" s="512" t="s">
        <v>6240</v>
      </c>
      <c r="D2882" s="512" t="s">
        <v>6256</v>
      </c>
      <c r="E2882" s="513">
        <v>8827</v>
      </c>
      <c r="F2882" s="512" t="s">
        <v>2895</v>
      </c>
      <c r="G2882" s="513" t="s">
        <v>21</v>
      </c>
      <c r="H2882" s="516">
        <v>116506</v>
      </c>
      <c r="I2882" s="512" t="s">
        <v>6915</v>
      </c>
    </row>
    <row r="2883" spans="2:9" ht="15" x14ac:dyDescent="0.35">
      <c r="B2883" s="512" t="s">
        <v>6263</v>
      </c>
      <c r="C2883" s="512" t="s">
        <v>6252</v>
      </c>
      <c r="D2883" s="512" t="s">
        <v>6252</v>
      </c>
      <c r="E2883" s="513">
        <v>8830</v>
      </c>
      <c r="F2883" s="512" t="s">
        <v>2896</v>
      </c>
      <c r="G2883" s="513" t="s">
        <v>21</v>
      </c>
      <c r="H2883" s="516">
        <v>44316</v>
      </c>
      <c r="I2883" s="512" t="s">
        <v>6915</v>
      </c>
    </row>
    <row r="2884" spans="2:9" ht="15" x14ac:dyDescent="0.35">
      <c r="B2884" s="512" t="s">
        <v>6263</v>
      </c>
      <c r="C2884" s="512" t="s">
        <v>6252</v>
      </c>
      <c r="D2884" s="512" t="s">
        <v>6252</v>
      </c>
      <c r="E2884" s="513">
        <v>8831</v>
      </c>
      <c r="F2884" s="512" t="s">
        <v>2897</v>
      </c>
      <c r="G2884" s="513" t="s">
        <v>21</v>
      </c>
      <c r="H2884" s="516">
        <v>41796</v>
      </c>
      <c r="I2884" s="512" t="s">
        <v>6915</v>
      </c>
    </row>
    <row r="2885" spans="2:9" ht="15" x14ac:dyDescent="0.35">
      <c r="B2885" s="512" t="s">
        <v>6263</v>
      </c>
      <c r="C2885" s="512" t="s">
        <v>6252</v>
      </c>
      <c r="D2885" s="512" t="s">
        <v>6252</v>
      </c>
      <c r="E2885" s="513">
        <v>8832</v>
      </c>
      <c r="F2885" s="512" t="s">
        <v>2898</v>
      </c>
      <c r="G2885" s="513" t="s">
        <v>21</v>
      </c>
      <c r="H2885" s="516">
        <v>14191</v>
      </c>
      <c r="I2885" s="512" t="s">
        <v>6915</v>
      </c>
    </row>
    <row r="2886" spans="2:9" ht="15" x14ac:dyDescent="0.35">
      <c r="B2886" s="512" t="s">
        <v>6263</v>
      </c>
      <c r="C2886" s="512" t="s">
        <v>6252</v>
      </c>
      <c r="D2886" s="512" t="s">
        <v>6252</v>
      </c>
      <c r="E2886" s="513">
        <v>8833</v>
      </c>
      <c r="F2886" s="512" t="s">
        <v>2899</v>
      </c>
      <c r="G2886" s="513" t="s">
        <v>21</v>
      </c>
      <c r="H2886" s="516">
        <v>17777</v>
      </c>
      <c r="I2886" s="512" t="s">
        <v>6915</v>
      </c>
    </row>
    <row r="2887" spans="2:9" ht="15" x14ac:dyDescent="0.35">
      <c r="B2887" s="512" t="s">
        <v>6263</v>
      </c>
      <c r="C2887" s="512" t="s">
        <v>6252</v>
      </c>
      <c r="D2887" s="512" t="s">
        <v>6252</v>
      </c>
      <c r="E2887" s="513">
        <v>8834</v>
      </c>
      <c r="F2887" s="512" t="s">
        <v>2900</v>
      </c>
      <c r="G2887" s="513" t="s">
        <v>21</v>
      </c>
      <c r="H2887" s="516">
        <v>11974</v>
      </c>
      <c r="I2887" s="515" t="s">
        <v>6915</v>
      </c>
    </row>
    <row r="2888" spans="2:9" ht="15" x14ac:dyDescent="0.35">
      <c r="B2888" s="512" t="s">
        <v>6263</v>
      </c>
      <c r="C2888" s="512" t="s">
        <v>6252</v>
      </c>
      <c r="D2888" s="512" t="s">
        <v>6252</v>
      </c>
      <c r="E2888" s="513">
        <v>8835</v>
      </c>
      <c r="F2888" s="512" t="s">
        <v>2901</v>
      </c>
      <c r="G2888" s="513" t="s">
        <v>21</v>
      </c>
      <c r="H2888" s="516">
        <v>14203</v>
      </c>
      <c r="I2888" s="512" t="s">
        <v>6915</v>
      </c>
    </row>
    <row r="2889" spans="2:9" ht="15" x14ac:dyDescent="0.35">
      <c r="B2889" s="512" t="s">
        <v>6301</v>
      </c>
      <c r="C2889" s="512" t="s">
        <v>6232</v>
      </c>
      <c r="D2889" s="512" t="s">
        <v>6232</v>
      </c>
      <c r="E2889" s="513">
        <v>8951</v>
      </c>
      <c r="F2889" s="512" t="s">
        <v>2902</v>
      </c>
      <c r="G2889" s="513" t="s">
        <v>29</v>
      </c>
      <c r="H2889" s="514">
        <v>542315</v>
      </c>
      <c r="I2889" s="515" t="s">
        <v>6915</v>
      </c>
    </row>
    <row r="2890" spans="2:9" ht="15" x14ac:dyDescent="0.35">
      <c r="B2890" s="512" t="s">
        <v>6301</v>
      </c>
      <c r="C2890" s="512" t="s">
        <v>6240</v>
      </c>
      <c r="D2890" s="512" t="s">
        <v>6275</v>
      </c>
      <c r="E2890" s="513">
        <v>8953</v>
      </c>
      <c r="F2890" s="512" t="s">
        <v>2903</v>
      </c>
      <c r="G2890" s="513" t="s">
        <v>26</v>
      </c>
      <c r="H2890" s="516">
        <v>639161</v>
      </c>
      <c r="I2890" s="512" t="s">
        <v>6915</v>
      </c>
    </row>
    <row r="2891" spans="2:9" ht="15" x14ac:dyDescent="0.35">
      <c r="B2891" s="512" t="s">
        <v>6301</v>
      </c>
      <c r="C2891" s="512" t="s">
        <v>6240</v>
      </c>
      <c r="D2891" s="512" t="s">
        <v>6275</v>
      </c>
      <c r="E2891" s="513">
        <v>8955</v>
      </c>
      <c r="F2891" s="512" t="s">
        <v>2904</v>
      </c>
      <c r="G2891" s="513" t="s">
        <v>26</v>
      </c>
      <c r="H2891" s="514">
        <v>610014</v>
      </c>
      <c r="I2891" s="512" t="s">
        <v>6915</v>
      </c>
    </row>
    <row r="2892" spans="2:9" ht="15" x14ac:dyDescent="0.35">
      <c r="B2892" s="512" t="s">
        <v>6301</v>
      </c>
      <c r="C2892" s="512" t="s">
        <v>6230</v>
      </c>
      <c r="D2892" s="512" t="s">
        <v>6250</v>
      </c>
      <c r="E2892" s="513">
        <v>8958</v>
      </c>
      <c r="F2892" s="512" t="s">
        <v>2905</v>
      </c>
      <c r="G2892" s="513" t="s">
        <v>21</v>
      </c>
      <c r="H2892" s="516">
        <v>130890</v>
      </c>
      <c r="I2892" s="512" t="s">
        <v>6915</v>
      </c>
    </row>
    <row r="2893" spans="2:9" ht="15" x14ac:dyDescent="0.35">
      <c r="B2893" s="512" t="s">
        <v>6301</v>
      </c>
      <c r="C2893" s="512" t="s">
        <v>6268</v>
      </c>
      <c r="D2893" s="512" t="s">
        <v>6268</v>
      </c>
      <c r="E2893" s="513">
        <v>8960</v>
      </c>
      <c r="F2893" s="512" t="s">
        <v>2906</v>
      </c>
      <c r="G2893" s="513" t="s">
        <v>1106</v>
      </c>
      <c r="H2893" s="516">
        <v>82343</v>
      </c>
      <c r="I2893" s="512" t="s">
        <v>6915</v>
      </c>
    </row>
    <row r="2894" spans="2:9" ht="15" x14ac:dyDescent="0.35">
      <c r="B2894" s="512" t="s">
        <v>6301</v>
      </c>
      <c r="C2894" s="512" t="s">
        <v>6268</v>
      </c>
      <c r="D2894" s="512" t="s">
        <v>6268</v>
      </c>
      <c r="E2894" s="513">
        <v>8961</v>
      </c>
      <c r="F2894" s="512" t="s">
        <v>2907</v>
      </c>
      <c r="G2894" s="513" t="s">
        <v>1106</v>
      </c>
      <c r="H2894" s="516">
        <v>74862</v>
      </c>
      <c r="I2894" s="512" t="s">
        <v>6915</v>
      </c>
    </row>
    <row r="2895" spans="2:9" ht="15" x14ac:dyDescent="0.35">
      <c r="B2895" s="512" t="s">
        <v>6301</v>
      </c>
      <c r="C2895" s="512" t="s">
        <v>6268</v>
      </c>
      <c r="D2895" s="512" t="s">
        <v>6268</v>
      </c>
      <c r="E2895" s="513">
        <v>8962</v>
      </c>
      <c r="F2895" s="512" t="s">
        <v>2908</v>
      </c>
      <c r="G2895" s="513" t="s">
        <v>1106</v>
      </c>
      <c r="H2895" s="514">
        <v>7200</v>
      </c>
      <c r="I2895" s="515" t="s">
        <v>6915</v>
      </c>
    </row>
    <row r="2896" spans="2:9" ht="15" x14ac:dyDescent="0.35">
      <c r="B2896" s="512" t="s">
        <v>6301</v>
      </c>
      <c r="C2896" s="512" t="s">
        <v>6268</v>
      </c>
      <c r="D2896" s="512" t="s">
        <v>6268</v>
      </c>
      <c r="E2896" s="513">
        <v>8963</v>
      </c>
      <c r="F2896" s="512" t="s">
        <v>2909</v>
      </c>
      <c r="G2896" s="513" t="s">
        <v>1106</v>
      </c>
      <c r="H2896" s="516">
        <v>4443</v>
      </c>
      <c r="I2896" s="512" t="s">
        <v>6915</v>
      </c>
    </row>
    <row r="2897" spans="2:9" ht="15" x14ac:dyDescent="0.35">
      <c r="B2897" s="512" t="s">
        <v>6301</v>
      </c>
      <c r="C2897" s="512" t="s">
        <v>6268</v>
      </c>
      <c r="D2897" s="512" t="s">
        <v>6268</v>
      </c>
      <c r="E2897" s="513">
        <v>8964</v>
      </c>
      <c r="F2897" s="512" t="s">
        <v>2910</v>
      </c>
      <c r="G2897" s="513" t="s">
        <v>1106</v>
      </c>
      <c r="H2897" s="516">
        <v>665372</v>
      </c>
      <c r="I2897" s="515" t="s">
        <v>6425</v>
      </c>
    </row>
    <row r="2898" spans="2:9" ht="15" x14ac:dyDescent="0.35">
      <c r="B2898" s="512" t="s">
        <v>6301</v>
      </c>
      <c r="C2898" s="512" t="s">
        <v>6268</v>
      </c>
      <c r="D2898" s="512" t="s">
        <v>6268</v>
      </c>
      <c r="E2898" s="513">
        <v>8965</v>
      </c>
      <c r="F2898" s="512" t="s">
        <v>2911</v>
      </c>
      <c r="G2898" s="513" t="s">
        <v>23</v>
      </c>
      <c r="H2898" s="514">
        <v>399826</v>
      </c>
      <c r="I2898" s="515" t="s">
        <v>6915</v>
      </c>
    </row>
    <row r="2899" spans="2:9" ht="15" x14ac:dyDescent="0.35">
      <c r="B2899" s="512" t="s">
        <v>6301</v>
      </c>
      <c r="C2899" s="512" t="s">
        <v>6268</v>
      </c>
      <c r="D2899" s="512" t="s">
        <v>6268</v>
      </c>
      <c r="E2899" s="513">
        <v>8966</v>
      </c>
      <c r="F2899" s="512" t="s">
        <v>2912</v>
      </c>
      <c r="G2899" s="513" t="s">
        <v>1106</v>
      </c>
      <c r="H2899" s="514">
        <v>29093</v>
      </c>
      <c r="I2899" s="512" t="s">
        <v>6915</v>
      </c>
    </row>
    <row r="2900" spans="2:9" ht="15" x14ac:dyDescent="0.35">
      <c r="B2900" s="512" t="s">
        <v>6301</v>
      </c>
      <c r="C2900" s="512" t="s">
        <v>6239</v>
      </c>
      <c r="D2900" s="512" t="s">
        <v>6239</v>
      </c>
      <c r="E2900" s="513">
        <v>8970</v>
      </c>
      <c r="F2900" s="512" t="s">
        <v>2913</v>
      </c>
      <c r="G2900" s="513" t="s">
        <v>29</v>
      </c>
      <c r="H2900" s="514">
        <v>425210</v>
      </c>
      <c r="I2900" s="515" t="s">
        <v>6915</v>
      </c>
    </row>
    <row r="2901" spans="2:9" ht="15" x14ac:dyDescent="0.35">
      <c r="B2901" s="512" t="s">
        <v>6301</v>
      </c>
      <c r="C2901" s="512" t="s">
        <v>6253</v>
      </c>
      <c r="D2901" s="512" t="s">
        <v>6312</v>
      </c>
      <c r="E2901" s="513">
        <v>8972</v>
      </c>
      <c r="F2901" s="512" t="s">
        <v>2914</v>
      </c>
      <c r="G2901" s="513" t="s">
        <v>676</v>
      </c>
      <c r="H2901" s="514">
        <v>251285</v>
      </c>
      <c r="I2901" s="515" t="s">
        <v>6915</v>
      </c>
    </row>
    <row r="2902" spans="2:9" ht="15" x14ac:dyDescent="0.35">
      <c r="B2902" s="512" t="s">
        <v>6313</v>
      </c>
      <c r="C2902" s="512" t="s">
        <v>6224</v>
      </c>
      <c r="D2902" s="512" t="s">
        <v>6225</v>
      </c>
      <c r="E2902" s="513">
        <v>9030</v>
      </c>
      <c r="F2902" s="512" t="s">
        <v>2915</v>
      </c>
      <c r="G2902" s="513" t="s">
        <v>29</v>
      </c>
      <c r="H2902" s="514">
        <v>1250839</v>
      </c>
      <c r="I2902" s="515" t="s">
        <v>6915</v>
      </c>
    </row>
    <row r="2903" spans="2:9" ht="15" x14ac:dyDescent="0.35">
      <c r="B2903" s="512" t="s">
        <v>6313</v>
      </c>
      <c r="C2903" s="512" t="s">
        <v>6224</v>
      </c>
      <c r="D2903" s="512" t="s">
        <v>6225</v>
      </c>
      <c r="E2903" s="513">
        <v>9031</v>
      </c>
      <c r="F2903" s="512" t="s">
        <v>2916</v>
      </c>
      <c r="G2903" s="513" t="s">
        <v>29</v>
      </c>
      <c r="H2903" s="514">
        <v>2424307</v>
      </c>
      <c r="I2903" s="515" t="s">
        <v>6915</v>
      </c>
    </row>
    <row r="2904" spans="2:9" ht="15" x14ac:dyDescent="0.35">
      <c r="B2904" s="512" t="s">
        <v>6313</v>
      </c>
      <c r="C2904" s="512" t="s">
        <v>6224</v>
      </c>
      <c r="D2904" s="512" t="s">
        <v>6225</v>
      </c>
      <c r="E2904" s="513">
        <v>9032</v>
      </c>
      <c r="F2904" s="512" t="s">
        <v>2917</v>
      </c>
      <c r="G2904" s="513" t="s">
        <v>29</v>
      </c>
      <c r="H2904" s="514">
        <v>3981431</v>
      </c>
      <c r="I2904" s="512" t="s">
        <v>6915</v>
      </c>
    </row>
    <row r="2905" spans="2:9" ht="15" x14ac:dyDescent="0.35">
      <c r="B2905" s="512" t="s">
        <v>6313</v>
      </c>
      <c r="C2905" s="512" t="s">
        <v>6224</v>
      </c>
      <c r="D2905" s="512" t="s">
        <v>6225</v>
      </c>
      <c r="E2905" s="513">
        <v>9033</v>
      </c>
      <c r="F2905" s="512" t="s">
        <v>2918</v>
      </c>
      <c r="G2905" s="513" t="s">
        <v>29</v>
      </c>
      <c r="H2905" s="514">
        <v>5304265</v>
      </c>
      <c r="I2905" s="515" t="s">
        <v>6915</v>
      </c>
    </row>
    <row r="2906" spans="2:9" ht="15" x14ac:dyDescent="0.35">
      <c r="B2906" s="512" t="s">
        <v>6313</v>
      </c>
      <c r="C2906" s="512" t="s">
        <v>6224</v>
      </c>
      <c r="D2906" s="512" t="s">
        <v>6225</v>
      </c>
      <c r="E2906" s="513">
        <v>9034</v>
      </c>
      <c r="F2906" s="512" t="s">
        <v>2919</v>
      </c>
      <c r="G2906" s="513" t="s">
        <v>29</v>
      </c>
      <c r="H2906" s="514">
        <v>5330508</v>
      </c>
      <c r="I2906" s="515" t="s">
        <v>6915</v>
      </c>
    </row>
    <row r="2907" spans="2:9" ht="15" x14ac:dyDescent="0.35">
      <c r="B2907" s="512" t="s">
        <v>6313</v>
      </c>
      <c r="C2907" s="512" t="s">
        <v>6224</v>
      </c>
      <c r="D2907" s="512" t="s">
        <v>6225</v>
      </c>
      <c r="E2907" s="513">
        <v>9035</v>
      </c>
      <c r="F2907" s="512" t="s">
        <v>2920</v>
      </c>
      <c r="G2907" s="513" t="s">
        <v>29</v>
      </c>
      <c r="H2907" s="514">
        <v>8411153</v>
      </c>
      <c r="I2907" s="512" t="s">
        <v>6915</v>
      </c>
    </row>
    <row r="2908" spans="2:9" ht="15" x14ac:dyDescent="0.35">
      <c r="B2908" s="512" t="s">
        <v>6313</v>
      </c>
      <c r="C2908" s="512" t="s">
        <v>6264</v>
      </c>
      <c r="D2908" s="512" t="s">
        <v>6264</v>
      </c>
      <c r="E2908" s="513">
        <v>9042</v>
      </c>
      <c r="F2908" s="512" t="s">
        <v>2921</v>
      </c>
      <c r="G2908" s="513" t="s">
        <v>26</v>
      </c>
      <c r="H2908" s="516">
        <v>91209</v>
      </c>
      <c r="I2908" s="512" t="s">
        <v>6915</v>
      </c>
    </row>
    <row r="2909" spans="2:9" ht="15" x14ac:dyDescent="0.35">
      <c r="B2909" s="512" t="s">
        <v>6313</v>
      </c>
      <c r="C2909" s="512" t="s">
        <v>6223</v>
      </c>
      <c r="D2909" s="512" t="s">
        <v>6223</v>
      </c>
      <c r="E2909" s="513">
        <v>9045</v>
      </c>
      <c r="F2909" s="512" t="s">
        <v>2922</v>
      </c>
      <c r="G2909" s="513" t="s">
        <v>26</v>
      </c>
      <c r="H2909" s="514">
        <v>10856</v>
      </c>
      <c r="I2909" s="515" t="s">
        <v>6915</v>
      </c>
    </row>
    <row r="2910" spans="2:9" ht="15" x14ac:dyDescent="0.35">
      <c r="B2910" s="512" t="s">
        <v>6313</v>
      </c>
      <c r="C2910" s="512" t="s">
        <v>6223</v>
      </c>
      <c r="D2910" s="512" t="s">
        <v>6223</v>
      </c>
      <c r="E2910" s="513">
        <v>9046</v>
      </c>
      <c r="F2910" s="512" t="s">
        <v>2923</v>
      </c>
      <c r="G2910" s="513" t="s">
        <v>29</v>
      </c>
      <c r="H2910" s="516">
        <v>40045</v>
      </c>
      <c r="I2910" s="512" t="s">
        <v>6915</v>
      </c>
    </row>
    <row r="2911" spans="2:9" ht="15" x14ac:dyDescent="0.35">
      <c r="B2911" s="512" t="s">
        <v>6313</v>
      </c>
      <c r="C2911" s="512" t="s">
        <v>6223</v>
      </c>
      <c r="D2911" s="512" t="s">
        <v>6223</v>
      </c>
      <c r="E2911" s="513">
        <v>9047</v>
      </c>
      <c r="F2911" s="512" t="s">
        <v>2924</v>
      </c>
      <c r="G2911" s="513" t="s">
        <v>29</v>
      </c>
      <c r="H2911" s="516">
        <v>113949</v>
      </c>
      <c r="I2911" s="512" t="s">
        <v>6915</v>
      </c>
    </row>
    <row r="2912" spans="2:9" ht="15" x14ac:dyDescent="0.35">
      <c r="B2912" s="512" t="s">
        <v>6313</v>
      </c>
      <c r="C2912" s="512" t="s">
        <v>6223</v>
      </c>
      <c r="D2912" s="512" t="s">
        <v>6223</v>
      </c>
      <c r="E2912" s="513">
        <v>9048</v>
      </c>
      <c r="F2912" s="512" t="s">
        <v>2925</v>
      </c>
      <c r="G2912" s="513" t="s">
        <v>26</v>
      </c>
      <c r="H2912" s="516">
        <v>5429</v>
      </c>
      <c r="I2912" s="512" t="s">
        <v>6915</v>
      </c>
    </row>
    <row r="2913" spans="2:9" ht="15" x14ac:dyDescent="0.35">
      <c r="B2913" s="512" t="s">
        <v>6313</v>
      </c>
      <c r="C2913" s="512" t="s">
        <v>6240</v>
      </c>
      <c r="D2913" s="512" t="s">
        <v>6275</v>
      </c>
      <c r="E2913" s="513">
        <v>9052</v>
      </c>
      <c r="F2913" s="512" t="s">
        <v>2926</v>
      </c>
      <c r="G2913" s="513" t="s">
        <v>1803</v>
      </c>
      <c r="H2913" s="514">
        <v>3573</v>
      </c>
      <c r="I2913" s="515" t="s">
        <v>6915</v>
      </c>
    </row>
    <row r="2914" spans="2:9" ht="15" x14ac:dyDescent="0.35">
      <c r="B2914" s="512" t="s">
        <v>6313</v>
      </c>
      <c r="C2914" s="512" t="s">
        <v>6240</v>
      </c>
      <c r="D2914" s="512" t="s">
        <v>6256</v>
      </c>
      <c r="E2914" s="513">
        <v>9055</v>
      </c>
      <c r="F2914" s="512" t="s">
        <v>2927</v>
      </c>
      <c r="G2914" s="513" t="s">
        <v>26</v>
      </c>
      <c r="H2914" s="514">
        <v>19806</v>
      </c>
      <c r="I2914" s="515" t="s">
        <v>6915</v>
      </c>
    </row>
    <row r="2915" spans="2:9" ht="15" x14ac:dyDescent="0.35">
      <c r="B2915" s="512" t="s">
        <v>6313</v>
      </c>
      <c r="C2915" s="512" t="s">
        <v>6264</v>
      </c>
      <c r="D2915" s="512" t="s">
        <v>6265</v>
      </c>
      <c r="E2915" s="513">
        <v>9056</v>
      </c>
      <c r="F2915" s="512" t="s">
        <v>2928</v>
      </c>
      <c r="G2915" s="513" t="s">
        <v>26</v>
      </c>
      <c r="H2915" s="514">
        <v>823706</v>
      </c>
      <c r="I2915" s="515" t="s">
        <v>6915</v>
      </c>
    </row>
    <row r="2916" spans="2:9" ht="15" x14ac:dyDescent="0.35">
      <c r="B2916" s="512" t="s">
        <v>6313</v>
      </c>
      <c r="C2916" s="512" t="s">
        <v>6252</v>
      </c>
      <c r="D2916" s="512" t="s">
        <v>6252</v>
      </c>
      <c r="E2916" s="513">
        <v>9058</v>
      </c>
      <c r="F2916" s="512" t="s">
        <v>2929</v>
      </c>
      <c r="G2916" s="513" t="s">
        <v>21</v>
      </c>
      <c r="H2916" s="514">
        <v>147167</v>
      </c>
      <c r="I2916" s="515" t="s">
        <v>6915</v>
      </c>
    </row>
    <row r="2917" spans="2:9" ht="15" x14ac:dyDescent="0.35">
      <c r="B2917" s="512" t="s">
        <v>6313</v>
      </c>
      <c r="C2917" s="512" t="s">
        <v>6240</v>
      </c>
      <c r="D2917" s="512" t="s">
        <v>6241</v>
      </c>
      <c r="E2917" s="513">
        <v>9072</v>
      </c>
      <c r="F2917" s="512" t="s">
        <v>2930</v>
      </c>
      <c r="G2917" s="513" t="s">
        <v>23</v>
      </c>
      <c r="H2917" s="516">
        <v>1002716</v>
      </c>
      <c r="I2917" s="512" t="s">
        <v>6915</v>
      </c>
    </row>
    <row r="2918" spans="2:9" ht="15" x14ac:dyDescent="0.35">
      <c r="B2918" s="512" t="s">
        <v>6313</v>
      </c>
      <c r="C2918" s="512" t="s">
        <v>6239</v>
      </c>
      <c r="D2918" s="512" t="s">
        <v>6239</v>
      </c>
      <c r="E2918" s="513">
        <v>9075</v>
      </c>
      <c r="F2918" s="512" t="s">
        <v>2931</v>
      </c>
      <c r="G2918" s="513" t="s">
        <v>29</v>
      </c>
      <c r="H2918" s="516">
        <v>3137706</v>
      </c>
      <c r="I2918" s="512" t="s">
        <v>6915</v>
      </c>
    </row>
    <row r="2919" spans="2:9" ht="15" x14ac:dyDescent="0.35">
      <c r="B2919" s="512" t="s">
        <v>6313</v>
      </c>
      <c r="C2919" s="512" t="s">
        <v>6239</v>
      </c>
      <c r="D2919" s="512" t="s">
        <v>6239</v>
      </c>
      <c r="E2919" s="513">
        <v>9076</v>
      </c>
      <c r="F2919" s="512" t="s">
        <v>2932</v>
      </c>
      <c r="G2919" s="513" t="s">
        <v>29</v>
      </c>
      <c r="H2919" s="516">
        <v>11137040</v>
      </c>
      <c r="I2919" s="512" t="s">
        <v>6915</v>
      </c>
    </row>
    <row r="2920" spans="2:9" ht="15" x14ac:dyDescent="0.35">
      <c r="B2920" s="512" t="s">
        <v>6313</v>
      </c>
      <c r="C2920" s="512" t="s">
        <v>6239</v>
      </c>
      <c r="D2920" s="512" t="s">
        <v>6239</v>
      </c>
      <c r="E2920" s="513">
        <v>9077</v>
      </c>
      <c r="F2920" s="512" t="s">
        <v>2933</v>
      </c>
      <c r="G2920" s="513" t="s">
        <v>29</v>
      </c>
      <c r="H2920" s="514">
        <v>841309</v>
      </c>
      <c r="I2920" s="512" t="s">
        <v>6915</v>
      </c>
    </row>
    <row r="2921" spans="2:9" ht="15" x14ac:dyDescent="0.35">
      <c r="B2921" s="512" t="s">
        <v>6313</v>
      </c>
      <c r="C2921" s="512" t="s">
        <v>6242</v>
      </c>
      <c r="D2921" s="512" t="s">
        <v>6255</v>
      </c>
      <c r="E2921" s="513">
        <v>9087</v>
      </c>
      <c r="F2921" s="512" t="s">
        <v>2934</v>
      </c>
      <c r="G2921" s="513" t="s">
        <v>26</v>
      </c>
      <c r="H2921" s="514">
        <v>4005674</v>
      </c>
      <c r="I2921" s="512" t="s">
        <v>6915</v>
      </c>
    </row>
    <row r="2922" spans="2:9" ht="15" x14ac:dyDescent="0.35">
      <c r="B2922" s="512" t="s">
        <v>6313</v>
      </c>
      <c r="C2922" s="512" t="s">
        <v>6242</v>
      </c>
      <c r="D2922" s="512" t="s">
        <v>6255</v>
      </c>
      <c r="E2922" s="513">
        <v>9088</v>
      </c>
      <c r="F2922" s="512" t="s">
        <v>2935</v>
      </c>
      <c r="G2922" s="513" t="s">
        <v>26</v>
      </c>
      <c r="H2922" s="514">
        <v>7185905</v>
      </c>
      <c r="I2922" s="515" t="s">
        <v>6915</v>
      </c>
    </row>
    <row r="2923" spans="2:9" ht="15" x14ac:dyDescent="0.35">
      <c r="B2923" s="512" t="s">
        <v>6313</v>
      </c>
      <c r="C2923" s="512" t="s">
        <v>6240</v>
      </c>
      <c r="D2923" s="512" t="s">
        <v>6241</v>
      </c>
      <c r="E2923" s="513">
        <v>9094</v>
      </c>
      <c r="F2923" s="512" t="s">
        <v>2936</v>
      </c>
      <c r="G2923" s="513" t="s">
        <v>23</v>
      </c>
      <c r="H2923" s="514">
        <v>1163460</v>
      </c>
      <c r="I2923" s="515" t="s">
        <v>6915</v>
      </c>
    </row>
    <row r="2924" spans="2:9" ht="15" x14ac:dyDescent="0.35">
      <c r="B2924" s="512" t="s">
        <v>6313</v>
      </c>
      <c r="C2924" s="512" t="s">
        <v>6240</v>
      </c>
      <c r="D2924" s="512" t="s">
        <v>6241</v>
      </c>
      <c r="E2924" s="513">
        <v>9095</v>
      </c>
      <c r="F2924" s="512" t="s">
        <v>2937</v>
      </c>
      <c r="G2924" s="513" t="s">
        <v>23</v>
      </c>
      <c r="H2924" s="514">
        <v>875426</v>
      </c>
      <c r="I2924" s="515" t="s">
        <v>6915</v>
      </c>
    </row>
    <row r="2925" spans="2:9" ht="15" x14ac:dyDescent="0.35">
      <c r="B2925" s="512" t="s">
        <v>6313</v>
      </c>
      <c r="C2925" s="512" t="s">
        <v>6240</v>
      </c>
      <c r="D2925" s="512" t="s">
        <v>6240</v>
      </c>
      <c r="E2925" s="513">
        <v>9096</v>
      </c>
      <c r="F2925" s="512" t="s">
        <v>2938</v>
      </c>
      <c r="G2925" s="513" t="s">
        <v>23</v>
      </c>
      <c r="H2925" s="514">
        <v>1330922</v>
      </c>
      <c r="I2925" s="515" t="s">
        <v>6915</v>
      </c>
    </row>
    <row r="2926" spans="2:9" ht="15" x14ac:dyDescent="0.35">
      <c r="B2926" s="512" t="s">
        <v>6313</v>
      </c>
      <c r="C2926" s="512" t="s">
        <v>6314</v>
      </c>
      <c r="D2926" s="512" t="s">
        <v>6314</v>
      </c>
      <c r="E2926" s="513">
        <v>9097</v>
      </c>
      <c r="F2926" s="512" t="s">
        <v>2939</v>
      </c>
      <c r="G2926" s="513" t="s">
        <v>29</v>
      </c>
      <c r="H2926" s="514">
        <v>2320500</v>
      </c>
      <c r="I2926" s="512" t="s">
        <v>6915</v>
      </c>
    </row>
    <row r="2927" spans="2:9" ht="15" x14ac:dyDescent="0.35">
      <c r="B2927" s="512" t="s">
        <v>6313</v>
      </c>
      <c r="C2927" s="512" t="s">
        <v>6314</v>
      </c>
      <c r="D2927" s="512" t="s">
        <v>6314</v>
      </c>
      <c r="E2927" s="513">
        <v>9098</v>
      </c>
      <c r="F2927" s="512" t="s">
        <v>2940</v>
      </c>
      <c r="G2927" s="513" t="s">
        <v>29</v>
      </c>
      <c r="H2927" s="514">
        <v>5048618</v>
      </c>
      <c r="I2927" s="515" t="s">
        <v>6915</v>
      </c>
    </row>
    <row r="2928" spans="2:9" ht="15" x14ac:dyDescent="0.35">
      <c r="B2928" s="512" t="s">
        <v>6313</v>
      </c>
      <c r="C2928" s="512" t="s">
        <v>6314</v>
      </c>
      <c r="D2928" s="512" t="s">
        <v>6314</v>
      </c>
      <c r="E2928" s="513">
        <v>9099</v>
      </c>
      <c r="F2928" s="512" t="s">
        <v>2941</v>
      </c>
      <c r="G2928" s="513" t="s">
        <v>29</v>
      </c>
      <c r="H2928" s="514">
        <v>1433935</v>
      </c>
      <c r="I2928" s="515" t="s">
        <v>6915</v>
      </c>
    </row>
    <row r="2929" spans="2:9" ht="15" x14ac:dyDescent="0.35">
      <c r="B2929" s="512" t="s">
        <v>6313</v>
      </c>
      <c r="C2929" s="512" t="s">
        <v>6264</v>
      </c>
      <c r="D2929" s="512" t="s">
        <v>6315</v>
      </c>
      <c r="E2929" s="513">
        <v>9100</v>
      </c>
      <c r="F2929" s="512" t="s">
        <v>2942</v>
      </c>
      <c r="G2929" s="513" t="s">
        <v>29</v>
      </c>
      <c r="H2929" s="514">
        <v>19499839</v>
      </c>
      <c r="I2929" s="515" t="s">
        <v>6915</v>
      </c>
    </row>
    <row r="2930" spans="2:9" ht="15" x14ac:dyDescent="0.35">
      <c r="B2930" s="512" t="s">
        <v>6313</v>
      </c>
      <c r="C2930" s="512" t="s">
        <v>6314</v>
      </c>
      <c r="D2930" s="512" t="s">
        <v>6314</v>
      </c>
      <c r="E2930" s="513">
        <v>9101</v>
      </c>
      <c r="F2930" s="512" t="s">
        <v>2943</v>
      </c>
      <c r="G2930" s="513" t="s">
        <v>29</v>
      </c>
      <c r="H2930" s="514">
        <v>2750000</v>
      </c>
      <c r="I2930" s="515" t="s">
        <v>6915</v>
      </c>
    </row>
    <row r="2931" spans="2:9" ht="15" x14ac:dyDescent="0.35">
      <c r="B2931" s="512" t="s">
        <v>6313</v>
      </c>
      <c r="C2931" s="512" t="s">
        <v>6240</v>
      </c>
      <c r="D2931" s="512" t="s">
        <v>6241</v>
      </c>
      <c r="E2931" s="513">
        <v>9109</v>
      </c>
      <c r="F2931" s="512" t="s">
        <v>2944</v>
      </c>
      <c r="G2931" s="513" t="s">
        <v>23</v>
      </c>
      <c r="H2931" s="514">
        <v>666000</v>
      </c>
      <c r="I2931" s="515" t="s">
        <v>6915</v>
      </c>
    </row>
    <row r="2932" spans="2:9" ht="15" x14ac:dyDescent="0.35">
      <c r="B2932" s="512" t="s">
        <v>6313</v>
      </c>
      <c r="C2932" s="512" t="s">
        <v>6240</v>
      </c>
      <c r="D2932" s="512" t="s">
        <v>6256</v>
      </c>
      <c r="E2932" s="513">
        <v>9122</v>
      </c>
      <c r="F2932" s="512" t="s">
        <v>2945</v>
      </c>
      <c r="G2932" s="513" t="s">
        <v>367</v>
      </c>
      <c r="H2932" s="514">
        <v>6308</v>
      </c>
      <c r="I2932" s="515" t="s">
        <v>6915</v>
      </c>
    </row>
    <row r="2933" spans="2:9" ht="15" x14ac:dyDescent="0.35">
      <c r="B2933" s="512" t="s">
        <v>6316</v>
      </c>
      <c r="C2933" s="512" t="s">
        <v>6317</v>
      </c>
      <c r="D2933" s="512" t="s">
        <v>6317</v>
      </c>
      <c r="E2933" s="513">
        <v>9129</v>
      </c>
      <c r="F2933" s="512" t="s">
        <v>2946</v>
      </c>
      <c r="G2933" s="513" t="s">
        <v>1106</v>
      </c>
      <c r="H2933" s="514">
        <v>491545</v>
      </c>
      <c r="I2933" s="515" t="s">
        <v>6915</v>
      </c>
    </row>
    <row r="2934" spans="2:9" ht="15" x14ac:dyDescent="0.35">
      <c r="B2934" s="512" t="s">
        <v>6316</v>
      </c>
      <c r="C2934" s="512" t="s">
        <v>6317</v>
      </c>
      <c r="D2934" s="512" t="s">
        <v>6317</v>
      </c>
      <c r="E2934" s="513">
        <v>9130</v>
      </c>
      <c r="F2934" s="512" t="s">
        <v>2947</v>
      </c>
      <c r="G2934" s="513" t="s">
        <v>1106</v>
      </c>
      <c r="H2934" s="516">
        <v>689057</v>
      </c>
      <c r="I2934" s="512" t="s">
        <v>6915</v>
      </c>
    </row>
    <row r="2935" spans="2:9" ht="15" x14ac:dyDescent="0.35">
      <c r="B2935" s="512" t="s">
        <v>6316</v>
      </c>
      <c r="C2935" s="512" t="s">
        <v>6317</v>
      </c>
      <c r="D2935" s="512" t="s">
        <v>6317</v>
      </c>
      <c r="E2935" s="513">
        <v>9131</v>
      </c>
      <c r="F2935" s="512" t="s">
        <v>2948</v>
      </c>
      <c r="G2935" s="513" t="s">
        <v>1106</v>
      </c>
      <c r="H2935" s="514">
        <v>579615</v>
      </c>
      <c r="I2935" s="515" t="s">
        <v>6915</v>
      </c>
    </row>
    <row r="2936" spans="2:9" ht="15" x14ac:dyDescent="0.35">
      <c r="B2936" s="512" t="s">
        <v>6316</v>
      </c>
      <c r="C2936" s="512" t="s">
        <v>6317</v>
      </c>
      <c r="D2936" s="512" t="s">
        <v>6317</v>
      </c>
      <c r="E2936" s="513">
        <v>9132</v>
      </c>
      <c r="F2936" s="512" t="s">
        <v>2949</v>
      </c>
      <c r="G2936" s="513" t="s">
        <v>23</v>
      </c>
      <c r="H2936" s="514">
        <v>335988</v>
      </c>
      <c r="I2936" s="512" t="s">
        <v>6915</v>
      </c>
    </row>
    <row r="2937" spans="2:9" ht="15" x14ac:dyDescent="0.35">
      <c r="B2937" s="512" t="s">
        <v>6316</v>
      </c>
      <c r="C2937" s="512" t="s">
        <v>6317</v>
      </c>
      <c r="D2937" s="512" t="s">
        <v>6317</v>
      </c>
      <c r="E2937" s="513">
        <v>9133</v>
      </c>
      <c r="F2937" s="512" t="s">
        <v>6171</v>
      </c>
      <c r="G2937" s="513" t="s">
        <v>1106</v>
      </c>
      <c r="H2937" s="514">
        <v>9385</v>
      </c>
      <c r="I2937" s="515" t="s">
        <v>6915</v>
      </c>
    </row>
    <row r="2938" spans="2:9" ht="15" x14ac:dyDescent="0.35">
      <c r="B2938" s="512" t="s">
        <v>6316</v>
      </c>
      <c r="C2938" s="512" t="s">
        <v>6317</v>
      </c>
      <c r="D2938" s="512" t="s">
        <v>6317</v>
      </c>
      <c r="E2938" s="513">
        <v>9134</v>
      </c>
      <c r="F2938" s="512" t="s">
        <v>2950</v>
      </c>
      <c r="G2938" s="513" t="s">
        <v>1106</v>
      </c>
      <c r="H2938" s="514">
        <v>143032</v>
      </c>
      <c r="I2938" s="515" t="s">
        <v>6915</v>
      </c>
    </row>
    <row r="2939" spans="2:9" ht="15" x14ac:dyDescent="0.35">
      <c r="B2939" s="512" t="s">
        <v>6316</v>
      </c>
      <c r="C2939" s="512" t="s">
        <v>6317</v>
      </c>
      <c r="D2939" s="512" t="s">
        <v>6317</v>
      </c>
      <c r="E2939" s="513">
        <v>9135</v>
      </c>
      <c r="F2939" s="512" t="s">
        <v>2951</v>
      </c>
      <c r="G2939" s="513" t="s">
        <v>1106</v>
      </c>
      <c r="H2939" s="514">
        <v>6051</v>
      </c>
      <c r="I2939" s="512" t="s">
        <v>6915</v>
      </c>
    </row>
    <row r="2940" spans="2:9" ht="15" x14ac:dyDescent="0.35">
      <c r="B2940" s="512" t="s">
        <v>6316</v>
      </c>
      <c r="C2940" s="512" t="s">
        <v>6317</v>
      </c>
      <c r="D2940" s="512" t="s">
        <v>6317</v>
      </c>
      <c r="E2940" s="513">
        <v>9136</v>
      </c>
      <c r="F2940" s="512" t="s">
        <v>2952</v>
      </c>
      <c r="G2940" s="513" t="s">
        <v>1106</v>
      </c>
      <c r="H2940" s="514">
        <v>7148</v>
      </c>
      <c r="I2940" s="515" t="s">
        <v>6915</v>
      </c>
    </row>
    <row r="2941" spans="2:9" ht="15" x14ac:dyDescent="0.35">
      <c r="B2941" s="512" t="s">
        <v>6316</v>
      </c>
      <c r="C2941" s="512" t="s">
        <v>6317</v>
      </c>
      <c r="D2941" s="512" t="s">
        <v>6317</v>
      </c>
      <c r="E2941" s="513">
        <v>9137</v>
      </c>
      <c r="F2941" s="512" t="s">
        <v>2953</v>
      </c>
      <c r="G2941" s="513" t="s">
        <v>1106</v>
      </c>
      <c r="H2941" s="516">
        <v>3734</v>
      </c>
      <c r="I2941" s="515" t="s">
        <v>6915</v>
      </c>
    </row>
    <row r="2942" spans="2:9" ht="15" x14ac:dyDescent="0.35">
      <c r="B2942" s="512" t="s">
        <v>6316</v>
      </c>
      <c r="C2942" s="512" t="s">
        <v>6317</v>
      </c>
      <c r="D2942" s="512" t="s">
        <v>6317</v>
      </c>
      <c r="E2942" s="513">
        <v>9138</v>
      </c>
      <c r="F2942" s="512" t="s">
        <v>2954</v>
      </c>
      <c r="G2942" s="513" t="s">
        <v>1106</v>
      </c>
      <c r="H2942" s="514">
        <v>3734</v>
      </c>
      <c r="I2942" s="515" t="s">
        <v>6915</v>
      </c>
    </row>
    <row r="2943" spans="2:9" ht="15" x14ac:dyDescent="0.35">
      <c r="B2943" s="512" t="s">
        <v>6316</v>
      </c>
      <c r="C2943" s="512" t="s">
        <v>6317</v>
      </c>
      <c r="D2943" s="512" t="s">
        <v>6317</v>
      </c>
      <c r="E2943" s="513">
        <v>9139</v>
      </c>
      <c r="F2943" s="512" t="s">
        <v>2955</v>
      </c>
      <c r="G2943" s="513" t="s">
        <v>1106</v>
      </c>
      <c r="H2943" s="514">
        <v>46222</v>
      </c>
      <c r="I2943" s="515" t="s">
        <v>6915</v>
      </c>
    </row>
    <row r="2944" spans="2:9" ht="15" x14ac:dyDescent="0.35">
      <c r="B2944" s="512" t="s">
        <v>6316</v>
      </c>
      <c r="C2944" s="512" t="s">
        <v>6317</v>
      </c>
      <c r="D2944" s="512" t="s">
        <v>6317</v>
      </c>
      <c r="E2944" s="513">
        <v>9140</v>
      </c>
      <c r="F2944" s="512" t="s">
        <v>2956</v>
      </c>
      <c r="G2944" s="513" t="s">
        <v>1106</v>
      </c>
      <c r="H2944" s="514">
        <v>69196</v>
      </c>
      <c r="I2944" s="515" t="s">
        <v>6915</v>
      </c>
    </row>
    <row r="2945" spans="2:9" ht="15" x14ac:dyDescent="0.35">
      <c r="B2945" s="512" t="s">
        <v>6316</v>
      </c>
      <c r="C2945" s="512" t="s">
        <v>6317</v>
      </c>
      <c r="D2945" s="512" t="s">
        <v>6317</v>
      </c>
      <c r="E2945" s="513">
        <v>9141</v>
      </c>
      <c r="F2945" s="512" t="s">
        <v>2957</v>
      </c>
      <c r="G2945" s="513" t="s">
        <v>1106</v>
      </c>
      <c r="H2945" s="514">
        <v>6801</v>
      </c>
      <c r="I2945" s="515" t="s">
        <v>6915</v>
      </c>
    </row>
    <row r="2946" spans="2:9" ht="15" x14ac:dyDescent="0.35">
      <c r="B2946" s="512" t="s">
        <v>6316</v>
      </c>
      <c r="C2946" s="512" t="s">
        <v>6317</v>
      </c>
      <c r="D2946" s="512" t="s">
        <v>6317</v>
      </c>
      <c r="E2946" s="513">
        <v>9142</v>
      </c>
      <c r="F2946" s="512" t="s">
        <v>2958</v>
      </c>
      <c r="G2946" s="513" t="s">
        <v>1106</v>
      </c>
      <c r="H2946" s="514">
        <v>2554</v>
      </c>
      <c r="I2946" s="515" t="s">
        <v>6915</v>
      </c>
    </row>
    <row r="2947" spans="2:9" ht="15" x14ac:dyDescent="0.35">
      <c r="B2947" s="512" t="s">
        <v>6316</v>
      </c>
      <c r="C2947" s="512" t="s">
        <v>6317</v>
      </c>
      <c r="D2947" s="512" t="s">
        <v>6317</v>
      </c>
      <c r="E2947" s="513">
        <v>9143</v>
      </c>
      <c r="F2947" s="512" t="s">
        <v>2959</v>
      </c>
      <c r="G2947" s="513" t="s">
        <v>1106</v>
      </c>
      <c r="H2947" s="514">
        <v>62910</v>
      </c>
      <c r="I2947" s="515" t="s">
        <v>6915</v>
      </c>
    </row>
    <row r="2948" spans="2:9" ht="15" x14ac:dyDescent="0.35">
      <c r="B2948" s="512" t="s">
        <v>6316</v>
      </c>
      <c r="C2948" s="512" t="s">
        <v>6317</v>
      </c>
      <c r="D2948" s="512" t="s">
        <v>6317</v>
      </c>
      <c r="E2948" s="513">
        <v>9144</v>
      </c>
      <c r="F2948" s="512" t="s">
        <v>2960</v>
      </c>
      <c r="G2948" s="513" t="s">
        <v>1106</v>
      </c>
      <c r="H2948" s="516">
        <v>4923</v>
      </c>
      <c r="I2948" s="515" t="s">
        <v>6915</v>
      </c>
    </row>
    <row r="2949" spans="2:9" ht="15" x14ac:dyDescent="0.35">
      <c r="B2949" s="512" t="s">
        <v>6316</v>
      </c>
      <c r="C2949" s="512" t="s">
        <v>6317</v>
      </c>
      <c r="D2949" s="512" t="s">
        <v>6317</v>
      </c>
      <c r="E2949" s="513">
        <v>9145</v>
      </c>
      <c r="F2949" s="512" t="s">
        <v>2961</v>
      </c>
      <c r="G2949" s="513" t="s">
        <v>1106</v>
      </c>
      <c r="H2949" s="516">
        <v>69328</v>
      </c>
      <c r="I2949" s="515" t="s">
        <v>6915</v>
      </c>
    </row>
    <row r="2950" spans="2:9" ht="15" x14ac:dyDescent="0.35">
      <c r="B2950" s="512" t="s">
        <v>6295</v>
      </c>
      <c r="C2950" s="512" t="s">
        <v>6220</v>
      </c>
      <c r="D2950" s="512" t="s">
        <v>6270</v>
      </c>
      <c r="E2950" s="513">
        <v>9146</v>
      </c>
      <c r="F2950" s="512" t="s">
        <v>2962</v>
      </c>
      <c r="G2950" s="513" t="s">
        <v>21</v>
      </c>
      <c r="H2950" s="514">
        <v>31368</v>
      </c>
      <c r="I2950" s="515" t="s">
        <v>6915</v>
      </c>
    </row>
    <row r="2951" spans="2:9" ht="15" x14ac:dyDescent="0.35">
      <c r="B2951" s="512" t="s">
        <v>6295</v>
      </c>
      <c r="C2951" s="512" t="s">
        <v>6220</v>
      </c>
      <c r="D2951" s="512" t="s">
        <v>6270</v>
      </c>
      <c r="E2951" s="513">
        <v>9147</v>
      </c>
      <c r="F2951" s="512" t="s">
        <v>2963</v>
      </c>
      <c r="G2951" s="513" t="s">
        <v>21</v>
      </c>
      <c r="H2951" s="516">
        <v>34276</v>
      </c>
      <c r="I2951" s="512" t="s">
        <v>6915</v>
      </c>
    </row>
    <row r="2952" spans="2:9" ht="15" x14ac:dyDescent="0.35">
      <c r="B2952" s="512" t="s">
        <v>6295</v>
      </c>
      <c r="C2952" s="512" t="s">
        <v>6268</v>
      </c>
      <c r="D2952" s="512" t="s">
        <v>6268</v>
      </c>
      <c r="E2952" s="513">
        <v>9148</v>
      </c>
      <c r="F2952" s="512" t="s">
        <v>2964</v>
      </c>
      <c r="G2952" s="513" t="s">
        <v>29</v>
      </c>
      <c r="H2952" s="516">
        <v>1249834</v>
      </c>
      <c r="I2952" s="512" t="s">
        <v>6915</v>
      </c>
    </row>
    <row r="2953" spans="2:9" ht="15" x14ac:dyDescent="0.35">
      <c r="B2953" s="512" t="s">
        <v>6316</v>
      </c>
      <c r="C2953" s="512" t="s">
        <v>6317</v>
      </c>
      <c r="D2953" s="512" t="s">
        <v>6317</v>
      </c>
      <c r="E2953" s="513">
        <v>9149</v>
      </c>
      <c r="F2953" s="512" t="s">
        <v>2965</v>
      </c>
      <c r="G2953" s="513" t="s">
        <v>23</v>
      </c>
      <c r="H2953" s="514">
        <v>335988</v>
      </c>
      <c r="I2953" s="512" t="s">
        <v>6915</v>
      </c>
    </row>
    <row r="2954" spans="2:9" ht="15" x14ac:dyDescent="0.35">
      <c r="B2954" s="512" t="s">
        <v>6316</v>
      </c>
      <c r="C2954" s="512" t="s">
        <v>6317</v>
      </c>
      <c r="D2954" s="512" t="s">
        <v>6317</v>
      </c>
      <c r="E2954" s="513">
        <v>9150</v>
      </c>
      <c r="F2954" s="512" t="s">
        <v>2966</v>
      </c>
      <c r="G2954" s="513" t="s">
        <v>1106</v>
      </c>
      <c r="H2954" s="516">
        <v>3734</v>
      </c>
      <c r="I2954" s="515" t="s">
        <v>6915</v>
      </c>
    </row>
    <row r="2955" spans="2:9" ht="15" x14ac:dyDescent="0.35">
      <c r="B2955" s="512" t="s">
        <v>6316</v>
      </c>
      <c r="C2955" s="512" t="s">
        <v>6317</v>
      </c>
      <c r="D2955" s="512" t="s">
        <v>6317</v>
      </c>
      <c r="E2955" s="513">
        <v>9151</v>
      </c>
      <c r="F2955" s="512" t="s">
        <v>2967</v>
      </c>
      <c r="G2955" s="513" t="s">
        <v>1106</v>
      </c>
      <c r="H2955" s="514">
        <v>46222</v>
      </c>
      <c r="I2955" s="515" t="s">
        <v>6915</v>
      </c>
    </row>
    <row r="2956" spans="2:9" ht="15" x14ac:dyDescent="0.35">
      <c r="B2956" s="512" t="s">
        <v>6316</v>
      </c>
      <c r="C2956" s="512" t="s">
        <v>6317</v>
      </c>
      <c r="D2956" s="512" t="s">
        <v>6317</v>
      </c>
      <c r="E2956" s="513">
        <v>9152</v>
      </c>
      <c r="F2956" s="512" t="s">
        <v>2968</v>
      </c>
      <c r="G2956" s="513" t="s">
        <v>1106</v>
      </c>
      <c r="H2956" s="514">
        <v>69196</v>
      </c>
      <c r="I2956" s="512" t="s">
        <v>6915</v>
      </c>
    </row>
    <row r="2957" spans="2:9" ht="15" x14ac:dyDescent="0.35">
      <c r="B2957" s="512" t="s">
        <v>6316</v>
      </c>
      <c r="C2957" s="512" t="s">
        <v>6317</v>
      </c>
      <c r="D2957" s="512" t="s">
        <v>6317</v>
      </c>
      <c r="E2957" s="513">
        <v>9153</v>
      </c>
      <c r="F2957" s="512" t="s">
        <v>2969</v>
      </c>
      <c r="G2957" s="513" t="s">
        <v>1106</v>
      </c>
      <c r="H2957" s="514">
        <v>442668</v>
      </c>
      <c r="I2957" s="512" t="s">
        <v>6915</v>
      </c>
    </row>
    <row r="2958" spans="2:9" ht="15" x14ac:dyDescent="0.35">
      <c r="B2958" s="512" t="s">
        <v>6316</v>
      </c>
      <c r="C2958" s="512" t="s">
        <v>6317</v>
      </c>
      <c r="D2958" s="512" t="s">
        <v>6317</v>
      </c>
      <c r="E2958" s="513">
        <v>9154</v>
      </c>
      <c r="F2958" s="512" t="s">
        <v>2970</v>
      </c>
      <c r="G2958" s="513" t="s">
        <v>1106</v>
      </c>
      <c r="H2958" s="514">
        <v>6051</v>
      </c>
      <c r="I2958" s="512" t="s">
        <v>6915</v>
      </c>
    </row>
    <row r="2959" spans="2:9" ht="15" x14ac:dyDescent="0.35">
      <c r="B2959" s="512" t="s">
        <v>6318</v>
      </c>
      <c r="C2959" s="512" t="s">
        <v>6264</v>
      </c>
      <c r="D2959" s="512" t="s">
        <v>6265</v>
      </c>
      <c r="E2959" s="513">
        <v>9322</v>
      </c>
      <c r="F2959" s="512" t="s">
        <v>2971</v>
      </c>
      <c r="G2959" s="513" t="s">
        <v>21</v>
      </c>
      <c r="H2959" s="514">
        <v>2076848</v>
      </c>
      <c r="I2959" s="512" t="s">
        <v>6915</v>
      </c>
    </row>
    <row r="2960" spans="2:9" ht="15" x14ac:dyDescent="0.35">
      <c r="B2960" s="512" t="s">
        <v>6318</v>
      </c>
      <c r="C2960" s="512" t="s">
        <v>6264</v>
      </c>
      <c r="D2960" s="512" t="s">
        <v>6265</v>
      </c>
      <c r="E2960" s="513">
        <v>9323</v>
      </c>
      <c r="F2960" s="512" t="s">
        <v>2972</v>
      </c>
      <c r="G2960" s="513" t="s">
        <v>21</v>
      </c>
      <c r="H2960" s="514">
        <v>2872692</v>
      </c>
      <c r="I2960" s="515" t="s">
        <v>6915</v>
      </c>
    </row>
    <row r="2961" spans="2:9" ht="15" x14ac:dyDescent="0.35">
      <c r="B2961" s="512" t="s">
        <v>6318</v>
      </c>
      <c r="C2961" s="512" t="s">
        <v>6264</v>
      </c>
      <c r="D2961" s="512" t="s">
        <v>6265</v>
      </c>
      <c r="E2961" s="513">
        <v>9324</v>
      </c>
      <c r="F2961" s="512" t="s">
        <v>2973</v>
      </c>
      <c r="G2961" s="513" t="s">
        <v>21</v>
      </c>
      <c r="H2961" s="516">
        <v>2867366</v>
      </c>
      <c r="I2961" s="515" t="s">
        <v>6915</v>
      </c>
    </row>
    <row r="2962" spans="2:9" ht="15" x14ac:dyDescent="0.35">
      <c r="B2962" s="512" t="s">
        <v>6318</v>
      </c>
      <c r="C2962" s="512" t="s">
        <v>6264</v>
      </c>
      <c r="D2962" s="512" t="s">
        <v>6265</v>
      </c>
      <c r="E2962" s="513">
        <v>9325</v>
      </c>
      <c r="F2962" s="512" t="s">
        <v>2974</v>
      </c>
      <c r="G2962" s="513" t="s">
        <v>26</v>
      </c>
      <c r="H2962" s="514">
        <v>1072223</v>
      </c>
      <c r="I2962" s="515" t="s">
        <v>6915</v>
      </c>
    </row>
    <row r="2963" spans="2:9" ht="15" x14ac:dyDescent="0.35">
      <c r="B2963" s="512" t="s">
        <v>6318</v>
      </c>
      <c r="C2963" s="512" t="s">
        <v>6264</v>
      </c>
      <c r="D2963" s="512" t="s">
        <v>6265</v>
      </c>
      <c r="E2963" s="513">
        <v>9326</v>
      </c>
      <c r="F2963" s="512" t="s">
        <v>2975</v>
      </c>
      <c r="G2963" s="513" t="s">
        <v>26</v>
      </c>
      <c r="H2963" s="514">
        <v>1592761</v>
      </c>
      <c r="I2963" s="512" t="s">
        <v>6915</v>
      </c>
    </row>
    <row r="2964" spans="2:9" ht="15" x14ac:dyDescent="0.35">
      <c r="B2964" s="512" t="s">
        <v>6318</v>
      </c>
      <c r="C2964" s="512" t="s">
        <v>6264</v>
      </c>
      <c r="D2964" s="512" t="s">
        <v>6265</v>
      </c>
      <c r="E2964" s="513">
        <v>9327</v>
      </c>
      <c r="F2964" s="512" t="s">
        <v>2976</v>
      </c>
      <c r="G2964" s="513" t="s">
        <v>26</v>
      </c>
      <c r="H2964" s="514">
        <v>1590737</v>
      </c>
      <c r="I2964" s="515" t="s">
        <v>6915</v>
      </c>
    </row>
    <row r="2965" spans="2:9" ht="15" x14ac:dyDescent="0.35">
      <c r="B2965" s="512" t="s">
        <v>6319</v>
      </c>
      <c r="C2965" s="512" t="s">
        <v>6239</v>
      </c>
      <c r="D2965" s="512" t="s">
        <v>6239</v>
      </c>
      <c r="E2965" s="513">
        <v>9394</v>
      </c>
      <c r="F2965" s="512" t="s">
        <v>2977</v>
      </c>
      <c r="G2965" s="513" t="s">
        <v>26</v>
      </c>
      <c r="H2965" s="514">
        <v>2321399</v>
      </c>
      <c r="I2965" s="515" t="s">
        <v>6915</v>
      </c>
    </row>
    <row r="2966" spans="2:9" ht="15" x14ac:dyDescent="0.35">
      <c r="B2966" s="512" t="s">
        <v>6319</v>
      </c>
      <c r="C2966" s="512" t="s">
        <v>6239</v>
      </c>
      <c r="D2966" s="512" t="s">
        <v>6239</v>
      </c>
      <c r="E2966" s="513">
        <v>9395</v>
      </c>
      <c r="F2966" s="512" t="s">
        <v>2978</v>
      </c>
      <c r="G2966" s="513" t="s">
        <v>26</v>
      </c>
      <c r="H2966" s="514">
        <v>2748202</v>
      </c>
      <c r="I2966" s="515" t="s">
        <v>6915</v>
      </c>
    </row>
    <row r="2967" spans="2:9" ht="15" x14ac:dyDescent="0.35">
      <c r="B2967" s="512" t="s">
        <v>6319</v>
      </c>
      <c r="C2967" s="512" t="s">
        <v>6239</v>
      </c>
      <c r="D2967" s="512" t="s">
        <v>6239</v>
      </c>
      <c r="E2967" s="513">
        <v>9396</v>
      </c>
      <c r="F2967" s="512" t="s">
        <v>2979</v>
      </c>
      <c r="G2967" s="513" t="s">
        <v>26</v>
      </c>
      <c r="H2967" s="514">
        <v>1237212</v>
      </c>
      <c r="I2967" s="515" t="s">
        <v>6915</v>
      </c>
    </row>
    <row r="2968" spans="2:9" ht="15" x14ac:dyDescent="0.35">
      <c r="B2968" s="512" t="s">
        <v>6319</v>
      </c>
      <c r="C2968" s="512" t="s">
        <v>6239</v>
      </c>
      <c r="D2968" s="512" t="s">
        <v>6239</v>
      </c>
      <c r="E2968" s="513">
        <v>9397</v>
      </c>
      <c r="F2968" s="512" t="s">
        <v>2980</v>
      </c>
      <c r="G2968" s="513" t="s">
        <v>26</v>
      </c>
      <c r="H2968" s="514">
        <v>1237212</v>
      </c>
      <c r="I2968" s="515" t="s">
        <v>6915</v>
      </c>
    </row>
    <row r="2969" spans="2:9" ht="15" x14ac:dyDescent="0.35">
      <c r="B2969" s="512" t="s">
        <v>6319</v>
      </c>
      <c r="C2969" s="512" t="s">
        <v>6239</v>
      </c>
      <c r="D2969" s="512" t="s">
        <v>6239</v>
      </c>
      <c r="E2969" s="513">
        <v>9398</v>
      </c>
      <c r="F2969" s="512" t="s">
        <v>2981</v>
      </c>
      <c r="G2969" s="513" t="s">
        <v>26</v>
      </c>
      <c r="H2969" s="514">
        <v>1237212</v>
      </c>
      <c r="I2969" s="515" t="s">
        <v>6915</v>
      </c>
    </row>
    <row r="2970" spans="2:9" ht="15" x14ac:dyDescent="0.35">
      <c r="B2970" s="512" t="s">
        <v>6320</v>
      </c>
      <c r="C2970" s="512" t="s">
        <v>6239</v>
      </c>
      <c r="D2970" s="512" t="s">
        <v>6239</v>
      </c>
      <c r="E2970" s="513">
        <v>9425</v>
      </c>
      <c r="F2970" s="512" t="s">
        <v>2982</v>
      </c>
      <c r="G2970" s="513" t="s">
        <v>26</v>
      </c>
      <c r="H2970" s="514">
        <v>2989892</v>
      </c>
      <c r="I2970" s="515" t="s">
        <v>6915</v>
      </c>
    </row>
    <row r="2971" spans="2:9" ht="15" x14ac:dyDescent="0.35">
      <c r="B2971" s="512" t="s">
        <v>6316</v>
      </c>
      <c r="C2971" s="512" t="s">
        <v>6317</v>
      </c>
      <c r="D2971" s="512" t="s">
        <v>6317</v>
      </c>
      <c r="E2971" s="513">
        <v>9466</v>
      </c>
      <c r="F2971" s="512" t="s">
        <v>2983</v>
      </c>
      <c r="G2971" s="513" t="s">
        <v>1106</v>
      </c>
      <c r="H2971" s="516">
        <v>442668</v>
      </c>
      <c r="I2971" s="512" t="s">
        <v>6915</v>
      </c>
    </row>
    <row r="2972" spans="2:9" ht="15" x14ac:dyDescent="0.35">
      <c r="B2972" s="512" t="s">
        <v>6316</v>
      </c>
      <c r="C2972" s="512" t="s">
        <v>6317</v>
      </c>
      <c r="D2972" s="512" t="s">
        <v>6317</v>
      </c>
      <c r="E2972" s="513">
        <v>9467</v>
      </c>
      <c r="F2972" s="512" t="s">
        <v>2984</v>
      </c>
      <c r="G2972" s="513" t="s">
        <v>23</v>
      </c>
      <c r="H2972" s="514">
        <v>335988</v>
      </c>
      <c r="I2972" s="515" t="s">
        <v>6915</v>
      </c>
    </row>
    <row r="2973" spans="2:9" ht="15" x14ac:dyDescent="0.35">
      <c r="B2973" s="512" t="s">
        <v>6316</v>
      </c>
      <c r="C2973" s="512" t="s">
        <v>6317</v>
      </c>
      <c r="D2973" s="512" t="s">
        <v>6317</v>
      </c>
      <c r="E2973" s="513">
        <v>9468</v>
      </c>
      <c r="F2973" s="512" t="s">
        <v>2985</v>
      </c>
      <c r="G2973" s="513" t="s">
        <v>1106</v>
      </c>
      <c r="H2973" s="516">
        <v>69196</v>
      </c>
      <c r="I2973" s="515" t="s">
        <v>6915</v>
      </c>
    </row>
    <row r="2974" spans="2:9" ht="15" x14ac:dyDescent="0.35">
      <c r="B2974" s="512" t="s">
        <v>6316</v>
      </c>
      <c r="C2974" s="512" t="s">
        <v>6317</v>
      </c>
      <c r="D2974" s="512" t="s">
        <v>6317</v>
      </c>
      <c r="E2974" s="513">
        <v>9469</v>
      </c>
      <c r="F2974" s="512" t="s">
        <v>2986</v>
      </c>
      <c r="G2974" s="513" t="s">
        <v>1106</v>
      </c>
      <c r="H2974" s="514">
        <v>6051</v>
      </c>
      <c r="I2974" s="515" t="s">
        <v>6915</v>
      </c>
    </row>
    <row r="2975" spans="2:9" ht="15" x14ac:dyDescent="0.35">
      <c r="B2975" s="512" t="s">
        <v>6316</v>
      </c>
      <c r="C2975" s="512" t="s">
        <v>6317</v>
      </c>
      <c r="D2975" s="512" t="s">
        <v>6317</v>
      </c>
      <c r="E2975" s="513">
        <v>9470</v>
      </c>
      <c r="F2975" s="512" t="s">
        <v>2987</v>
      </c>
      <c r="G2975" s="513" t="s">
        <v>1106</v>
      </c>
      <c r="H2975" s="514">
        <v>3734</v>
      </c>
      <c r="I2975" s="515" t="s">
        <v>6915</v>
      </c>
    </row>
    <row r="2976" spans="2:9" ht="15" x14ac:dyDescent="0.35">
      <c r="B2976" s="512" t="s">
        <v>6321</v>
      </c>
      <c r="C2976" s="512" t="s">
        <v>6232</v>
      </c>
      <c r="D2976" s="512" t="s">
        <v>6232</v>
      </c>
      <c r="E2976" s="513">
        <v>9563</v>
      </c>
      <c r="F2976" s="512" t="s">
        <v>2988</v>
      </c>
      <c r="G2976" s="513" t="s">
        <v>26</v>
      </c>
      <c r="H2976" s="514">
        <v>168369</v>
      </c>
      <c r="I2976" s="515" t="s">
        <v>6915</v>
      </c>
    </row>
    <row r="2977" spans="2:9" ht="15" x14ac:dyDescent="0.35">
      <c r="B2977" s="512" t="s">
        <v>6263</v>
      </c>
      <c r="C2977" s="512" t="s">
        <v>6227</v>
      </c>
      <c r="D2977" s="512" t="s">
        <v>6248</v>
      </c>
      <c r="E2977" s="513">
        <v>9997</v>
      </c>
      <c r="F2977" s="512" t="s">
        <v>2989</v>
      </c>
      <c r="G2977" s="513" t="s">
        <v>21</v>
      </c>
      <c r="H2977" s="514">
        <v>2880</v>
      </c>
      <c r="I2977" s="515" t="s">
        <v>6915</v>
      </c>
    </row>
    <row r="2978" spans="2:9" ht="15" x14ac:dyDescent="0.35">
      <c r="B2978" s="512" t="s">
        <v>6263</v>
      </c>
      <c r="C2978" s="512" t="s">
        <v>6242</v>
      </c>
      <c r="D2978" s="512" t="s">
        <v>6257</v>
      </c>
      <c r="E2978" s="513">
        <v>9998</v>
      </c>
      <c r="F2978" s="512" t="s">
        <v>2990</v>
      </c>
      <c r="G2978" s="513" t="s">
        <v>23</v>
      </c>
      <c r="H2978" s="516">
        <v>1570181</v>
      </c>
      <c r="I2978" s="512" t="s">
        <v>6915</v>
      </c>
    </row>
    <row r="2979" spans="2:9" ht="15" x14ac:dyDescent="0.35">
      <c r="B2979" s="512" t="s">
        <v>6313</v>
      </c>
      <c r="C2979" s="512" t="s">
        <v>6230</v>
      </c>
      <c r="D2979" s="512" t="s">
        <v>6250</v>
      </c>
      <c r="E2979" s="513">
        <v>9999</v>
      </c>
      <c r="F2979" s="512" t="s">
        <v>2991</v>
      </c>
      <c r="G2979" s="513" t="s">
        <v>21</v>
      </c>
      <c r="H2979" s="514">
        <v>183361</v>
      </c>
      <c r="I2979" s="515" t="s">
        <v>6915</v>
      </c>
    </row>
    <row r="2980" spans="2:9" ht="15" x14ac:dyDescent="0.35">
      <c r="B2980" s="512" t="s">
        <v>6313</v>
      </c>
      <c r="C2980" s="512" t="s">
        <v>6230</v>
      </c>
      <c r="D2980" s="512" t="s">
        <v>6250</v>
      </c>
      <c r="E2980" s="513">
        <v>10000</v>
      </c>
      <c r="F2980" s="512" t="s">
        <v>2992</v>
      </c>
      <c r="G2980" s="513" t="s">
        <v>21</v>
      </c>
      <c r="H2980" s="514">
        <v>153607</v>
      </c>
      <c r="I2980" s="515" t="s">
        <v>6915</v>
      </c>
    </row>
    <row r="2981" spans="2:9" ht="15" x14ac:dyDescent="0.35">
      <c r="B2981" s="512" t="s">
        <v>6318</v>
      </c>
      <c r="C2981" s="512" t="s">
        <v>6227</v>
      </c>
      <c r="D2981" s="512" t="s">
        <v>6248</v>
      </c>
      <c r="E2981" s="513">
        <v>10014</v>
      </c>
      <c r="F2981" s="512" t="s">
        <v>2993</v>
      </c>
      <c r="G2981" s="513" t="s">
        <v>23</v>
      </c>
      <c r="H2981" s="516">
        <v>183113</v>
      </c>
      <c r="I2981" s="512" t="s">
        <v>6915</v>
      </c>
    </row>
    <row r="2982" spans="2:9" ht="15" x14ac:dyDescent="0.35">
      <c r="B2982" s="512" t="s">
        <v>6318</v>
      </c>
      <c r="C2982" s="512" t="s">
        <v>6227</v>
      </c>
      <c r="D2982" s="512" t="s">
        <v>6248</v>
      </c>
      <c r="E2982" s="513">
        <v>10015</v>
      </c>
      <c r="F2982" s="512" t="s">
        <v>2994</v>
      </c>
      <c r="G2982" s="513" t="s">
        <v>23</v>
      </c>
      <c r="H2982" s="514">
        <v>182509</v>
      </c>
      <c r="I2982" s="515" t="s">
        <v>6915</v>
      </c>
    </row>
    <row r="2983" spans="2:9" ht="15" x14ac:dyDescent="0.35">
      <c r="B2983" s="512" t="s">
        <v>6318</v>
      </c>
      <c r="C2983" s="512" t="s">
        <v>6227</v>
      </c>
      <c r="D2983" s="512" t="s">
        <v>6248</v>
      </c>
      <c r="E2983" s="513">
        <v>10016</v>
      </c>
      <c r="F2983" s="512" t="s">
        <v>2995</v>
      </c>
      <c r="G2983" s="513" t="s">
        <v>23</v>
      </c>
      <c r="H2983" s="516">
        <v>191937</v>
      </c>
      <c r="I2983" s="512" t="s">
        <v>6915</v>
      </c>
    </row>
    <row r="2984" spans="2:9" ht="15" x14ac:dyDescent="0.35">
      <c r="B2984" s="512" t="s">
        <v>6318</v>
      </c>
      <c r="C2984" s="512" t="s">
        <v>6227</v>
      </c>
      <c r="D2984" s="512" t="s">
        <v>6248</v>
      </c>
      <c r="E2984" s="513">
        <v>10017</v>
      </c>
      <c r="F2984" s="512" t="s">
        <v>2996</v>
      </c>
      <c r="G2984" s="513" t="s">
        <v>23</v>
      </c>
      <c r="H2984" s="516">
        <v>186090</v>
      </c>
      <c r="I2984" s="512" t="s">
        <v>6915</v>
      </c>
    </row>
    <row r="2985" spans="2:9" ht="15" x14ac:dyDescent="0.35">
      <c r="B2985" s="512" t="s">
        <v>6318</v>
      </c>
      <c r="C2985" s="512" t="s">
        <v>6227</v>
      </c>
      <c r="D2985" s="512" t="s">
        <v>6248</v>
      </c>
      <c r="E2985" s="513">
        <v>10018</v>
      </c>
      <c r="F2985" s="512" t="s">
        <v>2997</v>
      </c>
      <c r="G2985" s="513" t="s">
        <v>23</v>
      </c>
      <c r="H2985" s="516">
        <v>185484</v>
      </c>
      <c r="I2985" s="512" t="s">
        <v>6915</v>
      </c>
    </row>
    <row r="2986" spans="2:9" ht="15" x14ac:dyDescent="0.35">
      <c r="B2986" s="512" t="s">
        <v>6318</v>
      </c>
      <c r="C2986" s="512" t="s">
        <v>6227</v>
      </c>
      <c r="D2986" s="512" t="s">
        <v>6248</v>
      </c>
      <c r="E2986" s="513">
        <v>10019</v>
      </c>
      <c r="F2986" s="512" t="s">
        <v>2998</v>
      </c>
      <c r="G2986" s="513" t="s">
        <v>23</v>
      </c>
      <c r="H2986" s="516">
        <v>194912</v>
      </c>
      <c r="I2986" s="515" t="s">
        <v>6915</v>
      </c>
    </row>
    <row r="2987" spans="2:9" ht="15" x14ac:dyDescent="0.35">
      <c r="B2987" s="512" t="s">
        <v>6318</v>
      </c>
      <c r="C2987" s="512" t="s">
        <v>6227</v>
      </c>
      <c r="D2987" s="512" t="s">
        <v>6248</v>
      </c>
      <c r="E2987" s="513">
        <v>10020</v>
      </c>
      <c r="F2987" s="512" t="s">
        <v>2999</v>
      </c>
      <c r="G2987" s="513" t="s">
        <v>23</v>
      </c>
      <c r="H2987" s="516">
        <v>185292</v>
      </c>
      <c r="I2987" s="515" t="s">
        <v>6915</v>
      </c>
    </row>
    <row r="2988" spans="2:9" ht="15" x14ac:dyDescent="0.35">
      <c r="B2988" s="512" t="s">
        <v>6318</v>
      </c>
      <c r="C2988" s="512" t="s">
        <v>6227</v>
      </c>
      <c r="D2988" s="512" t="s">
        <v>6248</v>
      </c>
      <c r="E2988" s="513">
        <v>10021</v>
      </c>
      <c r="F2988" s="512" t="s">
        <v>3000</v>
      </c>
      <c r="G2988" s="513" t="s">
        <v>23</v>
      </c>
      <c r="H2988" s="514">
        <v>184686</v>
      </c>
      <c r="I2988" s="515" t="s">
        <v>6915</v>
      </c>
    </row>
    <row r="2989" spans="2:9" ht="15" x14ac:dyDescent="0.35">
      <c r="B2989" s="512" t="s">
        <v>6318</v>
      </c>
      <c r="C2989" s="512" t="s">
        <v>6227</v>
      </c>
      <c r="D2989" s="512" t="s">
        <v>6248</v>
      </c>
      <c r="E2989" s="513">
        <v>10022</v>
      </c>
      <c r="F2989" s="512" t="s">
        <v>3001</v>
      </c>
      <c r="G2989" s="513" t="s">
        <v>23</v>
      </c>
      <c r="H2989" s="514">
        <v>194114</v>
      </c>
      <c r="I2989" s="512" t="s">
        <v>6915</v>
      </c>
    </row>
    <row r="2990" spans="2:9" ht="15" x14ac:dyDescent="0.35">
      <c r="B2990" s="512" t="s">
        <v>6322</v>
      </c>
      <c r="C2990" s="512" t="s">
        <v>6227</v>
      </c>
      <c r="D2990" s="512" t="s">
        <v>6248</v>
      </c>
      <c r="E2990" s="513">
        <v>10030</v>
      </c>
      <c r="F2990" s="512" t="s">
        <v>3002</v>
      </c>
      <c r="G2990" s="513" t="s">
        <v>23</v>
      </c>
      <c r="H2990" s="514">
        <v>212974</v>
      </c>
      <c r="I2990" s="515" t="s">
        <v>6915</v>
      </c>
    </row>
    <row r="2991" spans="2:9" ht="15" x14ac:dyDescent="0.35">
      <c r="B2991" s="512" t="s">
        <v>6319</v>
      </c>
      <c r="C2991" s="512" t="s">
        <v>6227</v>
      </c>
      <c r="D2991" s="512" t="s">
        <v>6229</v>
      </c>
      <c r="E2991" s="513">
        <v>10072</v>
      </c>
      <c r="F2991" s="512" t="s">
        <v>3003</v>
      </c>
      <c r="G2991" s="513" t="s">
        <v>23</v>
      </c>
      <c r="H2991" s="514">
        <v>197892</v>
      </c>
      <c r="I2991" s="515" t="s">
        <v>6915</v>
      </c>
    </row>
    <row r="2992" spans="2:9" ht="15" x14ac:dyDescent="0.35">
      <c r="B2992" s="512" t="s">
        <v>6323</v>
      </c>
      <c r="C2992" s="512" t="s">
        <v>6268</v>
      </c>
      <c r="D2992" s="512" t="s">
        <v>6268</v>
      </c>
      <c r="E2992" s="513">
        <v>10074</v>
      </c>
      <c r="F2992" s="512" t="s">
        <v>3004</v>
      </c>
      <c r="G2992" s="513" t="s">
        <v>29</v>
      </c>
      <c r="H2992" s="514">
        <v>7360812</v>
      </c>
      <c r="I2992" s="515" t="s">
        <v>6915</v>
      </c>
    </row>
    <row r="2993" spans="2:9" ht="15" x14ac:dyDescent="0.35">
      <c r="B2993" s="512" t="s">
        <v>6323</v>
      </c>
      <c r="C2993" s="512" t="s">
        <v>6268</v>
      </c>
      <c r="D2993" s="512" t="s">
        <v>6268</v>
      </c>
      <c r="E2993" s="513">
        <v>10075</v>
      </c>
      <c r="F2993" s="512" t="s">
        <v>3005</v>
      </c>
      <c r="G2993" s="513" t="s">
        <v>29</v>
      </c>
      <c r="H2993" s="516">
        <v>9812204</v>
      </c>
      <c r="I2993" s="512" t="s">
        <v>6915</v>
      </c>
    </row>
    <row r="2994" spans="2:9" ht="15" x14ac:dyDescent="0.35">
      <c r="B2994" s="512" t="s">
        <v>6324</v>
      </c>
      <c r="C2994" s="512" t="s">
        <v>6240</v>
      </c>
      <c r="D2994" s="512" t="s">
        <v>6241</v>
      </c>
      <c r="E2994" s="513">
        <v>10214</v>
      </c>
      <c r="F2994" s="512" t="s">
        <v>3006</v>
      </c>
      <c r="G2994" s="513" t="s">
        <v>26</v>
      </c>
      <c r="H2994" s="514">
        <v>406766</v>
      </c>
      <c r="I2994" s="515" t="s">
        <v>6915</v>
      </c>
    </row>
    <row r="2995" spans="2:9" ht="15" x14ac:dyDescent="0.35">
      <c r="B2995" s="512" t="s">
        <v>6325</v>
      </c>
      <c r="C2995" s="512" t="s">
        <v>6230</v>
      </c>
      <c r="D2995" s="512" t="s">
        <v>6246</v>
      </c>
      <c r="E2995" s="513">
        <v>10246</v>
      </c>
      <c r="F2995" s="512" t="s">
        <v>3007</v>
      </c>
      <c r="G2995" s="513" t="s">
        <v>21</v>
      </c>
      <c r="H2995" s="514">
        <v>123747</v>
      </c>
      <c r="I2995" s="512" t="s">
        <v>6915</v>
      </c>
    </row>
    <row r="2996" spans="2:9" ht="15" x14ac:dyDescent="0.35">
      <c r="B2996" s="512" t="s">
        <v>6325</v>
      </c>
      <c r="C2996" s="512" t="s">
        <v>6230</v>
      </c>
      <c r="D2996" s="512" t="s">
        <v>6246</v>
      </c>
      <c r="E2996" s="513">
        <v>10247</v>
      </c>
      <c r="F2996" s="512" t="s">
        <v>3008</v>
      </c>
      <c r="G2996" s="513" t="s">
        <v>21</v>
      </c>
      <c r="H2996" s="514">
        <v>126655</v>
      </c>
      <c r="I2996" s="512" t="s">
        <v>6915</v>
      </c>
    </row>
    <row r="2997" spans="2:9" ht="15" x14ac:dyDescent="0.35">
      <c r="B2997" s="512" t="s">
        <v>6325</v>
      </c>
      <c r="C2997" s="512" t="s">
        <v>6230</v>
      </c>
      <c r="D2997" s="512" t="s">
        <v>6246</v>
      </c>
      <c r="E2997" s="513">
        <v>10248</v>
      </c>
      <c r="F2997" s="512" t="s">
        <v>3009</v>
      </c>
      <c r="G2997" s="513" t="s">
        <v>21</v>
      </c>
      <c r="H2997" s="514">
        <v>127617</v>
      </c>
      <c r="I2997" s="512" t="s">
        <v>6915</v>
      </c>
    </row>
    <row r="2998" spans="2:9" ht="15" x14ac:dyDescent="0.35">
      <c r="B2998" s="512" t="s">
        <v>6325</v>
      </c>
      <c r="C2998" s="512" t="s">
        <v>6230</v>
      </c>
      <c r="D2998" s="512" t="s">
        <v>6246</v>
      </c>
      <c r="E2998" s="513">
        <v>10249</v>
      </c>
      <c r="F2998" s="512" t="s">
        <v>3010</v>
      </c>
      <c r="G2998" s="513" t="s">
        <v>21</v>
      </c>
      <c r="H2998" s="514">
        <v>126160</v>
      </c>
      <c r="I2998" s="512" t="s">
        <v>6915</v>
      </c>
    </row>
    <row r="2999" spans="2:9" ht="15" x14ac:dyDescent="0.35">
      <c r="B2999" s="512" t="s">
        <v>6326</v>
      </c>
      <c r="C2999" s="512" t="s">
        <v>6235</v>
      </c>
      <c r="D2999" s="512" t="s">
        <v>6236</v>
      </c>
      <c r="E2999" s="513">
        <v>10250</v>
      </c>
      <c r="F2999" s="512" t="s">
        <v>3011</v>
      </c>
      <c r="G2999" s="513" t="s">
        <v>21</v>
      </c>
      <c r="H2999" s="514">
        <v>113180</v>
      </c>
      <c r="I2999" s="512" t="s">
        <v>6915</v>
      </c>
    </row>
    <row r="3000" spans="2:9" ht="15" x14ac:dyDescent="0.35">
      <c r="B3000" s="512" t="s">
        <v>6326</v>
      </c>
      <c r="C3000" s="512" t="s">
        <v>6235</v>
      </c>
      <c r="D3000" s="512" t="s">
        <v>6236</v>
      </c>
      <c r="E3000" s="513">
        <v>10251</v>
      </c>
      <c r="F3000" s="512" t="s">
        <v>3012</v>
      </c>
      <c r="G3000" s="513" t="s">
        <v>21</v>
      </c>
      <c r="H3000" s="514">
        <v>122393</v>
      </c>
      <c r="I3000" s="512" t="s">
        <v>6915</v>
      </c>
    </row>
    <row r="3001" spans="2:9" ht="15" x14ac:dyDescent="0.35">
      <c r="B3001" s="512" t="s">
        <v>6326</v>
      </c>
      <c r="C3001" s="512" t="s">
        <v>6240</v>
      </c>
      <c r="D3001" s="512" t="s">
        <v>6275</v>
      </c>
      <c r="E3001" s="513">
        <v>10252</v>
      </c>
      <c r="F3001" s="512" t="s">
        <v>3013</v>
      </c>
      <c r="G3001" s="513" t="s">
        <v>1814</v>
      </c>
      <c r="H3001" s="516">
        <v>8537</v>
      </c>
      <c r="I3001" s="512" t="s">
        <v>6915</v>
      </c>
    </row>
    <row r="3002" spans="2:9" ht="15" x14ac:dyDescent="0.35">
      <c r="B3002" s="512" t="s">
        <v>6326</v>
      </c>
      <c r="C3002" s="512" t="s">
        <v>6233</v>
      </c>
      <c r="D3002" s="512" t="s">
        <v>6261</v>
      </c>
      <c r="E3002" s="513">
        <v>10253</v>
      </c>
      <c r="F3002" s="512" t="s">
        <v>6916</v>
      </c>
      <c r="G3002" s="513" t="s">
        <v>29</v>
      </c>
      <c r="H3002" s="514">
        <v>139588930</v>
      </c>
      <c r="I3002" s="512" t="s">
        <v>6425</v>
      </c>
    </row>
    <row r="3003" spans="2:9" ht="15" x14ac:dyDescent="0.35">
      <c r="B3003" s="512" t="s">
        <v>6326</v>
      </c>
      <c r="C3003" s="512" t="s">
        <v>6233</v>
      </c>
      <c r="D3003" s="512" t="s">
        <v>6261</v>
      </c>
      <c r="E3003" s="513">
        <v>10254</v>
      </c>
      <c r="F3003" s="512" t="s">
        <v>6917</v>
      </c>
      <c r="G3003" s="513" t="s">
        <v>29</v>
      </c>
      <c r="H3003" s="514">
        <v>158302102</v>
      </c>
      <c r="I3003" s="512" t="s">
        <v>6425</v>
      </c>
    </row>
    <row r="3004" spans="2:9" ht="15" x14ac:dyDescent="0.35">
      <c r="B3004" s="512" t="s">
        <v>6326</v>
      </c>
      <c r="C3004" s="512" t="s">
        <v>6233</v>
      </c>
      <c r="D3004" s="512" t="s">
        <v>6261</v>
      </c>
      <c r="E3004" s="513">
        <v>10255</v>
      </c>
      <c r="F3004" s="512" t="s">
        <v>6918</v>
      </c>
      <c r="G3004" s="513" t="s">
        <v>29</v>
      </c>
      <c r="H3004" s="516">
        <v>175904917</v>
      </c>
      <c r="I3004" s="512" t="s">
        <v>6425</v>
      </c>
    </row>
    <row r="3005" spans="2:9" ht="15" x14ac:dyDescent="0.35">
      <c r="B3005" s="512" t="s">
        <v>6326</v>
      </c>
      <c r="C3005" s="512" t="s">
        <v>6233</v>
      </c>
      <c r="D3005" s="512" t="s">
        <v>6261</v>
      </c>
      <c r="E3005" s="513">
        <v>10256</v>
      </c>
      <c r="F3005" s="512" t="s">
        <v>3014</v>
      </c>
      <c r="G3005" s="513" t="s">
        <v>29</v>
      </c>
      <c r="H3005" s="514">
        <v>1848266</v>
      </c>
      <c r="I3005" s="512" t="s">
        <v>6425</v>
      </c>
    </row>
    <row r="3006" spans="2:9" ht="15" x14ac:dyDescent="0.35">
      <c r="B3006" s="512" t="s">
        <v>6326</v>
      </c>
      <c r="C3006" s="512" t="s">
        <v>6237</v>
      </c>
      <c r="D3006" s="512" t="s">
        <v>6238</v>
      </c>
      <c r="E3006" s="513">
        <v>10257</v>
      </c>
      <c r="F3006" s="512" t="s">
        <v>3015</v>
      </c>
      <c r="G3006" s="513" t="s">
        <v>21</v>
      </c>
      <c r="H3006" s="514">
        <v>142832</v>
      </c>
      <c r="I3006" s="512" t="s">
        <v>6915</v>
      </c>
    </row>
    <row r="3007" spans="2:9" ht="15" x14ac:dyDescent="0.35">
      <c r="B3007" s="512" t="s">
        <v>6326</v>
      </c>
      <c r="C3007" s="512" t="s">
        <v>6240</v>
      </c>
      <c r="D3007" s="512" t="s">
        <v>6275</v>
      </c>
      <c r="E3007" s="513">
        <v>10258</v>
      </c>
      <c r="F3007" s="512" t="s">
        <v>3016</v>
      </c>
      <c r="G3007" s="513" t="s">
        <v>367</v>
      </c>
      <c r="H3007" s="516">
        <v>19333</v>
      </c>
      <c r="I3007" s="512" t="s">
        <v>6915</v>
      </c>
    </row>
    <row r="3008" spans="2:9" ht="15" x14ac:dyDescent="0.35">
      <c r="B3008" s="512" t="s">
        <v>6326</v>
      </c>
      <c r="C3008" s="512" t="s">
        <v>6269</v>
      </c>
      <c r="D3008" s="512" t="s">
        <v>6269</v>
      </c>
      <c r="E3008" s="513">
        <v>10259</v>
      </c>
      <c r="F3008" s="512" t="s">
        <v>3017</v>
      </c>
      <c r="G3008" s="513" t="s">
        <v>21</v>
      </c>
      <c r="H3008" s="514">
        <v>2147</v>
      </c>
      <c r="I3008" s="512" t="s">
        <v>6915</v>
      </c>
    </row>
    <row r="3009" spans="2:9" ht="15" x14ac:dyDescent="0.35">
      <c r="B3009" s="512" t="s">
        <v>6326</v>
      </c>
      <c r="C3009" s="512" t="s">
        <v>6237</v>
      </c>
      <c r="D3009" s="512" t="s">
        <v>6238</v>
      </c>
      <c r="E3009" s="513">
        <v>10260</v>
      </c>
      <c r="F3009" s="512" t="s">
        <v>3018</v>
      </c>
      <c r="G3009" s="513" t="s">
        <v>21</v>
      </c>
      <c r="H3009" s="514">
        <v>50360</v>
      </c>
      <c r="I3009" s="512" t="s">
        <v>6915</v>
      </c>
    </row>
    <row r="3010" spans="2:9" ht="15" x14ac:dyDescent="0.35">
      <c r="B3010" s="512" t="s">
        <v>6326</v>
      </c>
      <c r="C3010" s="512" t="s">
        <v>6237</v>
      </c>
      <c r="D3010" s="512" t="s">
        <v>6238</v>
      </c>
      <c r="E3010" s="513">
        <v>10261</v>
      </c>
      <c r="F3010" s="512" t="s">
        <v>3019</v>
      </c>
      <c r="G3010" s="513" t="s">
        <v>21</v>
      </c>
      <c r="H3010" s="516">
        <v>99255</v>
      </c>
      <c r="I3010" s="512" t="s">
        <v>6915</v>
      </c>
    </row>
    <row r="3011" spans="2:9" ht="15" x14ac:dyDescent="0.35">
      <c r="B3011" s="512" t="s">
        <v>6326</v>
      </c>
      <c r="C3011" s="512" t="s">
        <v>6237</v>
      </c>
      <c r="D3011" s="512" t="s">
        <v>6276</v>
      </c>
      <c r="E3011" s="513">
        <v>10262</v>
      </c>
      <c r="F3011" s="512" t="s">
        <v>3020</v>
      </c>
      <c r="G3011" s="513" t="s">
        <v>26</v>
      </c>
      <c r="H3011" s="516">
        <v>60466</v>
      </c>
      <c r="I3011" s="512" t="s">
        <v>6915</v>
      </c>
    </row>
    <row r="3012" spans="2:9" ht="15" x14ac:dyDescent="0.35">
      <c r="B3012" s="512" t="s">
        <v>6326</v>
      </c>
      <c r="C3012" s="512" t="s">
        <v>6237</v>
      </c>
      <c r="D3012" s="512" t="s">
        <v>6276</v>
      </c>
      <c r="E3012" s="513">
        <v>10263</v>
      </c>
      <c r="F3012" s="512" t="s">
        <v>3021</v>
      </c>
      <c r="G3012" s="513" t="s">
        <v>21</v>
      </c>
      <c r="H3012" s="516">
        <v>251250</v>
      </c>
      <c r="I3012" s="512" t="s">
        <v>6915</v>
      </c>
    </row>
    <row r="3013" spans="2:9" ht="15" x14ac:dyDescent="0.35">
      <c r="B3013" s="512" t="s">
        <v>6326</v>
      </c>
      <c r="C3013" s="512" t="s">
        <v>6237</v>
      </c>
      <c r="D3013" s="512" t="s">
        <v>6276</v>
      </c>
      <c r="E3013" s="513">
        <v>10264</v>
      </c>
      <c r="F3013" s="512" t="s">
        <v>3022</v>
      </c>
      <c r="G3013" s="513" t="s">
        <v>21</v>
      </c>
      <c r="H3013" s="516">
        <v>252298</v>
      </c>
      <c r="I3013" s="512" t="s">
        <v>6915</v>
      </c>
    </row>
    <row r="3014" spans="2:9" ht="15" x14ac:dyDescent="0.35">
      <c r="B3014" s="512" t="s">
        <v>6326</v>
      </c>
      <c r="C3014" s="512" t="s">
        <v>6240</v>
      </c>
      <c r="D3014" s="512" t="s">
        <v>6241</v>
      </c>
      <c r="E3014" s="513">
        <v>10265</v>
      </c>
      <c r="F3014" s="512" t="s">
        <v>3023</v>
      </c>
      <c r="G3014" s="513" t="s">
        <v>23</v>
      </c>
      <c r="H3014" s="514">
        <v>1361268</v>
      </c>
      <c r="I3014" s="512" t="s">
        <v>6915</v>
      </c>
    </row>
    <row r="3015" spans="2:9" ht="15" x14ac:dyDescent="0.35">
      <c r="B3015" s="512" t="s">
        <v>6326</v>
      </c>
      <c r="C3015" s="512" t="s">
        <v>6240</v>
      </c>
      <c r="D3015" s="512" t="s">
        <v>6241</v>
      </c>
      <c r="E3015" s="513">
        <v>10266</v>
      </c>
      <c r="F3015" s="512" t="s">
        <v>3024</v>
      </c>
      <c r="G3015" s="513" t="s">
        <v>23</v>
      </c>
      <c r="H3015" s="514">
        <v>1113988</v>
      </c>
      <c r="I3015" s="512" t="s">
        <v>6915</v>
      </c>
    </row>
    <row r="3016" spans="2:9" ht="15" x14ac:dyDescent="0.35">
      <c r="B3016" s="512" t="s">
        <v>6326</v>
      </c>
      <c r="C3016" s="512" t="s">
        <v>6230</v>
      </c>
      <c r="D3016" s="512" t="s">
        <v>6250</v>
      </c>
      <c r="E3016" s="513">
        <v>10267</v>
      </c>
      <c r="F3016" s="512" t="s">
        <v>3025</v>
      </c>
      <c r="G3016" s="513" t="s">
        <v>21</v>
      </c>
      <c r="H3016" s="514">
        <v>159398</v>
      </c>
      <c r="I3016" s="512" t="s">
        <v>6915</v>
      </c>
    </row>
    <row r="3017" spans="2:9" ht="15" x14ac:dyDescent="0.35">
      <c r="B3017" s="512" t="s">
        <v>6326</v>
      </c>
      <c r="C3017" s="512" t="s">
        <v>6242</v>
      </c>
      <c r="D3017" s="512" t="s">
        <v>6243</v>
      </c>
      <c r="E3017" s="513">
        <v>10268</v>
      </c>
      <c r="F3017" s="512" t="s">
        <v>3026</v>
      </c>
      <c r="G3017" s="513" t="s">
        <v>21</v>
      </c>
      <c r="H3017" s="514">
        <v>267477</v>
      </c>
      <c r="I3017" s="512" t="s">
        <v>6915</v>
      </c>
    </row>
    <row r="3018" spans="2:9" ht="15" x14ac:dyDescent="0.35">
      <c r="B3018" s="512" t="s">
        <v>6326</v>
      </c>
      <c r="C3018" s="512" t="s">
        <v>6242</v>
      </c>
      <c r="D3018" s="512" t="s">
        <v>6243</v>
      </c>
      <c r="E3018" s="513">
        <v>10269</v>
      </c>
      <c r="F3018" s="512" t="s">
        <v>3027</v>
      </c>
      <c r="G3018" s="513" t="s">
        <v>21</v>
      </c>
      <c r="H3018" s="516">
        <v>323391</v>
      </c>
      <c r="I3018" s="512" t="s">
        <v>6915</v>
      </c>
    </row>
    <row r="3019" spans="2:9" ht="15" x14ac:dyDescent="0.35">
      <c r="B3019" s="512" t="s">
        <v>6326</v>
      </c>
      <c r="C3019" s="512" t="s">
        <v>6242</v>
      </c>
      <c r="D3019" s="512" t="s">
        <v>6243</v>
      </c>
      <c r="E3019" s="513">
        <v>10270</v>
      </c>
      <c r="F3019" s="512" t="s">
        <v>3028</v>
      </c>
      <c r="G3019" s="513" t="s">
        <v>21</v>
      </c>
      <c r="H3019" s="516">
        <v>294162</v>
      </c>
      <c r="I3019" s="512" t="s">
        <v>6915</v>
      </c>
    </row>
    <row r="3020" spans="2:9" ht="15" x14ac:dyDescent="0.35">
      <c r="B3020" s="512" t="s">
        <v>6326</v>
      </c>
      <c r="C3020" s="512" t="s">
        <v>6230</v>
      </c>
      <c r="D3020" s="512" t="s">
        <v>6250</v>
      </c>
      <c r="E3020" s="513">
        <v>10271</v>
      </c>
      <c r="F3020" s="512" t="s">
        <v>3029</v>
      </c>
      <c r="G3020" s="513" t="s">
        <v>21</v>
      </c>
      <c r="H3020" s="514">
        <v>54247</v>
      </c>
      <c r="I3020" s="515" t="s">
        <v>6915</v>
      </c>
    </row>
    <row r="3021" spans="2:9" ht="15" x14ac:dyDescent="0.35">
      <c r="B3021" s="512" t="s">
        <v>6326</v>
      </c>
      <c r="C3021" s="512" t="s">
        <v>6242</v>
      </c>
      <c r="D3021" s="512" t="s">
        <v>6243</v>
      </c>
      <c r="E3021" s="513">
        <v>10272</v>
      </c>
      <c r="F3021" s="512" t="s">
        <v>3030</v>
      </c>
      <c r="G3021" s="513" t="s">
        <v>21</v>
      </c>
      <c r="H3021" s="516">
        <v>201952</v>
      </c>
      <c r="I3021" s="512" t="s">
        <v>6915</v>
      </c>
    </row>
    <row r="3022" spans="2:9" ht="15" x14ac:dyDescent="0.35">
      <c r="B3022" s="512" t="s">
        <v>6326</v>
      </c>
      <c r="C3022" s="512" t="s">
        <v>6242</v>
      </c>
      <c r="D3022" s="512" t="s">
        <v>6243</v>
      </c>
      <c r="E3022" s="513">
        <v>10273</v>
      </c>
      <c r="F3022" s="512" t="s">
        <v>3031</v>
      </c>
      <c r="G3022" s="513" t="s">
        <v>23</v>
      </c>
      <c r="H3022" s="514">
        <v>1547743</v>
      </c>
      <c r="I3022" s="515" t="s">
        <v>6915</v>
      </c>
    </row>
    <row r="3023" spans="2:9" ht="15" x14ac:dyDescent="0.35">
      <c r="B3023" s="512" t="s">
        <v>6326</v>
      </c>
      <c r="C3023" s="512" t="s">
        <v>6242</v>
      </c>
      <c r="D3023" s="512" t="s">
        <v>6243</v>
      </c>
      <c r="E3023" s="513">
        <v>10274</v>
      </c>
      <c r="F3023" s="512" t="s">
        <v>3032</v>
      </c>
      <c r="G3023" s="513" t="s">
        <v>23</v>
      </c>
      <c r="H3023" s="514">
        <v>1979469</v>
      </c>
      <c r="I3023" s="515" t="s">
        <v>6915</v>
      </c>
    </row>
    <row r="3024" spans="2:9" ht="15" x14ac:dyDescent="0.35">
      <c r="B3024" s="512" t="s">
        <v>6326</v>
      </c>
      <c r="C3024" s="512" t="s">
        <v>6240</v>
      </c>
      <c r="D3024" s="512" t="s">
        <v>6241</v>
      </c>
      <c r="E3024" s="513">
        <v>10275</v>
      </c>
      <c r="F3024" s="512" t="s">
        <v>3033</v>
      </c>
      <c r="G3024" s="513" t="s">
        <v>21</v>
      </c>
      <c r="H3024" s="514">
        <v>327717</v>
      </c>
      <c r="I3024" s="515" t="s">
        <v>6915</v>
      </c>
    </row>
    <row r="3025" spans="2:9" ht="15" x14ac:dyDescent="0.35">
      <c r="B3025" s="512" t="s">
        <v>6326</v>
      </c>
      <c r="C3025" s="512" t="s">
        <v>6242</v>
      </c>
      <c r="D3025" s="512" t="s">
        <v>6243</v>
      </c>
      <c r="E3025" s="513">
        <v>10276</v>
      </c>
      <c r="F3025" s="512" t="s">
        <v>3034</v>
      </c>
      <c r="G3025" s="513" t="s">
        <v>23</v>
      </c>
      <c r="H3025" s="514">
        <v>1154644</v>
      </c>
      <c r="I3025" s="515" t="s">
        <v>6915</v>
      </c>
    </row>
    <row r="3026" spans="2:9" ht="15" x14ac:dyDescent="0.35">
      <c r="B3026" s="512" t="s">
        <v>6326</v>
      </c>
      <c r="C3026" s="512" t="s">
        <v>6242</v>
      </c>
      <c r="D3026" s="512" t="s">
        <v>6243</v>
      </c>
      <c r="E3026" s="513">
        <v>10277</v>
      </c>
      <c r="F3026" s="512" t="s">
        <v>3035</v>
      </c>
      <c r="G3026" s="513" t="s">
        <v>23</v>
      </c>
      <c r="H3026" s="514">
        <v>1605576</v>
      </c>
      <c r="I3026" s="515" t="s">
        <v>6915</v>
      </c>
    </row>
    <row r="3027" spans="2:9" ht="15" x14ac:dyDescent="0.35">
      <c r="B3027" s="512" t="s">
        <v>6327</v>
      </c>
      <c r="C3027" s="512" t="s">
        <v>6328</v>
      </c>
      <c r="D3027" s="512" t="s">
        <v>6329</v>
      </c>
      <c r="E3027" s="513">
        <v>10321</v>
      </c>
      <c r="F3027" s="512" t="s">
        <v>3036</v>
      </c>
      <c r="G3027" s="513" t="s">
        <v>29</v>
      </c>
      <c r="H3027" s="514">
        <v>57566</v>
      </c>
      <c r="I3027" s="515" t="s">
        <v>6425</v>
      </c>
    </row>
    <row r="3028" spans="2:9" ht="15" x14ac:dyDescent="0.35">
      <c r="B3028" s="512" t="s">
        <v>6327</v>
      </c>
      <c r="C3028" s="512" t="s">
        <v>6328</v>
      </c>
      <c r="D3028" s="512" t="s">
        <v>6329</v>
      </c>
      <c r="E3028" s="513">
        <v>10322</v>
      </c>
      <c r="F3028" s="512" t="s">
        <v>3037</v>
      </c>
      <c r="G3028" s="513" t="s">
        <v>29</v>
      </c>
      <c r="H3028" s="516">
        <v>83072</v>
      </c>
      <c r="I3028" s="512" t="s">
        <v>6425</v>
      </c>
    </row>
    <row r="3029" spans="2:9" ht="15" x14ac:dyDescent="0.35">
      <c r="B3029" s="512" t="s">
        <v>6327</v>
      </c>
      <c r="C3029" s="512" t="s">
        <v>6328</v>
      </c>
      <c r="D3029" s="512" t="s">
        <v>6329</v>
      </c>
      <c r="E3029" s="513">
        <v>10323</v>
      </c>
      <c r="F3029" s="512" t="s">
        <v>3038</v>
      </c>
      <c r="G3029" s="513" t="s">
        <v>29</v>
      </c>
      <c r="H3029" s="516">
        <v>63003</v>
      </c>
      <c r="I3029" s="512" t="s">
        <v>6425</v>
      </c>
    </row>
    <row r="3030" spans="2:9" ht="15" x14ac:dyDescent="0.35">
      <c r="B3030" s="512" t="s">
        <v>6327</v>
      </c>
      <c r="C3030" s="512" t="s">
        <v>6328</v>
      </c>
      <c r="D3030" s="512" t="s">
        <v>6329</v>
      </c>
      <c r="E3030" s="513">
        <v>10324</v>
      </c>
      <c r="F3030" s="512" t="s">
        <v>3039</v>
      </c>
      <c r="G3030" s="513" t="s">
        <v>29</v>
      </c>
      <c r="H3030" s="514">
        <v>262470</v>
      </c>
      <c r="I3030" s="515" t="s">
        <v>6425</v>
      </c>
    </row>
    <row r="3031" spans="2:9" ht="15" x14ac:dyDescent="0.35">
      <c r="B3031" s="512" t="s">
        <v>6327</v>
      </c>
      <c r="C3031" s="512" t="s">
        <v>6328</v>
      </c>
      <c r="D3031" s="512" t="s">
        <v>6329</v>
      </c>
      <c r="E3031" s="513">
        <v>10325</v>
      </c>
      <c r="F3031" s="512" t="s">
        <v>3040</v>
      </c>
      <c r="G3031" s="513" t="s">
        <v>26</v>
      </c>
      <c r="H3031" s="514">
        <v>265615</v>
      </c>
      <c r="I3031" s="515" t="s">
        <v>6425</v>
      </c>
    </row>
    <row r="3032" spans="2:9" ht="15" x14ac:dyDescent="0.35">
      <c r="B3032" s="512" t="s">
        <v>6327</v>
      </c>
      <c r="C3032" s="512" t="s">
        <v>6328</v>
      </c>
      <c r="D3032" s="512" t="s">
        <v>6329</v>
      </c>
      <c r="E3032" s="513">
        <v>10326</v>
      </c>
      <c r="F3032" s="512" t="s">
        <v>3041</v>
      </c>
      <c r="G3032" s="513" t="s">
        <v>29</v>
      </c>
      <c r="H3032" s="514">
        <v>1707455</v>
      </c>
      <c r="I3032" s="512" t="s">
        <v>6425</v>
      </c>
    </row>
    <row r="3033" spans="2:9" ht="15" x14ac:dyDescent="0.35">
      <c r="B3033" s="512" t="s">
        <v>6327</v>
      </c>
      <c r="C3033" s="512" t="s">
        <v>6328</v>
      </c>
      <c r="D3033" s="512" t="s">
        <v>6329</v>
      </c>
      <c r="E3033" s="513">
        <v>10327</v>
      </c>
      <c r="F3033" s="512" t="s">
        <v>3042</v>
      </c>
      <c r="G3033" s="513" t="s">
        <v>29</v>
      </c>
      <c r="H3033" s="516">
        <v>1468835</v>
      </c>
      <c r="I3033" s="512" t="s">
        <v>6425</v>
      </c>
    </row>
    <row r="3034" spans="2:9" ht="15" x14ac:dyDescent="0.35">
      <c r="B3034" s="512" t="s">
        <v>6327</v>
      </c>
      <c r="C3034" s="512" t="s">
        <v>6328</v>
      </c>
      <c r="D3034" s="512" t="s">
        <v>6329</v>
      </c>
      <c r="E3034" s="513">
        <v>10328</v>
      </c>
      <c r="F3034" s="512" t="s">
        <v>3043</v>
      </c>
      <c r="G3034" s="513" t="s">
        <v>29</v>
      </c>
      <c r="H3034" s="516">
        <v>1383189</v>
      </c>
      <c r="I3034" s="512" t="s">
        <v>6425</v>
      </c>
    </row>
    <row r="3035" spans="2:9" ht="15" x14ac:dyDescent="0.35">
      <c r="B3035" s="512" t="s">
        <v>6327</v>
      </c>
      <c r="C3035" s="512" t="s">
        <v>6328</v>
      </c>
      <c r="D3035" s="512" t="s">
        <v>6329</v>
      </c>
      <c r="E3035" s="513">
        <v>10329</v>
      </c>
      <c r="F3035" s="512" t="s">
        <v>3044</v>
      </c>
      <c r="G3035" s="513" t="s">
        <v>29</v>
      </c>
      <c r="H3035" s="514">
        <v>1407846</v>
      </c>
      <c r="I3035" s="512" t="s">
        <v>6425</v>
      </c>
    </row>
    <row r="3036" spans="2:9" ht="15" x14ac:dyDescent="0.35">
      <c r="B3036" s="512" t="s">
        <v>6327</v>
      </c>
      <c r="C3036" s="512" t="s">
        <v>6328</v>
      </c>
      <c r="D3036" s="512" t="s">
        <v>6329</v>
      </c>
      <c r="E3036" s="513">
        <v>10330</v>
      </c>
      <c r="F3036" s="512" t="s">
        <v>3045</v>
      </c>
      <c r="G3036" s="513" t="s">
        <v>29</v>
      </c>
      <c r="H3036" s="514">
        <v>1407846</v>
      </c>
      <c r="I3036" s="512" t="s">
        <v>6425</v>
      </c>
    </row>
    <row r="3037" spans="2:9" ht="15" x14ac:dyDescent="0.35">
      <c r="B3037" s="512" t="s">
        <v>6327</v>
      </c>
      <c r="C3037" s="512" t="s">
        <v>6328</v>
      </c>
      <c r="D3037" s="512" t="s">
        <v>6329</v>
      </c>
      <c r="E3037" s="513">
        <v>10331</v>
      </c>
      <c r="F3037" s="512" t="s">
        <v>3046</v>
      </c>
      <c r="G3037" s="513" t="s">
        <v>29</v>
      </c>
      <c r="H3037" s="514">
        <v>3703234</v>
      </c>
      <c r="I3037" s="515" t="s">
        <v>6425</v>
      </c>
    </row>
    <row r="3038" spans="2:9" ht="15" x14ac:dyDescent="0.35">
      <c r="B3038" s="512" t="s">
        <v>6327</v>
      </c>
      <c r="C3038" s="512" t="s">
        <v>6328</v>
      </c>
      <c r="D3038" s="512" t="s">
        <v>6329</v>
      </c>
      <c r="E3038" s="513">
        <v>10332</v>
      </c>
      <c r="F3038" s="512" t="s">
        <v>3047</v>
      </c>
      <c r="G3038" s="513" t="s">
        <v>29</v>
      </c>
      <c r="H3038" s="514">
        <v>4281858</v>
      </c>
      <c r="I3038" s="515" t="s">
        <v>6425</v>
      </c>
    </row>
    <row r="3039" spans="2:9" ht="15" x14ac:dyDescent="0.35">
      <c r="B3039" s="512" t="s">
        <v>6327</v>
      </c>
      <c r="C3039" s="512" t="s">
        <v>6328</v>
      </c>
      <c r="D3039" s="512" t="s">
        <v>6329</v>
      </c>
      <c r="E3039" s="513">
        <v>10333</v>
      </c>
      <c r="F3039" s="512" t="s">
        <v>3048</v>
      </c>
      <c r="G3039" s="513" t="s">
        <v>29</v>
      </c>
      <c r="H3039" s="514">
        <v>4768460</v>
      </c>
      <c r="I3039" s="515" t="s">
        <v>6425</v>
      </c>
    </row>
    <row r="3040" spans="2:9" ht="15" x14ac:dyDescent="0.35">
      <c r="B3040" s="512" t="s">
        <v>6327</v>
      </c>
      <c r="C3040" s="512" t="s">
        <v>6328</v>
      </c>
      <c r="D3040" s="512" t="s">
        <v>6329</v>
      </c>
      <c r="E3040" s="513">
        <v>10334</v>
      </c>
      <c r="F3040" s="512" t="s">
        <v>3049</v>
      </c>
      <c r="G3040" s="513" t="s">
        <v>29</v>
      </c>
      <c r="H3040" s="514">
        <v>5035408</v>
      </c>
      <c r="I3040" s="515" t="s">
        <v>6425</v>
      </c>
    </row>
    <row r="3041" spans="2:9" ht="15" x14ac:dyDescent="0.35">
      <c r="B3041" s="512" t="s">
        <v>6327</v>
      </c>
      <c r="C3041" s="512" t="s">
        <v>6328</v>
      </c>
      <c r="D3041" s="512" t="s">
        <v>6329</v>
      </c>
      <c r="E3041" s="513">
        <v>10335</v>
      </c>
      <c r="F3041" s="512" t="s">
        <v>3050</v>
      </c>
      <c r="G3041" s="513" t="s">
        <v>29</v>
      </c>
      <c r="H3041" s="516">
        <v>14096122</v>
      </c>
      <c r="I3041" s="512" t="s">
        <v>6425</v>
      </c>
    </row>
    <row r="3042" spans="2:9" ht="15" x14ac:dyDescent="0.35">
      <c r="B3042" s="512" t="s">
        <v>6327</v>
      </c>
      <c r="C3042" s="512" t="s">
        <v>6328</v>
      </c>
      <c r="D3042" s="512" t="s">
        <v>6329</v>
      </c>
      <c r="E3042" s="513">
        <v>10336</v>
      </c>
      <c r="F3042" s="512" t="s">
        <v>3051</v>
      </c>
      <c r="G3042" s="513" t="s">
        <v>29</v>
      </c>
      <c r="H3042" s="514">
        <v>18038517</v>
      </c>
      <c r="I3042" s="515" t="s">
        <v>6425</v>
      </c>
    </row>
    <row r="3043" spans="2:9" ht="15" x14ac:dyDescent="0.35">
      <c r="B3043" s="512" t="s">
        <v>6330</v>
      </c>
      <c r="C3043" s="512" t="s">
        <v>6223</v>
      </c>
      <c r="D3043" s="512" t="s">
        <v>6223</v>
      </c>
      <c r="E3043" s="513">
        <v>10338</v>
      </c>
      <c r="F3043" s="512" t="s">
        <v>3052</v>
      </c>
      <c r="G3043" s="513" t="s">
        <v>23</v>
      </c>
      <c r="H3043" s="514">
        <v>156403</v>
      </c>
      <c r="I3043" s="515" t="s">
        <v>6915</v>
      </c>
    </row>
    <row r="3044" spans="2:9" ht="15" x14ac:dyDescent="0.35">
      <c r="B3044" s="512" t="s">
        <v>6330</v>
      </c>
      <c r="C3044" s="512" t="s">
        <v>6223</v>
      </c>
      <c r="D3044" s="512" t="s">
        <v>6223</v>
      </c>
      <c r="E3044" s="513">
        <v>10339</v>
      </c>
      <c r="F3044" s="512" t="s">
        <v>3053</v>
      </c>
      <c r="G3044" s="513" t="s">
        <v>23</v>
      </c>
      <c r="H3044" s="514">
        <v>180145</v>
      </c>
      <c r="I3044" s="515" t="s">
        <v>6915</v>
      </c>
    </row>
    <row r="3045" spans="2:9" ht="15" x14ac:dyDescent="0.35">
      <c r="B3045" s="512" t="s">
        <v>6330</v>
      </c>
      <c r="C3045" s="512" t="s">
        <v>6223</v>
      </c>
      <c r="D3045" s="512" t="s">
        <v>6223</v>
      </c>
      <c r="E3045" s="513">
        <v>10340</v>
      </c>
      <c r="F3045" s="512" t="s">
        <v>3054</v>
      </c>
      <c r="G3045" s="513" t="s">
        <v>23</v>
      </c>
      <c r="H3045" s="516">
        <v>144132</v>
      </c>
      <c r="I3045" s="512" t="s">
        <v>6915</v>
      </c>
    </row>
    <row r="3046" spans="2:9" ht="15" x14ac:dyDescent="0.35">
      <c r="B3046" s="512" t="s">
        <v>6330</v>
      </c>
      <c r="C3046" s="512" t="s">
        <v>6223</v>
      </c>
      <c r="D3046" s="512" t="s">
        <v>6223</v>
      </c>
      <c r="E3046" s="513">
        <v>10341</v>
      </c>
      <c r="F3046" s="512" t="s">
        <v>3055</v>
      </c>
      <c r="G3046" s="513" t="s">
        <v>23</v>
      </c>
      <c r="H3046" s="516">
        <v>167874</v>
      </c>
      <c r="I3046" s="512" t="s">
        <v>6915</v>
      </c>
    </row>
    <row r="3047" spans="2:9" ht="15" x14ac:dyDescent="0.35">
      <c r="B3047" s="512" t="s">
        <v>6331</v>
      </c>
      <c r="C3047" s="512" t="s">
        <v>6233</v>
      </c>
      <c r="D3047" s="512" t="s">
        <v>6332</v>
      </c>
      <c r="E3047" s="513">
        <v>10342</v>
      </c>
      <c r="F3047" s="512" t="s">
        <v>3056</v>
      </c>
      <c r="G3047" s="513" t="s">
        <v>29</v>
      </c>
      <c r="H3047" s="516">
        <v>1979014</v>
      </c>
      <c r="I3047" s="512" t="s">
        <v>6915</v>
      </c>
    </row>
    <row r="3048" spans="2:9" ht="15" x14ac:dyDescent="0.35">
      <c r="B3048" s="512" t="s">
        <v>6331</v>
      </c>
      <c r="C3048" s="512" t="s">
        <v>6233</v>
      </c>
      <c r="D3048" s="512" t="s">
        <v>6332</v>
      </c>
      <c r="E3048" s="513">
        <v>10343</v>
      </c>
      <c r="F3048" s="512" t="s">
        <v>3057</v>
      </c>
      <c r="G3048" s="513" t="s">
        <v>29</v>
      </c>
      <c r="H3048" s="516">
        <v>2398016</v>
      </c>
      <c r="I3048" s="512" t="s">
        <v>6915</v>
      </c>
    </row>
    <row r="3049" spans="2:9" ht="15" x14ac:dyDescent="0.35">
      <c r="B3049" s="512" t="s">
        <v>6333</v>
      </c>
      <c r="C3049" s="512" t="s">
        <v>6268</v>
      </c>
      <c r="D3049" s="512" t="s">
        <v>6268</v>
      </c>
      <c r="E3049" s="513">
        <v>10344</v>
      </c>
      <c r="F3049" s="512" t="s">
        <v>3058</v>
      </c>
      <c r="G3049" s="513" t="s">
        <v>29</v>
      </c>
      <c r="H3049" s="516">
        <v>273700</v>
      </c>
      <c r="I3049" s="512" t="s">
        <v>6915</v>
      </c>
    </row>
    <row r="3050" spans="2:9" ht="15" x14ac:dyDescent="0.35">
      <c r="B3050" s="512" t="s">
        <v>6333</v>
      </c>
      <c r="C3050" s="512" t="s">
        <v>6268</v>
      </c>
      <c r="D3050" s="512" t="s">
        <v>6268</v>
      </c>
      <c r="E3050" s="513">
        <v>10345</v>
      </c>
      <c r="F3050" s="512" t="s">
        <v>3059</v>
      </c>
      <c r="G3050" s="513" t="s">
        <v>29</v>
      </c>
      <c r="H3050" s="516">
        <v>196350</v>
      </c>
      <c r="I3050" s="515" t="s">
        <v>6915</v>
      </c>
    </row>
    <row r="3051" spans="2:9" ht="15" x14ac:dyDescent="0.35">
      <c r="B3051" s="512" t="s">
        <v>6333</v>
      </c>
      <c r="C3051" s="512" t="s">
        <v>6268</v>
      </c>
      <c r="D3051" s="512" t="s">
        <v>6268</v>
      </c>
      <c r="E3051" s="513">
        <v>10346</v>
      </c>
      <c r="F3051" s="512" t="s">
        <v>3060</v>
      </c>
      <c r="G3051" s="513" t="s">
        <v>29</v>
      </c>
      <c r="H3051" s="516">
        <v>856800</v>
      </c>
      <c r="I3051" s="515" t="s">
        <v>6915</v>
      </c>
    </row>
    <row r="3052" spans="2:9" ht="15" x14ac:dyDescent="0.35">
      <c r="B3052" s="512" t="s">
        <v>6333</v>
      </c>
      <c r="C3052" s="512" t="s">
        <v>6268</v>
      </c>
      <c r="D3052" s="512" t="s">
        <v>6268</v>
      </c>
      <c r="E3052" s="513">
        <v>10347</v>
      </c>
      <c r="F3052" s="512" t="s">
        <v>3061</v>
      </c>
      <c r="G3052" s="513" t="s">
        <v>29</v>
      </c>
      <c r="H3052" s="514">
        <v>214200</v>
      </c>
      <c r="I3052" s="515" t="s">
        <v>6915</v>
      </c>
    </row>
    <row r="3053" spans="2:9" ht="15" x14ac:dyDescent="0.35">
      <c r="B3053" s="512" t="s">
        <v>6334</v>
      </c>
      <c r="C3053" s="512" t="s">
        <v>6268</v>
      </c>
      <c r="D3053" s="512" t="s">
        <v>6268</v>
      </c>
      <c r="E3053" s="513">
        <v>10348</v>
      </c>
      <c r="F3053" s="512" t="s">
        <v>3062</v>
      </c>
      <c r="G3053" s="513" t="s">
        <v>29</v>
      </c>
      <c r="H3053" s="516">
        <v>410726</v>
      </c>
      <c r="I3053" s="515" t="s">
        <v>6915</v>
      </c>
    </row>
    <row r="3054" spans="2:9" ht="15" x14ac:dyDescent="0.35">
      <c r="B3054" s="512" t="s">
        <v>6334</v>
      </c>
      <c r="C3054" s="512" t="s">
        <v>6239</v>
      </c>
      <c r="D3054" s="512" t="s">
        <v>6239</v>
      </c>
      <c r="E3054" s="513">
        <v>10349</v>
      </c>
      <c r="F3054" s="512" t="s">
        <v>3063</v>
      </c>
      <c r="G3054" s="513" t="s">
        <v>26</v>
      </c>
      <c r="H3054" s="514">
        <v>532612</v>
      </c>
      <c r="I3054" s="515" t="s">
        <v>6915</v>
      </c>
    </row>
    <row r="3055" spans="2:9" ht="15" x14ac:dyDescent="0.35">
      <c r="B3055" s="512" t="s">
        <v>6334</v>
      </c>
      <c r="C3055" s="512" t="s">
        <v>6227</v>
      </c>
      <c r="D3055" s="512" t="s">
        <v>6248</v>
      </c>
      <c r="E3055" s="513">
        <v>10350</v>
      </c>
      <c r="F3055" s="512" t="s">
        <v>3064</v>
      </c>
      <c r="G3055" s="513" t="s">
        <v>23</v>
      </c>
      <c r="H3055" s="514">
        <v>226228</v>
      </c>
      <c r="I3055" s="515" t="s">
        <v>6915</v>
      </c>
    </row>
    <row r="3056" spans="2:9" ht="15" x14ac:dyDescent="0.35">
      <c r="B3056" s="512" t="s">
        <v>6334</v>
      </c>
      <c r="C3056" s="512" t="s">
        <v>6227</v>
      </c>
      <c r="D3056" s="512" t="s">
        <v>6248</v>
      </c>
      <c r="E3056" s="513">
        <v>10351</v>
      </c>
      <c r="F3056" s="512" t="s">
        <v>3065</v>
      </c>
      <c r="G3056" s="513" t="s">
        <v>23</v>
      </c>
      <c r="H3056" s="514">
        <v>204866</v>
      </c>
      <c r="I3056" s="515" t="s">
        <v>6915</v>
      </c>
    </row>
    <row r="3057" spans="2:9" ht="15" x14ac:dyDescent="0.35">
      <c r="B3057" s="512" t="s">
        <v>6334</v>
      </c>
      <c r="C3057" s="512" t="s">
        <v>6239</v>
      </c>
      <c r="D3057" s="512" t="s">
        <v>6239</v>
      </c>
      <c r="E3057" s="513">
        <v>10352</v>
      </c>
      <c r="F3057" s="512" t="s">
        <v>3066</v>
      </c>
      <c r="G3057" s="513" t="s">
        <v>26</v>
      </c>
      <c r="H3057" s="514">
        <v>927826</v>
      </c>
      <c r="I3057" s="515" t="s">
        <v>6915</v>
      </c>
    </row>
    <row r="3058" spans="2:9" ht="15" x14ac:dyDescent="0.35">
      <c r="B3058" s="512" t="s">
        <v>6334</v>
      </c>
      <c r="C3058" s="512" t="s">
        <v>6239</v>
      </c>
      <c r="D3058" s="512" t="s">
        <v>6239</v>
      </c>
      <c r="E3058" s="513">
        <v>10353</v>
      </c>
      <c r="F3058" s="512" t="s">
        <v>3067</v>
      </c>
      <c r="G3058" s="513" t="s">
        <v>26</v>
      </c>
      <c r="H3058" s="514">
        <v>953583</v>
      </c>
      <c r="I3058" s="515" t="s">
        <v>6915</v>
      </c>
    </row>
    <row r="3059" spans="2:9" ht="15" x14ac:dyDescent="0.35">
      <c r="B3059" s="512" t="s">
        <v>6334</v>
      </c>
      <c r="C3059" s="512" t="s">
        <v>6239</v>
      </c>
      <c r="D3059" s="512" t="s">
        <v>6239</v>
      </c>
      <c r="E3059" s="513">
        <v>10354</v>
      </c>
      <c r="F3059" s="512" t="s">
        <v>3068</v>
      </c>
      <c r="G3059" s="513" t="s">
        <v>26</v>
      </c>
      <c r="H3059" s="514">
        <v>1042659</v>
      </c>
      <c r="I3059" s="515" t="s">
        <v>6915</v>
      </c>
    </row>
    <row r="3060" spans="2:9" ht="15" x14ac:dyDescent="0.35">
      <c r="B3060" s="512" t="s">
        <v>6334</v>
      </c>
      <c r="C3060" s="512" t="s">
        <v>6239</v>
      </c>
      <c r="D3060" s="512" t="s">
        <v>6239</v>
      </c>
      <c r="E3060" s="513">
        <v>10355</v>
      </c>
      <c r="F3060" s="512" t="s">
        <v>3069</v>
      </c>
      <c r="G3060" s="513" t="s">
        <v>26</v>
      </c>
      <c r="H3060" s="514">
        <v>1281124</v>
      </c>
      <c r="I3060" s="512" t="s">
        <v>6915</v>
      </c>
    </row>
    <row r="3061" spans="2:9" ht="15" x14ac:dyDescent="0.35">
      <c r="B3061" s="512" t="s">
        <v>6334</v>
      </c>
      <c r="C3061" s="512" t="s">
        <v>6239</v>
      </c>
      <c r="D3061" s="512" t="s">
        <v>6239</v>
      </c>
      <c r="E3061" s="513">
        <v>10356</v>
      </c>
      <c r="F3061" s="512" t="s">
        <v>3070</v>
      </c>
      <c r="G3061" s="513" t="s">
        <v>26</v>
      </c>
      <c r="H3061" s="514">
        <v>1347754</v>
      </c>
      <c r="I3061" s="515" t="s">
        <v>6915</v>
      </c>
    </row>
    <row r="3062" spans="2:9" ht="15" x14ac:dyDescent="0.35">
      <c r="B3062" s="512" t="s">
        <v>6334</v>
      </c>
      <c r="C3062" s="512" t="s">
        <v>6239</v>
      </c>
      <c r="D3062" s="512" t="s">
        <v>6239</v>
      </c>
      <c r="E3062" s="513">
        <v>10357</v>
      </c>
      <c r="F3062" s="512" t="s">
        <v>3071</v>
      </c>
      <c r="G3062" s="513" t="s">
        <v>26</v>
      </c>
      <c r="H3062" s="514">
        <v>1462597</v>
      </c>
      <c r="I3062" s="515" t="s">
        <v>6915</v>
      </c>
    </row>
    <row r="3063" spans="2:9" ht="15" x14ac:dyDescent="0.35">
      <c r="B3063" s="512" t="s">
        <v>6334</v>
      </c>
      <c r="C3063" s="512" t="s">
        <v>6239</v>
      </c>
      <c r="D3063" s="512" t="s">
        <v>6239</v>
      </c>
      <c r="E3063" s="513">
        <v>10358</v>
      </c>
      <c r="F3063" s="512" t="s">
        <v>3072</v>
      </c>
      <c r="G3063" s="513" t="s">
        <v>26</v>
      </c>
      <c r="H3063" s="514">
        <v>1726736</v>
      </c>
      <c r="I3063" s="512" t="s">
        <v>6915</v>
      </c>
    </row>
    <row r="3064" spans="2:9" ht="15" x14ac:dyDescent="0.35">
      <c r="B3064" s="512" t="s">
        <v>6334</v>
      </c>
      <c r="C3064" s="512" t="s">
        <v>6239</v>
      </c>
      <c r="D3064" s="512" t="s">
        <v>6239</v>
      </c>
      <c r="E3064" s="513">
        <v>10359</v>
      </c>
      <c r="F3064" s="512" t="s">
        <v>3073</v>
      </c>
      <c r="G3064" s="513" t="s">
        <v>26</v>
      </c>
      <c r="H3064" s="514">
        <v>2104388</v>
      </c>
      <c r="I3064" s="512" t="s">
        <v>6915</v>
      </c>
    </row>
    <row r="3065" spans="2:9" ht="15" x14ac:dyDescent="0.35">
      <c r="B3065" s="512" t="s">
        <v>6334</v>
      </c>
      <c r="C3065" s="512" t="s">
        <v>6239</v>
      </c>
      <c r="D3065" s="512" t="s">
        <v>6239</v>
      </c>
      <c r="E3065" s="513">
        <v>10360</v>
      </c>
      <c r="F3065" s="512" t="s">
        <v>3074</v>
      </c>
      <c r="G3065" s="513" t="s">
        <v>26</v>
      </c>
      <c r="H3065" s="514">
        <v>2282686</v>
      </c>
      <c r="I3065" s="512" t="s">
        <v>6915</v>
      </c>
    </row>
    <row r="3066" spans="2:9" ht="15" x14ac:dyDescent="0.35">
      <c r="B3066" s="512" t="s">
        <v>6334</v>
      </c>
      <c r="C3066" s="512" t="s">
        <v>6239</v>
      </c>
      <c r="D3066" s="512" t="s">
        <v>6239</v>
      </c>
      <c r="E3066" s="513">
        <v>10361</v>
      </c>
      <c r="F3066" s="512" t="s">
        <v>3075</v>
      </c>
      <c r="G3066" s="513" t="s">
        <v>26</v>
      </c>
      <c r="H3066" s="514">
        <v>2411756</v>
      </c>
      <c r="I3066" s="512" t="s">
        <v>6915</v>
      </c>
    </row>
    <row r="3067" spans="2:9" ht="15" x14ac:dyDescent="0.35">
      <c r="B3067" s="512" t="s">
        <v>6334</v>
      </c>
      <c r="C3067" s="512" t="s">
        <v>6239</v>
      </c>
      <c r="D3067" s="512" t="s">
        <v>6239</v>
      </c>
      <c r="E3067" s="513">
        <v>10362</v>
      </c>
      <c r="F3067" s="512" t="s">
        <v>3076</v>
      </c>
      <c r="G3067" s="513" t="s">
        <v>26</v>
      </c>
      <c r="H3067" s="514">
        <v>2531894</v>
      </c>
      <c r="I3067" s="515" t="s">
        <v>6915</v>
      </c>
    </row>
    <row r="3068" spans="2:9" ht="15" x14ac:dyDescent="0.35">
      <c r="B3068" s="512" t="s">
        <v>6334</v>
      </c>
      <c r="C3068" s="512" t="s">
        <v>6239</v>
      </c>
      <c r="D3068" s="512" t="s">
        <v>6239</v>
      </c>
      <c r="E3068" s="513">
        <v>10363</v>
      </c>
      <c r="F3068" s="512" t="s">
        <v>3077</v>
      </c>
      <c r="G3068" s="513" t="s">
        <v>26</v>
      </c>
      <c r="H3068" s="514">
        <v>962792</v>
      </c>
      <c r="I3068" s="515" t="s">
        <v>6915</v>
      </c>
    </row>
    <row r="3069" spans="2:9" ht="15" x14ac:dyDescent="0.35">
      <c r="B3069" s="512" t="s">
        <v>6334</v>
      </c>
      <c r="C3069" s="512" t="s">
        <v>6239</v>
      </c>
      <c r="D3069" s="512" t="s">
        <v>6239</v>
      </c>
      <c r="E3069" s="513">
        <v>10364</v>
      </c>
      <c r="F3069" s="512" t="s">
        <v>3078</v>
      </c>
      <c r="G3069" s="513" t="s">
        <v>26</v>
      </c>
      <c r="H3069" s="514">
        <v>1011231</v>
      </c>
      <c r="I3069" s="515" t="s">
        <v>6915</v>
      </c>
    </row>
    <row r="3070" spans="2:9" ht="15" x14ac:dyDescent="0.35">
      <c r="B3070" s="512" t="s">
        <v>6334</v>
      </c>
      <c r="C3070" s="512" t="s">
        <v>6239</v>
      </c>
      <c r="D3070" s="512" t="s">
        <v>6239</v>
      </c>
      <c r="E3070" s="513">
        <v>10365</v>
      </c>
      <c r="F3070" s="512" t="s">
        <v>3079</v>
      </c>
      <c r="G3070" s="513" t="s">
        <v>26</v>
      </c>
      <c r="H3070" s="514">
        <v>1112716</v>
      </c>
      <c r="I3070" s="515" t="s">
        <v>6915</v>
      </c>
    </row>
    <row r="3071" spans="2:9" ht="15" x14ac:dyDescent="0.35">
      <c r="B3071" s="512" t="s">
        <v>6334</v>
      </c>
      <c r="C3071" s="512" t="s">
        <v>6239</v>
      </c>
      <c r="D3071" s="512" t="s">
        <v>6239</v>
      </c>
      <c r="E3071" s="513">
        <v>10366</v>
      </c>
      <c r="F3071" s="512" t="s">
        <v>3080</v>
      </c>
      <c r="G3071" s="513" t="s">
        <v>26</v>
      </c>
      <c r="H3071" s="514">
        <v>1342837</v>
      </c>
      <c r="I3071" s="515" t="s">
        <v>6915</v>
      </c>
    </row>
    <row r="3072" spans="2:9" ht="15" x14ac:dyDescent="0.35">
      <c r="B3072" s="512" t="s">
        <v>6334</v>
      </c>
      <c r="C3072" s="512" t="s">
        <v>6239</v>
      </c>
      <c r="D3072" s="512" t="s">
        <v>6239</v>
      </c>
      <c r="E3072" s="513">
        <v>10367</v>
      </c>
      <c r="F3072" s="512" t="s">
        <v>3081</v>
      </c>
      <c r="G3072" s="513" t="s">
        <v>26</v>
      </c>
      <c r="H3072" s="514">
        <v>1436077</v>
      </c>
      <c r="I3072" s="515" t="s">
        <v>6915</v>
      </c>
    </row>
    <row r="3073" spans="2:9" ht="15" x14ac:dyDescent="0.35">
      <c r="B3073" s="512" t="s">
        <v>6334</v>
      </c>
      <c r="C3073" s="512" t="s">
        <v>6239</v>
      </c>
      <c r="D3073" s="512" t="s">
        <v>6239</v>
      </c>
      <c r="E3073" s="513">
        <v>10368</v>
      </c>
      <c r="F3073" s="512" t="s">
        <v>3082</v>
      </c>
      <c r="G3073" s="513" t="s">
        <v>26</v>
      </c>
      <c r="H3073" s="514">
        <v>1581375</v>
      </c>
      <c r="I3073" s="515" t="s">
        <v>6915</v>
      </c>
    </row>
    <row r="3074" spans="2:9" ht="15" x14ac:dyDescent="0.35">
      <c r="B3074" s="512" t="s">
        <v>6334</v>
      </c>
      <c r="C3074" s="512" t="s">
        <v>6239</v>
      </c>
      <c r="D3074" s="512" t="s">
        <v>6239</v>
      </c>
      <c r="E3074" s="513">
        <v>10369</v>
      </c>
      <c r="F3074" s="512" t="s">
        <v>3083</v>
      </c>
      <c r="G3074" s="513" t="s">
        <v>26</v>
      </c>
      <c r="H3074" s="516">
        <v>1751043</v>
      </c>
      <c r="I3074" s="512" t="s">
        <v>6915</v>
      </c>
    </row>
    <row r="3075" spans="2:9" ht="15" x14ac:dyDescent="0.35">
      <c r="B3075" s="512" t="s">
        <v>6334</v>
      </c>
      <c r="C3075" s="512" t="s">
        <v>6239</v>
      </c>
      <c r="D3075" s="512" t="s">
        <v>6239</v>
      </c>
      <c r="E3075" s="513">
        <v>10370</v>
      </c>
      <c r="F3075" s="512" t="s">
        <v>3084</v>
      </c>
      <c r="G3075" s="513" t="s">
        <v>26</v>
      </c>
      <c r="H3075" s="516">
        <v>2108442</v>
      </c>
      <c r="I3075" s="512" t="s">
        <v>6915</v>
      </c>
    </row>
    <row r="3076" spans="2:9" ht="15" x14ac:dyDescent="0.35">
      <c r="B3076" s="512" t="s">
        <v>6334</v>
      </c>
      <c r="C3076" s="512" t="s">
        <v>6239</v>
      </c>
      <c r="D3076" s="512" t="s">
        <v>6239</v>
      </c>
      <c r="E3076" s="513">
        <v>10371</v>
      </c>
      <c r="F3076" s="512" t="s">
        <v>3085</v>
      </c>
      <c r="G3076" s="513" t="s">
        <v>26</v>
      </c>
      <c r="H3076" s="514">
        <v>2287770</v>
      </c>
      <c r="I3076" s="515" t="s">
        <v>6915</v>
      </c>
    </row>
    <row r="3077" spans="2:9" ht="15" x14ac:dyDescent="0.35">
      <c r="B3077" s="512" t="s">
        <v>6334</v>
      </c>
      <c r="C3077" s="512" t="s">
        <v>6239</v>
      </c>
      <c r="D3077" s="512" t="s">
        <v>6239</v>
      </c>
      <c r="E3077" s="513">
        <v>10372</v>
      </c>
      <c r="F3077" s="512" t="s">
        <v>3086</v>
      </c>
      <c r="G3077" s="513" t="s">
        <v>26</v>
      </c>
      <c r="H3077" s="514">
        <v>2406566</v>
      </c>
      <c r="I3077" s="515" t="s">
        <v>6915</v>
      </c>
    </row>
    <row r="3078" spans="2:9" ht="15" x14ac:dyDescent="0.35">
      <c r="B3078" s="512" t="s">
        <v>6334</v>
      </c>
      <c r="C3078" s="512" t="s">
        <v>6239</v>
      </c>
      <c r="D3078" s="512" t="s">
        <v>6239</v>
      </c>
      <c r="E3078" s="513">
        <v>10373</v>
      </c>
      <c r="F3078" s="512" t="s">
        <v>3087</v>
      </c>
      <c r="G3078" s="513" t="s">
        <v>26</v>
      </c>
      <c r="H3078" s="514">
        <v>2550050</v>
      </c>
      <c r="I3078" s="515" t="s">
        <v>6915</v>
      </c>
    </row>
    <row r="3079" spans="2:9" ht="15" x14ac:dyDescent="0.35">
      <c r="B3079" s="512" t="s">
        <v>6334</v>
      </c>
      <c r="C3079" s="512" t="s">
        <v>6235</v>
      </c>
      <c r="D3079" s="512" t="s">
        <v>6236</v>
      </c>
      <c r="E3079" s="513">
        <v>10374</v>
      </c>
      <c r="F3079" s="512" t="s">
        <v>3088</v>
      </c>
      <c r="G3079" s="513" t="s">
        <v>29</v>
      </c>
      <c r="H3079" s="516">
        <v>299254</v>
      </c>
      <c r="I3079" s="512" t="s">
        <v>6915</v>
      </c>
    </row>
    <row r="3080" spans="2:9" ht="15" x14ac:dyDescent="0.35">
      <c r="B3080" s="512" t="s">
        <v>6334</v>
      </c>
      <c r="C3080" s="512" t="s">
        <v>6235</v>
      </c>
      <c r="D3080" s="512" t="s">
        <v>6236</v>
      </c>
      <c r="E3080" s="513">
        <v>10375</v>
      </c>
      <c r="F3080" s="512" t="s">
        <v>3089</v>
      </c>
      <c r="G3080" s="513" t="s">
        <v>29</v>
      </c>
      <c r="H3080" s="514">
        <v>684422</v>
      </c>
      <c r="I3080" s="515" t="s">
        <v>6915</v>
      </c>
    </row>
    <row r="3081" spans="2:9" ht="15" x14ac:dyDescent="0.35">
      <c r="B3081" s="512" t="s">
        <v>6334</v>
      </c>
      <c r="C3081" s="512" t="s">
        <v>6235</v>
      </c>
      <c r="D3081" s="512" t="s">
        <v>6236</v>
      </c>
      <c r="E3081" s="513">
        <v>10376</v>
      </c>
      <c r="F3081" s="512" t="s">
        <v>3090</v>
      </c>
      <c r="G3081" s="513" t="s">
        <v>29</v>
      </c>
      <c r="H3081" s="516">
        <v>1488576</v>
      </c>
      <c r="I3081" s="512" t="s">
        <v>6915</v>
      </c>
    </row>
    <row r="3082" spans="2:9" ht="15" x14ac:dyDescent="0.35">
      <c r="B3082" s="512" t="s">
        <v>6334</v>
      </c>
      <c r="C3082" s="512" t="s">
        <v>6235</v>
      </c>
      <c r="D3082" s="512" t="s">
        <v>6236</v>
      </c>
      <c r="E3082" s="513">
        <v>10377</v>
      </c>
      <c r="F3082" s="512" t="s">
        <v>3091</v>
      </c>
      <c r="G3082" s="513" t="s">
        <v>29</v>
      </c>
      <c r="H3082" s="516">
        <v>2079679</v>
      </c>
      <c r="I3082" s="512" t="s">
        <v>6915</v>
      </c>
    </row>
    <row r="3083" spans="2:9" ht="15" x14ac:dyDescent="0.35">
      <c r="B3083" s="512" t="s">
        <v>6334</v>
      </c>
      <c r="C3083" s="512" t="s">
        <v>6235</v>
      </c>
      <c r="D3083" s="512" t="s">
        <v>6236</v>
      </c>
      <c r="E3083" s="513">
        <v>10378</v>
      </c>
      <c r="F3083" s="512" t="s">
        <v>3092</v>
      </c>
      <c r="G3083" s="513" t="s">
        <v>29</v>
      </c>
      <c r="H3083" s="516">
        <v>2373699</v>
      </c>
      <c r="I3083" s="512" t="s">
        <v>6915</v>
      </c>
    </row>
    <row r="3084" spans="2:9" ht="15" x14ac:dyDescent="0.35">
      <c r="B3084" s="512" t="s">
        <v>6263</v>
      </c>
      <c r="C3084" s="512" t="s">
        <v>6233</v>
      </c>
      <c r="D3084" s="512" t="s">
        <v>6261</v>
      </c>
      <c r="E3084" s="513">
        <v>10454</v>
      </c>
      <c r="F3084" s="512" t="s">
        <v>3093</v>
      </c>
      <c r="G3084" s="513" t="s">
        <v>26</v>
      </c>
      <c r="H3084" s="516">
        <v>250207</v>
      </c>
      <c r="I3084" s="512" t="s">
        <v>6915</v>
      </c>
    </row>
    <row r="3085" spans="2:9" ht="15" x14ac:dyDescent="0.35">
      <c r="B3085" s="512" t="s">
        <v>6263</v>
      </c>
      <c r="C3085" s="512" t="s">
        <v>6233</v>
      </c>
      <c r="D3085" s="512" t="s">
        <v>6261</v>
      </c>
      <c r="E3085" s="513">
        <v>10455</v>
      </c>
      <c r="F3085" s="512" t="s">
        <v>3094</v>
      </c>
      <c r="G3085" s="513" t="s">
        <v>26</v>
      </c>
      <c r="H3085" s="514">
        <v>312429</v>
      </c>
      <c r="I3085" s="515" t="s">
        <v>6915</v>
      </c>
    </row>
    <row r="3086" spans="2:9" ht="15" x14ac:dyDescent="0.35">
      <c r="B3086" s="512" t="s">
        <v>6263</v>
      </c>
      <c r="C3086" s="512" t="s">
        <v>6233</v>
      </c>
      <c r="D3086" s="512" t="s">
        <v>6261</v>
      </c>
      <c r="E3086" s="513">
        <v>10456</v>
      </c>
      <c r="F3086" s="512" t="s">
        <v>3095</v>
      </c>
      <c r="G3086" s="513" t="s">
        <v>26</v>
      </c>
      <c r="H3086" s="516">
        <v>371416</v>
      </c>
      <c r="I3086" s="512" t="s">
        <v>6915</v>
      </c>
    </row>
    <row r="3087" spans="2:9" ht="15" x14ac:dyDescent="0.35">
      <c r="B3087" s="512" t="s">
        <v>6263</v>
      </c>
      <c r="C3087" s="512" t="s">
        <v>6233</v>
      </c>
      <c r="D3087" s="512" t="s">
        <v>6261</v>
      </c>
      <c r="E3087" s="513">
        <v>10457</v>
      </c>
      <c r="F3087" s="512" t="s">
        <v>3096</v>
      </c>
      <c r="G3087" s="513" t="s">
        <v>26</v>
      </c>
      <c r="H3087" s="516">
        <v>403571</v>
      </c>
      <c r="I3087" s="512" t="s">
        <v>6915</v>
      </c>
    </row>
    <row r="3088" spans="2:9" ht="15" x14ac:dyDescent="0.35">
      <c r="B3088" s="512" t="s">
        <v>6263</v>
      </c>
      <c r="C3088" s="512" t="s">
        <v>6233</v>
      </c>
      <c r="D3088" s="512" t="s">
        <v>6261</v>
      </c>
      <c r="E3088" s="513">
        <v>10458</v>
      </c>
      <c r="F3088" s="512" t="s">
        <v>3097</v>
      </c>
      <c r="G3088" s="513" t="s">
        <v>26</v>
      </c>
      <c r="H3088" s="516">
        <v>257853</v>
      </c>
      <c r="I3088" s="512" t="s">
        <v>6915</v>
      </c>
    </row>
    <row r="3089" spans="2:9" ht="15" x14ac:dyDescent="0.35">
      <c r="B3089" s="512" t="s">
        <v>6263</v>
      </c>
      <c r="C3089" s="512" t="s">
        <v>6233</v>
      </c>
      <c r="D3089" s="512" t="s">
        <v>6261</v>
      </c>
      <c r="E3089" s="513">
        <v>10459</v>
      </c>
      <c r="F3089" s="512" t="s">
        <v>3098</v>
      </c>
      <c r="G3089" s="513" t="s">
        <v>26</v>
      </c>
      <c r="H3089" s="516">
        <v>323924</v>
      </c>
      <c r="I3089" s="512" t="s">
        <v>6915</v>
      </c>
    </row>
    <row r="3090" spans="2:9" ht="15" x14ac:dyDescent="0.35">
      <c r="B3090" s="512" t="s">
        <v>6263</v>
      </c>
      <c r="C3090" s="512" t="s">
        <v>6233</v>
      </c>
      <c r="D3090" s="512" t="s">
        <v>6261</v>
      </c>
      <c r="E3090" s="513">
        <v>10460</v>
      </c>
      <c r="F3090" s="512" t="s">
        <v>3099</v>
      </c>
      <c r="G3090" s="513" t="s">
        <v>26</v>
      </c>
      <c r="H3090" s="516">
        <v>383210</v>
      </c>
      <c r="I3090" s="512" t="s">
        <v>6915</v>
      </c>
    </row>
    <row r="3091" spans="2:9" ht="15" x14ac:dyDescent="0.35">
      <c r="B3091" s="512" t="s">
        <v>6263</v>
      </c>
      <c r="C3091" s="512" t="s">
        <v>6233</v>
      </c>
      <c r="D3091" s="512" t="s">
        <v>6261</v>
      </c>
      <c r="E3091" s="513">
        <v>10461</v>
      </c>
      <c r="F3091" s="512" t="s">
        <v>3100</v>
      </c>
      <c r="G3091" s="513" t="s">
        <v>26</v>
      </c>
      <c r="H3091" s="516">
        <v>415723</v>
      </c>
      <c r="I3091" s="512" t="s">
        <v>6915</v>
      </c>
    </row>
    <row r="3092" spans="2:9" ht="15" x14ac:dyDescent="0.35">
      <c r="B3092" s="512" t="s">
        <v>6263</v>
      </c>
      <c r="C3092" s="512" t="s">
        <v>6252</v>
      </c>
      <c r="D3092" s="512" t="s">
        <v>6252</v>
      </c>
      <c r="E3092" s="513">
        <v>10462</v>
      </c>
      <c r="F3092" s="512" t="s">
        <v>3101</v>
      </c>
      <c r="G3092" s="513" t="s">
        <v>21</v>
      </c>
      <c r="H3092" s="516">
        <v>349454</v>
      </c>
      <c r="I3092" s="512" t="s">
        <v>6915</v>
      </c>
    </row>
    <row r="3093" spans="2:9" ht="15" x14ac:dyDescent="0.35">
      <c r="B3093" s="512" t="s">
        <v>6263</v>
      </c>
      <c r="C3093" s="512" t="s">
        <v>6252</v>
      </c>
      <c r="D3093" s="512" t="s">
        <v>6252</v>
      </c>
      <c r="E3093" s="513">
        <v>10465</v>
      </c>
      <c r="F3093" s="512" t="s">
        <v>3102</v>
      </c>
      <c r="G3093" s="513" t="s">
        <v>21</v>
      </c>
      <c r="H3093" s="516">
        <v>101072</v>
      </c>
      <c r="I3093" s="512" t="s">
        <v>6915</v>
      </c>
    </row>
    <row r="3094" spans="2:9" ht="15" x14ac:dyDescent="0.35">
      <c r="B3094" s="512" t="s">
        <v>6263</v>
      </c>
      <c r="C3094" s="512" t="s">
        <v>6233</v>
      </c>
      <c r="D3094" s="512" t="s">
        <v>6261</v>
      </c>
      <c r="E3094" s="513">
        <v>10484</v>
      </c>
      <c r="F3094" s="512" t="s">
        <v>3103</v>
      </c>
      <c r="G3094" s="513" t="s">
        <v>26</v>
      </c>
      <c r="H3094" s="516">
        <v>356356</v>
      </c>
      <c r="I3094" s="512" t="s">
        <v>6915</v>
      </c>
    </row>
    <row r="3095" spans="2:9" ht="15" x14ac:dyDescent="0.35">
      <c r="B3095" s="512" t="s">
        <v>6263</v>
      </c>
      <c r="C3095" s="512" t="s">
        <v>6233</v>
      </c>
      <c r="D3095" s="512" t="s">
        <v>6261</v>
      </c>
      <c r="E3095" s="513">
        <v>10485</v>
      </c>
      <c r="F3095" s="512" t="s">
        <v>3104</v>
      </c>
      <c r="G3095" s="513" t="s">
        <v>26</v>
      </c>
      <c r="H3095" s="516">
        <v>460878</v>
      </c>
      <c r="I3095" s="512" t="s">
        <v>6915</v>
      </c>
    </row>
    <row r="3096" spans="2:9" ht="15" x14ac:dyDescent="0.35">
      <c r="B3096" s="512" t="s">
        <v>6263</v>
      </c>
      <c r="C3096" s="512" t="s">
        <v>6233</v>
      </c>
      <c r="D3096" s="512" t="s">
        <v>6261</v>
      </c>
      <c r="E3096" s="513">
        <v>10486</v>
      </c>
      <c r="F3096" s="512" t="s">
        <v>3105</v>
      </c>
      <c r="G3096" s="513" t="s">
        <v>26</v>
      </c>
      <c r="H3096" s="516">
        <v>554338</v>
      </c>
      <c r="I3096" s="512" t="s">
        <v>6915</v>
      </c>
    </row>
    <row r="3097" spans="2:9" ht="15" x14ac:dyDescent="0.35">
      <c r="B3097" s="512" t="s">
        <v>6263</v>
      </c>
      <c r="C3097" s="512" t="s">
        <v>6233</v>
      </c>
      <c r="D3097" s="512" t="s">
        <v>6261</v>
      </c>
      <c r="E3097" s="513">
        <v>10487</v>
      </c>
      <c r="F3097" s="512" t="s">
        <v>3106</v>
      </c>
      <c r="G3097" s="513" t="s">
        <v>26</v>
      </c>
      <c r="H3097" s="516">
        <v>602582</v>
      </c>
      <c r="I3097" s="512" t="s">
        <v>6915</v>
      </c>
    </row>
    <row r="3098" spans="2:9" ht="15" x14ac:dyDescent="0.35">
      <c r="B3098" s="512" t="s">
        <v>6263</v>
      </c>
      <c r="C3098" s="512" t="s">
        <v>6233</v>
      </c>
      <c r="D3098" s="512" t="s">
        <v>6261</v>
      </c>
      <c r="E3098" s="513">
        <v>10488</v>
      </c>
      <c r="F3098" s="512" t="s">
        <v>3107</v>
      </c>
      <c r="G3098" s="513" t="s">
        <v>26</v>
      </c>
      <c r="H3098" s="516">
        <v>373901</v>
      </c>
      <c r="I3098" s="512" t="s">
        <v>6915</v>
      </c>
    </row>
    <row r="3099" spans="2:9" ht="15" x14ac:dyDescent="0.35">
      <c r="B3099" s="512" t="s">
        <v>6263</v>
      </c>
      <c r="C3099" s="512" t="s">
        <v>6233</v>
      </c>
      <c r="D3099" s="512" t="s">
        <v>6261</v>
      </c>
      <c r="E3099" s="513">
        <v>10489</v>
      </c>
      <c r="F3099" s="512" t="s">
        <v>3108</v>
      </c>
      <c r="G3099" s="513" t="s">
        <v>26</v>
      </c>
      <c r="H3099" s="516">
        <v>486127</v>
      </c>
      <c r="I3099" s="512" t="s">
        <v>6915</v>
      </c>
    </row>
    <row r="3100" spans="2:9" ht="15" x14ac:dyDescent="0.35">
      <c r="B3100" s="512" t="s">
        <v>6263</v>
      </c>
      <c r="C3100" s="512" t="s">
        <v>6233</v>
      </c>
      <c r="D3100" s="512" t="s">
        <v>6261</v>
      </c>
      <c r="E3100" s="513">
        <v>10490</v>
      </c>
      <c r="F3100" s="512" t="s">
        <v>3109</v>
      </c>
      <c r="G3100" s="513" t="s">
        <v>26</v>
      </c>
      <c r="H3100" s="516">
        <v>586116</v>
      </c>
      <c r="I3100" s="512" t="s">
        <v>6915</v>
      </c>
    </row>
    <row r="3101" spans="2:9" ht="15" x14ac:dyDescent="0.35">
      <c r="B3101" s="512" t="s">
        <v>6263</v>
      </c>
      <c r="C3101" s="512" t="s">
        <v>6233</v>
      </c>
      <c r="D3101" s="512" t="s">
        <v>6261</v>
      </c>
      <c r="E3101" s="513">
        <v>10491</v>
      </c>
      <c r="F3101" s="512" t="s">
        <v>3110</v>
      </c>
      <c r="G3101" s="513" t="s">
        <v>26</v>
      </c>
      <c r="H3101" s="516">
        <v>635330</v>
      </c>
      <c r="I3101" s="512" t="s">
        <v>6915</v>
      </c>
    </row>
    <row r="3102" spans="2:9" ht="15" x14ac:dyDescent="0.35">
      <c r="B3102" s="512" t="s">
        <v>6263</v>
      </c>
      <c r="C3102" s="512" t="s">
        <v>6233</v>
      </c>
      <c r="D3102" s="512" t="s">
        <v>6261</v>
      </c>
      <c r="E3102" s="513">
        <v>10492</v>
      </c>
      <c r="F3102" s="512" t="s">
        <v>3111</v>
      </c>
      <c r="G3102" s="513" t="s">
        <v>26</v>
      </c>
      <c r="H3102" s="516">
        <v>431097</v>
      </c>
      <c r="I3102" s="512" t="s">
        <v>6915</v>
      </c>
    </row>
    <row r="3103" spans="2:9" ht="15" x14ac:dyDescent="0.35">
      <c r="B3103" s="512" t="s">
        <v>6263</v>
      </c>
      <c r="C3103" s="512" t="s">
        <v>6233</v>
      </c>
      <c r="D3103" s="512" t="s">
        <v>6261</v>
      </c>
      <c r="E3103" s="513">
        <v>10493</v>
      </c>
      <c r="F3103" s="512" t="s">
        <v>3112</v>
      </c>
      <c r="G3103" s="513" t="s">
        <v>26</v>
      </c>
      <c r="H3103" s="516">
        <v>560017</v>
      </c>
      <c r="I3103" s="512" t="s">
        <v>6915</v>
      </c>
    </row>
    <row r="3104" spans="2:9" ht="15" x14ac:dyDescent="0.35">
      <c r="B3104" s="512" t="s">
        <v>6263</v>
      </c>
      <c r="C3104" s="512" t="s">
        <v>6233</v>
      </c>
      <c r="D3104" s="512" t="s">
        <v>6261</v>
      </c>
      <c r="E3104" s="513">
        <v>10494</v>
      </c>
      <c r="F3104" s="512" t="s">
        <v>3113</v>
      </c>
      <c r="G3104" s="513" t="s">
        <v>26</v>
      </c>
      <c r="H3104" s="516">
        <v>672131</v>
      </c>
      <c r="I3104" s="512" t="s">
        <v>6915</v>
      </c>
    </row>
    <row r="3105" spans="2:9" ht="15" x14ac:dyDescent="0.35">
      <c r="B3105" s="512" t="s">
        <v>6263</v>
      </c>
      <c r="C3105" s="512" t="s">
        <v>6233</v>
      </c>
      <c r="D3105" s="512" t="s">
        <v>6261</v>
      </c>
      <c r="E3105" s="513">
        <v>10495</v>
      </c>
      <c r="F3105" s="512" t="s">
        <v>3114</v>
      </c>
      <c r="G3105" s="513" t="s">
        <v>26</v>
      </c>
      <c r="H3105" s="516">
        <v>819500</v>
      </c>
      <c r="I3105" s="512" t="s">
        <v>6915</v>
      </c>
    </row>
    <row r="3106" spans="2:9" ht="15" x14ac:dyDescent="0.35">
      <c r="B3106" s="512" t="s">
        <v>6263</v>
      </c>
      <c r="C3106" s="512" t="s">
        <v>6233</v>
      </c>
      <c r="D3106" s="512" t="s">
        <v>6261</v>
      </c>
      <c r="E3106" s="513">
        <v>10496</v>
      </c>
      <c r="F3106" s="512" t="s">
        <v>3115</v>
      </c>
      <c r="G3106" s="513" t="s">
        <v>26</v>
      </c>
      <c r="H3106" s="516">
        <v>452938</v>
      </c>
      <c r="I3106" s="512" t="s">
        <v>6915</v>
      </c>
    </row>
    <row r="3107" spans="2:9" ht="15" x14ac:dyDescent="0.35">
      <c r="B3107" s="512" t="s">
        <v>6263</v>
      </c>
      <c r="C3107" s="512" t="s">
        <v>6233</v>
      </c>
      <c r="D3107" s="512" t="s">
        <v>6261</v>
      </c>
      <c r="E3107" s="513">
        <v>10497</v>
      </c>
      <c r="F3107" s="512" t="s">
        <v>3116</v>
      </c>
      <c r="G3107" s="513" t="s">
        <v>26</v>
      </c>
      <c r="H3107" s="516">
        <v>590823</v>
      </c>
      <c r="I3107" s="512" t="s">
        <v>6915</v>
      </c>
    </row>
    <row r="3108" spans="2:9" ht="15" x14ac:dyDescent="0.35">
      <c r="B3108" s="512" t="s">
        <v>6263</v>
      </c>
      <c r="C3108" s="512" t="s">
        <v>6233</v>
      </c>
      <c r="D3108" s="512" t="s">
        <v>6261</v>
      </c>
      <c r="E3108" s="513">
        <v>10498</v>
      </c>
      <c r="F3108" s="512" t="s">
        <v>3117</v>
      </c>
      <c r="G3108" s="513" t="s">
        <v>26</v>
      </c>
      <c r="H3108" s="516">
        <v>712240</v>
      </c>
      <c r="I3108" s="512" t="s">
        <v>6915</v>
      </c>
    </row>
    <row r="3109" spans="2:9" ht="15" x14ac:dyDescent="0.35">
      <c r="B3109" s="512" t="s">
        <v>6263</v>
      </c>
      <c r="C3109" s="512" t="s">
        <v>6233</v>
      </c>
      <c r="D3109" s="512" t="s">
        <v>6261</v>
      </c>
      <c r="E3109" s="513">
        <v>10499</v>
      </c>
      <c r="F3109" s="512" t="s">
        <v>3118</v>
      </c>
      <c r="G3109" s="513" t="s">
        <v>26</v>
      </c>
      <c r="H3109" s="516">
        <v>862429</v>
      </c>
      <c r="I3109" s="512" t="s">
        <v>6915</v>
      </c>
    </row>
    <row r="3110" spans="2:9" ht="15" x14ac:dyDescent="0.35">
      <c r="B3110" s="512" t="s">
        <v>6263</v>
      </c>
      <c r="C3110" s="512" t="s">
        <v>6233</v>
      </c>
      <c r="D3110" s="512" t="s">
        <v>6261</v>
      </c>
      <c r="E3110" s="513">
        <v>10500</v>
      </c>
      <c r="F3110" s="512" t="s">
        <v>3119</v>
      </c>
      <c r="G3110" s="513" t="s">
        <v>26</v>
      </c>
      <c r="H3110" s="516">
        <v>504021</v>
      </c>
      <c r="I3110" s="515" t="s">
        <v>6915</v>
      </c>
    </row>
    <row r="3111" spans="2:9" ht="15" x14ac:dyDescent="0.35">
      <c r="B3111" s="512" t="s">
        <v>6263</v>
      </c>
      <c r="C3111" s="512" t="s">
        <v>6233</v>
      </c>
      <c r="D3111" s="512" t="s">
        <v>6261</v>
      </c>
      <c r="E3111" s="513">
        <v>10501</v>
      </c>
      <c r="F3111" s="512" t="s">
        <v>3120</v>
      </c>
      <c r="G3111" s="513" t="s">
        <v>26</v>
      </c>
      <c r="H3111" s="516">
        <v>674927</v>
      </c>
      <c r="I3111" s="515" t="s">
        <v>6915</v>
      </c>
    </row>
    <row r="3112" spans="2:9" ht="15" x14ac:dyDescent="0.35">
      <c r="B3112" s="512" t="s">
        <v>6263</v>
      </c>
      <c r="C3112" s="512" t="s">
        <v>6233</v>
      </c>
      <c r="D3112" s="512" t="s">
        <v>6261</v>
      </c>
      <c r="E3112" s="513">
        <v>10502</v>
      </c>
      <c r="F3112" s="512" t="s">
        <v>3121</v>
      </c>
      <c r="G3112" s="513" t="s">
        <v>26</v>
      </c>
      <c r="H3112" s="514">
        <v>787182</v>
      </c>
      <c r="I3112" s="515" t="s">
        <v>6915</v>
      </c>
    </row>
    <row r="3113" spans="2:9" ht="15" x14ac:dyDescent="0.35">
      <c r="B3113" s="512" t="s">
        <v>6263</v>
      </c>
      <c r="C3113" s="512" t="s">
        <v>6233</v>
      </c>
      <c r="D3113" s="512" t="s">
        <v>6261</v>
      </c>
      <c r="E3113" s="513">
        <v>10503</v>
      </c>
      <c r="F3113" s="512" t="s">
        <v>3122</v>
      </c>
      <c r="G3113" s="513" t="s">
        <v>26</v>
      </c>
      <c r="H3113" s="514">
        <v>961289</v>
      </c>
      <c r="I3113" s="515" t="s">
        <v>6915</v>
      </c>
    </row>
    <row r="3114" spans="2:9" ht="15" x14ac:dyDescent="0.35">
      <c r="B3114" s="512" t="s">
        <v>6263</v>
      </c>
      <c r="C3114" s="512" t="s">
        <v>6233</v>
      </c>
      <c r="D3114" s="512" t="s">
        <v>6261</v>
      </c>
      <c r="E3114" s="513">
        <v>10504</v>
      </c>
      <c r="F3114" s="512" t="s">
        <v>3123</v>
      </c>
      <c r="G3114" s="513" t="s">
        <v>26</v>
      </c>
      <c r="H3114" s="514">
        <v>527925</v>
      </c>
      <c r="I3114" s="515" t="s">
        <v>6915</v>
      </c>
    </row>
    <row r="3115" spans="2:9" ht="15" x14ac:dyDescent="0.35">
      <c r="B3115" s="512" t="s">
        <v>6263</v>
      </c>
      <c r="C3115" s="512" t="s">
        <v>6233</v>
      </c>
      <c r="D3115" s="512" t="s">
        <v>6261</v>
      </c>
      <c r="E3115" s="513">
        <v>10505</v>
      </c>
      <c r="F3115" s="512" t="s">
        <v>3124</v>
      </c>
      <c r="G3115" s="513" t="s">
        <v>26</v>
      </c>
      <c r="H3115" s="516">
        <v>697249</v>
      </c>
      <c r="I3115" s="512" t="s">
        <v>6915</v>
      </c>
    </row>
    <row r="3116" spans="2:9" ht="15" x14ac:dyDescent="0.35">
      <c r="B3116" s="512" t="s">
        <v>6263</v>
      </c>
      <c r="C3116" s="512" t="s">
        <v>6233</v>
      </c>
      <c r="D3116" s="512" t="s">
        <v>6261</v>
      </c>
      <c r="E3116" s="513">
        <v>10506</v>
      </c>
      <c r="F3116" s="512" t="s">
        <v>3125</v>
      </c>
      <c r="G3116" s="513" t="s">
        <v>26</v>
      </c>
      <c r="H3116" s="514">
        <v>830281</v>
      </c>
      <c r="I3116" s="515" t="s">
        <v>6915</v>
      </c>
    </row>
    <row r="3117" spans="2:9" ht="15" x14ac:dyDescent="0.35">
      <c r="B3117" s="512" t="s">
        <v>6263</v>
      </c>
      <c r="C3117" s="512" t="s">
        <v>6233</v>
      </c>
      <c r="D3117" s="512" t="s">
        <v>6261</v>
      </c>
      <c r="E3117" s="513">
        <v>10507</v>
      </c>
      <c r="F3117" s="512" t="s">
        <v>3126</v>
      </c>
      <c r="G3117" s="513" t="s">
        <v>26</v>
      </c>
      <c r="H3117" s="514">
        <v>1009898</v>
      </c>
      <c r="I3117" s="515" t="s">
        <v>6915</v>
      </c>
    </row>
    <row r="3118" spans="2:9" ht="15" x14ac:dyDescent="0.35">
      <c r="B3118" s="512" t="s">
        <v>6263</v>
      </c>
      <c r="C3118" s="512" t="s">
        <v>6242</v>
      </c>
      <c r="D3118" s="512" t="s">
        <v>6255</v>
      </c>
      <c r="E3118" s="513">
        <v>10508</v>
      </c>
      <c r="F3118" s="512" t="s">
        <v>3127</v>
      </c>
      <c r="G3118" s="513" t="s">
        <v>26</v>
      </c>
      <c r="H3118" s="516">
        <v>776543</v>
      </c>
      <c r="I3118" s="512" t="s">
        <v>6915</v>
      </c>
    </row>
    <row r="3119" spans="2:9" ht="15" x14ac:dyDescent="0.35">
      <c r="B3119" s="512" t="s">
        <v>6263</v>
      </c>
      <c r="C3119" s="512" t="s">
        <v>6242</v>
      </c>
      <c r="D3119" s="512" t="s">
        <v>6255</v>
      </c>
      <c r="E3119" s="513">
        <v>10509</v>
      </c>
      <c r="F3119" s="512" t="s">
        <v>3128</v>
      </c>
      <c r="G3119" s="513" t="s">
        <v>26</v>
      </c>
      <c r="H3119" s="514">
        <v>1157528</v>
      </c>
      <c r="I3119" s="515" t="s">
        <v>6915</v>
      </c>
    </row>
    <row r="3120" spans="2:9" ht="15" x14ac:dyDescent="0.35">
      <c r="B3120" s="512" t="s">
        <v>6263</v>
      </c>
      <c r="C3120" s="512" t="s">
        <v>6242</v>
      </c>
      <c r="D3120" s="512" t="s">
        <v>6255</v>
      </c>
      <c r="E3120" s="513">
        <v>10510</v>
      </c>
      <c r="F3120" s="512" t="s">
        <v>3129</v>
      </c>
      <c r="G3120" s="513" t="s">
        <v>26</v>
      </c>
      <c r="H3120" s="516">
        <v>1484235</v>
      </c>
      <c r="I3120" s="512" t="s">
        <v>6915</v>
      </c>
    </row>
    <row r="3121" spans="2:9" ht="15" x14ac:dyDescent="0.35">
      <c r="B3121" s="512" t="s">
        <v>6263</v>
      </c>
      <c r="C3121" s="512" t="s">
        <v>6242</v>
      </c>
      <c r="D3121" s="512" t="s">
        <v>6255</v>
      </c>
      <c r="E3121" s="513">
        <v>10511</v>
      </c>
      <c r="F3121" s="512" t="s">
        <v>3130</v>
      </c>
      <c r="G3121" s="513" t="s">
        <v>26</v>
      </c>
      <c r="H3121" s="516">
        <v>1971465</v>
      </c>
      <c r="I3121" s="512" t="s">
        <v>6915</v>
      </c>
    </row>
    <row r="3122" spans="2:9" ht="15" x14ac:dyDescent="0.35">
      <c r="B3122" s="512" t="s">
        <v>6263</v>
      </c>
      <c r="C3122" s="512" t="s">
        <v>6242</v>
      </c>
      <c r="D3122" s="512" t="s">
        <v>6255</v>
      </c>
      <c r="E3122" s="513">
        <v>10512</v>
      </c>
      <c r="F3122" s="512" t="s">
        <v>3131</v>
      </c>
      <c r="G3122" s="513" t="s">
        <v>26</v>
      </c>
      <c r="H3122" s="516">
        <v>2757030</v>
      </c>
      <c r="I3122" s="512" t="s">
        <v>6915</v>
      </c>
    </row>
    <row r="3123" spans="2:9" ht="15" x14ac:dyDescent="0.35">
      <c r="B3123" s="512" t="s">
        <v>6263</v>
      </c>
      <c r="C3123" s="512" t="s">
        <v>6242</v>
      </c>
      <c r="D3123" s="512" t="s">
        <v>6255</v>
      </c>
      <c r="E3123" s="513">
        <v>10513</v>
      </c>
      <c r="F3123" s="512" t="s">
        <v>3132</v>
      </c>
      <c r="G3123" s="513" t="s">
        <v>26</v>
      </c>
      <c r="H3123" s="516">
        <v>4404375</v>
      </c>
      <c r="I3123" s="512" t="s">
        <v>6915</v>
      </c>
    </row>
    <row r="3124" spans="2:9" ht="15" x14ac:dyDescent="0.35">
      <c r="B3124" s="512" t="s">
        <v>6263</v>
      </c>
      <c r="C3124" s="512" t="s">
        <v>6242</v>
      </c>
      <c r="D3124" s="512" t="s">
        <v>6255</v>
      </c>
      <c r="E3124" s="513">
        <v>10514</v>
      </c>
      <c r="F3124" s="512" t="s">
        <v>3133</v>
      </c>
      <c r="G3124" s="513" t="s">
        <v>26</v>
      </c>
      <c r="H3124" s="514">
        <v>7190132</v>
      </c>
      <c r="I3124" s="515" t="s">
        <v>6915</v>
      </c>
    </row>
    <row r="3125" spans="2:9" ht="15" x14ac:dyDescent="0.35">
      <c r="B3125" s="512" t="s">
        <v>6263</v>
      </c>
      <c r="C3125" s="512" t="s">
        <v>6242</v>
      </c>
      <c r="D3125" s="512" t="s">
        <v>6255</v>
      </c>
      <c r="E3125" s="513">
        <v>10515</v>
      </c>
      <c r="F3125" s="512" t="s">
        <v>3134</v>
      </c>
      <c r="G3125" s="513" t="s">
        <v>26</v>
      </c>
      <c r="H3125" s="516">
        <v>7194359</v>
      </c>
      <c r="I3125" s="512" t="s">
        <v>6915</v>
      </c>
    </row>
    <row r="3126" spans="2:9" ht="15" x14ac:dyDescent="0.35">
      <c r="B3126" s="512" t="s">
        <v>6263</v>
      </c>
      <c r="C3126" s="512" t="s">
        <v>6242</v>
      </c>
      <c r="D3126" s="512" t="s">
        <v>6255</v>
      </c>
      <c r="E3126" s="513">
        <v>10516</v>
      </c>
      <c r="F3126" s="512" t="s">
        <v>3135</v>
      </c>
      <c r="G3126" s="513" t="s">
        <v>26</v>
      </c>
      <c r="H3126" s="516">
        <v>8477314</v>
      </c>
      <c r="I3126" s="512" t="s">
        <v>6915</v>
      </c>
    </row>
    <row r="3127" spans="2:9" ht="15" x14ac:dyDescent="0.35">
      <c r="B3127" s="512" t="s">
        <v>6263</v>
      </c>
      <c r="C3127" s="512" t="s">
        <v>6239</v>
      </c>
      <c r="D3127" s="512" t="s">
        <v>6239</v>
      </c>
      <c r="E3127" s="513">
        <v>10529</v>
      </c>
      <c r="F3127" s="512" t="s">
        <v>5431</v>
      </c>
      <c r="G3127" s="513" t="s">
        <v>29</v>
      </c>
      <c r="H3127" s="516">
        <v>875180</v>
      </c>
      <c r="I3127" s="512" t="s">
        <v>6915</v>
      </c>
    </row>
    <row r="3128" spans="2:9" ht="15" x14ac:dyDescent="0.35">
      <c r="B3128" s="512" t="s">
        <v>6263</v>
      </c>
      <c r="C3128" s="512" t="s">
        <v>6239</v>
      </c>
      <c r="D3128" s="512" t="s">
        <v>6239</v>
      </c>
      <c r="E3128" s="513">
        <v>10530</v>
      </c>
      <c r="F3128" s="512" t="s">
        <v>5432</v>
      </c>
      <c r="G3128" s="513" t="s">
        <v>29</v>
      </c>
      <c r="H3128" s="516">
        <v>61831</v>
      </c>
      <c r="I3128" s="512" t="s">
        <v>6915</v>
      </c>
    </row>
    <row r="3129" spans="2:9" ht="15" x14ac:dyDescent="0.35">
      <c r="B3129" s="512" t="s">
        <v>6263</v>
      </c>
      <c r="C3129" s="512" t="s">
        <v>6239</v>
      </c>
      <c r="D3129" s="512" t="s">
        <v>6239</v>
      </c>
      <c r="E3129" s="513">
        <v>10531</v>
      </c>
      <c r="F3129" s="512" t="s">
        <v>5433</v>
      </c>
      <c r="G3129" s="513" t="s">
        <v>29</v>
      </c>
      <c r="H3129" s="516">
        <v>40784</v>
      </c>
      <c r="I3129" s="512" t="s">
        <v>6915</v>
      </c>
    </row>
    <row r="3130" spans="2:9" ht="15" x14ac:dyDescent="0.35">
      <c r="B3130" s="512" t="s">
        <v>6263</v>
      </c>
      <c r="C3130" s="512" t="s">
        <v>6235</v>
      </c>
      <c r="D3130" s="512" t="s">
        <v>6236</v>
      </c>
      <c r="E3130" s="513">
        <v>10540</v>
      </c>
      <c r="F3130" s="512" t="s">
        <v>5434</v>
      </c>
      <c r="G3130" s="513" t="s">
        <v>29</v>
      </c>
      <c r="H3130" s="514">
        <v>99210</v>
      </c>
      <c r="I3130" s="515" t="s">
        <v>6915</v>
      </c>
    </row>
    <row r="3131" spans="2:9" ht="15" x14ac:dyDescent="0.35">
      <c r="B3131" s="512" t="s">
        <v>6263</v>
      </c>
      <c r="C3131" s="512" t="s">
        <v>6235</v>
      </c>
      <c r="D3131" s="512" t="s">
        <v>6236</v>
      </c>
      <c r="E3131" s="513">
        <v>10541</v>
      </c>
      <c r="F3131" s="512" t="s">
        <v>5435</v>
      </c>
      <c r="G3131" s="513" t="s">
        <v>29</v>
      </c>
      <c r="H3131" s="516">
        <v>259386</v>
      </c>
      <c r="I3131" s="512" t="s">
        <v>6915</v>
      </c>
    </row>
    <row r="3132" spans="2:9" ht="15" x14ac:dyDescent="0.35">
      <c r="B3132" s="512" t="s">
        <v>6263</v>
      </c>
      <c r="C3132" s="512" t="s">
        <v>6235</v>
      </c>
      <c r="D3132" s="512" t="s">
        <v>6236</v>
      </c>
      <c r="E3132" s="513">
        <v>10542</v>
      </c>
      <c r="F3132" s="512" t="s">
        <v>5436</v>
      </c>
      <c r="G3132" s="513" t="s">
        <v>29</v>
      </c>
      <c r="H3132" s="516">
        <v>404106</v>
      </c>
      <c r="I3132" s="512" t="s">
        <v>6915</v>
      </c>
    </row>
    <row r="3133" spans="2:9" ht="15" x14ac:dyDescent="0.35">
      <c r="B3133" s="512" t="s">
        <v>6263</v>
      </c>
      <c r="C3133" s="512" t="s">
        <v>6240</v>
      </c>
      <c r="D3133" s="512" t="s">
        <v>6240</v>
      </c>
      <c r="E3133" s="513">
        <v>10543</v>
      </c>
      <c r="F3133" s="512" t="s">
        <v>5437</v>
      </c>
      <c r="G3133" s="513" t="s">
        <v>23</v>
      </c>
      <c r="H3133" s="516">
        <v>956975</v>
      </c>
      <c r="I3133" s="512" t="s">
        <v>6915</v>
      </c>
    </row>
    <row r="3134" spans="2:9" ht="15" x14ac:dyDescent="0.35">
      <c r="B3134" s="512" t="s">
        <v>6263</v>
      </c>
      <c r="C3134" s="512" t="s">
        <v>6230</v>
      </c>
      <c r="D3134" s="512" t="s">
        <v>6250</v>
      </c>
      <c r="E3134" s="513">
        <v>10544</v>
      </c>
      <c r="F3134" s="512" t="s">
        <v>5438</v>
      </c>
      <c r="G3134" s="513" t="s">
        <v>26</v>
      </c>
      <c r="H3134" s="516">
        <v>230449</v>
      </c>
      <c r="I3134" s="512" t="s">
        <v>6915</v>
      </c>
    </row>
    <row r="3135" spans="2:9" ht="15" x14ac:dyDescent="0.35">
      <c r="B3135" s="512" t="s">
        <v>6263</v>
      </c>
      <c r="C3135" s="512" t="s">
        <v>6335</v>
      </c>
      <c r="D3135" s="512" t="s">
        <v>6335</v>
      </c>
      <c r="E3135" s="513">
        <v>10545</v>
      </c>
      <c r="F3135" s="512" t="s">
        <v>5439</v>
      </c>
      <c r="G3135" s="513" t="s">
        <v>21</v>
      </c>
      <c r="H3135" s="516">
        <v>14941</v>
      </c>
      <c r="I3135" s="512" t="s">
        <v>6915</v>
      </c>
    </row>
    <row r="3136" spans="2:9" ht="15" x14ac:dyDescent="0.35">
      <c r="B3136" s="512" t="s">
        <v>6263</v>
      </c>
      <c r="C3136" s="512" t="s">
        <v>6335</v>
      </c>
      <c r="D3136" s="512" t="s">
        <v>6335</v>
      </c>
      <c r="E3136" s="513">
        <v>10546</v>
      </c>
      <c r="F3136" s="512" t="s">
        <v>5440</v>
      </c>
      <c r="G3136" s="513" t="s">
        <v>21</v>
      </c>
      <c r="H3136" s="516">
        <v>3360</v>
      </c>
      <c r="I3136" s="512" t="s">
        <v>6915</v>
      </c>
    </row>
    <row r="3137" spans="2:9" ht="15" x14ac:dyDescent="0.35">
      <c r="B3137" s="512" t="s">
        <v>6263</v>
      </c>
      <c r="C3137" s="512" t="s">
        <v>6335</v>
      </c>
      <c r="D3137" s="512" t="s">
        <v>6335</v>
      </c>
      <c r="E3137" s="513">
        <v>10547</v>
      </c>
      <c r="F3137" s="512" t="s">
        <v>5441</v>
      </c>
      <c r="G3137" s="513" t="s">
        <v>21</v>
      </c>
      <c r="H3137" s="516">
        <v>3018</v>
      </c>
      <c r="I3137" s="512" t="s">
        <v>6915</v>
      </c>
    </row>
    <row r="3138" spans="2:9" ht="15" x14ac:dyDescent="0.35">
      <c r="B3138" s="512" t="s">
        <v>6263</v>
      </c>
      <c r="C3138" s="512" t="s">
        <v>6335</v>
      </c>
      <c r="D3138" s="512" t="s">
        <v>6335</v>
      </c>
      <c r="E3138" s="513">
        <v>10548</v>
      </c>
      <c r="F3138" s="512" t="s">
        <v>5442</v>
      </c>
      <c r="G3138" s="513" t="s">
        <v>26</v>
      </c>
      <c r="H3138" s="516">
        <v>2056</v>
      </c>
      <c r="I3138" s="512" t="s">
        <v>6915</v>
      </c>
    </row>
    <row r="3139" spans="2:9" ht="15" x14ac:dyDescent="0.35">
      <c r="B3139" s="512" t="s">
        <v>6263</v>
      </c>
      <c r="C3139" s="512" t="s">
        <v>6335</v>
      </c>
      <c r="D3139" s="512" t="s">
        <v>6335</v>
      </c>
      <c r="E3139" s="513">
        <v>10549</v>
      </c>
      <c r="F3139" s="512" t="s">
        <v>5443</v>
      </c>
      <c r="G3139" s="513" t="s">
        <v>29</v>
      </c>
      <c r="H3139" s="516">
        <v>6295</v>
      </c>
      <c r="I3139" s="512" t="s">
        <v>6915</v>
      </c>
    </row>
    <row r="3140" spans="2:9" ht="15" x14ac:dyDescent="0.35">
      <c r="B3140" s="512" t="s">
        <v>6263</v>
      </c>
      <c r="C3140" s="512" t="s">
        <v>6335</v>
      </c>
      <c r="D3140" s="512" t="s">
        <v>6335</v>
      </c>
      <c r="E3140" s="513">
        <v>10550</v>
      </c>
      <c r="F3140" s="512" t="s">
        <v>5444</v>
      </c>
      <c r="G3140" s="513" t="s">
        <v>29</v>
      </c>
      <c r="H3140" s="516">
        <v>7252</v>
      </c>
      <c r="I3140" s="512" t="s">
        <v>6915</v>
      </c>
    </row>
    <row r="3141" spans="2:9" ht="15" x14ac:dyDescent="0.35">
      <c r="B3141" s="512" t="s">
        <v>6263</v>
      </c>
      <c r="C3141" s="512" t="s">
        <v>6335</v>
      </c>
      <c r="D3141" s="512" t="s">
        <v>6335</v>
      </c>
      <c r="E3141" s="513">
        <v>10551</v>
      </c>
      <c r="F3141" s="512" t="s">
        <v>5445</v>
      </c>
      <c r="G3141" s="513" t="s">
        <v>21</v>
      </c>
      <c r="H3141" s="516">
        <v>5344</v>
      </c>
      <c r="I3141" s="512" t="s">
        <v>6915</v>
      </c>
    </row>
    <row r="3142" spans="2:9" ht="15" x14ac:dyDescent="0.35">
      <c r="B3142" s="512" t="s">
        <v>6263</v>
      </c>
      <c r="C3142" s="512" t="s">
        <v>6335</v>
      </c>
      <c r="D3142" s="512" t="s">
        <v>6335</v>
      </c>
      <c r="E3142" s="513">
        <v>10552</v>
      </c>
      <c r="F3142" s="512" t="s">
        <v>5446</v>
      </c>
      <c r="G3142" s="513" t="s">
        <v>21</v>
      </c>
      <c r="H3142" s="516">
        <v>10737</v>
      </c>
      <c r="I3142" s="512" t="s">
        <v>6915</v>
      </c>
    </row>
    <row r="3143" spans="2:9" ht="15" x14ac:dyDescent="0.35">
      <c r="B3143" s="512" t="s">
        <v>6263</v>
      </c>
      <c r="C3143" s="512" t="s">
        <v>6335</v>
      </c>
      <c r="D3143" s="512" t="s">
        <v>6335</v>
      </c>
      <c r="E3143" s="513">
        <v>10553</v>
      </c>
      <c r="F3143" s="512" t="s">
        <v>5447</v>
      </c>
      <c r="G3143" s="513" t="s">
        <v>21</v>
      </c>
      <c r="H3143" s="516">
        <v>56390</v>
      </c>
      <c r="I3143" s="512" t="s">
        <v>6915</v>
      </c>
    </row>
    <row r="3144" spans="2:9" ht="15" x14ac:dyDescent="0.35">
      <c r="B3144" s="512" t="s">
        <v>6263</v>
      </c>
      <c r="C3144" s="512" t="s">
        <v>6335</v>
      </c>
      <c r="D3144" s="512" t="s">
        <v>6335</v>
      </c>
      <c r="E3144" s="513">
        <v>10554</v>
      </c>
      <c r="F3144" s="512" t="s">
        <v>5448</v>
      </c>
      <c r="G3144" s="513" t="s">
        <v>3158</v>
      </c>
      <c r="H3144" s="516">
        <v>84842</v>
      </c>
      <c r="I3144" s="512" t="s">
        <v>6915</v>
      </c>
    </row>
    <row r="3145" spans="2:9" ht="15" x14ac:dyDescent="0.35">
      <c r="B3145" s="512" t="s">
        <v>6263</v>
      </c>
      <c r="C3145" s="512" t="s">
        <v>6335</v>
      </c>
      <c r="D3145" s="512" t="s">
        <v>6335</v>
      </c>
      <c r="E3145" s="513">
        <v>10555</v>
      </c>
      <c r="F3145" s="512" t="s">
        <v>5449</v>
      </c>
      <c r="G3145" s="513" t="s">
        <v>3158</v>
      </c>
      <c r="H3145" s="516">
        <v>163347</v>
      </c>
      <c r="I3145" s="512" t="s">
        <v>6915</v>
      </c>
    </row>
    <row r="3146" spans="2:9" ht="15" x14ac:dyDescent="0.35">
      <c r="B3146" s="512" t="s">
        <v>6263</v>
      </c>
      <c r="C3146" s="512" t="s">
        <v>6335</v>
      </c>
      <c r="D3146" s="512" t="s">
        <v>6335</v>
      </c>
      <c r="E3146" s="513">
        <v>10556</v>
      </c>
      <c r="F3146" s="512" t="s">
        <v>5450</v>
      </c>
      <c r="G3146" s="513" t="s">
        <v>3158</v>
      </c>
      <c r="H3146" s="514">
        <v>143770</v>
      </c>
      <c r="I3146" s="515" t="s">
        <v>6915</v>
      </c>
    </row>
    <row r="3147" spans="2:9" ht="15" x14ac:dyDescent="0.35">
      <c r="B3147" s="512" t="s">
        <v>6263</v>
      </c>
      <c r="C3147" s="512" t="s">
        <v>6335</v>
      </c>
      <c r="D3147" s="512" t="s">
        <v>6335</v>
      </c>
      <c r="E3147" s="513">
        <v>10557</v>
      </c>
      <c r="F3147" s="512" t="s">
        <v>5451</v>
      </c>
      <c r="G3147" s="513" t="s">
        <v>3947</v>
      </c>
      <c r="H3147" s="514">
        <v>1404</v>
      </c>
      <c r="I3147" s="515" t="s">
        <v>6915</v>
      </c>
    </row>
    <row r="3148" spans="2:9" ht="15" x14ac:dyDescent="0.35">
      <c r="B3148" s="512" t="s">
        <v>6263</v>
      </c>
      <c r="C3148" s="512" t="s">
        <v>6335</v>
      </c>
      <c r="D3148" s="512" t="s">
        <v>6335</v>
      </c>
      <c r="E3148" s="513">
        <v>10558</v>
      </c>
      <c r="F3148" s="512" t="s">
        <v>5452</v>
      </c>
      <c r="G3148" s="513" t="s">
        <v>21</v>
      </c>
      <c r="H3148" s="516">
        <v>47934</v>
      </c>
      <c r="I3148" s="512" t="s">
        <v>6915</v>
      </c>
    </row>
    <row r="3149" spans="2:9" ht="15" x14ac:dyDescent="0.35">
      <c r="B3149" s="512" t="s">
        <v>6263</v>
      </c>
      <c r="C3149" s="512" t="s">
        <v>6335</v>
      </c>
      <c r="D3149" s="512" t="s">
        <v>6335</v>
      </c>
      <c r="E3149" s="513">
        <v>10559</v>
      </c>
      <c r="F3149" s="512" t="s">
        <v>5453</v>
      </c>
      <c r="G3149" s="513" t="s">
        <v>21</v>
      </c>
      <c r="H3149" s="514">
        <v>2147</v>
      </c>
      <c r="I3149" s="515" t="s">
        <v>6915</v>
      </c>
    </row>
    <row r="3150" spans="2:9" ht="15" x14ac:dyDescent="0.35">
      <c r="B3150" s="512" t="s">
        <v>6263</v>
      </c>
      <c r="C3150" s="512" t="s">
        <v>6258</v>
      </c>
      <c r="D3150" s="512" t="s">
        <v>6282</v>
      </c>
      <c r="E3150" s="513">
        <v>10596</v>
      </c>
      <c r="F3150" s="512" t="s">
        <v>6172</v>
      </c>
      <c r="G3150" s="513" t="s">
        <v>29</v>
      </c>
      <c r="H3150" s="514">
        <v>321164</v>
      </c>
      <c r="I3150" s="515" t="s">
        <v>6915</v>
      </c>
    </row>
    <row r="3151" spans="2:9" ht="15" x14ac:dyDescent="0.35">
      <c r="B3151" s="512" t="s">
        <v>6263</v>
      </c>
      <c r="C3151" s="512" t="s">
        <v>6258</v>
      </c>
      <c r="D3151" s="512" t="s">
        <v>6282</v>
      </c>
      <c r="E3151" s="513">
        <v>10597</v>
      </c>
      <c r="F3151" s="512" t="s">
        <v>6173</v>
      </c>
      <c r="G3151" s="513" t="s">
        <v>29</v>
      </c>
      <c r="H3151" s="514">
        <v>241030</v>
      </c>
      <c r="I3151" s="515" t="s">
        <v>6915</v>
      </c>
    </row>
    <row r="3152" spans="2:9" ht="15" x14ac:dyDescent="0.35">
      <c r="B3152" s="512" t="s">
        <v>6263</v>
      </c>
      <c r="C3152" s="512" t="s">
        <v>6258</v>
      </c>
      <c r="D3152" s="512" t="s">
        <v>6282</v>
      </c>
      <c r="E3152" s="513">
        <v>10598</v>
      </c>
      <c r="F3152" s="512" t="s">
        <v>6174</v>
      </c>
      <c r="G3152" s="513" t="s">
        <v>29</v>
      </c>
      <c r="H3152" s="514">
        <v>338383</v>
      </c>
      <c r="I3152" s="515" t="s">
        <v>6915</v>
      </c>
    </row>
    <row r="3153" spans="2:9" ht="15" x14ac:dyDescent="0.35">
      <c r="B3153" s="512" t="s">
        <v>6263</v>
      </c>
      <c r="C3153" s="512" t="s">
        <v>6258</v>
      </c>
      <c r="D3153" s="512" t="s">
        <v>6282</v>
      </c>
      <c r="E3153" s="513">
        <v>10599</v>
      </c>
      <c r="F3153" s="512" t="s">
        <v>6175</v>
      </c>
      <c r="G3153" s="513" t="s">
        <v>29</v>
      </c>
      <c r="H3153" s="514">
        <v>120690</v>
      </c>
      <c r="I3153" s="515" t="s">
        <v>6915</v>
      </c>
    </row>
    <row r="3154" spans="2:9" ht="15" x14ac:dyDescent="0.35">
      <c r="B3154" s="512" t="s">
        <v>6263</v>
      </c>
      <c r="C3154" s="512" t="s">
        <v>6258</v>
      </c>
      <c r="D3154" s="512" t="s">
        <v>6282</v>
      </c>
      <c r="E3154" s="513">
        <v>10600</v>
      </c>
      <c r="F3154" s="512" t="s">
        <v>6176</v>
      </c>
      <c r="G3154" s="513" t="s">
        <v>29</v>
      </c>
      <c r="H3154" s="514">
        <v>106783</v>
      </c>
      <c r="I3154" s="515" t="s">
        <v>6915</v>
      </c>
    </row>
    <row r="3155" spans="2:9" ht="15" x14ac:dyDescent="0.35">
      <c r="B3155" s="512" t="s">
        <v>6263</v>
      </c>
      <c r="C3155" s="512" t="s">
        <v>6258</v>
      </c>
      <c r="D3155" s="512" t="s">
        <v>6282</v>
      </c>
      <c r="E3155" s="513">
        <v>10601</v>
      </c>
      <c r="F3155" s="512" t="s">
        <v>6177</v>
      </c>
      <c r="G3155" s="513" t="s">
        <v>29</v>
      </c>
      <c r="H3155" s="516">
        <v>242925</v>
      </c>
      <c r="I3155" s="512" t="s">
        <v>6915</v>
      </c>
    </row>
    <row r="3156" spans="2:9" ht="15" x14ac:dyDescent="0.35">
      <c r="B3156" s="512" t="s">
        <v>6263</v>
      </c>
      <c r="C3156" s="512" t="s">
        <v>6258</v>
      </c>
      <c r="D3156" s="512" t="s">
        <v>6282</v>
      </c>
      <c r="E3156" s="513">
        <v>10602</v>
      </c>
      <c r="F3156" s="512" t="s">
        <v>6178</v>
      </c>
      <c r="G3156" s="513" t="s">
        <v>29</v>
      </c>
      <c r="H3156" s="516">
        <v>115474</v>
      </c>
      <c r="I3156" s="512" t="s">
        <v>6915</v>
      </c>
    </row>
    <row r="3157" spans="2:9" ht="15" x14ac:dyDescent="0.35">
      <c r="B3157" s="512" t="s">
        <v>6263</v>
      </c>
      <c r="C3157" s="512" t="s">
        <v>6258</v>
      </c>
      <c r="D3157" s="512" t="s">
        <v>6282</v>
      </c>
      <c r="E3157" s="513">
        <v>10603</v>
      </c>
      <c r="F3157" s="512" t="s">
        <v>6179</v>
      </c>
      <c r="G3157" s="513" t="s">
        <v>29</v>
      </c>
      <c r="H3157" s="516">
        <v>753258</v>
      </c>
      <c r="I3157" s="512" t="s">
        <v>6915</v>
      </c>
    </row>
    <row r="3158" spans="2:9" ht="15" x14ac:dyDescent="0.35">
      <c r="B3158" s="512" t="s">
        <v>6263</v>
      </c>
      <c r="C3158" s="512" t="s">
        <v>6258</v>
      </c>
      <c r="D3158" s="512" t="s">
        <v>6282</v>
      </c>
      <c r="E3158" s="513">
        <v>10604</v>
      </c>
      <c r="F3158" s="512" t="s">
        <v>6180</v>
      </c>
      <c r="G3158" s="513" t="s">
        <v>29</v>
      </c>
      <c r="H3158" s="516">
        <v>719270</v>
      </c>
      <c r="I3158" s="512" t="s">
        <v>6915</v>
      </c>
    </row>
    <row r="3159" spans="2:9" ht="15" x14ac:dyDescent="0.35">
      <c r="B3159" s="512" t="s">
        <v>6263</v>
      </c>
      <c r="C3159" s="512" t="s">
        <v>6258</v>
      </c>
      <c r="D3159" s="512" t="s">
        <v>6282</v>
      </c>
      <c r="E3159" s="513">
        <v>10605</v>
      </c>
      <c r="F3159" s="512" t="s">
        <v>6181</v>
      </c>
      <c r="G3159" s="513" t="s">
        <v>29</v>
      </c>
      <c r="H3159" s="516">
        <v>395450</v>
      </c>
      <c r="I3159" s="512" t="s">
        <v>6915</v>
      </c>
    </row>
    <row r="3160" spans="2:9" ht="15" x14ac:dyDescent="0.35">
      <c r="B3160" s="512" t="s">
        <v>6263</v>
      </c>
      <c r="C3160" s="512" t="s">
        <v>6258</v>
      </c>
      <c r="D3160" s="512" t="s">
        <v>6282</v>
      </c>
      <c r="E3160" s="513">
        <v>10606</v>
      </c>
      <c r="F3160" s="512" t="s">
        <v>6182</v>
      </c>
      <c r="G3160" s="513" t="s">
        <v>29</v>
      </c>
      <c r="H3160" s="514">
        <v>183882</v>
      </c>
      <c r="I3160" s="515" t="s">
        <v>6915</v>
      </c>
    </row>
    <row r="3161" spans="2:9" ht="15" x14ac:dyDescent="0.35">
      <c r="B3161" s="512" t="s">
        <v>6263</v>
      </c>
      <c r="C3161" s="512" t="s">
        <v>6258</v>
      </c>
      <c r="D3161" s="512" t="s">
        <v>6282</v>
      </c>
      <c r="E3161" s="513">
        <v>10607</v>
      </c>
      <c r="F3161" s="512" t="s">
        <v>6183</v>
      </c>
      <c r="G3161" s="513" t="s">
        <v>29</v>
      </c>
      <c r="H3161" s="514">
        <v>956857</v>
      </c>
      <c r="I3161" s="515" t="s">
        <v>6915</v>
      </c>
    </row>
    <row r="3162" spans="2:9" ht="15" x14ac:dyDescent="0.35">
      <c r="B3162" s="512" t="s">
        <v>6263</v>
      </c>
      <c r="C3162" s="512" t="s">
        <v>6258</v>
      </c>
      <c r="D3162" s="512" t="s">
        <v>6282</v>
      </c>
      <c r="E3162" s="513">
        <v>10608</v>
      </c>
      <c r="F3162" s="512" t="s">
        <v>6184</v>
      </c>
      <c r="G3162" s="513" t="s">
        <v>29</v>
      </c>
      <c r="H3162" s="514">
        <v>871780</v>
      </c>
      <c r="I3162" s="515" t="s">
        <v>6915</v>
      </c>
    </row>
    <row r="3163" spans="2:9" ht="15" x14ac:dyDescent="0.35">
      <c r="B3163" s="512" t="s">
        <v>6263</v>
      </c>
      <c r="C3163" s="512" t="s">
        <v>6258</v>
      </c>
      <c r="D3163" s="512" t="s">
        <v>6282</v>
      </c>
      <c r="E3163" s="513">
        <v>10609</v>
      </c>
      <c r="F3163" s="512" t="s">
        <v>6185</v>
      </c>
      <c r="G3163" s="513" t="s">
        <v>29</v>
      </c>
      <c r="H3163" s="514">
        <v>965937</v>
      </c>
      <c r="I3163" s="515" t="s">
        <v>6915</v>
      </c>
    </row>
    <row r="3164" spans="2:9" ht="15" x14ac:dyDescent="0.35">
      <c r="B3164" s="512" t="s">
        <v>6263</v>
      </c>
      <c r="C3164" s="512" t="s">
        <v>6258</v>
      </c>
      <c r="D3164" s="512" t="s">
        <v>6282</v>
      </c>
      <c r="E3164" s="513">
        <v>10610</v>
      </c>
      <c r="F3164" s="512" t="s">
        <v>6186</v>
      </c>
      <c r="G3164" s="513" t="s">
        <v>29</v>
      </c>
      <c r="H3164" s="514">
        <v>152459</v>
      </c>
      <c r="I3164" s="515" t="s">
        <v>6915</v>
      </c>
    </row>
    <row r="3165" spans="2:9" ht="15" x14ac:dyDescent="0.35">
      <c r="B3165" s="512" t="s">
        <v>6263</v>
      </c>
      <c r="C3165" s="512" t="s">
        <v>6277</v>
      </c>
      <c r="D3165" s="512" t="s">
        <v>6277</v>
      </c>
      <c r="E3165" s="513">
        <v>10611</v>
      </c>
      <c r="F3165" s="512" t="s">
        <v>6166</v>
      </c>
      <c r="G3165" s="513" t="s">
        <v>2360</v>
      </c>
      <c r="H3165" s="514">
        <v>246449</v>
      </c>
      <c r="I3165" s="515" t="s">
        <v>6915</v>
      </c>
    </row>
    <row r="3166" spans="2:9" ht="15" x14ac:dyDescent="0.35">
      <c r="B3166" s="512" t="s">
        <v>6263</v>
      </c>
      <c r="C3166" s="512" t="s">
        <v>6239</v>
      </c>
      <c r="D3166" s="512" t="s">
        <v>6239</v>
      </c>
      <c r="E3166" s="513">
        <v>10612</v>
      </c>
      <c r="F3166" s="512" t="s">
        <v>1014</v>
      </c>
      <c r="G3166" s="513" t="s">
        <v>26</v>
      </c>
      <c r="H3166" s="514">
        <v>198139</v>
      </c>
      <c r="I3166" s="515" t="s">
        <v>6915</v>
      </c>
    </row>
    <row r="3167" spans="2:9" ht="15" x14ac:dyDescent="0.35">
      <c r="B3167" s="512" t="s">
        <v>6263</v>
      </c>
      <c r="C3167" s="512" t="s">
        <v>6240</v>
      </c>
      <c r="D3167" s="512" t="s">
        <v>6241</v>
      </c>
      <c r="E3167" s="513">
        <v>10613</v>
      </c>
      <c r="F3167" s="512" t="s">
        <v>6187</v>
      </c>
      <c r="G3167" s="513" t="s">
        <v>23</v>
      </c>
      <c r="H3167" s="514">
        <v>1000918</v>
      </c>
      <c r="I3167" s="515" t="s">
        <v>6915</v>
      </c>
    </row>
    <row r="3168" spans="2:9" ht="15" x14ac:dyDescent="0.35">
      <c r="B3168" s="512" t="s">
        <v>6263</v>
      </c>
      <c r="C3168" s="512" t="s">
        <v>6240</v>
      </c>
      <c r="D3168" s="512" t="s">
        <v>6241</v>
      </c>
      <c r="E3168" s="513">
        <v>10614</v>
      </c>
      <c r="F3168" s="512" t="s">
        <v>6188</v>
      </c>
      <c r="G3168" s="513" t="s">
        <v>23</v>
      </c>
      <c r="H3168" s="514">
        <v>1004655</v>
      </c>
      <c r="I3168" s="515" t="s">
        <v>6915</v>
      </c>
    </row>
    <row r="3169" spans="2:9" ht="15" x14ac:dyDescent="0.35">
      <c r="B3169" s="512" t="s">
        <v>6263</v>
      </c>
      <c r="C3169" s="512" t="s">
        <v>6314</v>
      </c>
      <c r="D3169" s="512" t="s">
        <v>6314</v>
      </c>
      <c r="E3169" s="513">
        <v>10636</v>
      </c>
      <c r="F3169" s="512" t="s">
        <v>6189</v>
      </c>
      <c r="G3169" s="513" t="s">
        <v>6190</v>
      </c>
      <c r="H3169" s="514">
        <v>26849568</v>
      </c>
      <c r="I3169" s="515" t="s">
        <v>6915</v>
      </c>
    </row>
    <row r="3170" spans="2:9" ht="15" x14ac:dyDescent="0.35">
      <c r="B3170" s="512" t="s">
        <v>6263</v>
      </c>
      <c r="C3170" s="512" t="s">
        <v>6314</v>
      </c>
      <c r="D3170" s="512" t="s">
        <v>6314</v>
      </c>
      <c r="E3170" s="513">
        <v>10637</v>
      </c>
      <c r="F3170" s="512" t="s">
        <v>6191</v>
      </c>
      <c r="G3170" s="513" t="s">
        <v>6190</v>
      </c>
      <c r="H3170" s="514">
        <v>26631155</v>
      </c>
      <c r="I3170" s="515" t="s">
        <v>5686</v>
      </c>
    </row>
    <row r="3171" spans="2:9" ht="15" x14ac:dyDescent="0.35">
      <c r="B3171" s="512" t="s">
        <v>6263</v>
      </c>
      <c r="C3171" s="512" t="s">
        <v>6314</v>
      </c>
      <c r="D3171" s="512" t="s">
        <v>6314</v>
      </c>
      <c r="E3171" s="513">
        <v>10638</v>
      </c>
      <c r="F3171" s="512" t="s">
        <v>6192</v>
      </c>
      <c r="G3171" s="513" t="s">
        <v>6190</v>
      </c>
      <c r="H3171" s="514">
        <v>29947355</v>
      </c>
      <c r="I3171" s="515" t="s">
        <v>5686</v>
      </c>
    </row>
    <row r="3172" spans="2:9" ht="15" x14ac:dyDescent="0.35">
      <c r="B3172" s="512" t="s">
        <v>6263</v>
      </c>
      <c r="C3172" s="512" t="s">
        <v>6314</v>
      </c>
      <c r="D3172" s="512" t="s">
        <v>6314</v>
      </c>
      <c r="E3172" s="513">
        <v>10639</v>
      </c>
      <c r="F3172" s="512" t="s">
        <v>6193</v>
      </c>
      <c r="G3172" s="513" t="s">
        <v>6190</v>
      </c>
      <c r="H3172" s="514">
        <v>12834</v>
      </c>
      <c r="I3172" s="515" t="s">
        <v>6915</v>
      </c>
    </row>
    <row r="3173" spans="2:9" ht="15" x14ac:dyDescent="0.35">
      <c r="B3173" s="549" t="s">
        <v>6263</v>
      </c>
      <c r="C3173" s="549" t="s">
        <v>6227</v>
      </c>
      <c r="D3173" s="549" t="s">
        <v>6248</v>
      </c>
      <c r="E3173" s="550">
        <v>10888</v>
      </c>
      <c r="F3173" s="549" t="s">
        <v>6194</v>
      </c>
      <c r="G3173" s="550" t="s">
        <v>23</v>
      </c>
      <c r="H3173" s="551">
        <v>264399</v>
      </c>
      <c r="I3173" s="552" t="s">
        <v>6915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69B9A-A95F-4842-955B-8D35BF5C4A19}">
  <dimension ref="B86:H2814"/>
  <sheetViews>
    <sheetView topLeftCell="A86" zoomScale="45" zoomScaleNormal="55" workbookViewId="0">
      <selection activeCell="G86" sqref="G86"/>
    </sheetView>
  </sheetViews>
  <sheetFormatPr baseColWidth="10" defaultRowHeight="14.4" x14ac:dyDescent="0.3"/>
  <cols>
    <col min="3" max="3" width="30.33203125" customWidth="1"/>
    <col min="4" max="4" width="11.88671875" customWidth="1"/>
    <col min="5" max="5" width="12.109375" customWidth="1"/>
    <col min="7" max="7" width="19.109375" bestFit="1" customWidth="1"/>
    <col min="8" max="8" width="29.88671875" customWidth="1"/>
  </cols>
  <sheetData>
    <row r="86" spans="2:8" ht="16.8" x14ac:dyDescent="0.3">
      <c r="B86" s="553" t="s">
        <v>6216</v>
      </c>
      <c r="C86" s="554" t="s">
        <v>6336</v>
      </c>
      <c r="D86" s="554" t="s">
        <v>15</v>
      </c>
      <c r="E86" s="545" t="s">
        <v>16</v>
      </c>
      <c r="F86" s="555" t="s">
        <v>17</v>
      </c>
      <c r="G86" s="556" t="s">
        <v>3136</v>
      </c>
      <c r="H86" s="548" t="s">
        <v>3137</v>
      </c>
    </row>
    <row r="87" spans="2:8" ht="15" x14ac:dyDescent="0.35">
      <c r="B87" s="544" t="s">
        <v>6263</v>
      </c>
      <c r="C87" s="517" t="s">
        <v>6337</v>
      </c>
      <c r="D87" s="518">
        <v>322</v>
      </c>
      <c r="E87" s="517" t="s">
        <v>3138</v>
      </c>
      <c r="F87" s="518" t="s">
        <v>23</v>
      </c>
      <c r="G87" s="519">
        <v>564303</v>
      </c>
      <c r="H87" s="517" t="s">
        <v>6425</v>
      </c>
    </row>
    <row r="88" spans="2:8" ht="15" x14ac:dyDescent="0.35">
      <c r="B88" s="544" t="s">
        <v>6263</v>
      </c>
      <c r="C88" s="517" t="s">
        <v>6337</v>
      </c>
      <c r="D88" s="518">
        <v>323</v>
      </c>
      <c r="E88" s="517" t="s">
        <v>3139</v>
      </c>
      <c r="F88" s="518" t="s">
        <v>23</v>
      </c>
      <c r="G88" s="519">
        <v>599299</v>
      </c>
      <c r="H88" s="517" t="s">
        <v>6425</v>
      </c>
    </row>
    <row r="89" spans="2:8" ht="15" x14ac:dyDescent="0.35">
      <c r="B89" s="544" t="s">
        <v>6263</v>
      </c>
      <c r="C89" s="517" t="s">
        <v>6337</v>
      </c>
      <c r="D89" s="518">
        <v>324</v>
      </c>
      <c r="E89" s="517" t="s">
        <v>3140</v>
      </c>
      <c r="F89" s="518" t="s">
        <v>23</v>
      </c>
      <c r="G89" s="519">
        <v>603117</v>
      </c>
      <c r="H89" s="517" t="s">
        <v>6425</v>
      </c>
    </row>
    <row r="90" spans="2:8" ht="15" x14ac:dyDescent="0.35">
      <c r="B90" s="544" t="s">
        <v>6263</v>
      </c>
      <c r="C90" s="517" t="s">
        <v>6337</v>
      </c>
      <c r="D90" s="518">
        <v>325</v>
      </c>
      <c r="E90" s="517" t="s">
        <v>3141</v>
      </c>
      <c r="F90" s="518" t="s">
        <v>23</v>
      </c>
      <c r="G90" s="519">
        <v>619564</v>
      </c>
      <c r="H90" s="517" t="s">
        <v>6425</v>
      </c>
    </row>
    <row r="91" spans="2:8" ht="15" x14ac:dyDescent="0.35">
      <c r="B91" s="544" t="s">
        <v>6263</v>
      </c>
      <c r="C91" s="517" t="s">
        <v>6337</v>
      </c>
      <c r="D91" s="518">
        <v>326</v>
      </c>
      <c r="E91" s="517" t="s">
        <v>3142</v>
      </c>
      <c r="F91" s="518" t="s">
        <v>23</v>
      </c>
      <c r="G91" s="519">
        <v>637080</v>
      </c>
      <c r="H91" s="517" t="s">
        <v>6425</v>
      </c>
    </row>
    <row r="92" spans="2:8" ht="15" x14ac:dyDescent="0.35">
      <c r="B92" s="544" t="s">
        <v>6263</v>
      </c>
      <c r="C92" s="517" t="s">
        <v>6337</v>
      </c>
      <c r="D92" s="518">
        <v>328</v>
      </c>
      <c r="E92" s="517" t="s">
        <v>3143</v>
      </c>
      <c r="F92" s="518" t="s">
        <v>23</v>
      </c>
      <c r="G92" s="519">
        <v>663148</v>
      </c>
      <c r="H92" s="517" t="s">
        <v>6425</v>
      </c>
    </row>
    <row r="93" spans="2:8" ht="15" x14ac:dyDescent="0.35">
      <c r="B93" s="544" t="s">
        <v>6263</v>
      </c>
      <c r="C93" s="517" t="s">
        <v>6337</v>
      </c>
      <c r="D93" s="518">
        <v>333</v>
      </c>
      <c r="E93" s="517" t="s">
        <v>3144</v>
      </c>
      <c r="F93" s="518" t="s">
        <v>23</v>
      </c>
      <c r="G93" s="519">
        <v>616932</v>
      </c>
      <c r="H93" s="517" t="s">
        <v>6425</v>
      </c>
    </row>
    <row r="94" spans="2:8" ht="15" x14ac:dyDescent="0.35">
      <c r="B94" s="544" t="s">
        <v>6263</v>
      </c>
      <c r="C94" s="517" t="s">
        <v>6337</v>
      </c>
      <c r="D94" s="518">
        <v>366</v>
      </c>
      <c r="E94" s="517" t="s">
        <v>3145</v>
      </c>
      <c r="F94" s="518" t="s">
        <v>23</v>
      </c>
      <c r="G94" s="519">
        <v>724353</v>
      </c>
      <c r="H94" s="517" t="s">
        <v>6425</v>
      </c>
    </row>
    <row r="95" spans="2:8" ht="15" x14ac:dyDescent="0.35">
      <c r="B95" s="544" t="s">
        <v>6263</v>
      </c>
      <c r="C95" s="517" t="s">
        <v>6338</v>
      </c>
      <c r="D95" s="518">
        <v>1505</v>
      </c>
      <c r="E95" s="517" t="s">
        <v>3146</v>
      </c>
      <c r="F95" s="518" t="s">
        <v>676</v>
      </c>
      <c r="G95" s="519">
        <v>196044</v>
      </c>
      <c r="H95" s="517" t="s">
        <v>6425</v>
      </c>
    </row>
    <row r="96" spans="2:8" ht="15" x14ac:dyDescent="0.35">
      <c r="B96" s="544" t="s">
        <v>6263</v>
      </c>
      <c r="C96" s="517" t="s">
        <v>6339</v>
      </c>
      <c r="D96" s="518">
        <v>1512</v>
      </c>
      <c r="E96" s="517" t="s">
        <v>3147</v>
      </c>
      <c r="F96" s="518" t="s">
        <v>21</v>
      </c>
      <c r="G96" s="519">
        <v>19722</v>
      </c>
      <c r="H96" s="517" t="s">
        <v>6425</v>
      </c>
    </row>
    <row r="97" spans="2:8" ht="15" x14ac:dyDescent="0.35">
      <c r="B97" s="544" t="s">
        <v>6263</v>
      </c>
      <c r="C97" s="517" t="s">
        <v>6340</v>
      </c>
      <c r="D97" s="518">
        <v>1515</v>
      </c>
      <c r="E97" s="517" t="s">
        <v>3148</v>
      </c>
      <c r="F97" s="518" t="s">
        <v>3149</v>
      </c>
      <c r="G97" s="519">
        <v>1131</v>
      </c>
      <c r="H97" s="517" t="s">
        <v>6425</v>
      </c>
    </row>
    <row r="98" spans="2:8" ht="15" x14ac:dyDescent="0.35">
      <c r="B98" s="544" t="s">
        <v>6263</v>
      </c>
      <c r="C98" s="517" t="s">
        <v>6341</v>
      </c>
      <c r="D98" s="518">
        <v>1794</v>
      </c>
      <c r="E98" s="517" t="s">
        <v>3150</v>
      </c>
      <c r="F98" s="518" t="s">
        <v>367</v>
      </c>
      <c r="G98" s="519">
        <v>5711</v>
      </c>
      <c r="H98" s="517" t="s">
        <v>6425</v>
      </c>
    </row>
    <row r="99" spans="2:8" ht="15" x14ac:dyDescent="0.35">
      <c r="B99" s="544" t="s">
        <v>6263</v>
      </c>
      <c r="C99" s="517" t="s">
        <v>6342</v>
      </c>
      <c r="D99" s="518">
        <v>2273</v>
      </c>
      <c r="E99" s="517" t="s">
        <v>3151</v>
      </c>
      <c r="F99" s="518" t="s">
        <v>29</v>
      </c>
      <c r="G99" s="519">
        <v>1050</v>
      </c>
      <c r="H99" s="517" t="s">
        <v>6425</v>
      </c>
    </row>
    <row r="100" spans="2:8" ht="15" x14ac:dyDescent="0.35">
      <c r="B100" s="544" t="s">
        <v>6263</v>
      </c>
      <c r="C100" s="517" t="s">
        <v>6343</v>
      </c>
      <c r="D100" s="518">
        <v>2307</v>
      </c>
      <c r="E100" s="517" t="s">
        <v>3152</v>
      </c>
      <c r="F100" s="518" t="s">
        <v>23</v>
      </c>
      <c r="G100" s="519">
        <v>82110</v>
      </c>
      <c r="H100" s="517" t="s">
        <v>6425</v>
      </c>
    </row>
    <row r="101" spans="2:8" ht="15" x14ac:dyDescent="0.35">
      <c r="B101" s="544" t="s">
        <v>6263</v>
      </c>
      <c r="C101" s="517" t="s">
        <v>6343</v>
      </c>
      <c r="D101" s="518">
        <v>2308</v>
      </c>
      <c r="E101" s="517" t="s">
        <v>3153</v>
      </c>
      <c r="F101" s="518" t="s">
        <v>23</v>
      </c>
      <c r="G101" s="519">
        <v>133130</v>
      </c>
      <c r="H101" s="517" t="s">
        <v>6425</v>
      </c>
    </row>
    <row r="102" spans="2:8" ht="15" x14ac:dyDescent="0.35">
      <c r="B102" s="544" t="s">
        <v>6263</v>
      </c>
      <c r="C102" s="517" t="s">
        <v>6344</v>
      </c>
      <c r="D102" s="518">
        <v>2551</v>
      </c>
      <c r="E102" s="517" t="s">
        <v>3154</v>
      </c>
      <c r="F102" s="518" t="s">
        <v>29</v>
      </c>
      <c r="G102" s="519">
        <v>224910</v>
      </c>
      <c r="H102" s="517" t="s">
        <v>6425</v>
      </c>
    </row>
    <row r="103" spans="2:8" ht="15" x14ac:dyDescent="0.35">
      <c r="B103" s="544" t="s">
        <v>6263</v>
      </c>
      <c r="C103" s="517" t="s">
        <v>6342</v>
      </c>
      <c r="D103" s="518">
        <v>2798</v>
      </c>
      <c r="E103" s="517" t="s">
        <v>3155</v>
      </c>
      <c r="F103" s="518" t="s">
        <v>29</v>
      </c>
      <c r="G103" s="519">
        <v>850</v>
      </c>
      <c r="H103" s="517" t="s">
        <v>6425</v>
      </c>
    </row>
    <row r="104" spans="2:8" ht="15" x14ac:dyDescent="0.35">
      <c r="B104" s="544" t="s">
        <v>6263</v>
      </c>
      <c r="C104" s="517" t="s">
        <v>6343</v>
      </c>
      <c r="D104" s="518">
        <v>2910</v>
      </c>
      <c r="E104" s="517" t="s">
        <v>3156</v>
      </c>
      <c r="F104" s="518" t="s">
        <v>23</v>
      </c>
      <c r="G104" s="519">
        <v>11900</v>
      </c>
      <c r="H104" s="517" t="s">
        <v>6425</v>
      </c>
    </row>
    <row r="105" spans="2:8" ht="15" x14ac:dyDescent="0.35">
      <c r="B105" s="544" t="s">
        <v>6263</v>
      </c>
      <c r="C105" s="517" t="s">
        <v>6340</v>
      </c>
      <c r="D105" s="518">
        <v>3386</v>
      </c>
      <c r="E105" s="517" t="s">
        <v>3157</v>
      </c>
      <c r="F105" s="518" t="s">
        <v>3158</v>
      </c>
      <c r="G105" s="519">
        <v>12964</v>
      </c>
      <c r="H105" s="517" t="s">
        <v>6425</v>
      </c>
    </row>
    <row r="106" spans="2:8" ht="15" x14ac:dyDescent="0.35">
      <c r="B106" s="544" t="s">
        <v>6263</v>
      </c>
      <c r="C106" s="517" t="s">
        <v>6340</v>
      </c>
      <c r="D106" s="518">
        <v>3995</v>
      </c>
      <c r="E106" s="517" t="s">
        <v>3159</v>
      </c>
      <c r="F106" s="518" t="s">
        <v>21</v>
      </c>
      <c r="G106" s="519">
        <v>30615</v>
      </c>
      <c r="H106" s="517" t="s">
        <v>6425</v>
      </c>
    </row>
    <row r="107" spans="2:8" ht="15" x14ac:dyDescent="0.35">
      <c r="B107" s="544" t="s">
        <v>6263</v>
      </c>
      <c r="C107" s="517" t="s">
        <v>6345</v>
      </c>
      <c r="D107" s="518">
        <v>4513</v>
      </c>
      <c r="E107" s="517" t="s">
        <v>3160</v>
      </c>
      <c r="F107" s="518" t="s">
        <v>26</v>
      </c>
      <c r="G107" s="519">
        <v>16925</v>
      </c>
      <c r="H107" s="517" t="s">
        <v>6425</v>
      </c>
    </row>
    <row r="108" spans="2:8" ht="15" x14ac:dyDescent="0.35">
      <c r="B108" s="544" t="s">
        <v>6263</v>
      </c>
      <c r="C108" s="517" t="s">
        <v>6345</v>
      </c>
      <c r="D108" s="518">
        <v>4514</v>
      </c>
      <c r="E108" s="517" t="s">
        <v>3161</v>
      </c>
      <c r="F108" s="518" t="s">
        <v>26</v>
      </c>
      <c r="G108" s="519">
        <v>29139</v>
      </c>
      <c r="H108" s="517" t="s">
        <v>6425</v>
      </c>
    </row>
    <row r="109" spans="2:8" ht="15" x14ac:dyDescent="0.35">
      <c r="B109" s="544" t="s">
        <v>6263</v>
      </c>
      <c r="C109" s="517" t="s">
        <v>6345</v>
      </c>
      <c r="D109" s="518">
        <v>4520</v>
      </c>
      <c r="E109" s="517" t="s">
        <v>3162</v>
      </c>
      <c r="F109" s="518" t="s">
        <v>26</v>
      </c>
      <c r="G109" s="519">
        <v>24074</v>
      </c>
      <c r="H109" s="517" t="s">
        <v>6425</v>
      </c>
    </row>
    <row r="110" spans="2:8" ht="15" x14ac:dyDescent="0.35">
      <c r="B110" s="544" t="s">
        <v>6263</v>
      </c>
      <c r="C110" s="517" t="s">
        <v>6345</v>
      </c>
      <c r="D110" s="518">
        <v>4521</v>
      </c>
      <c r="E110" s="517" t="s">
        <v>3163</v>
      </c>
      <c r="F110" s="518" t="s">
        <v>26</v>
      </c>
      <c r="G110" s="519">
        <v>28524</v>
      </c>
      <c r="H110" s="517" t="s">
        <v>6425</v>
      </c>
    </row>
    <row r="111" spans="2:8" ht="15" x14ac:dyDescent="0.35">
      <c r="B111" s="544" t="s">
        <v>6263</v>
      </c>
      <c r="C111" s="517" t="s">
        <v>6346</v>
      </c>
      <c r="D111" s="518">
        <v>4594</v>
      </c>
      <c r="E111" s="517" t="s">
        <v>5454</v>
      </c>
      <c r="F111" s="518" t="s">
        <v>29</v>
      </c>
      <c r="G111" s="519">
        <v>88599</v>
      </c>
      <c r="H111" s="517" t="s">
        <v>6425</v>
      </c>
    </row>
    <row r="112" spans="2:8" ht="15" x14ac:dyDescent="0.35">
      <c r="B112" s="544" t="s">
        <v>6263</v>
      </c>
      <c r="C112" s="517" t="s">
        <v>6346</v>
      </c>
      <c r="D112" s="518">
        <v>4596</v>
      </c>
      <c r="E112" s="517" t="s">
        <v>5455</v>
      </c>
      <c r="F112" s="518" t="s">
        <v>29</v>
      </c>
      <c r="G112" s="519">
        <v>176735</v>
      </c>
      <c r="H112" s="517" t="s">
        <v>6425</v>
      </c>
    </row>
    <row r="113" spans="2:8" ht="15" x14ac:dyDescent="0.35">
      <c r="B113" s="544" t="s">
        <v>6263</v>
      </c>
      <c r="C113" s="517" t="s">
        <v>6346</v>
      </c>
      <c r="D113" s="518">
        <v>4598</v>
      </c>
      <c r="E113" s="517" t="s">
        <v>5456</v>
      </c>
      <c r="F113" s="518" t="s">
        <v>29</v>
      </c>
      <c r="G113" s="519">
        <v>1323832</v>
      </c>
      <c r="H113" s="517" t="s">
        <v>6425</v>
      </c>
    </row>
    <row r="114" spans="2:8" ht="15" x14ac:dyDescent="0.35">
      <c r="B114" s="544" t="s">
        <v>6263</v>
      </c>
      <c r="C114" s="517" t="s">
        <v>6346</v>
      </c>
      <c r="D114" s="518">
        <v>4600</v>
      </c>
      <c r="E114" s="517" t="s">
        <v>5457</v>
      </c>
      <c r="F114" s="518" t="s">
        <v>29</v>
      </c>
      <c r="G114" s="519">
        <v>3907698</v>
      </c>
      <c r="H114" s="517" t="s">
        <v>6425</v>
      </c>
    </row>
    <row r="115" spans="2:8" ht="15" x14ac:dyDescent="0.35">
      <c r="B115" s="544" t="s">
        <v>6263</v>
      </c>
      <c r="C115" s="517" t="s">
        <v>6346</v>
      </c>
      <c r="D115" s="518">
        <v>4608</v>
      </c>
      <c r="E115" s="517" t="s">
        <v>5458</v>
      </c>
      <c r="F115" s="518" t="s">
        <v>29</v>
      </c>
      <c r="G115" s="519">
        <v>42792</v>
      </c>
      <c r="H115" s="517" t="s">
        <v>6425</v>
      </c>
    </row>
    <row r="116" spans="2:8" ht="15" x14ac:dyDescent="0.35">
      <c r="B116" s="544" t="s">
        <v>6263</v>
      </c>
      <c r="C116" s="517" t="s">
        <v>6346</v>
      </c>
      <c r="D116" s="518">
        <v>4609</v>
      </c>
      <c r="E116" s="517" t="s">
        <v>5459</v>
      </c>
      <c r="F116" s="518" t="s">
        <v>29</v>
      </c>
      <c r="G116" s="519">
        <v>70485</v>
      </c>
      <c r="H116" s="517" t="s">
        <v>6425</v>
      </c>
    </row>
    <row r="117" spans="2:8" ht="15" x14ac:dyDescent="0.35">
      <c r="B117" s="544" t="s">
        <v>6263</v>
      </c>
      <c r="C117" s="517" t="s">
        <v>6346</v>
      </c>
      <c r="D117" s="518">
        <v>4610</v>
      </c>
      <c r="E117" s="517" t="s">
        <v>5460</v>
      </c>
      <c r="F117" s="518" t="s">
        <v>29</v>
      </c>
      <c r="G117" s="519">
        <v>102656</v>
      </c>
      <c r="H117" s="517" t="s">
        <v>6425</v>
      </c>
    </row>
    <row r="118" spans="2:8" ht="15" x14ac:dyDescent="0.35">
      <c r="B118" s="544" t="s">
        <v>6263</v>
      </c>
      <c r="C118" s="517" t="s">
        <v>6346</v>
      </c>
      <c r="D118" s="518">
        <v>4611</v>
      </c>
      <c r="E118" s="517" t="s">
        <v>5461</v>
      </c>
      <c r="F118" s="518" t="s">
        <v>29</v>
      </c>
      <c r="G118" s="519">
        <v>239697</v>
      </c>
      <c r="H118" s="517" t="s">
        <v>6425</v>
      </c>
    </row>
    <row r="119" spans="2:8" ht="15" x14ac:dyDescent="0.35">
      <c r="B119" s="544" t="s">
        <v>6263</v>
      </c>
      <c r="C119" s="517" t="s">
        <v>6346</v>
      </c>
      <c r="D119" s="518">
        <v>4612</v>
      </c>
      <c r="E119" s="517" t="s">
        <v>5462</v>
      </c>
      <c r="F119" s="518" t="s">
        <v>29</v>
      </c>
      <c r="G119" s="519">
        <v>440388</v>
      </c>
      <c r="H119" s="517" t="s">
        <v>6425</v>
      </c>
    </row>
    <row r="120" spans="2:8" ht="15" x14ac:dyDescent="0.35">
      <c r="B120" s="544" t="s">
        <v>6263</v>
      </c>
      <c r="C120" s="517" t="s">
        <v>6346</v>
      </c>
      <c r="D120" s="518">
        <v>4613</v>
      </c>
      <c r="E120" s="517" t="s">
        <v>5463</v>
      </c>
      <c r="F120" s="518" t="s">
        <v>29</v>
      </c>
      <c r="G120" s="519">
        <v>786838</v>
      </c>
      <c r="H120" s="517" t="s">
        <v>6425</v>
      </c>
    </row>
    <row r="121" spans="2:8" ht="15" x14ac:dyDescent="0.35">
      <c r="B121" s="544" t="s">
        <v>6263</v>
      </c>
      <c r="C121" s="517" t="s">
        <v>6346</v>
      </c>
      <c r="D121" s="518">
        <v>4614</v>
      </c>
      <c r="E121" s="517" t="s">
        <v>5464</v>
      </c>
      <c r="F121" s="518" t="s">
        <v>29</v>
      </c>
      <c r="G121" s="519">
        <v>1219423</v>
      </c>
      <c r="H121" s="517" t="s">
        <v>6425</v>
      </c>
    </row>
    <row r="122" spans="2:8" ht="15" x14ac:dyDescent="0.35">
      <c r="B122" s="544" t="s">
        <v>6263</v>
      </c>
      <c r="C122" s="517" t="s">
        <v>6347</v>
      </c>
      <c r="D122" s="518">
        <v>4675</v>
      </c>
      <c r="E122" s="517" t="s">
        <v>3164</v>
      </c>
      <c r="F122" s="518" t="s">
        <v>29</v>
      </c>
      <c r="G122" s="519">
        <v>32600</v>
      </c>
      <c r="H122" s="517" t="s">
        <v>6425</v>
      </c>
    </row>
    <row r="123" spans="2:8" ht="15" x14ac:dyDescent="0.35">
      <c r="B123" s="544" t="s">
        <v>6263</v>
      </c>
      <c r="C123" s="517" t="s">
        <v>6348</v>
      </c>
      <c r="D123" s="518">
        <v>4694</v>
      </c>
      <c r="E123" s="517" t="s">
        <v>3165</v>
      </c>
      <c r="F123" s="518" t="s">
        <v>26</v>
      </c>
      <c r="G123" s="519">
        <v>40737</v>
      </c>
      <c r="H123" s="517" t="s">
        <v>6915</v>
      </c>
    </row>
    <row r="124" spans="2:8" ht="15" x14ac:dyDescent="0.35">
      <c r="B124" s="544" t="s">
        <v>6263</v>
      </c>
      <c r="C124" s="517" t="s">
        <v>6348</v>
      </c>
      <c r="D124" s="518">
        <v>4697</v>
      </c>
      <c r="E124" s="517" t="s">
        <v>3166</v>
      </c>
      <c r="F124" s="518" t="s">
        <v>26</v>
      </c>
      <c r="G124" s="519">
        <v>43372</v>
      </c>
      <c r="H124" s="517" t="s">
        <v>6915</v>
      </c>
    </row>
    <row r="125" spans="2:8" ht="15" x14ac:dyDescent="0.35">
      <c r="B125" s="544" t="s">
        <v>6263</v>
      </c>
      <c r="C125" s="517" t="s">
        <v>6341</v>
      </c>
      <c r="D125" s="518">
        <v>5038</v>
      </c>
      <c r="E125" s="517" t="s">
        <v>3167</v>
      </c>
      <c r="F125" s="518" t="s">
        <v>367</v>
      </c>
      <c r="G125" s="519">
        <v>4657</v>
      </c>
      <c r="H125" s="517" t="s">
        <v>6425</v>
      </c>
    </row>
    <row r="126" spans="2:8" ht="15" x14ac:dyDescent="0.35">
      <c r="B126" s="544" t="s">
        <v>6263</v>
      </c>
      <c r="C126" s="517" t="s">
        <v>6341</v>
      </c>
      <c r="D126" s="518">
        <v>5041</v>
      </c>
      <c r="E126" s="517" t="s">
        <v>3168</v>
      </c>
      <c r="F126" s="518" t="s">
        <v>367</v>
      </c>
      <c r="G126" s="519">
        <v>4665</v>
      </c>
      <c r="H126" s="517" t="s">
        <v>6425</v>
      </c>
    </row>
    <row r="127" spans="2:8" ht="15" x14ac:dyDescent="0.35">
      <c r="B127" s="544" t="s">
        <v>6263</v>
      </c>
      <c r="C127" s="517" t="s">
        <v>6341</v>
      </c>
      <c r="D127" s="518">
        <v>5042</v>
      </c>
      <c r="E127" s="517" t="s">
        <v>3169</v>
      </c>
      <c r="F127" s="518" t="s">
        <v>367</v>
      </c>
      <c r="G127" s="519">
        <v>4665</v>
      </c>
      <c r="H127" s="517" t="s">
        <v>6425</v>
      </c>
    </row>
    <row r="128" spans="2:8" ht="15" x14ac:dyDescent="0.35">
      <c r="B128" s="544" t="s">
        <v>6263</v>
      </c>
      <c r="C128" s="517" t="s">
        <v>6337</v>
      </c>
      <c r="D128" s="518">
        <v>5056</v>
      </c>
      <c r="E128" s="517" t="s">
        <v>3170</v>
      </c>
      <c r="F128" s="518" t="s">
        <v>23</v>
      </c>
      <c r="G128" s="519">
        <v>691033</v>
      </c>
      <c r="H128" s="517" t="s">
        <v>6425</v>
      </c>
    </row>
    <row r="129" spans="2:8" ht="15" x14ac:dyDescent="0.35">
      <c r="B129" s="544" t="s">
        <v>6263</v>
      </c>
      <c r="C129" s="517" t="s">
        <v>6349</v>
      </c>
      <c r="D129" s="518">
        <v>5115</v>
      </c>
      <c r="E129" s="517" t="s">
        <v>3171</v>
      </c>
      <c r="F129" s="518" t="s">
        <v>3172</v>
      </c>
      <c r="G129" s="519">
        <v>11276</v>
      </c>
      <c r="H129" s="517" t="s">
        <v>6425</v>
      </c>
    </row>
    <row r="130" spans="2:8" ht="15" x14ac:dyDescent="0.35">
      <c r="B130" s="544" t="s">
        <v>6263</v>
      </c>
      <c r="C130" s="517" t="s">
        <v>6342</v>
      </c>
      <c r="D130" s="518">
        <v>5481</v>
      </c>
      <c r="E130" s="517" t="s">
        <v>3173</v>
      </c>
      <c r="F130" s="518" t="s">
        <v>29</v>
      </c>
      <c r="G130" s="519">
        <v>9735</v>
      </c>
      <c r="H130" s="517" t="s">
        <v>6425</v>
      </c>
    </row>
    <row r="131" spans="2:8" ht="15" x14ac:dyDescent="0.35">
      <c r="B131" s="544" t="s">
        <v>6263</v>
      </c>
      <c r="C131" s="517" t="s">
        <v>6350</v>
      </c>
      <c r="D131" s="518">
        <v>5661</v>
      </c>
      <c r="E131" s="517" t="s">
        <v>3174</v>
      </c>
      <c r="F131" s="518" t="s">
        <v>3175</v>
      </c>
      <c r="G131" s="519">
        <v>61982</v>
      </c>
      <c r="H131" s="517" t="s">
        <v>6425</v>
      </c>
    </row>
    <row r="132" spans="2:8" ht="15" x14ac:dyDescent="0.35">
      <c r="B132" s="544" t="s">
        <v>6263</v>
      </c>
      <c r="C132" s="517" t="s">
        <v>6338</v>
      </c>
      <c r="D132" s="518">
        <v>5890</v>
      </c>
      <c r="E132" s="517" t="s">
        <v>3176</v>
      </c>
      <c r="F132" s="518" t="s">
        <v>676</v>
      </c>
      <c r="G132" s="519">
        <v>81813</v>
      </c>
      <c r="H132" s="517" t="s">
        <v>6425</v>
      </c>
    </row>
    <row r="133" spans="2:8" ht="15" x14ac:dyDescent="0.35">
      <c r="B133" s="544" t="s">
        <v>6263</v>
      </c>
      <c r="C133" s="517" t="s">
        <v>6343</v>
      </c>
      <c r="D133" s="518">
        <v>5915</v>
      </c>
      <c r="E133" s="517" t="s">
        <v>3177</v>
      </c>
      <c r="F133" s="518" t="s">
        <v>23</v>
      </c>
      <c r="G133" s="519">
        <v>99960</v>
      </c>
      <c r="H133" s="517" t="s">
        <v>6425</v>
      </c>
    </row>
    <row r="134" spans="2:8" ht="15" x14ac:dyDescent="0.35">
      <c r="B134" s="544" t="s">
        <v>6263</v>
      </c>
      <c r="C134" s="517" t="s">
        <v>6338</v>
      </c>
      <c r="D134" s="518">
        <v>6013</v>
      </c>
      <c r="E134" s="517" t="s">
        <v>3178</v>
      </c>
      <c r="F134" s="518" t="s">
        <v>676</v>
      </c>
      <c r="G134" s="519">
        <v>327250</v>
      </c>
      <c r="H134" s="517" t="s">
        <v>6425</v>
      </c>
    </row>
    <row r="135" spans="2:8" ht="15" x14ac:dyDescent="0.35">
      <c r="B135" s="544" t="s">
        <v>6263</v>
      </c>
      <c r="C135" s="517" t="s">
        <v>6338</v>
      </c>
      <c r="D135" s="518">
        <v>6026</v>
      </c>
      <c r="E135" s="517" t="s">
        <v>3179</v>
      </c>
      <c r="F135" s="518" t="s">
        <v>676</v>
      </c>
      <c r="G135" s="519">
        <v>168662</v>
      </c>
      <c r="H135" s="517" t="s">
        <v>6425</v>
      </c>
    </row>
    <row r="136" spans="2:8" ht="15" x14ac:dyDescent="0.35">
      <c r="B136" s="544" t="s">
        <v>6263</v>
      </c>
      <c r="C136" s="517" t="s">
        <v>6338</v>
      </c>
      <c r="D136" s="518">
        <v>6062</v>
      </c>
      <c r="E136" s="517" t="s">
        <v>3180</v>
      </c>
      <c r="F136" s="518" t="s">
        <v>676</v>
      </c>
      <c r="G136" s="519">
        <v>207611</v>
      </c>
      <c r="H136" s="517" t="s">
        <v>6425</v>
      </c>
    </row>
    <row r="137" spans="2:8" ht="15" x14ac:dyDescent="0.35">
      <c r="B137" s="544" t="s">
        <v>6263</v>
      </c>
      <c r="C137" s="517" t="s">
        <v>6337</v>
      </c>
      <c r="D137" s="518">
        <v>6072</v>
      </c>
      <c r="E137" s="517" t="s">
        <v>3181</v>
      </c>
      <c r="F137" s="518" t="s">
        <v>23</v>
      </c>
      <c r="G137" s="519">
        <v>762557</v>
      </c>
      <c r="H137" s="517" t="s">
        <v>6425</v>
      </c>
    </row>
    <row r="138" spans="2:8" ht="15" x14ac:dyDescent="0.35">
      <c r="B138" s="544" t="s">
        <v>6263</v>
      </c>
      <c r="C138" s="517" t="s">
        <v>6337</v>
      </c>
      <c r="D138" s="518">
        <v>6073</v>
      </c>
      <c r="E138" s="517" t="s">
        <v>3182</v>
      </c>
      <c r="F138" s="518" t="s">
        <v>23</v>
      </c>
      <c r="G138" s="519">
        <v>777131</v>
      </c>
      <c r="H138" s="517" t="s">
        <v>6425</v>
      </c>
    </row>
    <row r="139" spans="2:8" ht="15" x14ac:dyDescent="0.35">
      <c r="B139" s="544" t="s">
        <v>6263</v>
      </c>
      <c r="C139" s="517" t="s">
        <v>6351</v>
      </c>
      <c r="D139" s="518">
        <v>6087</v>
      </c>
      <c r="E139" s="517" t="s">
        <v>3183</v>
      </c>
      <c r="F139" s="518" t="s">
        <v>389</v>
      </c>
      <c r="G139" s="519">
        <v>97414</v>
      </c>
      <c r="H139" s="517" t="s">
        <v>5686</v>
      </c>
    </row>
    <row r="140" spans="2:8" ht="15" x14ac:dyDescent="0.35">
      <c r="B140" s="544" t="s">
        <v>6263</v>
      </c>
      <c r="C140" s="517" t="s">
        <v>6351</v>
      </c>
      <c r="D140" s="518">
        <v>6088</v>
      </c>
      <c r="E140" s="517" t="s">
        <v>3184</v>
      </c>
      <c r="F140" s="518" t="s">
        <v>389</v>
      </c>
      <c r="G140" s="519">
        <v>121212</v>
      </c>
      <c r="H140" s="517" t="s">
        <v>5686</v>
      </c>
    </row>
    <row r="141" spans="2:8" ht="15" x14ac:dyDescent="0.35">
      <c r="B141" s="544" t="s">
        <v>6263</v>
      </c>
      <c r="C141" s="517" t="s">
        <v>6350</v>
      </c>
      <c r="D141" s="518">
        <v>6092</v>
      </c>
      <c r="E141" s="517" t="s">
        <v>3185</v>
      </c>
      <c r="F141" s="518" t="s">
        <v>3186</v>
      </c>
      <c r="G141" s="519">
        <v>2000</v>
      </c>
      <c r="H141" s="517" t="s">
        <v>3187</v>
      </c>
    </row>
    <row r="142" spans="2:8" ht="15" x14ac:dyDescent="0.35">
      <c r="B142" s="544" t="s">
        <v>6263</v>
      </c>
      <c r="C142" s="517" t="s">
        <v>6347</v>
      </c>
      <c r="D142" s="518">
        <v>6098</v>
      </c>
      <c r="E142" s="517" t="s">
        <v>3188</v>
      </c>
      <c r="F142" s="518" t="s">
        <v>3189</v>
      </c>
      <c r="G142" s="519">
        <v>28</v>
      </c>
      <c r="H142" s="517" t="s">
        <v>6425</v>
      </c>
    </row>
    <row r="143" spans="2:8" ht="15" x14ac:dyDescent="0.35">
      <c r="B143" s="544" t="s">
        <v>6263</v>
      </c>
      <c r="C143" s="517" t="s">
        <v>6337</v>
      </c>
      <c r="D143" s="518">
        <v>6107</v>
      </c>
      <c r="E143" s="517" t="s">
        <v>3190</v>
      </c>
      <c r="F143" s="518" t="s">
        <v>23</v>
      </c>
      <c r="G143" s="519">
        <v>902020</v>
      </c>
      <c r="H143" s="517" t="s">
        <v>6425</v>
      </c>
    </row>
    <row r="144" spans="2:8" ht="15" x14ac:dyDescent="0.35">
      <c r="B144" s="544" t="s">
        <v>6263</v>
      </c>
      <c r="C144" s="517" t="s">
        <v>6352</v>
      </c>
      <c r="D144" s="518">
        <v>6109</v>
      </c>
      <c r="E144" s="517" t="s">
        <v>3191</v>
      </c>
      <c r="F144" s="518" t="s">
        <v>29</v>
      </c>
      <c r="G144" s="519">
        <v>53256</v>
      </c>
      <c r="H144" s="517" t="s">
        <v>6425</v>
      </c>
    </row>
    <row r="145" spans="2:8" ht="15" x14ac:dyDescent="0.35">
      <c r="B145" s="544" t="s">
        <v>6263</v>
      </c>
      <c r="C145" s="517" t="s">
        <v>6352</v>
      </c>
      <c r="D145" s="518">
        <v>6115</v>
      </c>
      <c r="E145" s="517" t="s">
        <v>3192</v>
      </c>
      <c r="F145" s="518" t="s">
        <v>21</v>
      </c>
      <c r="G145" s="519">
        <v>111250</v>
      </c>
      <c r="H145" s="517" t="s">
        <v>6425</v>
      </c>
    </row>
    <row r="146" spans="2:8" ht="15" x14ac:dyDescent="0.35">
      <c r="B146" s="544" t="s">
        <v>6263</v>
      </c>
      <c r="C146" s="517" t="s">
        <v>6352</v>
      </c>
      <c r="D146" s="518">
        <v>6116</v>
      </c>
      <c r="E146" s="517" t="s">
        <v>3193</v>
      </c>
      <c r="F146" s="518" t="s">
        <v>29</v>
      </c>
      <c r="G146" s="519">
        <v>46992</v>
      </c>
      <c r="H146" s="517" t="s">
        <v>6425</v>
      </c>
    </row>
    <row r="147" spans="2:8" ht="15" x14ac:dyDescent="0.35">
      <c r="B147" s="544" t="s">
        <v>6263</v>
      </c>
      <c r="C147" s="517" t="s">
        <v>6352</v>
      </c>
      <c r="D147" s="518">
        <v>6117</v>
      </c>
      <c r="E147" s="517" t="s">
        <v>3194</v>
      </c>
      <c r="F147" s="518" t="s">
        <v>29</v>
      </c>
      <c r="G147" s="519">
        <v>83638</v>
      </c>
      <c r="H147" s="517" t="s">
        <v>6425</v>
      </c>
    </row>
    <row r="148" spans="2:8" ht="15" x14ac:dyDescent="0.35">
      <c r="B148" s="544" t="s">
        <v>6263</v>
      </c>
      <c r="C148" s="517" t="s">
        <v>6352</v>
      </c>
      <c r="D148" s="518">
        <v>6118</v>
      </c>
      <c r="E148" s="517" t="s">
        <v>3195</v>
      </c>
      <c r="F148" s="518" t="s">
        <v>29</v>
      </c>
      <c r="G148" s="519">
        <v>49109</v>
      </c>
      <c r="H148" s="517" t="s">
        <v>6425</v>
      </c>
    </row>
    <row r="149" spans="2:8" ht="15" x14ac:dyDescent="0.35">
      <c r="B149" s="544" t="s">
        <v>6263</v>
      </c>
      <c r="C149" s="517" t="s">
        <v>6352</v>
      </c>
      <c r="D149" s="518">
        <v>6122</v>
      </c>
      <c r="E149" s="517" t="s">
        <v>3196</v>
      </c>
      <c r="F149" s="518" t="s">
        <v>29</v>
      </c>
      <c r="G149" s="519">
        <v>380800</v>
      </c>
      <c r="H149" s="517" t="s">
        <v>6425</v>
      </c>
    </row>
    <row r="150" spans="2:8" ht="15" x14ac:dyDescent="0.35">
      <c r="B150" s="544" t="s">
        <v>6263</v>
      </c>
      <c r="C150" s="517" t="s">
        <v>6353</v>
      </c>
      <c r="D150" s="518">
        <v>6126</v>
      </c>
      <c r="E150" s="517" t="s">
        <v>5465</v>
      </c>
      <c r="F150" s="518" t="s">
        <v>26</v>
      </c>
      <c r="G150" s="519">
        <v>27659</v>
      </c>
      <c r="H150" s="517" t="s">
        <v>6425</v>
      </c>
    </row>
    <row r="151" spans="2:8" ht="15" x14ac:dyDescent="0.35">
      <c r="B151" s="544" t="s">
        <v>6263</v>
      </c>
      <c r="C151" s="517" t="s">
        <v>6353</v>
      </c>
      <c r="D151" s="518">
        <v>6127</v>
      </c>
      <c r="E151" s="517" t="s">
        <v>5466</v>
      </c>
      <c r="F151" s="518" t="s">
        <v>26</v>
      </c>
      <c r="G151" s="519">
        <v>52567</v>
      </c>
      <c r="H151" s="517" t="s">
        <v>6425</v>
      </c>
    </row>
    <row r="152" spans="2:8" ht="15" x14ac:dyDescent="0.35">
      <c r="B152" s="544" t="s">
        <v>6263</v>
      </c>
      <c r="C152" s="517" t="s">
        <v>6353</v>
      </c>
      <c r="D152" s="518">
        <v>6128</v>
      </c>
      <c r="E152" s="517" t="s">
        <v>5467</v>
      </c>
      <c r="F152" s="518" t="s">
        <v>26</v>
      </c>
      <c r="G152" s="519">
        <v>75144</v>
      </c>
      <c r="H152" s="517" t="s">
        <v>6425</v>
      </c>
    </row>
    <row r="153" spans="2:8" ht="15" x14ac:dyDescent="0.35">
      <c r="B153" s="544" t="s">
        <v>6263</v>
      </c>
      <c r="C153" s="517" t="s">
        <v>6353</v>
      </c>
      <c r="D153" s="518">
        <v>6129</v>
      </c>
      <c r="E153" s="517" t="s">
        <v>5468</v>
      </c>
      <c r="F153" s="518" t="s">
        <v>26</v>
      </c>
      <c r="G153" s="519">
        <v>109752</v>
      </c>
      <c r="H153" s="517" t="s">
        <v>6425</v>
      </c>
    </row>
    <row r="154" spans="2:8" ht="15" x14ac:dyDescent="0.35">
      <c r="B154" s="544" t="s">
        <v>6263</v>
      </c>
      <c r="C154" s="517" t="s">
        <v>6353</v>
      </c>
      <c r="D154" s="518">
        <v>6130</v>
      </c>
      <c r="E154" s="517" t="s">
        <v>5469</v>
      </c>
      <c r="F154" s="518" t="s">
        <v>26</v>
      </c>
      <c r="G154" s="519">
        <v>157926</v>
      </c>
      <c r="H154" s="517" t="s">
        <v>6425</v>
      </c>
    </row>
    <row r="155" spans="2:8" ht="15" x14ac:dyDescent="0.35">
      <c r="B155" s="544" t="s">
        <v>6263</v>
      </c>
      <c r="C155" s="517" t="s">
        <v>6353</v>
      </c>
      <c r="D155" s="518">
        <v>6131</v>
      </c>
      <c r="E155" s="517" t="s">
        <v>5470</v>
      </c>
      <c r="F155" s="518" t="s">
        <v>26</v>
      </c>
      <c r="G155" s="519">
        <v>289477</v>
      </c>
      <c r="H155" s="517" t="s">
        <v>6425</v>
      </c>
    </row>
    <row r="156" spans="2:8" ht="15" x14ac:dyDescent="0.35">
      <c r="B156" s="544" t="s">
        <v>6263</v>
      </c>
      <c r="C156" s="517" t="s">
        <v>6353</v>
      </c>
      <c r="D156" s="518">
        <v>6132</v>
      </c>
      <c r="E156" s="517" t="s">
        <v>5471</v>
      </c>
      <c r="F156" s="518" t="s">
        <v>26</v>
      </c>
      <c r="G156" s="519">
        <v>397651</v>
      </c>
      <c r="H156" s="517" t="s">
        <v>6425</v>
      </c>
    </row>
    <row r="157" spans="2:8" ht="15" x14ac:dyDescent="0.35">
      <c r="B157" s="544" t="s">
        <v>6263</v>
      </c>
      <c r="C157" s="517" t="s">
        <v>6353</v>
      </c>
      <c r="D157" s="518">
        <v>6133</v>
      </c>
      <c r="E157" s="517" t="s">
        <v>5472</v>
      </c>
      <c r="F157" s="518" t="s">
        <v>26</v>
      </c>
      <c r="G157" s="519">
        <v>487403</v>
      </c>
      <c r="H157" s="517" t="s">
        <v>6425</v>
      </c>
    </row>
    <row r="158" spans="2:8" ht="15" x14ac:dyDescent="0.35">
      <c r="B158" s="544" t="s">
        <v>6263</v>
      </c>
      <c r="C158" s="517" t="s">
        <v>6350</v>
      </c>
      <c r="D158" s="518">
        <v>6140</v>
      </c>
      <c r="E158" s="517" t="s">
        <v>3197</v>
      </c>
      <c r="F158" s="518" t="s">
        <v>676</v>
      </c>
      <c r="G158" s="519">
        <v>60640</v>
      </c>
      <c r="H158" s="517" t="s">
        <v>6425</v>
      </c>
    </row>
    <row r="159" spans="2:8" ht="15" x14ac:dyDescent="0.35">
      <c r="B159" s="544" t="s">
        <v>6263</v>
      </c>
      <c r="C159" s="517" t="s">
        <v>6354</v>
      </c>
      <c r="D159" s="518">
        <v>6143</v>
      </c>
      <c r="E159" s="517" t="s">
        <v>3198</v>
      </c>
      <c r="F159" s="518" t="s">
        <v>367</v>
      </c>
      <c r="G159" s="519">
        <v>17441</v>
      </c>
      <c r="H159" s="517" t="s">
        <v>6915</v>
      </c>
    </row>
    <row r="160" spans="2:8" ht="15" x14ac:dyDescent="0.35">
      <c r="B160" s="544" t="s">
        <v>6263</v>
      </c>
      <c r="C160" s="517" t="s">
        <v>6355</v>
      </c>
      <c r="D160" s="518">
        <v>6147</v>
      </c>
      <c r="E160" s="517" t="s">
        <v>3199</v>
      </c>
      <c r="F160" s="518" t="s">
        <v>26</v>
      </c>
      <c r="G160" s="519">
        <v>50397</v>
      </c>
      <c r="H160" s="517" t="s">
        <v>6425</v>
      </c>
    </row>
    <row r="161" spans="2:8" ht="15" x14ac:dyDescent="0.35">
      <c r="B161" s="544" t="s">
        <v>6263</v>
      </c>
      <c r="C161" s="517" t="s">
        <v>6355</v>
      </c>
      <c r="D161" s="518">
        <v>6148</v>
      </c>
      <c r="E161" s="517" t="s">
        <v>3200</v>
      </c>
      <c r="F161" s="518" t="s">
        <v>26</v>
      </c>
      <c r="G161" s="519">
        <v>84329</v>
      </c>
      <c r="H161" s="517" t="s">
        <v>6425</v>
      </c>
    </row>
    <row r="162" spans="2:8" ht="15" x14ac:dyDescent="0.35">
      <c r="B162" s="544" t="s">
        <v>6263</v>
      </c>
      <c r="C162" s="517" t="s">
        <v>6355</v>
      </c>
      <c r="D162" s="518">
        <v>6149</v>
      </c>
      <c r="E162" s="517" t="s">
        <v>3201</v>
      </c>
      <c r="F162" s="518" t="s">
        <v>26</v>
      </c>
      <c r="G162" s="519">
        <v>103454</v>
      </c>
      <c r="H162" s="517" t="s">
        <v>6425</v>
      </c>
    </row>
    <row r="163" spans="2:8" ht="15" x14ac:dyDescent="0.35">
      <c r="B163" s="544" t="s">
        <v>6263</v>
      </c>
      <c r="C163" s="517" t="s">
        <v>6355</v>
      </c>
      <c r="D163" s="518">
        <v>6150</v>
      </c>
      <c r="E163" s="517" t="s">
        <v>3202</v>
      </c>
      <c r="F163" s="518" t="s">
        <v>26</v>
      </c>
      <c r="G163" s="519">
        <v>122921</v>
      </c>
      <c r="H163" s="517" t="s">
        <v>6425</v>
      </c>
    </row>
    <row r="164" spans="2:8" ht="15" x14ac:dyDescent="0.35">
      <c r="B164" s="544" t="s">
        <v>6263</v>
      </c>
      <c r="C164" s="517" t="s">
        <v>6355</v>
      </c>
      <c r="D164" s="518">
        <v>6151</v>
      </c>
      <c r="E164" s="517" t="s">
        <v>3203</v>
      </c>
      <c r="F164" s="518" t="s">
        <v>26</v>
      </c>
      <c r="G164" s="519">
        <v>154688</v>
      </c>
      <c r="H164" s="517" t="s">
        <v>6425</v>
      </c>
    </row>
    <row r="165" spans="2:8" ht="15" x14ac:dyDescent="0.35">
      <c r="B165" s="544" t="s">
        <v>6263</v>
      </c>
      <c r="C165" s="517" t="s">
        <v>6355</v>
      </c>
      <c r="D165" s="518">
        <v>6152</v>
      </c>
      <c r="E165" s="517" t="s">
        <v>3204</v>
      </c>
      <c r="F165" s="518" t="s">
        <v>26</v>
      </c>
      <c r="G165" s="519">
        <v>203714</v>
      </c>
      <c r="H165" s="517" t="s">
        <v>6425</v>
      </c>
    </row>
    <row r="166" spans="2:8" ht="15" x14ac:dyDescent="0.35">
      <c r="B166" s="544" t="s">
        <v>6263</v>
      </c>
      <c r="C166" s="517" t="s">
        <v>6355</v>
      </c>
      <c r="D166" s="518">
        <v>6153</v>
      </c>
      <c r="E166" s="517" t="s">
        <v>3205</v>
      </c>
      <c r="F166" s="518" t="s">
        <v>26</v>
      </c>
      <c r="G166" s="519">
        <v>264383</v>
      </c>
      <c r="H166" s="517" t="s">
        <v>6425</v>
      </c>
    </row>
    <row r="167" spans="2:8" ht="15" x14ac:dyDescent="0.35">
      <c r="B167" s="544" t="s">
        <v>6263</v>
      </c>
      <c r="C167" s="517" t="s">
        <v>6355</v>
      </c>
      <c r="D167" s="518">
        <v>6154</v>
      </c>
      <c r="E167" s="517" t="s">
        <v>3206</v>
      </c>
      <c r="F167" s="518" t="s">
        <v>26</v>
      </c>
      <c r="G167" s="519">
        <v>342278</v>
      </c>
      <c r="H167" s="517" t="s">
        <v>6425</v>
      </c>
    </row>
    <row r="168" spans="2:8" ht="15" x14ac:dyDescent="0.35">
      <c r="B168" s="544" t="s">
        <v>6263</v>
      </c>
      <c r="C168" s="517" t="s">
        <v>6355</v>
      </c>
      <c r="D168" s="518">
        <v>6155</v>
      </c>
      <c r="E168" s="517" t="s">
        <v>3207</v>
      </c>
      <c r="F168" s="518" t="s">
        <v>26</v>
      </c>
      <c r="G168" s="519">
        <v>504325</v>
      </c>
      <c r="H168" s="517" t="s">
        <v>6425</v>
      </c>
    </row>
    <row r="169" spans="2:8" ht="15" x14ac:dyDescent="0.35">
      <c r="B169" s="544" t="s">
        <v>6263</v>
      </c>
      <c r="C169" s="517" t="s">
        <v>6355</v>
      </c>
      <c r="D169" s="518">
        <v>6156</v>
      </c>
      <c r="E169" s="517" t="s">
        <v>3208</v>
      </c>
      <c r="F169" s="518" t="s">
        <v>26</v>
      </c>
      <c r="G169" s="519">
        <v>61154</v>
      </c>
      <c r="H169" s="517" t="s">
        <v>6425</v>
      </c>
    </row>
    <row r="170" spans="2:8" ht="15" x14ac:dyDescent="0.35">
      <c r="B170" s="544" t="s">
        <v>6263</v>
      </c>
      <c r="C170" s="517" t="s">
        <v>6355</v>
      </c>
      <c r="D170" s="518">
        <v>6157</v>
      </c>
      <c r="E170" s="517" t="s">
        <v>3209</v>
      </c>
      <c r="F170" s="518" t="s">
        <v>26</v>
      </c>
      <c r="G170" s="519">
        <v>103654</v>
      </c>
      <c r="H170" s="517" t="s">
        <v>6425</v>
      </c>
    </row>
    <row r="171" spans="2:8" ht="15" x14ac:dyDescent="0.35">
      <c r="B171" s="544" t="s">
        <v>6263</v>
      </c>
      <c r="C171" s="517" t="s">
        <v>6355</v>
      </c>
      <c r="D171" s="518">
        <v>6158</v>
      </c>
      <c r="E171" s="517" t="s">
        <v>3210</v>
      </c>
      <c r="F171" s="518" t="s">
        <v>26</v>
      </c>
      <c r="G171" s="519">
        <v>132681</v>
      </c>
      <c r="H171" s="517" t="s">
        <v>6425</v>
      </c>
    </row>
    <row r="172" spans="2:8" ht="15" x14ac:dyDescent="0.35">
      <c r="B172" s="544" t="s">
        <v>6263</v>
      </c>
      <c r="C172" s="517" t="s">
        <v>6355</v>
      </c>
      <c r="D172" s="518">
        <v>6159</v>
      </c>
      <c r="E172" s="517" t="s">
        <v>3211</v>
      </c>
      <c r="F172" s="518" t="s">
        <v>26</v>
      </c>
      <c r="G172" s="519">
        <v>169311</v>
      </c>
      <c r="H172" s="517" t="s">
        <v>6425</v>
      </c>
    </row>
    <row r="173" spans="2:8" ht="15" x14ac:dyDescent="0.35">
      <c r="B173" s="544" t="s">
        <v>6263</v>
      </c>
      <c r="C173" s="517" t="s">
        <v>6355</v>
      </c>
      <c r="D173" s="518">
        <v>6160</v>
      </c>
      <c r="E173" s="517" t="s">
        <v>3212</v>
      </c>
      <c r="F173" s="518" t="s">
        <v>26</v>
      </c>
      <c r="G173" s="519">
        <v>224688</v>
      </c>
      <c r="H173" s="517" t="s">
        <v>6425</v>
      </c>
    </row>
    <row r="174" spans="2:8" ht="15" x14ac:dyDescent="0.35">
      <c r="B174" s="544" t="s">
        <v>6263</v>
      </c>
      <c r="C174" s="517" t="s">
        <v>6355</v>
      </c>
      <c r="D174" s="518">
        <v>6161</v>
      </c>
      <c r="E174" s="517" t="s">
        <v>3213</v>
      </c>
      <c r="F174" s="518" t="s">
        <v>26</v>
      </c>
      <c r="G174" s="519">
        <v>292178</v>
      </c>
      <c r="H174" s="517" t="s">
        <v>6425</v>
      </c>
    </row>
    <row r="175" spans="2:8" ht="15" x14ac:dyDescent="0.35">
      <c r="B175" s="544" t="s">
        <v>6263</v>
      </c>
      <c r="C175" s="517" t="s">
        <v>6355</v>
      </c>
      <c r="D175" s="518">
        <v>6162</v>
      </c>
      <c r="E175" s="517" t="s">
        <v>3214</v>
      </c>
      <c r="F175" s="518" t="s">
        <v>26</v>
      </c>
      <c r="G175" s="519">
        <v>393530</v>
      </c>
      <c r="H175" s="517" t="s">
        <v>6425</v>
      </c>
    </row>
    <row r="176" spans="2:8" ht="15" x14ac:dyDescent="0.35">
      <c r="B176" s="544" t="s">
        <v>6263</v>
      </c>
      <c r="C176" s="517" t="s">
        <v>6355</v>
      </c>
      <c r="D176" s="518">
        <v>6163</v>
      </c>
      <c r="E176" s="517" t="s">
        <v>3215</v>
      </c>
      <c r="F176" s="518" t="s">
        <v>26</v>
      </c>
      <c r="G176" s="519">
        <v>471267</v>
      </c>
      <c r="H176" s="517" t="s">
        <v>6425</v>
      </c>
    </row>
    <row r="177" spans="2:8" ht="15" x14ac:dyDescent="0.35">
      <c r="B177" s="544" t="s">
        <v>6263</v>
      </c>
      <c r="C177" s="517" t="s">
        <v>6355</v>
      </c>
      <c r="D177" s="518">
        <v>6164</v>
      </c>
      <c r="E177" s="517" t="s">
        <v>3216</v>
      </c>
      <c r="F177" s="518" t="s">
        <v>26</v>
      </c>
      <c r="G177" s="519">
        <v>677770</v>
      </c>
      <c r="H177" s="517" t="s">
        <v>6425</v>
      </c>
    </row>
    <row r="178" spans="2:8" ht="15" x14ac:dyDescent="0.35">
      <c r="B178" s="544" t="s">
        <v>6263</v>
      </c>
      <c r="C178" s="517" t="s">
        <v>6355</v>
      </c>
      <c r="D178" s="518">
        <v>6165</v>
      </c>
      <c r="E178" s="517" t="s">
        <v>3217</v>
      </c>
      <c r="F178" s="518" t="s">
        <v>26</v>
      </c>
      <c r="G178" s="519">
        <v>738945</v>
      </c>
      <c r="H178" s="517" t="s">
        <v>6425</v>
      </c>
    </row>
    <row r="179" spans="2:8" ht="15" x14ac:dyDescent="0.35">
      <c r="B179" s="544" t="s">
        <v>6263</v>
      </c>
      <c r="C179" s="517" t="s">
        <v>6355</v>
      </c>
      <c r="D179" s="518">
        <v>6166</v>
      </c>
      <c r="E179" s="517" t="s">
        <v>3218</v>
      </c>
      <c r="F179" s="518" t="s">
        <v>26</v>
      </c>
      <c r="G179" s="519">
        <v>902144</v>
      </c>
      <c r="H179" s="517" t="s">
        <v>6425</v>
      </c>
    </row>
    <row r="180" spans="2:8" ht="15" x14ac:dyDescent="0.35">
      <c r="B180" s="544" t="s">
        <v>6263</v>
      </c>
      <c r="C180" s="517" t="s">
        <v>6355</v>
      </c>
      <c r="D180" s="518">
        <v>6167</v>
      </c>
      <c r="E180" s="517" t="s">
        <v>3219</v>
      </c>
      <c r="F180" s="518" t="s">
        <v>26</v>
      </c>
      <c r="G180" s="519">
        <v>1126691</v>
      </c>
      <c r="H180" s="517" t="s">
        <v>6425</v>
      </c>
    </row>
    <row r="181" spans="2:8" ht="15" x14ac:dyDescent="0.35">
      <c r="B181" s="544" t="s">
        <v>6263</v>
      </c>
      <c r="C181" s="517" t="s">
        <v>6355</v>
      </c>
      <c r="D181" s="518">
        <v>6168</v>
      </c>
      <c r="E181" s="517" t="s">
        <v>3220</v>
      </c>
      <c r="F181" s="518" t="s">
        <v>26</v>
      </c>
      <c r="G181" s="519">
        <v>1417338</v>
      </c>
      <c r="H181" s="517" t="s">
        <v>6425</v>
      </c>
    </row>
    <row r="182" spans="2:8" ht="15" x14ac:dyDescent="0.35">
      <c r="B182" s="544" t="s">
        <v>6263</v>
      </c>
      <c r="C182" s="517" t="s">
        <v>6355</v>
      </c>
      <c r="D182" s="518">
        <v>6169</v>
      </c>
      <c r="E182" s="517" t="s">
        <v>3221</v>
      </c>
      <c r="F182" s="518" t="s">
        <v>26</v>
      </c>
      <c r="G182" s="519">
        <v>1772836</v>
      </c>
      <c r="H182" s="517" t="s">
        <v>6425</v>
      </c>
    </row>
    <row r="183" spans="2:8" ht="15" x14ac:dyDescent="0.35">
      <c r="B183" s="544" t="s">
        <v>6263</v>
      </c>
      <c r="C183" s="517" t="s">
        <v>6355</v>
      </c>
      <c r="D183" s="518">
        <v>6170</v>
      </c>
      <c r="E183" s="517" t="s">
        <v>3222</v>
      </c>
      <c r="F183" s="518" t="s">
        <v>26</v>
      </c>
      <c r="G183" s="519">
        <v>1994913</v>
      </c>
      <c r="H183" s="517" t="s">
        <v>6425</v>
      </c>
    </row>
    <row r="184" spans="2:8" ht="15" x14ac:dyDescent="0.35">
      <c r="B184" s="544" t="s">
        <v>6263</v>
      </c>
      <c r="C184" s="517" t="s">
        <v>6355</v>
      </c>
      <c r="D184" s="518">
        <v>6171</v>
      </c>
      <c r="E184" s="517" t="s">
        <v>3223</v>
      </c>
      <c r="F184" s="518" t="s">
        <v>26</v>
      </c>
      <c r="G184" s="519">
        <v>2327567</v>
      </c>
      <c r="H184" s="517" t="s">
        <v>6425</v>
      </c>
    </row>
    <row r="185" spans="2:8" ht="15" x14ac:dyDescent="0.35">
      <c r="B185" s="544" t="s">
        <v>6263</v>
      </c>
      <c r="C185" s="517" t="s">
        <v>6355</v>
      </c>
      <c r="D185" s="518">
        <v>6172</v>
      </c>
      <c r="E185" s="517" t="s">
        <v>3224</v>
      </c>
      <c r="F185" s="518" t="s">
        <v>26</v>
      </c>
      <c r="G185" s="519">
        <v>2577285</v>
      </c>
      <c r="H185" s="517" t="s">
        <v>6425</v>
      </c>
    </row>
    <row r="186" spans="2:8" ht="15" x14ac:dyDescent="0.35">
      <c r="B186" s="544" t="s">
        <v>6263</v>
      </c>
      <c r="C186" s="517" t="s">
        <v>6355</v>
      </c>
      <c r="D186" s="518">
        <v>6173</v>
      </c>
      <c r="E186" s="517" t="s">
        <v>3225</v>
      </c>
      <c r="F186" s="518" t="s">
        <v>26</v>
      </c>
      <c r="G186" s="519">
        <v>2893384</v>
      </c>
      <c r="H186" s="517" t="s">
        <v>6425</v>
      </c>
    </row>
    <row r="187" spans="2:8" ht="15" x14ac:dyDescent="0.35">
      <c r="B187" s="544" t="s">
        <v>6263</v>
      </c>
      <c r="C187" s="517" t="s">
        <v>6355</v>
      </c>
      <c r="D187" s="518">
        <v>6174</v>
      </c>
      <c r="E187" s="517" t="s">
        <v>3226</v>
      </c>
      <c r="F187" s="518" t="s">
        <v>26</v>
      </c>
      <c r="G187" s="519">
        <v>3213691</v>
      </c>
      <c r="H187" s="517" t="s">
        <v>6425</v>
      </c>
    </row>
    <row r="188" spans="2:8" ht="15" x14ac:dyDescent="0.35">
      <c r="B188" s="544" t="s">
        <v>6263</v>
      </c>
      <c r="C188" s="517" t="s">
        <v>6355</v>
      </c>
      <c r="D188" s="518">
        <v>6175</v>
      </c>
      <c r="E188" s="517" t="s">
        <v>3227</v>
      </c>
      <c r="F188" s="518" t="s">
        <v>26</v>
      </c>
      <c r="G188" s="519">
        <v>3636087</v>
      </c>
      <c r="H188" s="517" t="s">
        <v>6425</v>
      </c>
    </row>
    <row r="189" spans="2:8" ht="15" x14ac:dyDescent="0.35">
      <c r="B189" s="544" t="s">
        <v>6263</v>
      </c>
      <c r="C189" s="517" t="s">
        <v>6355</v>
      </c>
      <c r="D189" s="518">
        <v>6176</v>
      </c>
      <c r="E189" s="517" t="s">
        <v>3228</v>
      </c>
      <c r="F189" s="518" t="s">
        <v>26</v>
      </c>
      <c r="G189" s="519">
        <v>4109880</v>
      </c>
      <c r="H189" s="517" t="s">
        <v>6425</v>
      </c>
    </row>
    <row r="190" spans="2:8" ht="15" x14ac:dyDescent="0.35">
      <c r="B190" s="544" t="s">
        <v>6263</v>
      </c>
      <c r="C190" s="517" t="s">
        <v>6355</v>
      </c>
      <c r="D190" s="518">
        <v>6177</v>
      </c>
      <c r="E190" s="517" t="s">
        <v>3229</v>
      </c>
      <c r="F190" s="518" t="s">
        <v>26</v>
      </c>
      <c r="G190" s="519">
        <v>4636694</v>
      </c>
      <c r="H190" s="517" t="s">
        <v>6425</v>
      </c>
    </row>
    <row r="191" spans="2:8" ht="15" x14ac:dyDescent="0.35">
      <c r="B191" s="544" t="s">
        <v>6263</v>
      </c>
      <c r="C191" s="517" t="s">
        <v>6355</v>
      </c>
      <c r="D191" s="518">
        <v>6178</v>
      </c>
      <c r="E191" s="517" t="s">
        <v>3230</v>
      </c>
      <c r="F191" s="518" t="s">
        <v>26</v>
      </c>
      <c r="G191" s="519">
        <v>5828518</v>
      </c>
      <c r="H191" s="517" t="s">
        <v>6425</v>
      </c>
    </row>
    <row r="192" spans="2:8" ht="15" x14ac:dyDescent="0.35">
      <c r="B192" s="544" t="s">
        <v>6263</v>
      </c>
      <c r="C192" s="517" t="s">
        <v>6355</v>
      </c>
      <c r="D192" s="518">
        <v>6179</v>
      </c>
      <c r="E192" s="517" t="s">
        <v>3231</v>
      </c>
      <c r="F192" s="518" t="s">
        <v>26</v>
      </c>
      <c r="G192" s="519">
        <v>6577314</v>
      </c>
      <c r="H192" s="517" t="s">
        <v>6425</v>
      </c>
    </row>
    <row r="193" spans="2:8" ht="15" x14ac:dyDescent="0.35">
      <c r="B193" s="544" t="s">
        <v>6263</v>
      </c>
      <c r="C193" s="517" t="s">
        <v>6355</v>
      </c>
      <c r="D193" s="518">
        <v>6180</v>
      </c>
      <c r="E193" s="517" t="s">
        <v>3232</v>
      </c>
      <c r="F193" s="518" t="s">
        <v>26</v>
      </c>
      <c r="G193" s="519">
        <v>7402208</v>
      </c>
      <c r="H193" s="517" t="s">
        <v>6425</v>
      </c>
    </row>
    <row r="194" spans="2:8" ht="15" x14ac:dyDescent="0.35">
      <c r="B194" s="544" t="s">
        <v>6263</v>
      </c>
      <c r="C194" s="517" t="s">
        <v>6355</v>
      </c>
      <c r="D194" s="518">
        <v>6181</v>
      </c>
      <c r="E194" s="517" t="s">
        <v>3233</v>
      </c>
      <c r="F194" s="518" t="s">
        <v>26</v>
      </c>
      <c r="G194" s="519">
        <v>738945</v>
      </c>
      <c r="H194" s="517" t="s">
        <v>6425</v>
      </c>
    </row>
    <row r="195" spans="2:8" ht="15" x14ac:dyDescent="0.35">
      <c r="B195" s="544" t="s">
        <v>6263</v>
      </c>
      <c r="C195" s="517" t="s">
        <v>6355</v>
      </c>
      <c r="D195" s="518">
        <v>6182</v>
      </c>
      <c r="E195" s="517" t="s">
        <v>3234</v>
      </c>
      <c r="F195" s="518" t="s">
        <v>26</v>
      </c>
      <c r="G195" s="519">
        <v>928371</v>
      </c>
      <c r="H195" s="517" t="s">
        <v>6425</v>
      </c>
    </row>
    <row r="196" spans="2:8" ht="15" x14ac:dyDescent="0.35">
      <c r="B196" s="544" t="s">
        <v>6263</v>
      </c>
      <c r="C196" s="517" t="s">
        <v>6355</v>
      </c>
      <c r="D196" s="518">
        <v>6183</v>
      </c>
      <c r="E196" s="517" t="s">
        <v>3235</v>
      </c>
      <c r="F196" s="518" t="s">
        <v>26</v>
      </c>
      <c r="G196" s="519">
        <v>1159154</v>
      </c>
      <c r="H196" s="517" t="s">
        <v>6425</v>
      </c>
    </row>
    <row r="197" spans="2:8" ht="15" x14ac:dyDescent="0.35">
      <c r="B197" s="544" t="s">
        <v>6263</v>
      </c>
      <c r="C197" s="517" t="s">
        <v>6355</v>
      </c>
      <c r="D197" s="518">
        <v>6184</v>
      </c>
      <c r="E197" s="517" t="s">
        <v>3236</v>
      </c>
      <c r="F197" s="518" t="s">
        <v>26</v>
      </c>
      <c r="G197" s="519">
        <v>1453800</v>
      </c>
      <c r="H197" s="517" t="s">
        <v>6425</v>
      </c>
    </row>
    <row r="198" spans="2:8" ht="15" x14ac:dyDescent="0.35">
      <c r="B198" s="544" t="s">
        <v>6263</v>
      </c>
      <c r="C198" s="517" t="s">
        <v>6355</v>
      </c>
      <c r="D198" s="518">
        <v>6185</v>
      </c>
      <c r="E198" s="517" t="s">
        <v>3237</v>
      </c>
      <c r="F198" s="518" t="s">
        <v>26</v>
      </c>
      <c r="G198" s="519">
        <v>1819293</v>
      </c>
      <c r="H198" s="517" t="s">
        <v>6425</v>
      </c>
    </row>
    <row r="199" spans="2:8" ht="15" x14ac:dyDescent="0.35">
      <c r="B199" s="544" t="s">
        <v>6263</v>
      </c>
      <c r="C199" s="517" t="s">
        <v>6355</v>
      </c>
      <c r="D199" s="518">
        <v>6188</v>
      </c>
      <c r="E199" s="517" t="s">
        <v>3238</v>
      </c>
      <c r="F199" s="518" t="s">
        <v>26</v>
      </c>
      <c r="G199" s="519">
        <v>2037467</v>
      </c>
      <c r="H199" s="517" t="s">
        <v>6425</v>
      </c>
    </row>
    <row r="200" spans="2:8" ht="15" x14ac:dyDescent="0.35">
      <c r="B200" s="544" t="s">
        <v>6263</v>
      </c>
      <c r="C200" s="517" t="s">
        <v>6355</v>
      </c>
      <c r="D200" s="518">
        <v>6189</v>
      </c>
      <c r="E200" s="517" t="s">
        <v>3239</v>
      </c>
      <c r="F200" s="518" t="s">
        <v>26</v>
      </c>
      <c r="G200" s="519">
        <v>2388257</v>
      </c>
      <c r="H200" s="517" t="s">
        <v>6425</v>
      </c>
    </row>
    <row r="201" spans="2:8" ht="15" x14ac:dyDescent="0.35">
      <c r="B201" s="544" t="s">
        <v>6263</v>
      </c>
      <c r="C201" s="517" t="s">
        <v>6355</v>
      </c>
      <c r="D201" s="518">
        <v>6190</v>
      </c>
      <c r="E201" s="517" t="s">
        <v>3240</v>
      </c>
      <c r="F201" s="518" t="s">
        <v>26</v>
      </c>
      <c r="G201" s="519">
        <v>2650066</v>
      </c>
      <c r="H201" s="517" t="s">
        <v>6425</v>
      </c>
    </row>
    <row r="202" spans="2:8" ht="15" x14ac:dyDescent="0.35">
      <c r="B202" s="544" t="s">
        <v>6263</v>
      </c>
      <c r="C202" s="517" t="s">
        <v>6355</v>
      </c>
      <c r="D202" s="518">
        <v>6191</v>
      </c>
      <c r="E202" s="517" t="s">
        <v>3241</v>
      </c>
      <c r="F202" s="518" t="s">
        <v>26</v>
      </c>
      <c r="G202" s="519">
        <v>2935986</v>
      </c>
      <c r="H202" s="517" t="s">
        <v>6425</v>
      </c>
    </row>
    <row r="203" spans="2:8" ht="15" x14ac:dyDescent="0.35">
      <c r="B203" s="544" t="s">
        <v>6263</v>
      </c>
      <c r="C203" s="517" t="s">
        <v>6355</v>
      </c>
      <c r="D203" s="518">
        <v>6192</v>
      </c>
      <c r="E203" s="517" t="s">
        <v>3242</v>
      </c>
      <c r="F203" s="518" t="s">
        <v>26</v>
      </c>
      <c r="G203" s="519">
        <v>3280521</v>
      </c>
      <c r="H203" s="517" t="s">
        <v>6425</v>
      </c>
    </row>
    <row r="204" spans="2:8" ht="15" x14ac:dyDescent="0.35">
      <c r="B204" s="544" t="s">
        <v>6263</v>
      </c>
      <c r="C204" s="517" t="s">
        <v>6355</v>
      </c>
      <c r="D204" s="518">
        <v>6193</v>
      </c>
      <c r="E204" s="517" t="s">
        <v>3243</v>
      </c>
      <c r="F204" s="518" t="s">
        <v>26</v>
      </c>
      <c r="G204" s="519">
        <v>3729050</v>
      </c>
      <c r="H204" s="517" t="s">
        <v>6425</v>
      </c>
    </row>
    <row r="205" spans="2:8" ht="15" x14ac:dyDescent="0.35">
      <c r="B205" s="544" t="s">
        <v>6263</v>
      </c>
      <c r="C205" s="517" t="s">
        <v>6355</v>
      </c>
      <c r="D205" s="518">
        <v>6194</v>
      </c>
      <c r="E205" s="517" t="s">
        <v>3244</v>
      </c>
      <c r="F205" s="518" t="s">
        <v>26</v>
      </c>
      <c r="G205" s="519">
        <v>4214980</v>
      </c>
      <c r="H205" s="517" t="s">
        <v>6425</v>
      </c>
    </row>
    <row r="206" spans="2:8" ht="15" x14ac:dyDescent="0.35">
      <c r="B206" s="544" t="s">
        <v>6263</v>
      </c>
      <c r="C206" s="517" t="s">
        <v>6355</v>
      </c>
      <c r="D206" s="518">
        <v>6195</v>
      </c>
      <c r="E206" s="517" t="s">
        <v>3245</v>
      </c>
      <c r="F206" s="518" t="s">
        <v>26</v>
      </c>
      <c r="G206" s="519">
        <v>4658828</v>
      </c>
      <c r="H206" s="517" t="s">
        <v>6425</v>
      </c>
    </row>
    <row r="207" spans="2:8" ht="15" x14ac:dyDescent="0.35">
      <c r="B207" s="544" t="s">
        <v>6263</v>
      </c>
      <c r="C207" s="517" t="s">
        <v>6355</v>
      </c>
      <c r="D207" s="518">
        <v>6196</v>
      </c>
      <c r="E207" s="517" t="s">
        <v>3246</v>
      </c>
      <c r="F207" s="518" t="s">
        <v>26</v>
      </c>
      <c r="G207" s="519">
        <v>5856793</v>
      </c>
      <c r="H207" s="517" t="s">
        <v>6425</v>
      </c>
    </row>
    <row r="208" spans="2:8" ht="15" x14ac:dyDescent="0.35">
      <c r="B208" s="544" t="s">
        <v>6263</v>
      </c>
      <c r="C208" s="517" t="s">
        <v>6355</v>
      </c>
      <c r="D208" s="518">
        <v>6197</v>
      </c>
      <c r="E208" s="517" t="s">
        <v>3247</v>
      </c>
      <c r="F208" s="518" t="s">
        <v>26</v>
      </c>
      <c r="G208" s="519">
        <v>6686556</v>
      </c>
      <c r="H208" s="517" t="s">
        <v>6425</v>
      </c>
    </row>
    <row r="209" spans="2:8" ht="15" x14ac:dyDescent="0.35">
      <c r="B209" s="544" t="s">
        <v>6263</v>
      </c>
      <c r="C209" s="517" t="s">
        <v>6355</v>
      </c>
      <c r="D209" s="518">
        <v>6198</v>
      </c>
      <c r="E209" s="517" t="s">
        <v>3248</v>
      </c>
      <c r="F209" s="518" t="s">
        <v>26</v>
      </c>
      <c r="G209" s="519">
        <v>7523684</v>
      </c>
      <c r="H209" s="517" t="s">
        <v>6425</v>
      </c>
    </row>
    <row r="210" spans="2:8" ht="15" x14ac:dyDescent="0.35">
      <c r="B210" s="544" t="s">
        <v>6263</v>
      </c>
      <c r="C210" s="517" t="s">
        <v>6355</v>
      </c>
      <c r="D210" s="518">
        <v>6199</v>
      </c>
      <c r="E210" s="517" t="s">
        <v>3249</v>
      </c>
      <c r="F210" s="518" t="s">
        <v>26</v>
      </c>
      <c r="G210" s="519">
        <v>738945</v>
      </c>
      <c r="H210" s="517" t="s">
        <v>6425</v>
      </c>
    </row>
    <row r="211" spans="2:8" ht="15" x14ac:dyDescent="0.35">
      <c r="B211" s="544" t="s">
        <v>6263</v>
      </c>
      <c r="C211" s="517" t="s">
        <v>6355</v>
      </c>
      <c r="D211" s="518">
        <v>6200</v>
      </c>
      <c r="E211" s="517" t="s">
        <v>3250</v>
      </c>
      <c r="F211" s="518" t="s">
        <v>26</v>
      </c>
      <c r="G211" s="519">
        <v>983206</v>
      </c>
      <c r="H211" s="517" t="s">
        <v>6425</v>
      </c>
    </row>
    <row r="212" spans="2:8" ht="15" x14ac:dyDescent="0.35">
      <c r="B212" s="544" t="s">
        <v>6263</v>
      </c>
      <c r="C212" s="517" t="s">
        <v>6355</v>
      </c>
      <c r="D212" s="518">
        <v>6201</v>
      </c>
      <c r="E212" s="517" t="s">
        <v>3251</v>
      </c>
      <c r="F212" s="518" t="s">
        <v>26</v>
      </c>
      <c r="G212" s="519">
        <v>1225890</v>
      </c>
      <c r="H212" s="517" t="s">
        <v>6425</v>
      </c>
    </row>
    <row r="213" spans="2:8" ht="15" x14ac:dyDescent="0.35">
      <c r="B213" s="544" t="s">
        <v>6263</v>
      </c>
      <c r="C213" s="517" t="s">
        <v>6355</v>
      </c>
      <c r="D213" s="518">
        <v>6202</v>
      </c>
      <c r="E213" s="517" t="s">
        <v>3252</v>
      </c>
      <c r="F213" s="518" t="s">
        <v>26</v>
      </c>
      <c r="G213" s="519">
        <v>1536767</v>
      </c>
      <c r="H213" s="517" t="s">
        <v>6425</v>
      </c>
    </row>
    <row r="214" spans="2:8" ht="15" x14ac:dyDescent="0.35">
      <c r="B214" s="544" t="s">
        <v>6263</v>
      </c>
      <c r="C214" s="517" t="s">
        <v>6355</v>
      </c>
      <c r="D214" s="518">
        <v>6203</v>
      </c>
      <c r="E214" s="517" t="s">
        <v>3253</v>
      </c>
      <c r="F214" s="518" t="s">
        <v>26</v>
      </c>
      <c r="G214" s="519">
        <v>1926441</v>
      </c>
      <c r="H214" s="517" t="s">
        <v>6425</v>
      </c>
    </row>
    <row r="215" spans="2:8" ht="15" x14ac:dyDescent="0.35">
      <c r="B215" s="544" t="s">
        <v>6263</v>
      </c>
      <c r="C215" s="517" t="s">
        <v>6355</v>
      </c>
      <c r="D215" s="518">
        <v>6204</v>
      </c>
      <c r="E215" s="517" t="s">
        <v>3254</v>
      </c>
      <c r="F215" s="518" t="s">
        <v>26</v>
      </c>
      <c r="G215" s="519">
        <v>2154516</v>
      </c>
      <c r="H215" s="517" t="s">
        <v>6425</v>
      </c>
    </row>
    <row r="216" spans="2:8" ht="15" x14ac:dyDescent="0.35">
      <c r="B216" s="544" t="s">
        <v>6263</v>
      </c>
      <c r="C216" s="517" t="s">
        <v>6355</v>
      </c>
      <c r="D216" s="518">
        <v>6205</v>
      </c>
      <c r="E216" s="517" t="s">
        <v>3255</v>
      </c>
      <c r="F216" s="518" t="s">
        <v>26</v>
      </c>
      <c r="G216" s="519">
        <v>2527963</v>
      </c>
      <c r="H216" s="517" t="s">
        <v>6425</v>
      </c>
    </row>
    <row r="217" spans="2:8" ht="15" x14ac:dyDescent="0.35">
      <c r="B217" s="544" t="s">
        <v>6263</v>
      </c>
      <c r="C217" s="517" t="s">
        <v>6355</v>
      </c>
      <c r="D217" s="518">
        <v>6206</v>
      </c>
      <c r="E217" s="517" t="s">
        <v>3256</v>
      </c>
      <c r="F217" s="518" t="s">
        <v>26</v>
      </c>
      <c r="G217" s="519">
        <v>2803909</v>
      </c>
      <c r="H217" s="517" t="s">
        <v>6425</v>
      </c>
    </row>
    <row r="218" spans="2:8" ht="15" x14ac:dyDescent="0.35">
      <c r="B218" s="544" t="s">
        <v>6263</v>
      </c>
      <c r="C218" s="517" t="s">
        <v>6355</v>
      </c>
      <c r="D218" s="518">
        <v>6207</v>
      </c>
      <c r="E218" s="517" t="s">
        <v>3257</v>
      </c>
      <c r="F218" s="518" t="s">
        <v>26</v>
      </c>
      <c r="G218" s="519">
        <v>3101872</v>
      </c>
      <c r="H218" s="517" t="s">
        <v>6425</v>
      </c>
    </row>
    <row r="219" spans="2:8" ht="15" x14ac:dyDescent="0.35">
      <c r="B219" s="544" t="s">
        <v>6263</v>
      </c>
      <c r="C219" s="517" t="s">
        <v>6355</v>
      </c>
      <c r="D219" s="518">
        <v>6208</v>
      </c>
      <c r="E219" s="517" t="s">
        <v>3258</v>
      </c>
      <c r="F219" s="518" t="s">
        <v>26</v>
      </c>
      <c r="G219" s="519">
        <v>3699258</v>
      </c>
      <c r="H219" s="517" t="s">
        <v>6425</v>
      </c>
    </row>
    <row r="220" spans="2:8" ht="15" x14ac:dyDescent="0.35">
      <c r="B220" s="544" t="s">
        <v>6263</v>
      </c>
      <c r="C220" s="517" t="s">
        <v>6355</v>
      </c>
      <c r="D220" s="518">
        <v>6209</v>
      </c>
      <c r="E220" s="517" t="s">
        <v>3259</v>
      </c>
      <c r="F220" s="518" t="s">
        <v>26</v>
      </c>
      <c r="G220" s="519">
        <v>3896935</v>
      </c>
      <c r="H220" s="517" t="s">
        <v>6425</v>
      </c>
    </row>
    <row r="221" spans="2:8" ht="15" x14ac:dyDescent="0.35">
      <c r="B221" s="544" t="s">
        <v>6263</v>
      </c>
      <c r="C221" s="517" t="s">
        <v>6355</v>
      </c>
      <c r="D221" s="518">
        <v>6210</v>
      </c>
      <c r="E221" s="517" t="s">
        <v>3260</v>
      </c>
      <c r="F221" s="518" t="s">
        <v>26</v>
      </c>
      <c r="G221" s="519">
        <v>4407189</v>
      </c>
      <c r="H221" s="517" t="s">
        <v>6425</v>
      </c>
    </row>
    <row r="222" spans="2:8" ht="15" x14ac:dyDescent="0.35">
      <c r="B222" s="544" t="s">
        <v>6263</v>
      </c>
      <c r="C222" s="517" t="s">
        <v>6355</v>
      </c>
      <c r="D222" s="518">
        <v>6211</v>
      </c>
      <c r="E222" s="517" t="s">
        <v>3261</v>
      </c>
      <c r="F222" s="518" t="s">
        <v>26</v>
      </c>
      <c r="G222" s="519">
        <v>5146442</v>
      </c>
      <c r="H222" s="517" t="s">
        <v>6425</v>
      </c>
    </row>
    <row r="223" spans="2:8" ht="15" x14ac:dyDescent="0.35">
      <c r="B223" s="544" t="s">
        <v>6263</v>
      </c>
      <c r="C223" s="517" t="s">
        <v>6355</v>
      </c>
      <c r="D223" s="518">
        <v>6212</v>
      </c>
      <c r="E223" s="517" t="s">
        <v>3262</v>
      </c>
      <c r="F223" s="518" t="s">
        <v>26</v>
      </c>
      <c r="G223" s="519">
        <v>6113690</v>
      </c>
      <c r="H223" s="517" t="s">
        <v>6425</v>
      </c>
    </row>
    <row r="224" spans="2:8" ht="15" x14ac:dyDescent="0.35">
      <c r="B224" s="544" t="s">
        <v>6263</v>
      </c>
      <c r="C224" s="517" t="s">
        <v>6355</v>
      </c>
      <c r="D224" s="518">
        <v>6213</v>
      </c>
      <c r="E224" s="517" t="s">
        <v>3263</v>
      </c>
      <c r="F224" s="518" t="s">
        <v>26</v>
      </c>
      <c r="G224" s="519">
        <v>6862534</v>
      </c>
      <c r="H224" s="517" t="s">
        <v>6425</v>
      </c>
    </row>
    <row r="225" spans="2:8" ht="15" x14ac:dyDescent="0.35">
      <c r="B225" s="544" t="s">
        <v>6263</v>
      </c>
      <c r="C225" s="517" t="s">
        <v>6355</v>
      </c>
      <c r="D225" s="518">
        <v>6214</v>
      </c>
      <c r="E225" s="517" t="s">
        <v>3264</v>
      </c>
      <c r="F225" s="518" t="s">
        <v>26</v>
      </c>
      <c r="G225" s="519">
        <v>7655107</v>
      </c>
      <c r="H225" s="517" t="s">
        <v>6425</v>
      </c>
    </row>
    <row r="226" spans="2:8" ht="15" x14ac:dyDescent="0.35">
      <c r="B226" s="544" t="s">
        <v>6263</v>
      </c>
      <c r="C226" s="517" t="s">
        <v>6355</v>
      </c>
      <c r="D226" s="518">
        <v>6215</v>
      </c>
      <c r="E226" s="517" t="s">
        <v>3265</v>
      </c>
      <c r="F226" s="518" t="s">
        <v>26</v>
      </c>
      <c r="G226" s="519">
        <v>838048</v>
      </c>
      <c r="H226" s="517" t="s">
        <v>6425</v>
      </c>
    </row>
    <row r="227" spans="2:8" ht="15" x14ac:dyDescent="0.35">
      <c r="B227" s="544" t="s">
        <v>6263</v>
      </c>
      <c r="C227" s="517" t="s">
        <v>6355</v>
      </c>
      <c r="D227" s="518">
        <v>6216</v>
      </c>
      <c r="E227" s="517" t="s">
        <v>3266</v>
      </c>
      <c r="F227" s="518" t="s">
        <v>26</v>
      </c>
      <c r="G227" s="519">
        <v>1118533</v>
      </c>
      <c r="H227" s="517" t="s">
        <v>6425</v>
      </c>
    </row>
    <row r="228" spans="2:8" ht="15" x14ac:dyDescent="0.35">
      <c r="B228" s="544" t="s">
        <v>6263</v>
      </c>
      <c r="C228" s="517" t="s">
        <v>6355</v>
      </c>
      <c r="D228" s="518">
        <v>6217</v>
      </c>
      <c r="E228" s="517" t="s">
        <v>3267</v>
      </c>
      <c r="F228" s="518" t="s">
        <v>26</v>
      </c>
      <c r="G228" s="519">
        <v>1401724</v>
      </c>
      <c r="H228" s="517" t="s">
        <v>6425</v>
      </c>
    </row>
    <row r="229" spans="2:8" ht="15" x14ac:dyDescent="0.35">
      <c r="B229" s="544" t="s">
        <v>6263</v>
      </c>
      <c r="C229" s="517" t="s">
        <v>6355</v>
      </c>
      <c r="D229" s="518">
        <v>6218</v>
      </c>
      <c r="E229" s="517" t="s">
        <v>3268</v>
      </c>
      <c r="F229" s="518" t="s">
        <v>26</v>
      </c>
      <c r="G229" s="519">
        <v>1757012</v>
      </c>
      <c r="H229" s="517" t="s">
        <v>6425</v>
      </c>
    </row>
    <row r="230" spans="2:8" ht="15" x14ac:dyDescent="0.35">
      <c r="B230" s="544" t="s">
        <v>6263</v>
      </c>
      <c r="C230" s="517" t="s">
        <v>6355</v>
      </c>
      <c r="D230" s="518">
        <v>6219</v>
      </c>
      <c r="E230" s="517" t="s">
        <v>3269</v>
      </c>
      <c r="F230" s="518" t="s">
        <v>26</v>
      </c>
      <c r="G230" s="519">
        <v>2199617</v>
      </c>
      <c r="H230" s="517" t="s">
        <v>6425</v>
      </c>
    </row>
    <row r="231" spans="2:8" ht="15" x14ac:dyDescent="0.35">
      <c r="B231" s="544" t="s">
        <v>6263</v>
      </c>
      <c r="C231" s="517" t="s">
        <v>6355</v>
      </c>
      <c r="D231" s="518">
        <v>6220</v>
      </c>
      <c r="E231" s="517" t="s">
        <v>3270</v>
      </c>
      <c r="F231" s="518" t="s">
        <v>26</v>
      </c>
      <c r="G231" s="519">
        <v>2462107</v>
      </c>
      <c r="H231" s="517" t="s">
        <v>6425</v>
      </c>
    </row>
    <row r="232" spans="2:8" ht="15" x14ac:dyDescent="0.35">
      <c r="B232" s="544" t="s">
        <v>6263</v>
      </c>
      <c r="C232" s="517" t="s">
        <v>6355</v>
      </c>
      <c r="D232" s="518">
        <v>6221</v>
      </c>
      <c r="E232" s="517" t="s">
        <v>3271</v>
      </c>
      <c r="F232" s="518" t="s">
        <v>26</v>
      </c>
      <c r="G232" s="519">
        <v>2888247</v>
      </c>
      <c r="H232" s="517" t="s">
        <v>6425</v>
      </c>
    </row>
    <row r="233" spans="2:8" ht="15" x14ac:dyDescent="0.35">
      <c r="B233" s="544" t="s">
        <v>6263</v>
      </c>
      <c r="C233" s="517" t="s">
        <v>6355</v>
      </c>
      <c r="D233" s="518">
        <v>6222</v>
      </c>
      <c r="E233" s="517" t="s">
        <v>3272</v>
      </c>
      <c r="F233" s="518" t="s">
        <v>26</v>
      </c>
      <c r="G233" s="519">
        <v>3228644</v>
      </c>
      <c r="H233" s="517" t="s">
        <v>6425</v>
      </c>
    </row>
    <row r="234" spans="2:8" ht="15" x14ac:dyDescent="0.35">
      <c r="B234" s="544" t="s">
        <v>6263</v>
      </c>
      <c r="C234" s="517" t="s">
        <v>6355</v>
      </c>
      <c r="D234" s="518">
        <v>6223</v>
      </c>
      <c r="E234" s="517" t="s">
        <v>3273</v>
      </c>
      <c r="F234" s="518" t="s">
        <v>26</v>
      </c>
      <c r="G234" s="519">
        <v>3421411</v>
      </c>
      <c r="H234" s="517" t="s">
        <v>6425</v>
      </c>
    </row>
    <row r="235" spans="2:8" ht="15" x14ac:dyDescent="0.35">
      <c r="B235" s="544" t="s">
        <v>6263</v>
      </c>
      <c r="C235" s="517" t="s">
        <v>6355</v>
      </c>
      <c r="D235" s="518">
        <v>6224</v>
      </c>
      <c r="E235" s="517" t="s">
        <v>3274</v>
      </c>
      <c r="F235" s="518" t="s">
        <v>26</v>
      </c>
      <c r="G235" s="519">
        <v>3919646</v>
      </c>
      <c r="H235" s="517" t="s">
        <v>6425</v>
      </c>
    </row>
    <row r="236" spans="2:8" ht="15" x14ac:dyDescent="0.35">
      <c r="B236" s="544" t="s">
        <v>6263</v>
      </c>
      <c r="C236" s="517" t="s">
        <v>6355</v>
      </c>
      <c r="D236" s="518">
        <v>6225</v>
      </c>
      <c r="E236" s="517" t="s">
        <v>3275</v>
      </c>
      <c r="F236" s="518" t="s">
        <v>26</v>
      </c>
      <c r="G236" s="519">
        <v>4457282</v>
      </c>
      <c r="H236" s="517" t="s">
        <v>6425</v>
      </c>
    </row>
    <row r="237" spans="2:8" ht="15" x14ac:dyDescent="0.35">
      <c r="B237" s="544" t="s">
        <v>6263</v>
      </c>
      <c r="C237" s="517" t="s">
        <v>6355</v>
      </c>
      <c r="D237" s="518">
        <v>6226</v>
      </c>
      <c r="E237" s="517" t="s">
        <v>3276</v>
      </c>
      <c r="F237" s="518" t="s">
        <v>26</v>
      </c>
      <c r="G237" s="519">
        <v>5044410</v>
      </c>
      <c r="H237" s="517" t="s">
        <v>6425</v>
      </c>
    </row>
    <row r="238" spans="2:8" ht="15" x14ac:dyDescent="0.35">
      <c r="B238" s="544" t="s">
        <v>6263</v>
      </c>
      <c r="C238" s="517" t="s">
        <v>6355</v>
      </c>
      <c r="D238" s="518">
        <v>6227</v>
      </c>
      <c r="E238" s="517" t="s">
        <v>3277</v>
      </c>
      <c r="F238" s="518" t="s">
        <v>26</v>
      </c>
      <c r="G238" s="519">
        <v>5640197</v>
      </c>
      <c r="H238" s="517" t="s">
        <v>6425</v>
      </c>
    </row>
    <row r="239" spans="2:8" ht="15" x14ac:dyDescent="0.35">
      <c r="B239" s="544" t="s">
        <v>6263</v>
      </c>
      <c r="C239" s="517" t="s">
        <v>6355</v>
      </c>
      <c r="D239" s="518">
        <v>6228</v>
      </c>
      <c r="E239" s="517" t="s">
        <v>3278</v>
      </c>
      <c r="F239" s="518" t="s">
        <v>26</v>
      </c>
      <c r="G239" s="519">
        <v>6991767</v>
      </c>
      <c r="H239" s="517" t="s">
        <v>6425</v>
      </c>
    </row>
    <row r="240" spans="2:8" ht="15" x14ac:dyDescent="0.35">
      <c r="B240" s="544" t="s">
        <v>6263</v>
      </c>
      <c r="C240" s="517" t="s">
        <v>6355</v>
      </c>
      <c r="D240" s="518">
        <v>6229</v>
      </c>
      <c r="E240" s="517" t="s">
        <v>3279</v>
      </c>
      <c r="F240" s="518" t="s">
        <v>26</v>
      </c>
      <c r="G240" s="519">
        <v>8383687</v>
      </c>
      <c r="H240" s="517" t="s">
        <v>6425</v>
      </c>
    </row>
    <row r="241" spans="2:8" ht="15" x14ac:dyDescent="0.35">
      <c r="B241" s="544" t="s">
        <v>6263</v>
      </c>
      <c r="C241" s="517" t="s">
        <v>6355</v>
      </c>
      <c r="D241" s="518">
        <v>6230</v>
      </c>
      <c r="E241" s="517" t="s">
        <v>3280</v>
      </c>
      <c r="F241" s="518" t="s">
        <v>26</v>
      </c>
      <c r="G241" s="519">
        <v>9160076</v>
      </c>
      <c r="H241" s="517" t="s">
        <v>6425</v>
      </c>
    </row>
    <row r="242" spans="2:8" ht="15" x14ac:dyDescent="0.35">
      <c r="B242" s="544" t="s">
        <v>6263</v>
      </c>
      <c r="C242" s="517" t="s">
        <v>6355</v>
      </c>
      <c r="D242" s="518">
        <v>6236</v>
      </c>
      <c r="E242" s="517" t="s">
        <v>3281</v>
      </c>
      <c r="F242" s="518" t="s">
        <v>29</v>
      </c>
      <c r="G242" s="519">
        <v>141233</v>
      </c>
      <c r="H242" s="517" t="s">
        <v>6425</v>
      </c>
    </row>
    <row r="243" spans="2:8" ht="15" x14ac:dyDescent="0.35">
      <c r="B243" s="544" t="s">
        <v>6263</v>
      </c>
      <c r="C243" s="517" t="s">
        <v>6355</v>
      </c>
      <c r="D243" s="518">
        <v>6237</v>
      </c>
      <c r="E243" s="517" t="s">
        <v>3282</v>
      </c>
      <c r="F243" s="518" t="s">
        <v>29</v>
      </c>
      <c r="G243" s="519">
        <v>248638</v>
      </c>
      <c r="H243" s="517" t="s">
        <v>6425</v>
      </c>
    </row>
    <row r="244" spans="2:8" ht="15" x14ac:dyDescent="0.35">
      <c r="B244" s="544" t="s">
        <v>6263</v>
      </c>
      <c r="C244" s="517" t="s">
        <v>6355</v>
      </c>
      <c r="D244" s="518">
        <v>6238</v>
      </c>
      <c r="E244" s="517" t="s">
        <v>3283</v>
      </c>
      <c r="F244" s="518" t="s">
        <v>29</v>
      </c>
      <c r="G244" s="519">
        <v>319056</v>
      </c>
      <c r="H244" s="517" t="s">
        <v>6425</v>
      </c>
    </row>
    <row r="245" spans="2:8" ht="15" x14ac:dyDescent="0.35">
      <c r="B245" s="544" t="s">
        <v>6263</v>
      </c>
      <c r="C245" s="517" t="s">
        <v>6355</v>
      </c>
      <c r="D245" s="518">
        <v>6239</v>
      </c>
      <c r="E245" s="517" t="s">
        <v>3284</v>
      </c>
      <c r="F245" s="518" t="s">
        <v>29</v>
      </c>
      <c r="G245" s="519">
        <v>380479</v>
      </c>
      <c r="H245" s="517" t="s">
        <v>6425</v>
      </c>
    </row>
    <row r="246" spans="2:8" ht="15" x14ac:dyDescent="0.35">
      <c r="B246" s="544" t="s">
        <v>6263</v>
      </c>
      <c r="C246" s="517" t="s">
        <v>6355</v>
      </c>
      <c r="D246" s="518">
        <v>6240</v>
      </c>
      <c r="E246" s="517" t="s">
        <v>3285</v>
      </c>
      <c r="F246" s="518" t="s">
        <v>29</v>
      </c>
      <c r="G246" s="519">
        <v>486203</v>
      </c>
      <c r="H246" s="517" t="s">
        <v>6425</v>
      </c>
    </row>
    <row r="247" spans="2:8" ht="15" x14ac:dyDescent="0.35">
      <c r="B247" s="544" t="s">
        <v>6263</v>
      </c>
      <c r="C247" s="517" t="s">
        <v>6355</v>
      </c>
      <c r="D247" s="518">
        <v>6241</v>
      </c>
      <c r="E247" s="517" t="s">
        <v>3286</v>
      </c>
      <c r="F247" s="518" t="s">
        <v>29</v>
      </c>
      <c r="G247" s="519">
        <v>572448</v>
      </c>
      <c r="H247" s="517" t="s">
        <v>6425</v>
      </c>
    </row>
    <row r="248" spans="2:8" ht="15" x14ac:dyDescent="0.35">
      <c r="B248" s="544" t="s">
        <v>6263</v>
      </c>
      <c r="C248" s="517" t="s">
        <v>6355</v>
      </c>
      <c r="D248" s="518">
        <v>6242</v>
      </c>
      <c r="E248" s="517" t="s">
        <v>3287</v>
      </c>
      <c r="F248" s="518" t="s">
        <v>29</v>
      </c>
      <c r="G248" s="519">
        <v>690278</v>
      </c>
      <c r="H248" s="517" t="s">
        <v>6425</v>
      </c>
    </row>
    <row r="249" spans="2:8" ht="15" x14ac:dyDescent="0.35">
      <c r="B249" s="544" t="s">
        <v>6263</v>
      </c>
      <c r="C249" s="517" t="s">
        <v>6355</v>
      </c>
      <c r="D249" s="518">
        <v>6243</v>
      </c>
      <c r="E249" s="517" t="s">
        <v>3288</v>
      </c>
      <c r="F249" s="518" t="s">
        <v>29</v>
      </c>
      <c r="G249" s="519">
        <v>1026295</v>
      </c>
      <c r="H249" s="517" t="s">
        <v>6425</v>
      </c>
    </row>
    <row r="250" spans="2:8" ht="15" x14ac:dyDescent="0.35">
      <c r="B250" s="544" t="s">
        <v>6263</v>
      </c>
      <c r="C250" s="517" t="s">
        <v>6346</v>
      </c>
      <c r="D250" s="518">
        <v>6257</v>
      </c>
      <c r="E250" s="517" t="s">
        <v>5473</v>
      </c>
      <c r="F250" s="518" t="s">
        <v>26</v>
      </c>
      <c r="G250" s="519">
        <v>19650</v>
      </c>
      <c r="H250" s="517" t="s">
        <v>6425</v>
      </c>
    </row>
    <row r="251" spans="2:8" ht="15" x14ac:dyDescent="0.35">
      <c r="B251" s="544" t="s">
        <v>6263</v>
      </c>
      <c r="C251" s="517" t="s">
        <v>6346</v>
      </c>
      <c r="D251" s="518">
        <v>6258</v>
      </c>
      <c r="E251" s="517" t="s">
        <v>5474</v>
      </c>
      <c r="F251" s="518" t="s">
        <v>26</v>
      </c>
      <c r="G251" s="519">
        <v>29250</v>
      </c>
      <c r="H251" s="517" t="s">
        <v>6425</v>
      </c>
    </row>
    <row r="252" spans="2:8" ht="15" x14ac:dyDescent="0.35">
      <c r="B252" s="544" t="s">
        <v>6263</v>
      </c>
      <c r="C252" s="517" t="s">
        <v>6346</v>
      </c>
      <c r="D252" s="518">
        <v>6259</v>
      </c>
      <c r="E252" s="517" t="s">
        <v>5475</v>
      </c>
      <c r="F252" s="518" t="s">
        <v>26</v>
      </c>
      <c r="G252" s="519">
        <v>51431</v>
      </c>
      <c r="H252" s="517" t="s">
        <v>6425</v>
      </c>
    </row>
    <row r="253" spans="2:8" ht="15" x14ac:dyDescent="0.35">
      <c r="B253" s="544" t="s">
        <v>6263</v>
      </c>
      <c r="C253" s="517" t="s">
        <v>6346</v>
      </c>
      <c r="D253" s="518">
        <v>6260</v>
      </c>
      <c r="E253" s="517" t="s">
        <v>5476</v>
      </c>
      <c r="F253" s="518" t="s">
        <v>26</v>
      </c>
      <c r="G253" s="519">
        <v>64984</v>
      </c>
      <c r="H253" s="517" t="s">
        <v>6425</v>
      </c>
    </row>
    <row r="254" spans="2:8" ht="15" x14ac:dyDescent="0.35">
      <c r="B254" s="544" t="s">
        <v>6263</v>
      </c>
      <c r="C254" s="517" t="s">
        <v>6346</v>
      </c>
      <c r="D254" s="518">
        <v>6261</v>
      </c>
      <c r="E254" s="517" t="s">
        <v>5477</v>
      </c>
      <c r="F254" s="518" t="s">
        <v>26</v>
      </c>
      <c r="G254" s="519">
        <v>133504</v>
      </c>
      <c r="H254" s="517" t="s">
        <v>6425</v>
      </c>
    </row>
    <row r="255" spans="2:8" ht="15" x14ac:dyDescent="0.35">
      <c r="B255" s="544" t="s">
        <v>6263</v>
      </c>
      <c r="C255" s="517" t="s">
        <v>6346</v>
      </c>
      <c r="D255" s="518">
        <v>6262</v>
      </c>
      <c r="E255" s="517" t="s">
        <v>5478</v>
      </c>
      <c r="F255" s="518" t="s">
        <v>26</v>
      </c>
      <c r="G255" s="519">
        <v>226138</v>
      </c>
      <c r="H255" s="517" t="s">
        <v>6425</v>
      </c>
    </row>
    <row r="256" spans="2:8" ht="15" x14ac:dyDescent="0.35">
      <c r="B256" s="544" t="s">
        <v>6263</v>
      </c>
      <c r="C256" s="517" t="s">
        <v>6346</v>
      </c>
      <c r="D256" s="518">
        <v>6263</v>
      </c>
      <c r="E256" s="517" t="s">
        <v>5479</v>
      </c>
      <c r="F256" s="518" t="s">
        <v>26</v>
      </c>
      <c r="G256" s="519">
        <v>355986</v>
      </c>
      <c r="H256" s="517" t="s">
        <v>6425</v>
      </c>
    </row>
    <row r="257" spans="2:8" ht="15" x14ac:dyDescent="0.35">
      <c r="B257" s="544" t="s">
        <v>6263</v>
      </c>
      <c r="C257" s="517" t="s">
        <v>6346</v>
      </c>
      <c r="D257" s="518">
        <v>6264</v>
      </c>
      <c r="E257" s="517" t="s">
        <v>5480</v>
      </c>
      <c r="F257" s="518" t="s">
        <v>26</v>
      </c>
      <c r="G257" s="519">
        <v>498094</v>
      </c>
      <c r="H257" s="517" t="s">
        <v>6425</v>
      </c>
    </row>
    <row r="258" spans="2:8" ht="15" x14ac:dyDescent="0.35">
      <c r="B258" s="544" t="s">
        <v>6263</v>
      </c>
      <c r="C258" s="517" t="s">
        <v>6346</v>
      </c>
      <c r="D258" s="518">
        <v>6265</v>
      </c>
      <c r="E258" s="517" t="s">
        <v>5481</v>
      </c>
      <c r="F258" s="518" t="s">
        <v>26</v>
      </c>
      <c r="G258" s="519">
        <v>16305</v>
      </c>
      <c r="H258" s="517" t="s">
        <v>6425</v>
      </c>
    </row>
    <row r="259" spans="2:8" ht="15" x14ac:dyDescent="0.35">
      <c r="B259" s="544" t="s">
        <v>6263</v>
      </c>
      <c r="C259" s="517" t="s">
        <v>6346</v>
      </c>
      <c r="D259" s="518">
        <v>6266</v>
      </c>
      <c r="E259" s="517" t="s">
        <v>5482</v>
      </c>
      <c r="F259" s="518" t="s">
        <v>26</v>
      </c>
      <c r="G259" s="519">
        <v>42650</v>
      </c>
      <c r="H259" s="517" t="s">
        <v>6425</v>
      </c>
    </row>
    <row r="260" spans="2:8" ht="15" x14ac:dyDescent="0.35">
      <c r="B260" s="544" t="s">
        <v>6263</v>
      </c>
      <c r="C260" s="517" t="s">
        <v>6346</v>
      </c>
      <c r="D260" s="518">
        <v>6267</v>
      </c>
      <c r="E260" s="517" t="s">
        <v>5483</v>
      </c>
      <c r="F260" s="518" t="s">
        <v>26</v>
      </c>
      <c r="G260" s="519">
        <v>24300</v>
      </c>
      <c r="H260" s="517" t="s">
        <v>6425</v>
      </c>
    </row>
    <row r="261" spans="2:8" ht="15" x14ac:dyDescent="0.35">
      <c r="B261" s="544" t="s">
        <v>6263</v>
      </c>
      <c r="C261" s="517" t="s">
        <v>6346</v>
      </c>
      <c r="D261" s="518">
        <v>6268</v>
      </c>
      <c r="E261" s="517" t="s">
        <v>5484</v>
      </c>
      <c r="F261" s="518" t="s">
        <v>26</v>
      </c>
      <c r="G261" s="519">
        <v>54714</v>
      </c>
      <c r="H261" s="517" t="s">
        <v>6425</v>
      </c>
    </row>
    <row r="262" spans="2:8" ht="15" x14ac:dyDescent="0.35">
      <c r="B262" s="544" t="s">
        <v>6263</v>
      </c>
      <c r="C262" s="517" t="s">
        <v>6346</v>
      </c>
      <c r="D262" s="518">
        <v>6269</v>
      </c>
      <c r="E262" s="517" t="s">
        <v>5485</v>
      </c>
      <c r="F262" s="518" t="s">
        <v>26</v>
      </c>
      <c r="G262" s="519">
        <v>109342</v>
      </c>
      <c r="H262" s="517" t="s">
        <v>6425</v>
      </c>
    </row>
    <row r="263" spans="2:8" ht="15" x14ac:dyDescent="0.35">
      <c r="B263" s="544" t="s">
        <v>6263</v>
      </c>
      <c r="C263" s="517" t="s">
        <v>6346</v>
      </c>
      <c r="D263" s="518">
        <v>6270</v>
      </c>
      <c r="E263" s="517" t="s">
        <v>5486</v>
      </c>
      <c r="F263" s="518" t="s">
        <v>26</v>
      </c>
      <c r="G263" s="519">
        <v>186019</v>
      </c>
      <c r="H263" s="517" t="s">
        <v>6425</v>
      </c>
    </row>
    <row r="264" spans="2:8" ht="15" x14ac:dyDescent="0.35">
      <c r="B264" s="544" t="s">
        <v>6263</v>
      </c>
      <c r="C264" s="517" t="s">
        <v>6346</v>
      </c>
      <c r="D264" s="518">
        <v>6271</v>
      </c>
      <c r="E264" s="517" t="s">
        <v>5487</v>
      </c>
      <c r="F264" s="518" t="s">
        <v>26</v>
      </c>
      <c r="G264" s="519">
        <v>289540</v>
      </c>
      <c r="H264" s="517" t="s">
        <v>6425</v>
      </c>
    </row>
    <row r="265" spans="2:8" ht="15" x14ac:dyDescent="0.35">
      <c r="B265" s="544" t="s">
        <v>6263</v>
      </c>
      <c r="C265" s="517" t="s">
        <v>6346</v>
      </c>
      <c r="D265" s="518">
        <v>6272</v>
      </c>
      <c r="E265" s="517" t="s">
        <v>5488</v>
      </c>
      <c r="F265" s="518" t="s">
        <v>26</v>
      </c>
      <c r="G265" s="519">
        <v>426706</v>
      </c>
      <c r="H265" s="517" t="s">
        <v>6425</v>
      </c>
    </row>
    <row r="266" spans="2:8" ht="15" x14ac:dyDescent="0.35">
      <c r="B266" s="544" t="s">
        <v>6263</v>
      </c>
      <c r="C266" s="517" t="s">
        <v>6346</v>
      </c>
      <c r="D266" s="518">
        <v>6273</v>
      </c>
      <c r="E266" s="517" t="s">
        <v>5489</v>
      </c>
      <c r="F266" s="518" t="s">
        <v>26</v>
      </c>
      <c r="G266" s="519">
        <v>34368</v>
      </c>
      <c r="H266" s="517" t="s">
        <v>6425</v>
      </c>
    </row>
    <row r="267" spans="2:8" ht="15" x14ac:dyDescent="0.35">
      <c r="B267" s="544" t="s">
        <v>6263</v>
      </c>
      <c r="C267" s="517" t="s">
        <v>6346</v>
      </c>
      <c r="D267" s="518">
        <v>6274</v>
      </c>
      <c r="E267" s="517" t="s">
        <v>5490</v>
      </c>
      <c r="F267" s="518" t="s">
        <v>26</v>
      </c>
      <c r="G267" s="519">
        <v>43680</v>
      </c>
      <c r="H267" s="517" t="s">
        <v>6425</v>
      </c>
    </row>
    <row r="268" spans="2:8" ht="15" x14ac:dyDescent="0.35">
      <c r="B268" s="544" t="s">
        <v>6263</v>
      </c>
      <c r="C268" s="517" t="s">
        <v>6346</v>
      </c>
      <c r="D268" s="518">
        <v>6275</v>
      </c>
      <c r="E268" s="517" t="s">
        <v>5491</v>
      </c>
      <c r="F268" s="518" t="s">
        <v>26</v>
      </c>
      <c r="G268" s="519">
        <v>89215</v>
      </c>
      <c r="H268" s="517" t="s">
        <v>6425</v>
      </c>
    </row>
    <row r="269" spans="2:8" ht="15" x14ac:dyDescent="0.35">
      <c r="B269" s="544" t="s">
        <v>6263</v>
      </c>
      <c r="C269" s="517" t="s">
        <v>6346</v>
      </c>
      <c r="D269" s="518">
        <v>6276</v>
      </c>
      <c r="E269" s="517" t="s">
        <v>5492</v>
      </c>
      <c r="F269" s="518" t="s">
        <v>26</v>
      </c>
      <c r="G269" s="519">
        <v>151802</v>
      </c>
      <c r="H269" s="517" t="s">
        <v>6425</v>
      </c>
    </row>
    <row r="270" spans="2:8" ht="15" x14ac:dyDescent="0.35">
      <c r="B270" s="544" t="s">
        <v>6263</v>
      </c>
      <c r="C270" s="517" t="s">
        <v>6346</v>
      </c>
      <c r="D270" s="518">
        <v>6277</v>
      </c>
      <c r="E270" s="517" t="s">
        <v>5493</v>
      </c>
      <c r="F270" s="518" t="s">
        <v>26</v>
      </c>
      <c r="G270" s="519">
        <v>237290</v>
      </c>
      <c r="H270" s="517" t="s">
        <v>6425</v>
      </c>
    </row>
    <row r="271" spans="2:8" ht="15" x14ac:dyDescent="0.35">
      <c r="B271" s="544" t="s">
        <v>6263</v>
      </c>
      <c r="C271" s="517" t="s">
        <v>6346</v>
      </c>
      <c r="D271" s="518">
        <v>6278</v>
      </c>
      <c r="E271" s="517" t="s">
        <v>5494</v>
      </c>
      <c r="F271" s="518" t="s">
        <v>26</v>
      </c>
      <c r="G271" s="519">
        <v>349472</v>
      </c>
      <c r="H271" s="517" t="s">
        <v>6425</v>
      </c>
    </row>
    <row r="272" spans="2:8" ht="15" x14ac:dyDescent="0.35">
      <c r="B272" s="544" t="s">
        <v>6263</v>
      </c>
      <c r="C272" s="517" t="s">
        <v>6346</v>
      </c>
      <c r="D272" s="518">
        <v>6279</v>
      </c>
      <c r="E272" s="517" t="s">
        <v>5495</v>
      </c>
      <c r="F272" s="518" t="s">
        <v>26</v>
      </c>
      <c r="G272" s="519">
        <v>33921</v>
      </c>
      <c r="H272" s="517" t="s">
        <v>6425</v>
      </c>
    </row>
    <row r="273" spans="2:8" ht="15" x14ac:dyDescent="0.35">
      <c r="B273" s="544" t="s">
        <v>6263</v>
      </c>
      <c r="C273" s="517" t="s">
        <v>6346</v>
      </c>
      <c r="D273" s="518">
        <v>6280</v>
      </c>
      <c r="E273" s="517" t="s">
        <v>5496</v>
      </c>
      <c r="F273" s="518" t="s">
        <v>26</v>
      </c>
      <c r="G273" s="519">
        <v>71911</v>
      </c>
      <c r="H273" s="517" t="s">
        <v>6425</v>
      </c>
    </row>
    <row r="274" spans="2:8" ht="15" x14ac:dyDescent="0.35">
      <c r="B274" s="544" t="s">
        <v>6263</v>
      </c>
      <c r="C274" s="517" t="s">
        <v>6346</v>
      </c>
      <c r="D274" s="518">
        <v>6281</v>
      </c>
      <c r="E274" s="517" t="s">
        <v>5497</v>
      </c>
      <c r="F274" s="518" t="s">
        <v>26</v>
      </c>
      <c r="G274" s="519">
        <v>121461</v>
      </c>
      <c r="H274" s="517" t="s">
        <v>6425</v>
      </c>
    </row>
    <row r="275" spans="2:8" ht="15" x14ac:dyDescent="0.35">
      <c r="B275" s="544" t="s">
        <v>6263</v>
      </c>
      <c r="C275" s="517" t="s">
        <v>6346</v>
      </c>
      <c r="D275" s="518">
        <v>6282</v>
      </c>
      <c r="E275" s="517" t="s">
        <v>5498</v>
      </c>
      <c r="F275" s="518" t="s">
        <v>26</v>
      </c>
      <c r="G275" s="519">
        <v>189934</v>
      </c>
      <c r="H275" s="517" t="s">
        <v>6425</v>
      </c>
    </row>
    <row r="276" spans="2:8" ht="15" x14ac:dyDescent="0.35">
      <c r="B276" s="544" t="s">
        <v>6263</v>
      </c>
      <c r="C276" s="517" t="s">
        <v>6346</v>
      </c>
      <c r="D276" s="518">
        <v>6283</v>
      </c>
      <c r="E276" s="517" t="s">
        <v>5499</v>
      </c>
      <c r="F276" s="518" t="s">
        <v>26</v>
      </c>
      <c r="G276" s="519">
        <v>264191</v>
      </c>
      <c r="H276" s="517" t="s">
        <v>6425</v>
      </c>
    </row>
    <row r="277" spans="2:8" ht="15" x14ac:dyDescent="0.35">
      <c r="B277" s="544" t="s">
        <v>6263</v>
      </c>
      <c r="C277" s="517" t="s">
        <v>6337</v>
      </c>
      <c r="D277" s="518">
        <v>6285</v>
      </c>
      <c r="E277" s="517" t="s">
        <v>3289</v>
      </c>
      <c r="F277" s="518" t="s">
        <v>23</v>
      </c>
      <c r="G277" s="519">
        <v>547199</v>
      </c>
      <c r="H277" s="517" t="s">
        <v>6425</v>
      </c>
    </row>
    <row r="278" spans="2:8" ht="15" x14ac:dyDescent="0.35">
      <c r="B278" s="544" t="s">
        <v>6263</v>
      </c>
      <c r="C278" s="517" t="s">
        <v>6356</v>
      </c>
      <c r="D278" s="518">
        <v>6295</v>
      </c>
      <c r="E278" s="517" t="s">
        <v>3290</v>
      </c>
      <c r="F278" s="518" t="s">
        <v>29</v>
      </c>
      <c r="G278" s="519">
        <v>584290</v>
      </c>
      <c r="H278" s="517" t="s">
        <v>6915</v>
      </c>
    </row>
    <row r="279" spans="2:8" ht="15" x14ac:dyDescent="0.35">
      <c r="B279" s="544" t="s">
        <v>6263</v>
      </c>
      <c r="C279" s="517" t="s">
        <v>6356</v>
      </c>
      <c r="D279" s="518">
        <v>6296</v>
      </c>
      <c r="E279" s="517" t="s">
        <v>3291</v>
      </c>
      <c r="F279" s="518" t="s">
        <v>29</v>
      </c>
      <c r="G279" s="519">
        <v>729470</v>
      </c>
      <c r="H279" s="517" t="s">
        <v>6915</v>
      </c>
    </row>
    <row r="280" spans="2:8" ht="15" x14ac:dyDescent="0.35">
      <c r="B280" s="544" t="s">
        <v>6263</v>
      </c>
      <c r="C280" s="517" t="s">
        <v>6356</v>
      </c>
      <c r="D280" s="518">
        <v>6297</v>
      </c>
      <c r="E280" s="517" t="s">
        <v>3292</v>
      </c>
      <c r="F280" s="518" t="s">
        <v>29</v>
      </c>
      <c r="G280" s="519">
        <v>980560</v>
      </c>
      <c r="H280" s="517" t="s">
        <v>6915</v>
      </c>
    </row>
    <row r="281" spans="2:8" ht="15" x14ac:dyDescent="0.35">
      <c r="B281" s="544" t="s">
        <v>6263</v>
      </c>
      <c r="C281" s="517" t="s">
        <v>6356</v>
      </c>
      <c r="D281" s="518">
        <v>6298</v>
      </c>
      <c r="E281" s="517" t="s">
        <v>3293</v>
      </c>
      <c r="F281" s="518" t="s">
        <v>29</v>
      </c>
      <c r="G281" s="519">
        <v>800000</v>
      </c>
      <c r="H281" s="517" t="s">
        <v>6915</v>
      </c>
    </row>
    <row r="282" spans="2:8" ht="15" x14ac:dyDescent="0.35">
      <c r="B282" s="544" t="s">
        <v>6263</v>
      </c>
      <c r="C282" s="517" t="s">
        <v>6356</v>
      </c>
      <c r="D282" s="518">
        <v>6303</v>
      </c>
      <c r="E282" s="517" t="s">
        <v>3294</v>
      </c>
      <c r="F282" s="518" t="s">
        <v>29</v>
      </c>
      <c r="G282" s="519">
        <v>759220</v>
      </c>
      <c r="H282" s="517" t="s">
        <v>6915</v>
      </c>
    </row>
    <row r="283" spans="2:8" ht="15" x14ac:dyDescent="0.35">
      <c r="B283" s="544" t="s">
        <v>6263</v>
      </c>
      <c r="C283" s="517" t="s">
        <v>6356</v>
      </c>
      <c r="D283" s="518">
        <v>6304</v>
      </c>
      <c r="E283" s="517" t="s">
        <v>3295</v>
      </c>
      <c r="F283" s="518" t="s">
        <v>29</v>
      </c>
      <c r="G283" s="519">
        <v>917490</v>
      </c>
      <c r="H283" s="517" t="s">
        <v>6915</v>
      </c>
    </row>
    <row r="284" spans="2:8" ht="15" x14ac:dyDescent="0.35">
      <c r="B284" s="544" t="s">
        <v>6263</v>
      </c>
      <c r="C284" s="517" t="s">
        <v>6356</v>
      </c>
      <c r="D284" s="518">
        <v>6305</v>
      </c>
      <c r="E284" s="517" t="s">
        <v>3296</v>
      </c>
      <c r="F284" s="518" t="s">
        <v>29</v>
      </c>
      <c r="G284" s="519">
        <v>1276823</v>
      </c>
      <c r="H284" s="517" t="s">
        <v>6915</v>
      </c>
    </row>
    <row r="285" spans="2:8" ht="15" x14ac:dyDescent="0.35">
      <c r="B285" s="544" t="s">
        <v>6263</v>
      </c>
      <c r="C285" s="517" t="s">
        <v>6356</v>
      </c>
      <c r="D285" s="518">
        <v>6306</v>
      </c>
      <c r="E285" s="517" t="s">
        <v>3297</v>
      </c>
      <c r="F285" s="518" t="s">
        <v>29</v>
      </c>
      <c r="G285" s="519">
        <v>807508</v>
      </c>
      <c r="H285" s="517" t="s">
        <v>6915</v>
      </c>
    </row>
    <row r="286" spans="2:8" ht="15" x14ac:dyDescent="0.35">
      <c r="B286" s="544" t="s">
        <v>6263</v>
      </c>
      <c r="C286" s="517" t="s">
        <v>6356</v>
      </c>
      <c r="D286" s="518">
        <v>6307</v>
      </c>
      <c r="E286" s="517" t="s">
        <v>3298</v>
      </c>
      <c r="F286" s="518" t="s">
        <v>29</v>
      </c>
      <c r="G286" s="519">
        <v>1248072</v>
      </c>
      <c r="H286" s="517" t="s">
        <v>6915</v>
      </c>
    </row>
    <row r="287" spans="2:8" ht="15" x14ac:dyDescent="0.35">
      <c r="B287" s="544" t="s">
        <v>6263</v>
      </c>
      <c r="C287" s="517" t="s">
        <v>6356</v>
      </c>
      <c r="D287" s="518">
        <v>6308</v>
      </c>
      <c r="E287" s="517" t="s">
        <v>3299</v>
      </c>
      <c r="F287" s="518" t="s">
        <v>29</v>
      </c>
      <c r="G287" s="519">
        <v>1382185</v>
      </c>
      <c r="H287" s="517" t="s">
        <v>6915</v>
      </c>
    </row>
    <row r="288" spans="2:8" ht="15" x14ac:dyDescent="0.35">
      <c r="B288" s="544" t="s">
        <v>6263</v>
      </c>
      <c r="C288" s="517" t="s">
        <v>6356</v>
      </c>
      <c r="D288" s="518">
        <v>6309</v>
      </c>
      <c r="E288" s="517" t="s">
        <v>3300</v>
      </c>
      <c r="F288" s="518" t="s">
        <v>29</v>
      </c>
      <c r="G288" s="519">
        <v>994840</v>
      </c>
      <c r="H288" s="517" t="s">
        <v>6915</v>
      </c>
    </row>
    <row r="289" spans="2:8" ht="15" x14ac:dyDescent="0.35">
      <c r="B289" s="544" t="s">
        <v>6263</v>
      </c>
      <c r="C289" s="517" t="s">
        <v>6356</v>
      </c>
      <c r="D289" s="518">
        <v>6310</v>
      </c>
      <c r="E289" s="517" t="s">
        <v>3301</v>
      </c>
      <c r="F289" s="518" t="s">
        <v>29</v>
      </c>
      <c r="G289" s="519">
        <v>1296000</v>
      </c>
      <c r="H289" s="517" t="s">
        <v>6915</v>
      </c>
    </row>
    <row r="290" spans="2:8" ht="15" x14ac:dyDescent="0.35">
      <c r="B290" s="544" t="s">
        <v>6263</v>
      </c>
      <c r="C290" s="517" t="s">
        <v>6356</v>
      </c>
      <c r="D290" s="518">
        <v>6311</v>
      </c>
      <c r="E290" s="517" t="s">
        <v>3302</v>
      </c>
      <c r="F290" s="518" t="s">
        <v>29</v>
      </c>
      <c r="G290" s="519">
        <v>2000000</v>
      </c>
      <c r="H290" s="517" t="s">
        <v>6915</v>
      </c>
    </row>
    <row r="291" spans="2:8" ht="15" x14ac:dyDescent="0.35">
      <c r="B291" s="544" t="s">
        <v>6263</v>
      </c>
      <c r="C291" s="517" t="s">
        <v>6356</v>
      </c>
      <c r="D291" s="518">
        <v>6312</v>
      </c>
      <c r="E291" s="517" t="s">
        <v>3303</v>
      </c>
      <c r="F291" s="518" t="s">
        <v>29</v>
      </c>
      <c r="G291" s="519">
        <v>1352078</v>
      </c>
      <c r="H291" s="517" t="s">
        <v>6915</v>
      </c>
    </row>
    <row r="292" spans="2:8" ht="15" x14ac:dyDescent="0.35">
      <c r="B292" s="544" t="s">
        <v>6263</v>
      </c>
      <c r="C292" s="517" t="s">
        <v>6356</v>
      </c>
      <c r="D292" s="518">
        <v>6314</v>
      </c>
      <c r="E292" s="517" t="s">
        <v>3304</v>
      </c>
      <c r="F292" s="518" t="s">
        <v>29</v>
      </c>
      <c r="G292" s="519">
        <v>2000000</v>
      </c>
      <c r="H292" s="517" t="s">
        <v>6915</v>
      </c>
    </row>
    <row r="293" spans="2:8" ht="15" x14ac:dyDescent="0.35">
      <c r="B293" s="544" t="s">
        <v>6263</v>
      </c>
      <c r="C293" s="517" t="s">
        <v>6356</v>
      </c>
      <c r="D293" s="518">
        <v>6315</v>
      </c>
      <c r="E293" s="517" t="s">
        <v>3305</v>
      </c>
      <c r="F293" s="518" t="s">
        <v>29</v>
      </c>
      <c r="G293" s="519">
        <v>1806420</v>
      </c>
      <c r="H293" s="517" t="s">
        <v>6915</v>
      </c>
    </row>
    <row r="294" spans="2:8" ht="15" x14ac:dyDescent="0.35">
      <c r="B294" s="544" t="s">
        <v>6263</v>
      </c>
      <c r="C294" s="517" t="s">
        <v>6356</v>
      </c>
      <c r="D294" s="518">
        <v>6316</v>
      </c>
      <c r="E294" s="517" t="s">
        <v>3306</v>
      </c>
      <c r="F294" s="518" t="s">
        <v>29</v>
      </c>
      <c r="G294" s="519">
        <v>2290750</v>
      </c>
      <c r="H294" s="517" t="s">
        <v>6915</v>
      </c>
    </row>
    <row r="295" spans="2:8" ht="15" x14ac:dyDescent="0.35">
      <c r="B295" s="544" t="s">
        <v>6263</v>
      </c>
      <c r="C295" s="517" t="s">
        <v>6356</v>
      </c>
      <c r="D295" s="518">
        <v>6317</v>
      </c>
      <c r="E295" s="517" t="s">
        <v>3307</v>
      </c>
      <c r="F295" s="518" t="s">
        <v>29</v>
      </c>
      <c r="G295" s="519">
        <v>2696540</v>
      </c>
      <c r="H295" s="517" t="s">
        <v>6915</v>
      </c>
    </row>
    <row r="296" spans="2:8" ht="15" x14ac:dyDescent="0.35">
      <c r="B296" s="544" t="s">
        <v>6263</v>
      </c>
      <c r="C296" s="517" t="s">
        <v>6356</v>
      </c>
      <c r="D296" s="518">
        <v>6318</v>
      </c>
      <c r="E296" s="517" t="s">
        <v>3308</v>
      </c>
      <c r="F296" s="518" t="s">
        <v>29</v>
      </c>
      <c r="G296" s="519">
        <v>2096542</v>
      </c>
      <c r="H296" s="517" t="s">
        <v>6915</v>
      </c>
    </row>
    <row r="297" spans="2:8" ht="15" x14ac:dyDescent="0.35">
      <c r="B297" s="544" t="s">
        <v>6263</v>
      </c>
      <c r="C297" s="517" t="s">
        <v>6356</v>
      </c>
      <c r="D297" s="518">
        <v>6319</v>
      </c>
      <c r="E297" s="517" t="s">
        <v>3309</v>
      </c>
      <c r="F297" s="518" t="s">
        <v>29</v>
      </c>
      <c r="G297" s="519">
        <v>2782161</v>
      </c>
      <c r="H297" s="517" t="s">
        <v>6915</v>
      </c>
    </row>
    <row r="298" spans="2:8" ht="15" x14ac:dyDescent="0.35">
      <c r="B298" s="544" t="s">
        <v>6263</v>
      </c>
      <c r="C298" s="517" t="s">
        <v>6356</v>
      </c>
      <c r="D298" s="518">
        <v>6320</v>
      </c>
      <c r="E298" s="517" t="s">
        <v>3310</v>
      </c>
      <c r="F298" s="518" t="s">
        <v>29</v>
      </c>
      <c r="G298" s="519">
        <v>3486938</v>
      </c>
      <c r="H298" s="517" t="s">
        <v>6915</v>
      </c>
    </row>
    <row r="299" spans="2:8" ht="15" x14ac:dyDescent="0.35">
      <c r="B299" s="544" t="s">
        <v>6263</v>
      </c>
      <c r="C299" s="517" t="s">
        <v>6356</v>
      </c>
      <c r="D299" s="518">
        <v>6324</v>
      </c>
      <c r="E299" s="517" t="s">
        <v>3311</v>
      </c>
      <c r="F299" s="518" t="s">
        <v>29</v>
      </c>
      <c r="G299" s="519">
        <v>4983839</v>
      </c>
      <c r="H299" s="517" t="s">
        <v>6915</v>
      </c>
    </row>
    <row r="300" spans="2:8" ht="15" x14ac:dyDescent="0.35">
      <c r="B300" s="544" t="s">
        <v>6263</v>
      </c>
      <c r="C300" s="517" t="s">
        <v>6356</v>
      </c>
      <c r="D300" s="518">
        <v>6326</v>
      </c>
      <c r="E300" s="517" t="s">
        <v>3312</v>
      </c>
      <c r="F300" s="518" t="s">
        <v>29</v>
      </c>
      <c r="G300" s="519">
        <v>4292330</v>
      </c>
      <c r="H300" s="517" t="s">
        <v>6915</v>
      </c>
    </row>
    <row r="301" spans="2:8" ht="15" x14ac:dyDescent="0.35">
      <c r="B301" s="544" t="s">
        <v>6263</v>
      </c>
      <c r="C301" s="517" t="s">
        <v>6356</v>
      </c>
      <c r="D301" s="518">
        <v>6327</v>
      </c>
      <c r="E301" s="517" t="s">
        <v>5500</v>
      </c>
      <c r="F301" s="518" t="s">
        <v>29</v>
      </c>
      <c r="G301" s="519">
        <v>1553188</v>
      </c>
      <c r="H301" s="517" t="s">
        <v>6915</v>
      </c>
    </row>
    <row r="302" spans="2:8" ht="15" x14ac:dyDescent="0.35">
      <c r="B302" s="544" t="s">
        <v>6263</v>
      </c>
      <c r="C302" s="517" t="s">
        <v>6356</v>
      </c>
      <c r="D302" s="518">
        <v>6328</v>
      </c>
      <c r="E302" s="517" t="s">
        <v>5501</v>
      </c>
      <c r="F302" s="518" t="s">
        <v>29</v>
      </c>
      <c r="G302" s="519">
        <v>1682601</v>
      </c>
      <c r="H302" s="517" t="s">
        <v>6915</v>
      </c>
    </row>
    <row r="303" spans="2:8" ht="15" x14ac:dyDescent="0.35">
      <c r="B303" s="544" t="s">
        <v>6263</v>
      </c>
      <c r="C303" s="517" t="s">
        <v>6356</v>
      </c>
      <c r="D303" s="518">
        <v>6329</v>
      </c>
      <c r="E303" s="517" t="s">
        <v>3313</v>
      </c>
      <c r="F303" s="518" t="s">
        <v>29</v>
      </c>
      <c r="G303" s="519">
        <v>214200</v>
      </c>
      <c r="H303" s="517" t="s">
        <v>6915</v>
      </c>
    </row>
    <row r="304" spans="2:8" ht="15" x14ac:dyDescent="0.35">
      <c r="B304" s="544" t="s">
        <v>6263</v>
      </c>
      <c r="C304" s="517" t="s">
        <v>6357</v>
      </c>
      <c r="D304" s="518">
        <v>6332</v>
      </c>
      <c r="E304" s="517" t="s">
        <v>3314</v>
      </c>
      <c r="F304" s="518" t="s">
        <v>29</v>
      </c>
      <c r="G304" s="519">
        <v>449820</v>
      </c>
      <c r="H304" s="517" t="s">
        <v>6915</v>
      </c>
    </row>
    <row r="305" spans="2:8" ht="15" x14ac:dyDescent="0.35">
      <c r="B305" s="544" t="s">
        <v>6263</v>
      </c>
      <c r="C305" s="517" t="s">
        <v>6357</v>
      </c>
      <c r="D305" s="518">
        <v>6333</v>
      </c>
      <c r="E305" s="517" t="s">
        <v>3315</v>
      </c>
      <c r="F305" s="518" t="s">
        <v>29</v>
      </c>
      <c r="G305" s="519">
        <v>856800</v>
      </c>
      <c r="H305" s="517" t="s">
        <v>6915</v>
      </c>
    </row>
    <row r="306" spans="2:8" ht="15" x14ac:dyDescent="0.35">
      <c r="B306" s="544" t="s">
        <v>6263</v>
      </c>
      <c r="C306" s="517" t="s">
        <v>6357</v>
      </c>
      <c r="D306" s="518">
        <v>6334</v>
      </c>
      <c r="E306" s="517" t="s">
        <v>3316</v>
      </c>
      <c r="F306" s="518" t="s">
        <v>29</v>
      </c>
      <c r="G306" s="519">
        <v>157981</v>
      </c>
      <c r="H306" s="517" t="s">
        <v>6915</v>
      </c>
    </row>
    <row r="307" spans="2:8" ht="15" x14ac:dyDescent="0.35">
      <c r="B307" s="544" t="s">
        <v>6263</v>
      </c>
      <c r="C307" s="517" t="s">
        <v>6357</v>
      </c>
      <c r="D307" s="518">
        <v>6335</v>
      </c>
      <c r="E307" s="517" t="s">
        <v>3317</v>
      </c>
      <c r="F307" s="518" t="s">
        <v>29</v>
      </c>
      <c r="G307" s="519">
        <v>237405</v>
      </c>
      <c r="H307" s="517" t="s">
        <v>6915</v>
      </c>
    </row>
    <row r="308" spans="2:8" ht="15" x14ac:dyDescent="0.35">
      <c r="B308" s="544" t="s">
        <v>6263</v>
      </c>
      <c r="C308" s="517" t="s">
        <v>6357</v>
      </c>
      <c r="D308" s="518">
        <v>6337</v>
      </c>
      <c r="E308" s="517" t="s">
        <v>3318</v>
      </c>
      <c r="F308" s="518" t="s">
        <v>29</v>
      </c>
      <c r="G308" s="519">
        <v>714000</v>
      </c>
      <c r="H308" s="517" t="s">
        <v>6915</v>
      </c>
    </row>
    <row r="309" spans="2:8" ht="15" x14ac:dyDescent="0.35">
      <c r="B309" s="544" t="s">
        <v>6263</v>
      </c>
      <c r="C309" s="517" t="s">
        <v>6350</v>
      </c>
      <c r="D309" s="518">
        <v>6356</v>
      </c>
      <c r="E309" s="517" t="s">
        <v>3319</v>
      </c>
      <c r="F309" s="518" t="s">
        <v>3175</v>
      </c>
      <c r="G309" s="519">
        <v>65006</v>
      </c>
      <c r="H309" s="517" t="s">
        <v>6425</v>
      </c>
    </row>
    <row r="310" spans="2:8" ht="15" x14ac:dyDescent="0.35">
      <c r="B310" s="544" t="s">
        <v>6263</v>
      </c>
      <c r="C310" s="517" t="s">
        <v>6358</v>
      </c>
      <c r="D310" s="518">
        <v>6370</v>
      </c>
      <c r="E310" s="517" t="s">
        <v>5687</v>
      </c>
      <c r="F310" s="518" t="s">
        <v>29</v>
      </c>
      <c r="G310" s="519">
        <v>848470</v>
      </c>
      <c r="H310" s="517" t="s">
        <v>6915</v>
      </c>
    </row>
    <row r="311" spans="2:8" ht="15" x14ac:dyDescent="0.35">
      <c r="B311" s="544" t="s">
        <v>6263</v>
      </c>
      <c r="C311" s="517" t="s">
        <v>6358</v>
      </c>
      <c r="D311" s="518">
        <v>6371</v>
      </c>
      <c r="E311" s="517" t="s">
        <v>5688</v>
      </c>
      <c r="F311" s="518" t="s">
        <v>29</v>
      </c>
      <c r="G311" s="519">
        <v>813960</v>
      </c>
      <c r="H311" s="517" t="s">
        <v>6915</v>
      </c>
    </row>
    <row r="312" spans="2:8" ht="15" x14ac:dyDescent="0.35">
      <c r="B312" s="544" t="s">
        <v>6263</v>
      </c>
      <c r="C312" s="517" t="s">
        <v>6358</v>
      </c>
      <c r="D312" s="518">
        <v>6372</v>
      </c>
      <c r="E312" s="517" t="s">
        <v>5689</v>
      </c>
      <c r="F312" s="518" t="s">
        <v>29</v>
      </c>
      <c r="G312" s="519">
        <v>773500</v>
      </c>
      <c r="H312" s="517" t="s">
        <v>6915</v>
      </c>
    </row>
    <row r="313" spans="2:8" ht="15" x14ac:dyDescent="0.35">
      <c r="B313" s="544" t="s">
        <v>6263</v>
      </c>
      <c r="C313" s="517" t="s">
        <v>6358</v>
      </c>
      <c r="D313" s="518">
        <v>6373</v>
      </c>
      <c r="E313" s="517" t="s">
        <v>5690</v>
      </c>
      <c r="F313" s="518" t="s">
        <v>29</v>
      </c>
      <c r="G313" s="519">
        <v>967470</v>
      </c>
      <c r="H313" s="517" t="s">
        <v>6915</v>
      </c>
    </row>
    <row r="314" spans="2:8" ht="15" x14ac:dyDescent="0.35">
      <c r="B314" s="544" t="s">
        <v>6263</v>
      </c>
      <c r="C314" s="517" t="s">
        <v>6358</v>
      </c>
      <c r="D314" s="518">
        <v>6375</v>
      </c>
      <c r="E314" s="517" t="s">
        <v>5691</v>
      </c>
      <c r="F314" s="518" t="s">
        <v>29</v>
      </c>
      <c r="G314" s="519">
        <v>1238790</v>
      </c>
      <c r="H314" s="517" t="s">
        <v>6915</v>
      </c>
    </row>
    <row r="315" spans="2:8" ht="15" x14ac:dyDescent="0.35">
      <c r="B315" s="544" t="s">
        <v>6263</v>
      </c>
      <c r="C315" s="517" t="s">
        <v>6358</v>
      </c>
      <c r="D315" s="518">
        <v>6376</v>
      </c>
      <c r="E315" s="517" t="s">
        <v>5692</v>
      </c>
      <c r="F315" s="518" t="s">
        <v>29</v>
      </c>
      <c r="G315" s="519">
        <v>1367310</v>
      </c>
      <c r="H315" s="517" t="s">
        <v>6915</v>
      </c>
    </row>
    <row r="316" spans="2:8" ht="15" x14ac:dyDescent="0.35">
      <c r="B316" s="544" t="s">
        <v>6263</v>
      </c>
      <c r="C316" s="517" t="s">
        <v>6358</v>
      </c>
      <c r="D316" s="518">
        <v>6377</v>
      </c>
      <c r="E316" s="517" t="s">
        <v>5693</v>
      </c>
      <c r="F316" s="518" t="s">
        <v>29</v>
      </c>
      <c r="G316" s="519">
        <v>1549380</v>
      </c>
      <c r="H316" s="517" t="s">
        <v>6915</v>
      </c>
    </row>
    <row r="317" spans="2:8" ht="15" x14ac:dyDescent="0.35">
      <c r="B317" s="544" t="s">
        <v>6263</v>
      </c>
      <c r="C317" s="517" t="s">
        <v>6358</v>
      </c>
      <c r="D317" s="518">
        <v>6378</v>
      </c>
      <c r="E317" s="517" t="s">
        <v>5694</v>
      </c>
      <c r="F317" s="518" t="s">
        <v>29</v>
      </c>
      <c r="G317" s="519">
        <v>1620780</v>
      </c>
      <c r="H317" s="517" t="s">
        <v>6915</v>
      </c>
    </row>
    <row r="318" spans="2:8" ht="15" x14ac:dyDescent="0.35">
      <c r="B318" s="544" t="s">
        <v>6263</v>
      </c>
      <c r="C318" s="517" t="s">
        <v>6358</v>
      </c>
      <c r="D318" s="518">
        <v>6379</v>
      </c>
      <c r="E318" s="517" t="s">
        <v>5695</v>
      </c>
      <c r="F318" s="518" t="s">
        <v>29</v>
      </c>
      <c r="G318" s="519">
        <v>1689800</v>
      </c>
      <c r="H318" s="517" t="s">
        <v>6915</v>
      </c>
    </row>
    <row r="319" spans="2:8" ht="15" x14ac:dyDescent="0.35">
      <c r="B319" s="544" t="s">
        <v>6263</v>
      </c>
      <c r="C319" s="517" t="s">
        <v>6358</v>
      </c>
      <c r="D319" s="518">
        <v>6380</v>
      </c>
      <c r="E319" s="517" t="s">
        <v>5696</v>
      </c>
      <c r="F319" s="518" t="s">
        <v>29</v>
      </c>
      <c r="G319" s="519">
        <v>1793330</v>
      </c>
      <c r="H319" s="517" t="s">
        <v>6915</v>
      </c>
    </row>
    <row r="320" spans="2:8" ht="15" x14ac:dyDescent="0.35">
      <c r="B320" s="544" t="s">
        <v>6263</v>
      </c>
      <c r="C320" s="517" t="s">
        <v>6358</v>
      </c>
      <c r="D320" s="518">
        <v>6381</v>
      </c>
      <c r="E320" s="517" t="s">
        <v>5697</v>
      </c>
      <c r="F320" s="518" t="s">
        <v>29</v>
      </c>
      <c r="G320" s="519">
        <v>2169370</v>
      </c>
      <c r="H320" s="517" t="s">
        <v>6915</v>
      </c>
    </row>
    <row r="321" spans="2:8" ht="15" x14ac:dyDescent="0.35">
      <c r="B321" s="544" t="s">
        <v>6263</v>
      </c>
      <c r="C321" s="517" t="s">
        <v>6358</v>
      </c>
      <c r="D321" s="518">
        <v>6382</v>
      </c>
      <c r="E321" s="517" t="s">
        <v>5698</v>
      </c>
      <c r="F321" s="518" t="s">
        <v>29</v>
      </c>
      <c r="G321" s="519">
        <v>2251480</v>
      </c>
      <c r="H321" s="517" t="s">
        <v>6915</v>
      </c>
    </row>
    <row r="322" spans="2:8" ht="15" x14ac:dyDescent="0.35">
      <c r="B322" s="544" t="s">
        <v>6263</v>
      </c>
      <c r="C322" s="517" t="s">
        <v>6358</v>
      </c>
      <c r="D322" s="518">
        <v>6383</v>
      </c>
      <c r="E322" s="517" t="s">
        <v>5699</v>
      </c>
      <c r="F322" s="518" t="s">
        <v>29</v>
      </c>
      <c r="G322" s="519">
        <v>2468060</v>
      </c>
      <c r="H322" s="517" t="s">
        <v>6915</v>
      </c>
    </row>
    <row r="323" spans="2:8" ht="15" x14ac:dyDescent="0.35">
      <c r="B323" s="544" t="s">
        <v>6263</v>
      </c>
      <c r="C323" s="517" t="s">
        <v>6358</v>
      </c>
      <c r="D323" s="518">
        <v>6384</v>
      </c>
      <c r="E323" s="517" t="s">
        <v>5700</v>
      </c>
      <c r="F323" s="518" t="s">
        <v>29</v>
      </c>
      <c r="G323" s="519">
        <v>2738190</v>
      </c>
      <c r="H323" s="517" t="s">
        <v>6915</v>
      </c>
    </row>
    <row r="324" spans="2:8" ht="15" x14ac:dyDescent="0.35">
      <c r="B324" s="544" t="s">
        <v>6263</v>
      </c>
      <c r="C324" s="517" t="s">
        <v>6358</v>
      </c>
      <c r="D324" s="518">
        <v>6385</v>
      </c>
      <c r="E324" s="517" t="s">
        <v>5701</v>
      </c>
      <c r="F324" s="518" t="s">
        <v>29</v>
      </c>
      <c r="G324" s="519">
        <v>3336760</v>
      </c>
      <c r="H324" s="517" t="s">
        <v>6915</v>
      </c>
    </row>
    <row r="325" spans="2:8" ht="15" x14ac:dyDescent="0.35">
      <c r="B325" s="544" t="s">
        <v>6263</v>
      </c>
      <c r="C325" s="517" t="s">
        <v>6358</v>
      </c>
      <c r="D325" s="518">
        <v>6387</v>
      </c>
      <c r="E325" s="517" t="s">
        <v>5702</v>
      </c>
      <c r="F325" s="518" t="s">
        <v>29</v>
      </c>
      <c r="G325" s="519">
        <v>2142000</v>
      </c>
      <c r="H325" s="517" t="s">
        <v>6915</v>
      </c>
    </row>
    <row r="326" spans="2:8" ht="15" x14ac:dyDescent="0.35">
      <c r="B326" s="544" t="s">
        <v>6263</v>
      </c>
      <c r="C326" s="517" t="s">
        <v>6358</v>
      </c>
      <c r="D326" s="518">
        <v>6388</v>
      </c>
      <c r="E326" s="517" t="s">
        <v>5703</v>
      </c>
      <c r="F326" s="518" t="s">
        <v>29</v>
      </c>
      <c r="G326" s="519">
        <v>2773890</v>
      </c>
      <c r="H326" s="517" t="s">
        <v>6915</v>
      </c>
    </row>
    <row r="327" spans="2:8" ht="15" x14ac:dyDescent="0.35">
      <c r="B327" s="544" t="s">
        <v>6263</v>
      </c>
      <c r="C327" s="517" t="s">
        <v>6358</v>
      </c>
      <c r="D327" s="518">
        <v>6389</v>
      </c>
      <c r="E327" s="517" t="s">
        <v>5704</v>
      </c>
      <c r="F327" s="518" t="s">
        <v>29</v>
      </c>
      <c r="G327" s="519">
        <v>2308600</v>
      </c>
      <c r="H327" s="517" t="s">
        <v>6915</v>
      </c>
    </row>
    <row r="328" spans="2:8" ht="15" x14ac:dyDescent="0.35">
      <c r="B328" s="544" t="s">
        <v>6263</v>
      </c>
      <c r="C328" s="517" t="s">
        <v>6358</v>
      </c>
      <c r="D328" s="518">
        <v>6390</v>
      </c>
      <c r="E328" s="517" t="s">
        <v>5705</v>
      </c>
      <c r="F328" s="518" t="s">
        <v>29</v>
      </c>
      <c r="G328" s="519">
        <v>2778650</v>
      </c>
      <c r="H328" s="517" t="s">
        <v>6915</v>
      </c>
    </row>
    <row r="329" spans="2:8" ht="15" x14ac:dyDescent="0.35">
      <c r="B329" s="544" t="s">
        <v>6263</v>
      </c>
      <c r="C329" s="517" t="s">
        <v>6358</v>
      </c>
      <c r="D329" s="518">
        <v>6391</v>
      </c>
      <c r="E329" s="517" t="s">
        <v>5706</v>
      </c>
      <c r="F329" s="518" t="s">
        <v>29</v>
      </c>
      <c r="G329" s="519">
        <v>3790150</v>
      </c>
      <c r="H329" s="517" t="s">
        <v>6915</v>
      </c>
    </row>
    <row r="330" spans="2:8" ht="15" x14ac:dyDescent="0.35">
      <c r="B330" s="544" t="s">
        <v>6263</v>
      </c>
      <c r="C330" s="517" t="s">
        <v>6358</v>
      </c>
      <c r="D330" s="518">
        <v>6392</v>
      </c>
      <c r="E330" s="517" t="s">
        <v>5707</v>
      </c>
      <c r="F330" s="518" t="s">
        <v>29</v>
      </c>
      <c r="G330" s="519">
        <v>4199510</v>
      </c>
      <c r="H330" s="517" t="s">
        <v>6915</v>
      </c>
    </row>
    <row r="331" spans="2:8" ht="15" x14ac:dyDescent="0.35">
      <c r="B331" s="544" t="s">
        <v>6263</v>
      </c>
      <c r="C331" s="517" t="s">
        <v>6358</v>
      </c>
      <c r="D331" s="518">
        <v>6393</v>
      </c>
      <c r="E331" s="517" t="s">
        <v>5708</v>
      </c>
      <c r="F331" s="518" t="s">
        <v>29</v>
      </c>
      <c r="G331" s="519">
        <v>10579100</v>
      </c>
      <c r="H331" s="517" t="s">
        <v>6915</v>
      </c>
    </row>
    <row r="332" spans="2:8" ht="15" x14ac:dyDescent="0.35">
      <c r="B332" s="544" t="s">
        <v>6263</v>
      </c>
      <c r="C332" s="517" t="s">
        <v>6358</v>
      </c>
      <c r="D332" s="518">
        <v>6394</v>
      </c>
      <c r="E332" s="517" t="s">
        <v>5709</v>
      </c>
      <c r="F332" s="518" t="s">
        <v>29</v>
      </c>
      <c r="G332" s="519">
        <v>10959900</v>
      </c>
      <c r="H332" s="517" t="s">
        <v>6915</v>
      </c>
    </row>
    <row r="333" spans="2:8" ht="15" x14ac:dyDescent="0.35">
      <c r="B333" s="544" t="s">
        <v>6263</v>
      </c>
      <c r="C333" s="517" t="s">
        <v>6358</v>
      </c>
      <c r="D333" s="518">
        <v>6395</v>
      </c>
      <c r="E333" s="517" t="s">
        <v>5710</v>
      </c>
      <c r="F333" s="518" t="s">
        <v>29</v>
      </c>
      <c r="G333" s="519">
        <v>12828200</v>
      </c>
      <c r="H333" s="517" t="s">
        <v>6915</v>
      </c>
    </row>
    <row r="334" spans="2:8" ht="15" x14ac:dyDescent="0.35">
      <c r="B334" s="544" t="s">
        <v>6263</v>
      </c>
      <c r="C334" s="517" t="s">
        <v>6358</v>
      </c>
      <c r="D334" s="518">
        <v>6396</v>
      </c>
      <c r="E334" s="517" t="s">
        <v>5711</v>
      </c>
      <c r="F334" s="518" t="s">
        <v>29</v>
      </c>
      <c r="G334" s="519">
        <v>13458900</v>
      </c>
      <c r="H334" s="517" t="s">
        <v>6915</v>
      </c>
    </row>
    <row r="335" spans="2:8" ht="15" x14ac:dyDescent="0.35">
      <c r="B335" s="544" t="s">
        <v>6263</v>
      </c>
      <c r="C335" s="517" t="s">
        <v>6358</v>
      </c>
      <c r="D335" s="518">
        <v>6397</v>
      </c>
      <c r="E335" s="517" t="s">
        <v>5712</v>
      </c>
      <c r="F335" s="518" t="s">
        <v>29</v>
      </c>
      <c r="G335" s="519">
        <v>14422800</v>
      </c>
      <c r="H335" s="517" t="s">
        <v>6915</v>
      </c>
    </row>
    <row r="336" spans="2:8" ht="15" x14ac:dyDescent="0.35">
      <c r="B336" s="544" t="s">
        <v>6263</v>
      </c>
      <c r="C336" s="517" t="s">
        <v>6358</v>
      </c>
      <c r="D336" s="518">
        <v>6398</v>
      </c>
      <c r="E336" s="517" t="s">
        <v>5713</v>
      </c>
      <c r="F336" s="518" t="s">
        <v>29</v>
      </c>
      <c r="G336" s="519">
        <v>14839300</v>
      </c>
      <c r="H336" s="517" t="s">
        <v>6915</v>
      </c>
    </row>
    <row r="337" spans="2:8" ht="15" x14ac:dyDescent="0.35">
      <c r="B337" s="544" t="s">
        <v>6263</v>
      </c>
      <c r="C337" s="517" t="s">
        <v>6358</v>
      </c>
      <c r="D337" s="518">
        <v>6399</v>
      </c>
      <c r="E337" s="517" t="s">
        <v>5714</v>
      </c>
      <c r="F337" s="518" t="s">
        <v>29</v>
      </c>
      <c r="G337" s="519">
        <v>15791300</v>
      </c>
      <c r="H337" s="517" t="s">
        <v>6915</v>
      </c>
    </row>
    <row r="338" spans="2:8" ht="15" x14ac:dyDescent="0.35">
      <c r="B338" s="544" t="s">
        <v>6263</v>
      </c>
      <c r="C338" s="517" t="s">
        <v>6358</v>
      </c>
      <c r="D338" s="518">
        <v>6400</v>
      </c>
      <c r="E338" s="517" t="s">
        <v>5715</v>
      </c>
      <c r="F338" s="518" t="s">
        <v>29</v>
      </c>
      <c r="G338" s="519">
        <v>16798040</v>
      </c>
      <c r="H338" s="517" t="s">
        <v>6915</v>
      </c>
    </row>
    <row r="339" spans="2:8" ht="15" x14ac:dyDescent="0.35">
      <c r="B339" s="544" t="s">
        <v>6263</v>
      </c>
      <c r="C339" s="517" t="s">
        <v>6358</v>
      </c>
      <c r="D339" s="518">
        <v>6401</v>
      </c>
      <c r="E339" s="517" t="s">
        <v>5716</v>
      </c>
      <c r="F339" s="518" t="s">
        <v>29</v>
      </c>
      <c r="G339" s="519">
        <v>484330</v>
      </c>
      <c r="H339" s="517" t="s">
        <v>6915</v>
      </c>
    </row>
    <row r="340" spans="2:8" ht="15" x14ac:dyDescent="0.35">
      <c r="B340" s="544" t="s">
        <v>6263</v>
      </c>
      <c r="C340" s="517" t="s">
        <v>6358</v>
      </c>
      <c r="D340" s="518">
        <v>6402</v>
      </c>
      <c r="E340" s="517" t="s">
        <v>5717</v>
      </c>
      <c r="F340" s="518" t="s">
        <v>29</v>
      </c>
      <c r="G340" s="519">
        <v>568820</v>
      </c>
      <c r="H340" s="517" t="s">
        <v>6915</v>
      </c>
    </row>
    <row r="341" spans="2:8" ht="15" x14ac:dyDescent="0.35">
      <c r="B341" s="544" t="s">
        <v>6263</v>
      </c>
      <c r="C341" s="517" t="s">
        <v>6358</v>
      </c>
      <c r="D341" s="518">
        <v>6404</v>
      </c>
      <c r="E341" s="517" t="s">
        <v>5718</v>
      </c>
      <c r="F341" s="518" t="s">
        <v>29</v>
      </c>
      <c r="G341" s="519">
        <v>146370</v>
      </c>
      <c r="H341" s="517" t="s">
        <v>6915</v>
      </c>
    </row>
    <row r="342" spans="2:8" ht="15" x14ac:dyDescent="0.35">
      <c r="B342" s="544" t="s">
        <v>6263</v>
      </c>
      <c r="C342" s="517" t="s">
        <v>6358</v>
      </c>
      <c r="D342" s="518">
        <v>6405</v>
      </c>
      <c r="E342" s="517" t="s">
        <v>5719</v>
      </c>
      <c r="F342" s="518" t="s">
        <v>29</v>
      </c>
      <c r="G342" s="519">
        <v>210630</v>
      </c>
      <c r="H342" s="517" t="s">
        <v>6915</v>
      </c>
    </row>
    <row r="343" spans="2:8" ht="15" x14ac:dyDescent="0.35">
      <c r="B343" s="544" t="s">
        <v>6263</v>
      </c>
      <c r="C343" s="517" t="s">
        <v>6358</v>
      </c>
      <c r="D343" s="518">
        <v>6406</v>
      </c>
      <c r="E343" s="517" t="s">
        <v>5720</v>
      </c>
      <c r="F343" s="518" t="s">
        <v>29</v>
      </c>
      <c r="G343" s="519">
        <v>327250</v>
      </c>
      <c r="H343" s="517" t="s">
        <v>6915</v>
      </c>
    </row>
    <row r="344" spans="2:8" ht="15" x14ac:dyDescent="0.35">
      <c r="B344" s="544" t="s">
        <v>6263</v>
      </c>
      <c r="C344" s="517" t="s">
        <v>6358</v>
      </c>
      <c r="D344" s="518">
        <v>6407</v>
      </c>
      <c r="E344" s="517" t="s">
        <v>5721</v>
      </c>
      <c r="F344" s="518" t="s">
        <v>29</v>
      </c>
      <c r="G344" s="519">
        <v>704480</v>
      </c>
      <c r="H344" s="517" t="s">
        <v>6915</v>
      </c>
    </row>
    <row r="345" spans="2:8" ht="15" x14ac:dyDescent="0.35">
      <c r="B345" s="544" t="s">
        <v>6263</v>
      </c>
      <c r="C345" s="517" t="s">
        <v>6358</v>
      </c>
      <c r="D345" s="518">
        <v>6408</v>
      </c>
      <c r="E345" s="517" t="s">
        <v>5722</v>
      </c>
      <c r="F345" s="518" t="s">
        <v>29</v>
      </c>
      <c r="G345" s="519">
        <v>1306620</v>
      </c>
      <c r="H345" s="517" t="s">
        <v>6915</v>
      </c>
    </row>
    <row r="346" spans="2:8" ht="15" x14ac:dyDescent="0.35">
      <c r="B346" s="544" t="s">
        <v>6263</v>
      </c>
      <c r="C346" s="517" t="s">
        <v>6358</v>
      </c>
      <c r="D346" s="518">
        <v>6409</v>
      </c>
      <c r="E346" s="517" t="s">
        <v>5723</v>
      </c>
      <c r="F346" s="518" t="s">
        <v>29</v>
      </c>
      <c r="G346" s="519">
        <v>2288370</v>
      </c>
      <c r="H346" s="517" t="s">
        <v>6915</v>
      </c>
    </row>
    <row r="347" spans="2:8" ht="15" x14ac:dyDescent="0.35">
      <c r="B347" s="544" t="s">
        <v>6263</v>
      </c>
      <c r="C347" s="517" t="s">
        <v>6358</v>
      </c>
      <c r="D347" s="518">
        <v>6410</v>
      </c>
      <c r="E347" s="517" t="s">
        <v>5724</v>
      </c>
      <c r="F347" s="518" t="s">
        <v>29</v>
      </c>
      <c r="G347" s="519">
        <v>2900030</v>
      </c>
      <c r="H347" s="517" t="s">
        <v>6915</v>
      </c>
    </row>
    <row r="348" spans="2:8" ht="15" x14ac:dyDescent="0.35">
      <c r="B348" s="544" t="s">
        <v>6263</v>
      </c>
      <c r="C348" s="517" t="s">
        <v>6358</v>
      </c>
      <c r="D348" s="518">
        <v>6411</v>
      </c>
      <c r="E348" s="517" t="s">
        <v>5725</v>
      </c>
      <c r="F348" s="518" t="s">
        <v>29</v>
      </c>
      <c r="G348" s="519">
        <v>6461700</v>
      </c>
      <c r="H348" s="517" t="s">
        <v>6915</v>
      </c>
    </row>
    <row r="349" spans="2:8" ht="15" x14ac:dyDescent="0.35">
      <c r="B349" s="544" t="s">
        <v>6263</v>
      </c>
      <c r="C349" s="517" t="s">
        <v>6358</v>
      </c>
      <c r="D349" s="518">
        <v>6412</v>
      </c>
      <c r="E349" s="517" t="s">
        <v>5726</v>
      </c>
      <c r="F349" s="518" t="s">
        <v>29</v>
      </c>
      <c r="G349" s="519">
        <v>8068200</v>
      </c>
      <c r="H349" s="517" t="s">
        <v>6915</v>
      </c>
    </row>
    <row r="350" spans="2:8" ht="15" x14ac:dyDescent="0.35">
      <c r="B350" s="544" t="s">
        <v>6263</v>
      </c>
      <c r="C350" s="517" t="s">
        <v>6358</v>
      </c>
      <c r="D350" s="518">
        <v>6413</v>
      </c>
      <c r="E350" s="517" t="s">
        <v>5727</v>
      </c>
      <c r="F350" s="518" t="s">
        <v>29</v>
      </c>
      <c r="G350" s="519">
        <v>9305800</v>
      </c>
      <c r="H350" s="517" t="s">
        <v>6915</v>
      </c>
    </row>
    <row r="351" spans="2:8" ht="15" x14ac:dyDescent="0.35">
      <c r="B351" s="544" t="s">
        <v>6263</v>
      </c>
      <c r="C351" s="517" t="s">
        <v>6358</v>
      </c>
      <c r="D351" s="518">
        <v>6414</v>
      </c>
      <c r="E351" s="517" t="s">
        <v>5728</v>
      </c>
      <c r="F351" s="518" t="s">
        <v>29</v>
      </c>
      <c r="G351" s="519">
        <v>13042400</v>
      </c>
      <c r="H351" s="517" t="s">
        <v>6915</v>
      </c>
    </row>
    <row r="352" spans="2:8" ht="15" x14ac:dyDescent="0.35">
      <c r="B352" s="544" t="s">
        <v>6263</v>
      </c>
      <c r="C352" s="517" t="s">
        <v>6358</v>
      </c>
      <c r="D352" s="518">
        <v>6416</v>
      </c>
      <c r="E352" s="517" t="s">
        <v>5729</v>
      </c>
      <c r="F352" s="518" t="s">
        <v>29</v>
      </c>
      <c r="G352" s="519">
        <v>170170</v>
      </c>
      <c r="H352" s="517" t="s">
        <v>6915</v>
      </c>
    </row>
    <row r="353" spans="2:8" ht="15" x14ac:dyDescent="0.35">
      <c r="B353" s="544" t="s">
        <v>6263</v>
      </c>
      <c r="C353" s="517" t="s">
        <v>6358</v>
      </c>
      <c r="D353" s="518">
        <v>6417</v>
      </c>
      <c r="E353" s="517" t="s">
        <v>5730</v>
      </c>
      <c r="F353" s="518" t="s">
        <v>29</v>
      </c>
      <c r="G353" s="519">
        <v>208250</v>
      </c>
      <c r="H353" s="517" t="s">
        <v>6915</v>
      </c>
    </row>
    <row r="354" spans="2:8" ht="15" x14ac:dyDescent="0.35">
      <c r="B354" s="544" t="s">
        <v>6263</v>
      </c>
      <c r="C354" s="517" t="s">
        <v>6358</v>
      </c>
      <c r="D354" s="518">
        <v>6418</v>
      </c>
      <c r="E354" s="517" t="s">
        <v>5731</v>
      </c>
      <c r="F354" s="518" t="s">
        <v>29</v>
      </c>
      <c r="G354" s="519">
        <v>315350</v>
      </c>
      <c r="H354" s="517" t="s">
        <v>6915</v>
      </c>
    </row>
    <row r="355" spans="2:8" ht="15" x14ac:dyDescent="0.35">
      <c r="B355" s="544" t="s">
        <v>6263</v>
      </c>
      <c r="C355" s="517" t="s">
        <v>6358</v>
      </c>
      <c r="D355" s="518">
        <v>6419</v>
      </c>
      <c r="E355" s="517" t="s">
        <v>5732</v>
      </c>
      <c r="F355" s="518" t="s">
        <v>29</v>
      </c>
      <c r="G355" s="519">
        <v>592620</v>
      </c>
      <c r="H355" s="517" t="s">
        <v>6915</v>
      </c>
    </row>
    <row r="356" spans="2:8" ht="15" x14ac:dyDescent="0.35">
      <c r="B356" s="544" t="s">
        <v>6263</v>
      </c>
      <c r="C356" s="517" t="s">
        <v>6358</v>
      </c>
      <c r="D356" s="518">
        <v>6420</v>
      </c>
      <c r="E356" s="517" t="s">
        <v>5733</v>
      </c>
      <c r="F356" s="518" t="s">
        <v>29</v>
      </c>
      <c r="G356" s="519">
        <v>1234030</v>
      </c>
      <c r="H356" s="517" t="s">
        <v>6915</v>
      </c>
    </row>
    <row r="357" spans="2:8" ht="15" x14ac:dyDescent="0.35">
      <c r="B357" s="544" t="s">
        <v>6263</v>
      </c>
      <c r="C357" s="517" t="s">
        <v>6358</v>
      </c>
      <c r="D357" s="518">
        <v>6421</v>
      </c>
      <c r="E357" s="517" t="s">
        <v>5734</v>
      </c>
      <c r="F357" s="518" t="s">
        <v>29</v>
      </c>
      <c r="G357" s="519">
        <v>2119390</v>
      </c>
      <c r="H357" s="517" t="s">
        <v>6915</v>
      </c>
    </row>
    <row r="358" spans="2:8" ht="15" x14ac:dyDescent="0.35">
      <c r="B358" s="544" t="s">
        <v>6263</v>
      </c>
      <c r="C358" s="517" t="s">
        <v>6358</v>
      </c>
      <c r="D358" s="518">
        <v>6422</v>
      </c>
      <c r="E358" s="517" t="s">
        <v>5735</v>
      </c>
      <c r="F358" s="518" t="s">
        <v>29</v>
      </c>
      <c r="G358" s="519">
        <v>2658460</v>
      </c>
      <c r="H358" s="517" t="s">
        <v>6915</v>
      </c>
    </row>
    <row r="359" spans="2:8" ht="15" x14ac:dyDescent="0.35">
      <c r="B359" s="544" t="s">
        <v>6263</v>
      </c>
      <c r="C359" s="517" t="s">
        <v>6358</v>
      </c>
      <c r="D359" s="518">
        <v>6423</v>
      </c>
      <c r="E359" s="517" t="s">
        <v>5736</v>
      </c>
      <c r="F359" s="518" t="s">
        <v>29</v>
      </c>
      <c r="G359" s="519">
        <v>4129300</v>
      </c>
      <c r="H359" s="517" t="s">
        <v>6915</v>
      </c>
    </row>
    <row r="360" spans="2:8" ht="15" x14ac:dyDescent="0.35">
      <c r="B360" s="544" t="s">
        <v>6263</v>
      </c>
      <c r="C360" s="517" t="s">
        <v>6358</v>
      </c>
      <c r="D360" s="518">
        <v>6424</v>
      </c>
      <c r="E360" s="517" t="s">
        <v>5737</v>
      </c>
      <c r="F360" s="518" t="s">
        <v>29</v>
      </c>
      <c r="G360" s="519">
        <v>6021400</v>
      </c>
      <c r="H360" s="517" t="s">
        <v>6915</v>
      </c>
    </row>
    <row r="361" spans="2:8" ht="15" x14ac:dyDescent="0.35">
      <c r="B361" s="544" t="s">
        <v>6263</v>
      </c>
      <c r="C361" s="517" t="s">
        <v>6358</v>
      </c>
      <c r="D361" s="518">
        <v>6425</v>
      </c>
      <c r="E361" s="517" t="s">
        <v>5738</v>
      </c>
      <c r="F361" s="518" t="s">
        <v>29</v>
      </c>
      <c r="G361" s="519">
        <v>7996800</v>
      </c>
      <c r="H361" s="517" t="s">
        <v>6915</v>
      </c>
    </row>
    <row r="362" spans="2:8" ht="15" x14ac:dyDescent="0.35">
      <c r="B362" s="544" t="s">
        <v>6263</v>
      </c>
      <c r="C362" s="517" t="s">
        <v>6358</v>
      </c>
      <c r="D362" s="518">
        <v>6426</v>
      </c>
      <c r="E362" s="517" t="s">
        <v>5739</v>
      </c>
      <c r="F362" s="518" t="s">
        <v>29</v>
      </c>
      <c r="G362" s="519">
        <v>10126900</v>
      </c>
      <c r="H362" s="517" t="s">
        <v>6915</v>
      </c>
    </row>
    <row r="363" spans="2:8" ht="15" x14ac:dyDescent="0.35">
      <c r="B363" s="544" t="s">
        <v>6263</v>
      </c>
      <c r="C363" s="517" t="s">
        <v>6358</v>
      </c>
      <c r="D363" s="518">
        <v>6430</v>
      </c>
      <c r="E363" s="517" t="s">
        <v>5740</v>
      </c>
      <c r="F363" s="518" t="s">
        <v>29</v>
      </c>
      <c r="G363" s="519">
        <v>278460</v>
      </c>
      <c r="H363" s="517" t="s">
        <v>6915</v>
      </c>
    </row>
    <row r="364" spans="2:8" ht="15" x14ac:dyDescent="0.35">
      <c r="B364" s="544" t="s">
        <v>6263</v>
      </c>
      <c r="C364" s="517" t="s">
        <v>6358</v>
      </c>
      <c r="D364" s="518">
        <v>6431</v>
      </c>
      <c r="E364" s="517" t="s">
        <v>5741</v>
      </c>
      <c r="F364" s="518" t="s">
        <v>29</v>
      </c>
      <c r="G364" s="519">
        <v>564060</v>
      </c>
      <c r="H364" s="517" t="s">
        <v>6915</v>
      </c>
    </row>
    <row r="365" spans="2:8" ht="15" x14ac:dyDescent="0.35">
      <c r="B365" s="544" t="s">
        <v>6263</v>
      </c>
      <c r="C365" s="517" t="s">
        <v>6358</v>
      </c>
      <c r="D365" s="518">
        <v>6434</v>
      </c>
      <c r="E365" s="517" t="s">
        <v>5742</v>
      </c>
      <c r="F365" s="518" t="s">
        <v>29</v>
      </c>
      <c r="G365" s="519">
        <v>2344300</v>
      </c>
      <c r="H365" s="517" t="s">
        <v>6915</v>
      </c>
    </row>
    <row r="366" spans="2:8" ht="15" x14ac:dyDescent="0.35">
      <c r="B366" s="544" t="s">
        <v>6263</v>
      </c>
      <c r="C366" s="517" t="s">
        <v>6358</v>
      </c>
      <c r="D366" s="518">
        <v>6440</v>
      </c>
      <c r="E366" s="517" t="s">
        <v>5743</v>
      </c>
      <c r="F366" s="518" t="s">
        <v>29</v>
      </c>
      <c r="G366" s="519">
        <v>130900</v>
      </c>
      <c r="H366" s="517" t="s">
        <v>6915</v>
      </c>
    </row>
    <row r="367" spans="2:8" ht="15" x14ac:dyDescent="0.35">
      <c r="B367" s="544" t="s">
        <v>6263</v>
      </c>
      <c r="C367" s="517" t="s">
        <v>6358</v>
      </c>
      <c r="D367" s="518">
        <v>6441</v>
      </c>
      <c r="E367" s="517" t="s">
        <v>5744</v>
      </c>
      <c r="F367" s="518" t="s">
        <v>29</v>
      </c>
      <c r="G367" s="519">
        <v>195160</v>
      </c>
      <c r="H367" s="517" t="s">
        <v>6915</v>
      </c>
    </row>
    <row r="368" spans="2:8" ht="15" x14ac:dyDescent="0.35">
      <c r="B368" s="544" t="s">
        <v>6263</v>
      </c>
      <c r="C368" s="517" t="s">
        <v>6358</v>
      </c>
      <c r="D368" s="518">
        <v>6442</v>
      </c>
      <c r="E368" s="517" t="s">
        <v>5745</v>
      </c>
      <c r="F368" s="518" t="s">
        <v>29</v>
      </c>
      <c r="G368" s="519">
        <v>257040</v>
      </c>
      <c r="H368" s="517" t="s">
        <v>6915</v>
      </c>
    </row>
    <row r="369" spans="2:8" ht="15" x14ac:dyDescent="0.35">
      <c r="B369" s="544" t="s">
        <v>6263</v>
      </c>
      <c r="C369" s="517" t="s">
        <v>6358</v>
      </c>
      <c r="D369" s="518">
        <v>6443</v>
      </c>
      <c r="E369" s="517" t="s">
        <v>5746</v>
      </c>
      <c r="F369" s="518" t="s">
        <v>29</v>
      </c>
      <c r="G369" s="519">
        <v>492660</v>
      </c>
      <c r="H369" s="517" t="s">
        <v>6915</v>
      </c>
    </row>
    <row r="370" spans="2:8" ht="15" x14ac:dyDescent="0.35">
      <c r="B370" s="544" t="s">
        <v>6263</v>
      </c>
      <c r="C370" s="517" t="s">
        <v>6358</v>
      </c>
      <c r="D370" s="518">
        <v>6446</v>
      </c>
      <c r="E370" s="517" t="s">
        <v>5747</v>
      </c>
      <c r="F370" s="518" t="s">
        <v>29</v>
      </c>
      <c r="G370" s="519">
        <v>1987300</v>
      </c>
      <c r="H370" s="517" t="s">
        <v>6915</v>
      </c>
    </row>
    <row r="371" spans="2:8" ht="15" x14ac:dyDescent="0.35">
      <c r="B371" s="544" t="s">
        <v>6263</v>
      </c>
      <c r="C371" s="517" t="s">
        <v>6358</v>
      </c>
      <c r="D371" s="518">
        <v>6454</v>
      </c>
      <c r="E371" s="517" t="s">
        <v>5748</v>
      </c>
      <c r="F371" s="518" t="s">
        <v>29</v>
      </c>
      <c r="G371" s="519">
        <v>263915</v>
      </c>
      <c r="H371" s="517" t="s">
        <v>6915</v>
      </c>
    </row>
    <row r="372" spans="2:8" ht="15" x14ac:dyDescent="0.35">
      <c r="B372" s="544" t="s">
        <v>6263</v>
      </c>
      <c r="C372" s="517" t="s">
        <v>6358</v>
      </c>
      <c r="D372" s="518">
        <v>6455</v>
      </c>
      <c r="E372" s="517" t="s">
        <v>5749</v>
      </c>
      <c r="F372" s="518" t="s">
        <v>29</v>
      </c>
      <c r="G372" s="519">
        <v>420951</v>
      </c>
      <c r="H372" s="517" t="s">
        <v>6915</v>
      </c>
    </row>
    <row r="373" spans="2:8" ht="15" x14ac:dyDescent="0.35">
      <c r="B373" s="544" t="s">
        <v>6263</v>
      </c>
      <c r="C373" s="517" t="s">
        <v>6358</v>
      </c>
      <c r="D373" s="518">
        <v>6456</v>
      </c>
      <c r="E373" s="517" t="s">
        <v>5750</v>
      </c>
      <c r="F373" s="518" t="s">
        <v>29</v>
      </c>
      <c r="G373" s="519">
        <v>931151</v>
      </c>
      <c r="H373" s="517" t="s">
        <v>6915</v>
      </c>
    </row>
    <row r="374" spans="2:8" ht="15" x14ac:dyDescent="0.35">
      <c r="B374" s="544" t="s">
        <v>6263</v>
      </c>
      <c r="C374" s="517" t="s">
        <v>6358</v>
      </c>
      <c r="D374" s="518">
        <v>6457</v>
      </c>
      <c r="E374" s="517" t="s">
        <v>5751</v>
      </c>
      <c r="F374" s="518" t="s">
        <v>29</v>
      </c>
      <c r="G374" s="519">
        <v>1120879</v>
      </c>
      <c r="H374" s="517" t="s">
        <v>6915</v>
      </c>
    </row>
    <row r="375" spans="2:8" ht="15" x14ac:dyDescent="0.35">
      <c r="B375" s="544" t="s">
        <v>6263</v>
      </c>
      <c r="C375" s="517" t="s">
        <v>6358</v>
      </c>
      <c r="D375" s="518">
        <v>6458</v>
      </c>
      <c r="E375" s="517" t="s">
        <v>5752</v>
      </c>
      <c r="F375" s="518" t="s">
        <v>29</v>
      </c>
      <c r="G375" s="519">
        <v>1351869</v>
      </c>
      <c r="H375" s="517" t="s">
        <v>6915</v>
      </c>
    </row>
    <row r="376" spans="2:8" ht="15" x14ac:dyDescent="0.35">
      <c r="B376" s="544" t="s">
        <v>6263</v>
      </c>
      <c r="C376" s="517" t="s">
        <v>6358</v>
      </c>
      <c r="D376" s="518">
        <v>6459</v>
      </c>
      <c r="E376" s="517" t="s">
        <v>5753</v>
      </c>
      <c r="F376" s="518" t="s">
        <v>29</v>
      </c>
      <c r="G376" s="519">
        <v>1455859</v>
      </c>
      <c r="H376" s="517" t="s">
        <v>6915</v>
      </c>
    </row>
    <row r="377" spans="2:8" ht="15" x14ac:dyDescent="0.35">
      <c r="B377" s="544" t="s">
        <v>6263</v>
      </c>
      <c r="C377" s="517" t="s">
        <v>6358</v>
      </c>
      <c r="D377" s="518">
        <v>6462</v>
      </c>
      <c r="E377" s="517" t="s">
        <v>5754</v>
      </c>
      <c r="F377" s="518" t="s">
        <v>29</v>
      </c>
      <c r="G377" s="519">
        <v>179690</v>
      </c>
      <c r="H377" s="517" t="s">
        <v>6915</v>
      </c>
    </row>
    <row r="378" spans="2:8" ht="15" x14ac:dyDescent="0.35">
      <c r="B378" s="544" t="s">
        <v>6263</v>
      </c>
      <c r="C378" s="517" t="s">
        <v>6358</v>
      </c>
      <c r="D378" s="518">
        <v>6463</v>
      </c>
      <c r="E378" s="517" t="s">
        <v>5755</v>
      </c>
      <c r="F378" s="518" t="s">
        <v>29</v>
      </c>
      <c r="G378" s="519">
        <v>411740</v>
      </c>
      <c r="H378" s="517" t="s">
        <v>6915</v>
      </c>
    </row>
    <row r="379" spans="2:8" ht="15" x14ac:dyDescent="0.35">
      <c r="B379" s="544" t="s">
        <v>6263</v>
      </c>
      <c r="C379" s="517" t="s">
        <v>6358</v>
      </c>
      <c r="D379" s="518">
        <v>6464</v>
      </c>
      <c r="E379" s="517" t="s">
        <v>5756</v>
      </c>
      <c r="F379" s="518" t="s">
        <v>29</v>
      </c>
      <c r="G379" s="519">
        <v>828240</v>
      </c>
      <c r="H379" s="517" t="s">
        <v>6915</v>
      </c>
    </row>
    <row r="380" spans="2:8" ht="15" x14ac:dyDescent="0.35">
      <c r="B380" s="544" t="s">
        <v>6263</v>
      </c>
      <c r="C380" s="517" t="s">
        <v>6345</v>
      </c>
      <c r="D380" s="518">
        <v>6472</v>
      </c>
      <c r="E380" s="517" t="s">
        <v>3320</v>
      </c>
      <c r="F380" s="518" t="s">
        <v>26</v>
      </c>
      <c r="G380" s="519">
        <v>5567</v>
      </c>
      <c r="H380" s="517" t="s">
        <v>6425</v>
      </c>
    </row>
    <row r="381" spans="2:8" ht="15" x14ac:dyDescent="0.35">
      <c r="B381" s="544" t="s">
        <v>6263</v>
      </c>
      <c r="C381" s="517" t="s">
        <v>6345</v>
      </c>
      <c r="D381" s="518">
        <v>6473</v>
      </c>
      <c r="E381" s="517" t="s">
        <v>3321</v>
      </c>
      <c r="F381" s="518" t="s">
        <v>26</v>
      </c>
      <c r="G381" s="519">
        <v>8609</v>
      </c>
      <c r="H381" s="517" t="s">
        <v>6425</v>
      </c>
    </row>
    <row r="382" spans="2:8" ht="15" x14ac:dyDescent="0.35">
      <c r="B382" s="544" t="s">
        <v>6263</v>
      </c>
      <c r="C382" s="517" t="s">
        <v>6345</v>
      </c>
      <c r="D382" s="518">
        <v>6474</v>
      </c>
      <c r="E382" s="517" t="s">
        <v>3322</v>
      </c>
      <c r="F382" s="518" t="s">
        <v>26</v>
      </c>
      <c r="G382" s="519">
        <v>10973</v>
      </c>
      <c r="H382" s="517" t="s">
        <v>6425</v>
      </c>
    </row>
    <row r="383" spans="2:8" ht="15" x14ac:dyDescent="0.35">
      <c r="B383" s="544" t="s">
        <v>6263</v>
      </c>
      <c r="C383" s="517" t="s">
        <v>6345</v>
      </c>
      <c r="D383" s="518">
        <v>6475</v>
      </c>
      <c r="E383" s="517" t="s">
        <v>3323</v>
      </c>
      <c r="F383" s="518" t="s">
        <v>26</v>
      </c>
      <c r="G383" s="519">
        <v>16880</v>
      </c>
      <c r="H383" s="517" t="s">
        <v>6425</v>
      </c>
    </row>
    <row r="384" spans="2:8" ht="15" x14ac:dyDescent="0.35">
      <c r="B384" s="544" t="s">
        <v>6263</v>
      </c>
      <c r="C384" s="517" t="s">
        <v>6358</v>
      </c>
      <c r="D384" s="518">
        <v>6476</v>
      </c>
      <c r="E384" s="517" t="s">
        <v>5757</v>
      </c>
      <c r="F384" s="518" t="s">
        <v>29</v>
      </c>
      <c r="G384" s="519">
        <v>602140</v>
      </c>
      <c r="H384" s="517" t="s">
        <v>6915</v>
      </c>
    </row>
    <row r="385" spans="2:8" ht="15" x14ac:dyDescent="0.35">
      <c r="B385" s="544" t="s">
        <v>6263</v>
      </c>
      <c r="C385" s="517" t="s">
        <v>6358</v>
      </c>
      <c r="D385" s="518">
        <v>6477</v>
      </c>
      <c r="E385" s="517" t="s">
        <v>5758</v>
      </c>
      <c r="F385" s="518" t="s">
        <v>29</v>
      </c>
      <c r="G385" s="519">
        <v>857990</v>
      </c>
      <c r="H385" s="517" t="s">
        <v>6915</v>
      </c>
    </row>
    <row r="386" spans="2:8" ht="15" x14ac:dyDescent="0.35">
      <c r="B386" s="544" t="s">
        <v>6263</v>
      </c>
      <c r="C386" s="517" t="s">
        <v>6358</v>
      </c>
      <c r="D386" s="518">
        <v>6479</v>
      </c>
      <c r="E386" s="517" t="s">
        <v>5759</v>
      </c>
      <c r="F386" s="518" t="s">
        <v>29</v>
      </c>
      <c r="G386" s="519">
        <v>2193170</v>
      </c>
      <c r="H386" s="517" t="s">
        <v>6915</v>
      </c>
    </row>
    <row r="387" spans="2:8" ht="15" x14ac:dyDescent="0.35">
      <c r="B387" s="544" t="s">
        <v>6263</v>
      </c>
      <c r="C387" s="517" t="s">
        <v>6358</v>
      </c>
      <c r="D387" s="518">
        <v>6480</v>
      </c>
      <c r="E387" s="517" t="s">
        <v>5760</v>
      </c>
      <c r="F387" s="518" t="s">
        <v>29</v>
      </c>
      <c r="G387" s="519">
        <v>3712800</v>
      </c>
      <c r="H387" s="517" t="s">
        <v>6915</v>
      </c>
    </row>
    <row r="388" spans="2:8" ht="15" x14ac:dyDescent="0.35">
      <c r="B388" s="544" t="s">
        <v>6263</v>
      </c>
      <c r="C388" s="517" t="s">
        <v>6358</v>
      </c>
      <c r="D388" s="518">
        <v>6481</v>
      </c>
      <c r="E388" s="517" t="s">
        <v>5761</v>
      </c>
      <c r="F388" s="518" t="s">
        <v>29</v>
      </c>
      <c r="G388" s="519">
        <v>4358970</v>
      </c>
      <c r="H388" s="517" t="s">
        <v>6915</v>
      </c>
    </row>
    <row r="389" spans="2:8" ht="15" x14ac:dyDescent="0.35">
      <c r="B389" s="544" t="s">
        <v>6263</v>
      </c>
      <c r="C389" s="517" t="s">
        <v>6358</v>
      </c>
      <c r="D389" s="518">
        <v>6482</v>
      </c>
      <c r="E389" s="517" t="s">
        <v>5762</v>
      </c>
      <c r="F389" s="518" t="s">
        <v>29</v>
      </c>
      <c r="G389" s="519">
        <v>6092800</v>
      </c>
      <c r="H389" s="517" t="s">
        <v>6915</v>
      </c>
    </row>
    <row r="390" spans="2:8" ht="15" x14ac:dyDescent="0.35">
      <c r="B390" s="544" t="s">
        <v>6263</v>
      </c>
      <c r="C390" s="517" t="s">
        <v>6358</v>
      </c>
      <c r="D390" s="518">
        <v>6483</v>
      </c>
      <c r="E390" s="517" t="s">
        <v>5763</v>
      </c>
      <c r="F390" s="518" t="s">
        <v>29</v>
      </c>
      <c r="G390" s="519">
        <v>8772680</v>
      </c>
      <c r="H390" s="517" t="s">
        <v>6915</v>
      </c>
    </row>
    <row r="391" spans="2:8" ht="15" x14ac:dyDescent="0.35">
      <c r="B391" s="544" t="s">
        <v>6263</v>
      </c>
      <c r="C391" s="517" t="s">
        <v>6358</v>
      </c>
      <c r="D391" s="518">
        <v>6484</v>
      </c>
      <c r="E391" s="517" t="s">
        <v>5764</v>
      </c>
      <c r="F391" s="518" t="s">
        <v>29</v>
      </c>
      <c r="G391" s="519">
        <v>3102330</v>
      </c>
      <c r="H391" s="517" t="s">
        <v>6915</v>
      </c>
    </row>
    <row r="392" spans="2:8" ht="15" x14ac:dyDescent="0.35">
      <c r="B392" s="544" t="s">
        <v>6263</v>
      </c>
      <c r="C392" s="517" t="s">
        <v>6358</v>
      </c>
      <c r="D392" s="518">
        <v>6485</v>
      </c>
      <c r="E392" s="517" t="s">
        <v>5765</v>
      </c>
      <c r="F392" s="518" t="s">
        <v>29</v>
      </c>
      <c r="G392" s="519">
        <v>3316530</v>
      </c>
      <c r="H392" s="517" t="s">
        <v>6915</v>
      </c>
    </row>
    <row r="393" spans="2:8" ht="15" x14ac:dyDescent="0.35">
      <c r="B393" s="544" t="s">
        <v>6263</v>
      </c>
      <c r="C393" s="517" t="s">
        <v>6338</v>
      </c>
      <c r="D393" s="518">
        <v>6507</v>
      </c>
      <c r="E393" s="517" t="s">
        <v>3324</v>
      </c>
      <c r="F393" s="518" t="s">
        <v>676</v>
      </c>
      <c r="G393" s="519">
        <v>311238</v>
      </c>
      <c r="H393" s="517" t="s">
        <v>6425</v>
      </c>
    </row>
    <row r="394" spans="2:8" ht="15" x14ac:dyDescent="0.35">
      <c r="B394" s="544" t="s">
        <v>6263</v>
      </c>
      <c r="C394" s="517" t="s">
        <v>6346</v>
      </c>
      <c r="D394" s="518">
        <v>6527</v>
      </c>
      <c r="E394" s="517" t="s">
        <v>5502</v>
      </c>
      <c r="F394" s="518" t="s">
        <v>29</v>
      </c>
      <c r="G394" s="519">
        <v>267400</v>
      </c>
      <c r="H394" s="517" t="s">
        <v>6425</v>
      </c>
    </row>
    <row r="395" spans="2:8" ht="15" x14ac:dyDescent="0.35">
      <c r="B395" s="544" t="s">
        <v>6263</v>
      </c>
      <c r="C395" s="517" t="s">
        <v>6346</v>
      </c>
      <c r="D395" s="518">
        <v>6528</v>
      </c>
      <c r="E395" s="517" t="s">
        <v>5503</v>
      </c>
      <c r="F395" s="518" t="s">
        <v>29</v>
      </c>
      <c r="G395" s="519">
        <v>491665</v>
      </c>
      <c r="H395" s="517" t="s">
        <v>6425</v>
      </c>
    </row>
    <row r="396" spans="2:8" ht="15" x14ac:dyDescent="0.35">
      <c r="B396" s="544" t="s">
        <v>6263</v>
      </c>
      <c r="C396" s="517" t="s">
        <v>6346</v>
      </c>
      <c r="D396" s="518">
        <v>6530</v>
      </c>
      <c r="E396" s="517" t="s">
        <v>5504</v>
      </c>
      <c r="F396" s="518" t="s">
        <v>29</v>
      </c>
      <c r="G396" s="519">
        <v>1537259</v>
      </c>
      <c r="H396" s="517" t="s">
        <v>6425</v>
      </c>
    </row>
    <row r="397" spans="2:8" ht="15" x14ac:dyDescent="0.35">
      <c r="B397" s="544" t="s">
        <v>6263</v>
      </c>
      <c r="C397" s="517" t="s">
        <v>6357</v>
      </c>
      <c r="D397" s="518">
        <v>6534</v>
      </c>
      <c r="E397" s="517" t="s">
        <v>3325</v>
      </c>
      <c r="F397" s="518" t="s">
        <v>29</v>
      </c>
      <c r="G397" s="519">
        <v>474810</v>
      </c>
      <c r="H397" s="517" t="s">
        <v>6915</v>
      </c>
    </row>
    <row r="398" spans="2:8" ht="15" x14ac:dyDescent="0.35">
      <c r="B398" s="544" t="s">
        <v>6263</v>
      </c>
      <c r="C398" s="517" t="s">
        <v>6357</v>
      </c>
      <c r="D398" s="518">
        <v>6535</v>
      </c>
      <c r="E398" s="517" t="s">
        <v>3326</v>
      </c>
      <c r="F398" s="518" t="s">
        <v>29</v>
      </c>
      <c r="G398" s="519">
        <v>226100</v>
      </c>
      <c r="H398" s="517" t="s">
        <v>6915</v>
      </c>
    </row>
    <row r="399" spans="2:8" ht="15" x14ac:dyDescent="0.35">
      <c r="B399" s="544" t="s">
        <v>6263</v>
      </c>
      <c r="C399" s="517" t="s">
        <v>6345</v>
      </c>
      <c r="D399" s="518">
        <v>6539</v>
      </c>
      <c r="E399" s="517" t="s">
        <v>3327</v>
      </c>
      <c r="F399" s="518" t="s">
        <v>29</v>
      </c>
      <c r="G399" s="519">
        <v>9100</v>
      </c>
      <c r="H399" s="517" t="s">
        <v>6425</v>
      </c>
    </row>
    <row r="400" spans="2:8" ht="15" x14ac:dyDescent="0.35">
      <c r="B400" s="544" t="s">
        <v>6263</v>
      </c>
      <c r="C400" s="517" t="s">
        <v>6345</v>
      </c>
      <c r="D400" s="518">
        <v>6540</v>
      </c>
      <c r="E400" s="517" t="s">
        <v>3328</v>
      </c>
      <c r="F400" s="518" t="s">
        <v>29</v>
      </c>
      <c r="G400" s="519">
        <v>17600</v>
      </c>
      <c r="H400" s="517" t="s">
        <v>6425</v>
      </c>
    </row>
    <row r="401" spans="2:8" ht="15" x14ac:dyDescent="0.35">
      <c r="B401" s="544" t="s">
        <v>6263</v>
      </c>
      <c r="C401" s="517" t="s">
        <v>6344</v>
      </c>
      <c r="D401" s="518">
        <v>6543</v>
      </c>
      <c r="E401" s="517" t="s">
        <v>3329</v>
      </c>
      <c r="F401" s="518" t="s">
        <v>29</v>
      </c>
      <c r="G401" s="519">
        <v>394464</v>
      </c>
      <c r="H401" s="517" t="s">
        <v>6425</v>
      </c>
    </row>
    <row r="402" spans="2:8" ht="15" x14ac:dyDescent="0.35">
      <c r="B402" s="544" t="s">
        <v>6263</v>
      </c>
      <c r="C402" s="517" t="s">
        <v>6344</v>
      </c>
      <c r="D402" s="518">
        <v>6545</v>
      </c>
      <c r="E402" s="517" t="s">
        <v>3330</v>
      </c>
      <c r="F402" s="518" t="s">
        <v>29</v>
      </c>
      <c r="G402" s="519">
        <v>681540</v>
      </c>
      <c r="H402" s="517" t="s">
        <v>6425</v>
      </c>
    </row>
    <row r="403" spans="2:8" ht="15" x14ac:dyDescent="0.35">
      <c r="B403" s="544" t="s">
        <v>6263</v>
      </c>
      <c r="C403" s="517" t="s">
        <v>6359</v>
      </c>
      <c r="D403" s="518">
        <v>6551</v>
      </c>
      <c r="E403" s="517" t="s">
        <v>3331</v>
      </c>
      <c r="F403" s="518" t="s">
        <v>29</v>
      </c>
      <c r="G403" s="519">
        <v>575069</v>
      </c>
      <c r="H403" s="517" t="s">
        <v>6915</v>
      </c>
    </row>
    <row r="404" spans="2:8" ht="15" x14ac:dyDescent="0.35">
      <c r="B404" s="544" t="s">
        <v>6263</v>
      </c>
      <c r="C404" s="517" t="s">
        <v>6359</v>
      </c>
      <c r="D404" s="518">
        <v>6552</v>
      </c>
      <c r="E404" s="517" t="s">
        <v>3332</v>
      </c>
      <c r="F404" s="518" t="s">
        <v>29</v>
      </c>
      <c r="G404" s="519">
        <v>400124</v>
      </c>
      <c r="H404" s="517" t="s">
        <v>6915</v>
      </c>
    </row>
    <row r="405" spans="2:8" ht="15" x14ac:dyDescent="0.35">
      <c r="B405" s="544" t="s">
        <v>6263</v>
      </c>
      <c r="C405" s="517" t="s">
        <v>6359</v>
      </c>
      <c r="D405" s="518">
        <v>6553</v>
      </c>
      <c r="E405" s="517" t="s">
        <v>3333</v>
      </c>
      <c r="F405" s="518" t="s">
        <v>29</v>
      </c>
      <c r="G405" s="519">
        <v>520664</v>
      </c>
      <c r="H405" s="517" t="s">
        <v>6915</v>
      </c>
    </row>
    <row r="406" spans="2:8" ht="15" x14ac:dyDescent="0.35">
      <c r="B406" s="544" t="s">
        <v>6263</v>
      </c>
      <c r="C406" s="517" t="s">
        <v>6359</v>
      </c>
      <c r="D406" s="518">
        <v>6554</v>
      </c>
      <c r="E406" s="517" t="s">
        <v>3334</v>
      </c>
      <c r="F406" s="518" t="s">
        <v>29</v>
      </c>
      <c r="G406" s="519">
        <v>701498</v>
      </c>
      <c r="H406" s="517" t="s">
        <v>6915</v>
      </c>
    </row>
    <row r="407" spans="2:8" ht="15" x14ac:dyDescent="0.35">
      <c r="B407" s="544" t="s">
        <v>6263</v>
      </c>
      <c r="C407" s="517" t="s">
        <v>6359</v>
      </c>
      <c r="D407" s="518">
        <v>6555</v>
      </c>
      <c r="E407" s="517" t="s">
        <v>3335</v>
      </c>
      <c r="F407" s="518" t="s">
        <v>29</v>
      </c>
      <c r="G407" s="519">
        <v>58505</v>
      </c>
      <c r="H407" s="517" t="s">
        <v>6915</v>
      </c>
    </row>
    <row r="408" spans="2:8" ht="15" x14ac:dyDescent="0.35">
      <c r="B408" s="544" t="s">
        <v>6263</v>
      </c>
      <c r="C408" s="517" t="s">
        <v>6359</v>
      </c>
      <c r="D408" s="518">
        <v>6556</v>
      </c>
      <c r="E408" s="517" t="s">
        <v>3336</v>
      </c>
      <c r="F408" s="518" t="s">
        <v>29</v>
      </c>
      <c r="G408" s="519">
        <v>8923</v>
      </c>
      <c r="H408" s="517" t="s">
        <v>6915</v>
      </c>
    </row>
    <row r="409" spans="2:8" ht="15" x14ac:dyDescent="0.35">
      <c r="B409" s="544" t="s">
        <v>6263</v>
      </c>
      <c r="C409" s="517" t="s">
        <v>6346</v>
      </c>
      <c r="D409" s="518">
        <v>6559</v>
      </c>
      <c r="E409" s="517" t="s">
        <v>5505</v>
      </c>
      <c r="F409" s="518" t="s">
        <v>29</v>
      </c>
      <c r="G409" s="519">
        <v>8716</v>
      </c>
      <c r="H409" s="517" t="s">
        <v>6425</v>
      </c>
    </row>
    <row r="410" spans="2:8" ht="15" x14ac:dyDescent="0.35">
      <c r="B410" s="544" t="s">
        <v>6263</v>
      </c>
      <c r="C410" s="517" t="s">
        <v>6346</v>
      </c>
      <c r="D410" s="518">
        <v>6560</v>
      </c>
      <c r="E410" s="517" t="s">
        <v>5506</v>
      </c>
      <c r="F410" s="518" t="s">
        <v>29</v>
      </c>
      <c r="G410" s="519">
        <v>34260</v>
      </c>
      <c r="H410" s="517" t="s">
        <v>6425</v>
      </c>
    </row>
    <row r="411" spans="2:8" ht="15" x14ac:dyDescent="0.35">
      <c r="B411" s="544" t="s">
        <v>6263</v>
      </c>
      <c r="C411" s="517" t="s">
        <v>6346</v>
      </c>
      <c r="D411" s="518">
        <v>6561</v>
      </c>
      <c r="E411" s="517" t="s">
        <v>5507</v>
      </c>
      <c r="F411" s="518" t="s">
        <v>29</v>
      </c>
      <c r="G411" s="519">
        <v>63022</v>
      </c>
      <c r="H411" s="517" t="s">
        <v>6425</v>
      </c>
    </row>
    <row r="412" spans="2:8" ht="15" x14ac:dyDescent="0.35">
      <c r="B412" s="544" t="s">
        <v>6263</v>
      </c>
      <c r="C412" s="517" t="s">
        <v>6338</v>
      </c>
      <c r="D412" s="518">
        <v>6567</v>
      </c>
      <c r="E412" s="517" t="s">
        <v>3337</v>
      </c>
      <c r="F412" s="518" t="s">
        <v>676</v>
      </c>
      <c r="G412" s="519">
        <v>114404</v>
      </c>
      <c r="H412" s="517" t="s">
        <v>6425</v>
      </c>
    </row>
    <row r="413" spans="2:8" ht="15" x14ac:dyDescent="0.35">
      <c r="B413" s="544" t="s">
        <v>6263</v>
      </c>
      <c r="C413" s="517" t="s">
        <v>6343</v>
      </c>
      <c r="D413" s="518">
        <v>6578</v>
      </c>
      <c r="E413" s="517" t="s">
        <v>3338</v>
      </c>
      <c r="F413" s="518" t="s">
        <v>23</v>
      </c>
      <c r="G413" s="519">
        <v>99960</v>
      </c>
      <c r="H413" s="517" t="s">
        <v>6425</v>
      </c>
    </row>
    <row r="414" spans="2:8" ht="15" x14ac:dyDescent="0.35">
      <c r="B414" s="544" t="s">
        <v>6263</v>
      </c>
      <c r="C414" s="517" t="s">
        <v>6343</v>
      </c>
      <c r="D414" s="518">
        <v>6624</v>
      </c>
      <c r="E414" s="517" t="s">
        <v>3339</v>
      </c>
      <c r="F414" s="518" t="s">
        <v>23</v>
      </c>
      <c r="G414" s="519">
        <v>61285</v>
      </c>
      <c r="H414" s="517" t="s">
        <v>6425</v>
      </c>
    </row>
    <row r="415" spans="2:8" ht="15" x14ac:dyDescent="0.35">
      <c r="B415" s="544" t="s">
        <v>6263</v>
      </c>
      <c r="C415" s="517" t="s">
        <v>6350</v>
      </c>
      <c r="D415" s="518">
        <v>6625</v>
      </c>
      <c r="E415" s="517" t="s">
        <v>3340</v>
      </c>
      <c r="F415" s="518" t="s">
        <v>3175</v>
      </c>
      <c r="G415" s="519">
        <v>74066</v>
      </c>
      <c r="H415" s="517" t="s">
        <v>6425</v>
      </c>
    </row>
    <row r="416" spans="2:8" ht="15" x14ac:dyDescent="0.35">
      <c r="B416" s="544" t="s">
        <v>6263</v>
      </c>
      <c r="C416" s="517" t="s">
        <v>6356</v>
      </c>
      <c r="D416" s="518">
        <v>6629</v>
      </c>
      <c r="E416" s="517" t="s">
        <v>3341</v>
      </c>
      <c r="F416" s="518" t="s">
        <v>29</v>
      </c>
      <c r="G416" s="519">
        <v>48490</v>
      </c>
      <c r="H416" s="517" t="s">
        <v>6915</v>
      </c>
    </row>
    <row r="417" spans="2:8" ht="15" x14ac:dyDescent="0.35">
      <c r="B417" s="544" t="s">
        <v>6263</v>
      </c>
      <c r="C417" s="517" t="s">
        <v>6356</v>
      </c>
      <c r="D417" s="518">
        <v>6636</v>
      </c>
      <c r="E417" s="517" t="s">
        <v>3342</v>
      </c>
      <c r="F417" s="518" t="s">
        <v>29</v>
      </c>
      <c r="G417" s="519">
        <v>4130371</v>
      </c>
      <c r="H417" s="517" t="s">
        <v>6915</v>
      </c>
    </row>
    <row r="418" spans="2:8" ht="15" x14ac:dyDescent="0.35">
      <c r="B418" s="544" t="s">
        <v>6263</v>
      </c>
      <c r="C418" s="517" t="s">
        <v>6346</v>
      </c>
      <c r="D418" s="518">
        <v>6645</v>
      </c>
      <c r="E418" s="517" t="s">
        <v>5508</v>
      </c>
      <c r="F418" s="518" t="s">
        <v>29</v>
      </c>
      <c r="G418" s="519">
        <v>95971</v>
      </c>
      <c r="H418" s="517" t="s">
        <v>6425</v>
      </c>
    </row>
    <row r="419" spans="2:8" ht="15" x14ac:dyDescent="0.35">
      <c r="B419" s="544" t="s">
        <v>6263</v>
      </c>
      <c r="C419" s="517" t="s">
        <v>6346</v>
      </c>
      <c r="D419" s="518">
        <v>6646</v>
      </c>
      <c r="E419" s="517" t="s">
        <v>5509</v>
      </c>
      <c r="F419" s="518" t="s">
        <v>29</v>
      </c>
      <c r="G419" s="519">
        <v>133412</v>
      </c>
      <c r="H419" s="517" t="s">
        <v>6425</v>
      </c>
    </row>
    <row r="420" spans="2:8" ht="15" x14ac:dyDescent="0.35">
      <c r="B420" s="544" t="s">
        <v>6263</v>
      </c>
      <c r="C420" s="517" t="s">
        <v>6346</v>
      </c>
      <c r="D420" s="518">
        <v>6647</v>
      </c>
      <c r="E420" s="517" t="s">
        <v>5510</v>
      </c>
      <c r="F420" s="518" t="s">
        <v>29</v>
      </c>
      <c r="G420" s="519">
        <v>361384</v>
      </c>
      <c r="H420" s="517" t="s">
        <v>6425</v>
      </c>
    </row>
    <row r="421" spans="2:8" ht="15" x14ac:dyDescent="0.35">
      <c r="B421" s="544" t="s">
        <v>6263</v>
      </c>
      <c r="C421" s="517" t="s">
        <v>6346</v>
      </c>
      <c r="D421" s="518">
        <v>6648</v>
      </c>
      <c r="E421" s="517" t="s">
        <v>5511</v>
      </c>
      <c r="F421" s="518" t="s">
        <v>29</v>
      </c>
      <c r="G421" s="519">
        <v>2879273</v>
      </c>
      <c r="H421" s="517" t="s">
        <v>6425</v>
      </c>
    </row>
    <row r="422" spans="2:8" ht="15" x14ac:dyDescent="0.35">
      <c r="B422" s="544" t="s">
        <v>6263</v>
      </c>
      <c r="C422" s="517" t="s">
        <v>6346</v>
      </c>
      <c r="D422" s="518">
        <v>6649</v>
      </c>
      <c r="E422" s="517" t="s">
        <v>5512</v>
      </c>
      <c r="F422" s="518" t="s">
        <v>29</v>
      </c>
      <c r="G422" s="519">
        <v>110061</v>
      </c>
      <c r="H422" s="517" t="s">
        <v>6425</v>
      </c>
    </row>
    <row r="423" spans="2:8" ht="15" x14ac:dyDescent="0.35">
      <c r="B423" s="544" t="s">
        <v>6263</v>
      </c>
      <c r="C423" s="517" t="s">
        <v>6346</v>
      </c>
      <c r="D423" s="518">
        <v>6650</v>
      </c>
      <c r="E423" s="517" t="s">
        <v>5513</v>
      </c>
      <c r="F423" s="518" t="s">
        <v>29</v>
      </c>
      <c r="G423" s="519">
        <v>85021</v>
      </c>
      <c r="H423" s="517" t="s">
        <v>6425</v>
      </c>
    </row>
    <row r="424" spans="2:8" ht="15" x14ac:dyDescent="0.35">
      <c r="B424" s="544" t="s">
        <v>6263</v>
      </c>
      <c r="C424" s="517" t="s">
        <v>6346</v>
      </c>
      <c r="D424" s="518">
        <v>6651</v>
      </c>
      <c r="E424" s="517" t="s">
        <v>5514</v>
      </c>
      <c r="F424" s="518" t="s">
        <v>29</v>
      </c>
      <c r="G424" s="519">
        <v>126615</v>
      </c>
      <c r="H424" s="517" t="s">
        <v>6425</v>
      </c>
    </row>
    <row r="425" spans="2:8" ht="15" x14ac:dyDescent="0.35">
      <c r="B425" s="544" t="s">
        <v>6263</v>
      </c>
      <c r="C425" s="517" t="s">
        <v>6346</v>
      </c>
      <c r="D425" s="518">
        <v>6652</v>
      </c>
      <c r="E425" s="517" t="s">
        <v>5515</v>
      </c>
      <c r="F425" s="518" t="s">
        <v>29</v>
      </c>
      <c r="G425" s="519">
        <v>167099</v>
      </c>
      <c r="H425" s="517" t="s">
        <v>6425</v>
      </c>
    </row>
    <row r="426" spans="2:8" ht="15" x14ac:dyDescent="0.35">
      <c r="B426" s="544" t="s">
        <v>6263</v>
      </c>
      <c r="C426" s="517" t="s">
        <v>6346</v>
      </c>
      <c r="D426" s="518">
        <v>6653</v>
      </c>
      <c r="E426" s="517" t="s">
        <v>5516</v>
      </c>
      <c r="F426" s="518" t="s">
        <v>29</v>
      </c>
      <c r="G426" s="519">
        <v>313678</v>
      </c>
      <c r="H426" s="517" t="s">
        <v>6425</v>
      </c>
    </row>
    <row r="427" spans="2:8" ht="15" x14ac:dyDescent="0.35">
      <c r="B427" s="544" t="s">
        <v>6263</v>
      </c>
      <c r="C427" s="517" t="s">
        <v>6346</v>
      </c>
      <c r="D427" s="518">
        <v>6654</v>
      </c>
      <c r="E427" s="517" t="s">
        <v>5517</v>
      </c>
      <c r="F427" s="518" t="s">
        <v>29</v>
      </c>
      <c r="G427" s="519">
        <v>879529</v>
      </c>
      <c r="H427" s="517" t="s">
        <v>6425</v>
      </c>
    </row>
    <row r="428" spans="2:8" ht="15" x14ac:dyDescent="0.35">
      <c r="B428" s="544" t="s">
        <v>6263</v>
      </c>
      <c r="C428" s="517" t="s">
        <v>6346</v>
      </c>
      <c r="D428" s="518">
        <v>6655</v>
      </c>
      <c r="E428" s="517" t="s">
        <v>5518</v>
      </c>
      <c r="F428" s="518" t="s">
        <v>29</v>
      </c>
      <c r="G428" s="519">
        <v>1883600</v>
      </c>
      <c r="H428" s="517" t="s">
        <v>6425</v>
      </c>
    </row>
    <row r="429" spans="2:8" ht="15" x14ac:dyDescent="0.35">
      <c r="B429" s="544" t="s">
        <v>6263</v>
      </c>
      <c r="C429" s="517" t="s">
        <v>6346</v>
      </c>
      <c r="D429" s="518">
        <v>6656</v>
      </c>
      <c r="E429" s="517" t="s">
        <v>5519</v>
      </c>
      <c r="F429" s="518" t="s">
        <v>29</v>
      </c>
      <c r="G429" s="519">
        <v>2644021</v>
      </c>
      <c r="H429" s="517" t="s">
        <v>6425</v>
      </c>
    </row>
    <row r="430" spans="2:8" ht="15" x14ac:dyDescent="0.35">
      <c r="B430" s="544" t="s">
        <v>6263</v>
      </c>
      <c r="C430" s="517" t="s">
        <v>6346</v>
      </c>
      <c r="D430" s="518">
        <v>6657</v>
      </c>
      <c r="E430" s="517" t="s">
        <v>5520</v>
      </c>
      <c r="F430" s="518" t="s">
        <v>29</v>
      </c>
      <c r="G430" s="519">
        <v>41166</v>
      </c>
      <c r="H430" s="517" t="s">
        <v>6425</v>
      </c>
    </row>
    <row r="431" spans="2:8" ht="15" x14ac:dyDescent="0.35">
      <c r="B431" s="544" t="s">
        <v>6263</v>
      </c>
      <c r="C431" s="517" t="s">
        <v>6346</v>
      </c>
      <c r="D431" s="518">
        <v>6658</v>
      </c>
      <c r="E431" s="517" t="s">
        <v>5521</v>
      </c>
      <c r="F431" s="518" t="s">
        <v>29</v>
      </c>
      <c r="G431" s="519">
        <v>58167</v>
      </c>
      <c r="H431" s="517" t="s">
        <v>6425</v>
      </c>
    </row>
    <row r="432" spans="2:8" ht="15" x14ac:dyDescent="0.35">
      <c r="B432" s="544" t="s">
        <v>6263</v>
      </c>
      <c r="C432" s="517" t="s">
        <v>6346</v>
      </c>
      <c r="D432" s="518">
        <v>6659</v>
      </c>
      <c r="E432" s="517" t="s">
        <v>5522</v>
      </c>
      <c r="F432" s="518" t="s">
        <v>29</v>
      </c>
      <c r="G432" s="519">
        <v>80149</v>
      </c>
      <c r="H432" s="517" t="s">
        <v>6425</v>
      </c>
    </row>
    <row r="433" spans="2:8" ht="15" x14ac:dyDescent="0.35">
      <c r="B433" s="544" t="s">
        <v>6263</v>
      </c>
      <c r="C433" s="517" t="s">
        <v>6346</v>
      </c>
      <c r="D433" s="518">
        <v>6660</v>
      </c>
      <c r="E433" s="517" t="s">
        <v>5523</v>
      </c>
      <c r="F433" s="518" t="s">
        <v>29</v>
      </c>
      <c r="G433" s="519">
        <v>131656</v>
      </c>
      <c r="H433" s="517" t="s">
        <v>6425</v>
      </c>
    </row>
    <row r="434" spans="2:8" ht="15" x14ac:dyDescent="0.35">
      <c r="B434" s="544" t="s">
        <v>6263</v>
      </c>
      <c r="C434" s="517" t="s">
        <v>6346</v>
      </c>
      <c r="D434" s="518">
        <v>6661</v>
      </c>
      <c r="E434" s="517" t="s">
        <v>5524</v>
      </c>
      <c r="F434" s="518" t="s">
        <v>29</v>
      </c>
      <c r="G434" s="519">
        <v>323491</v>
      </c>
      <c r="H434" s="517" t="s">
        <v>6425</v>
      </c>
    </row>
    <row r="435" spans="2:8" ht="15" x14ac:dyDescent="0.35">
      <c r="B435" s="544" t="s">
        <v>6263</v>
      </c>
      <c r="C435" s="517" t="s">
        <v>6346</v>
      </c>
      <c r="D435" s="518">
        <v>6662</v>
      </c>
      <c r="E435" s="517" t="s">
        <v>5525</v>
      </c>
      <c r="F435" s="518" t="s">
        <v>29</v>
      </c>
      <c r="G435" s="519">
        <v>684455</v>
      </c>
      <c r="H435" s="517" t="s">
        <v>6425</v>
      </c>
    </row>
    <row r="436" spans="2:8" ht="15" x14ac:dyDescent="0.35">
      <c r="B436" s="544" t="s">
        <v>6263</v>
      </c>
      <c r="C436" s="517" t="s">
        <v>6346</v>
      </c>
      <c r="D436" s="518">
        <v>6663</v>
      </c>
      <c r="E436" s="517" t="s">
        <v>5526</v>
      </c>
      <c r="F436" s="518" t="s">
        <v>29</v>
      </c>
      <c r="G436" s="519">
        <v>1533707</v>
      </c>
      <c r="H436" s="517" t="s">
        <v>6425</v>
      </c>
    </row>
    <row r="437" spans="2:8" ht="15" x14ac:dyDescent="0.35">
      <c r="B437" s="544" t="s">
        <v>6263</v>
      </c>
      <c r="C437" s="517" t="s">
        <v>6346</v>
      </c>
      <c r="D437" s="518">
        <v>6664</v>
      </c>
      <c r="E437" s="517" t="s">
        <v>5527</v>
      </c>
      <c r="F437" s="518" t="s">
        <v>29</v>
      </c>
      <c r="G437" s="519">
        <v>2065344</v>
      </c>
      <c r="H437" s="517" t="s">
        <v>6425</v>
      </c>
    </row>
    <row r="438" spans="2:8" ht="15" x14ac:dyDescent="0.35">
      <c r="B438" s="544" t="s">
        <v>6263</v>
      </c>
      <c r="C438" s="517" t="s">
        <v>6346</v>
      </c>
      <c r="D438" s="518">
        <v>6665</v>
      </c>
      <c r="E438" s="517" t="s">
        <v>5528</v>
      </c>
      <c r="F438" s="518" t="s">
        <v>29</v>
      </c>
      <c r="G438" s="519">
        <v>47593</v>
      </c>
      <c r="H438" s="517" t="s">
        <v>6425</v>
      </c>
    </row>
    <row r="439" spans="2:8" ht="15" x14ac:dyDescent="0.35">
      <c r="B439" s="544" t="s">
        <v>6263</v>
      </c>
      <c r="C439" s="517" t="s">
        <v>6346</v>
      </c>
      <c r="D439" s="518">
        <v>6666</v>
      </c>
      <c r="E439" s="517" t="s">
        <v>5529</v>
      </c>
      <c r="F439" s="518" t="s">
        <v>29</v>
      </c>
      <c r="G439" s="519">
        <v>55001</v>
      </c>
      <c r="H439" s="517" t="s">
        <v>6425</v>
      </c>
    </row>
    <row r="440" spans="2:8" ht="15" x14ac:dyDescent="0.35">
      <c r="B440" s="544" t="s">
        <v>6263</v>
      </c>
      <c r="C440" s="517" t="s">
        <v>6346</v>
      </c>
      <c r="D440" s="518">
        <v>6667</v>
      </c>
      <c r="E440" s="517" t="s">
        <v>5530</v>
      </c>
      <c r="F440" s="518" t="s">
        <v>29</v>
      </c>
      <c r="G440" s="519">
        <v>73048</v>
      </c>
      <c r="H440" s="517" t="s">
        <v>6425</v>
      </c>
    </row>
    <row r="441" spans="2:8" ht="15" x14ac:dyDescent="0.35">
      <c r="B441" s="544" t="s">
        <v>6263</v>
      </c>
      <c r="C441" s="517" t="s">
        <v>6346</v>
      </c>
      <c r="D441" s="518">
        <v>6668</v>
      </c>
      <c r="E441" s="517" t="s">
        <v>5531</v>
      </c>
      <c r="F441" s="518" t="s">
        <v>29</v>
      </c>
      <c r="G441" s="519">
        <v>125084</v>
      </c>
      <c r="H441" s="517" t="s">
        <v>6425</v>
      </c>
    </row>
    <row r="442" spans="2:8" ht="15" x14ac:dyDescent="0.35">
      <c r="B442" s="544" t="s">
        <v>6263</v>
      </c>
      <c r="C442" s="517" t="s">
        <v>6346</v>
      </c>
      <c r="D442" s="518">
        <v>6669</v>
      </c>
      <c r="E442" s="517" t="s">
        <v>5532</v>
      </c>
      <c r="F442" s="518" t="s">
        <v>29</v>
      </c>
      <c r="G442" s="519">
        <v>289254</v>
      </c>
      <c r="H442" s="517" t="s">
        <v>6425</v>
      </c>
    </row>
    <row r="443" spans="2:8" ht="15" x14ac:dyDescent="0.35">
      <c r="B443" s="544" t="s">
        <v>6263</v>
      </c>
      <c r="C443" s="517" t="s">
        <v>6346</v>
      </c>
      <c r="D443" s="518">
        <v>6670</v>
      </c>
      <c r="E443" s="517" t="s">
        <v>5533</v>
      </c>
      <c r="F443" s="518" t="s">
        <v>29</v>
      </c>
      <c r="G443" s="519">
        <v>587743</v>
      </c>
      <c r="H443" s="517" t="s">
        <v>6425</v>
      </c>
    </row>
    <row r="444" spans="2:8" ht="15" x14ac:dyDescent="0.35">
      <c r="B444" s="544" t="s">
        <v>6263</v>
      </c>
      <c r="C444" s="517" t="s">
        <v>6346</v>
      </c>
      <c r="D444" s="518">
        <v>6671</v>
      </c>
      <c r="E444" s="517" t="s">
        <v>5534</v>
      </c>
      <c r="F444" s="518" t="s">
        <v>29</v>
      </c>
      <c r="G444" s="519">
        <v>1254705</v>
      </c>
      <c r="H444" s="517" t="s">
        <v>6425</v>
      </c>
    </row>
    <row r="445" spans="2:8" ht="15" x14ac:dyDescent="0.35">
      <c r="B445" s="544" t="s">
        <v>6263</v>
      </c>
      <c r="C445" s="517" t="s">
        <v>6346</v>
      </c>
      <c r="D445" s="518">
        <v>6672</v>
      </c>
      <c r="E445" s="517" t="s">
        <v>5535</v>
      </c>
      <c r="F445" s="518" t="s">
        <v>29</v>
      </c>
      <c r="G445" s="519">
        <v>1660804</v>
      </c>
      <c r="H445" s="517" t="s">
        <v>6425</v>
      </c>
    </row>
    <row r="446" spans="2:8" ht="15" x14ac:dyDescent="0.35">
      <c r="B446" s="544" t="s">
        <v>6263</v>
      </c>
      <c r="C446" s="517" t="s">
        <v>6357</v>
      </c>
      <c r="D446" s="518">
        <v>6673</v>
      </c>
      <c r="E446" s="517" t="s">
        <v>3343</v>
      </c>
      <c r="F446" s="518" t="s">
        <v>29</v>
      </c>
      <c r="G446" s="519">
        <v>10710000</v>
      </c>
      <c r="H446" s="517" t="s">
        <v>6915</v>
      </c>
    </row>
    <row r="447" spans="2:8" ht="15" x14ac:dyDescent="0.35">
      <c r="B447" s="544" t="s">
        <v>6263</v>
      </c>
      <c r="C447" s="517" t="s">
        <v>6357</v>
      </c>
      <c r="D447" s="518">
        <v>6674</v>
      </c>
      <c r="E447" s="517" t="s">
        <v>3344</v>
      </c>
      <c r="F447" s="518" t="s">
        <v>29</v>
      </c>
      <c r="G447" s="519">
        <v>10948000</v>
      </c>
      <c r="H447" s="517" t="s">
        <v>6915</v>
      </c>
    </row>
    <row r="448" spans="2:8" ht="15" x14ac:dyDescent="0.35">
      <c r="B448" s="544" t="s">
        <v>6263</v>
      </c>
      <c r="C448" s="517" t="s">
        <v>6357</v>
      </c>
      <c r="D448" s="518">
        <v>6675</v>
      </c>
      <c r="E448" s="517" t="s">
        <v>3345</v>
      </c>
      <c r="F448" s="518" t="s">
        <v>29</v>
      </c>
      <c r="G448" s="519">
        <v>1047200</v>
      </c>
      <c r="H448" s="517" t="s">
        <v>6915</v>
      </c>
    </row>
    <row r="449" spans="2:8" ht="15" x14ac:dyDescent="0.35">
      <c r="B449" s="544" t="s">
        <v>6263</v>
      </c>
      <c r="C449" s="517" t="s">
        <v>6357</v>
      </c>
      <c r="D449" s="518">
        <v>6677</v>
      </c>
      <c r="E449" s="517" t="s">
        <v>3346</v>
      </c>
      <c r="F449" s="518" t="s">
        <v>29</v>
      </c>
      <c r="G449" s="519">
        <v>812175</v>
      </c>
      <c r="H449" s="517" t="s">
        <v>6915</v>
      </c>
    </row>
    <row r="450" spans="2:8" ht="15" x14ac:dyDescent="0.35">
      <c r="B450" s="544" t="s">
        <v>6263</v>
      </c>
      <c r="C450" s="517" t="s">
        <v>6357</v>
      </c>
      <c r="D450" s="518">
        <v>6679</v>
      </c>
      <c r="E450" s="517" t="s">
        <v>3347</v>
      </c>
      <c r="F450" s="518" t="s">
        <v>29</v>
      </c>
      <c r="G450" s="519">
        <v>999600</v>
      </c>
      <c r="H450" s="517" t="s">
        <v>6915</v>
      </c>
    </row>
    <row r="451" spans="2:8" ht="15" x14ac:dyDescent="0.35">
      <c r="B451" s="544" t="s">
        <v>6263</v>
      </c>
      <c r="C451" s="517" t="s">
        <v>6357</v>
      </c>
      <c r="D451" s="518">
        <v>6680</v>
      </c>
      <c r="E451" s="517" t="s">
        <v>3348</v>
      </c>
      <c r="F451" s="518" t="s">
        <v>29</v>
      </c>
      <c r="G451" s="519">
        <v>238000</v>
      </c>
      <c r="H451" s="517" t="s">
        <v>6915</v>
      </c>
    </row>
    <row r="452" spans="2:8" ht="15" x14ac:dyDescent="0.35">
      <c r="B452" s="544" t="s">
        <v>6263</v>
      </c>
      <c r="C452" s="517" t="s">
        <v>6357</v>
      </c>
      <c r="D452" s="518">
        <v>6681</v>
      </c>
      <c r="E452" s="517" t="s">
        <v>3349</v>
      </c>
      <c r="F452" s="518" t="s">
        <v>29</v>
      </c>
      <c r="G452" s="519">
        <v>4713114</v>
      </c>
      <c r="H452" s="517" t="s">
        <v>6915</v>
      </c>
    </row>
    <row r="453" spans="2:8" ht="15" x14ac:dyDescent="0.35">
      <c r="B453" s="544" t="s">
        <v>6263</v>
      </c>
      <c r="C453" s="517" t="s">
        <v>6357</v>
      </c>
      <c r="D453" s="518">
        <v>6682</v>
      </c>
      <c r="E453" s="517" t="s">
        <v>3350</v>
      </c>
      <c r="F453" s="518" t="s">
        <v>29</v>
      </c>
      <c r="G453" s="519">
        <v>237405</v>
      </c>
      <c r="H453" s="517" t="s">
        <v>6915</v>
      </c>
    </row>
    <row r="454" spans="2:8" ht="15" x14ac:dyDescent="0.35">
      <c r="B454" s="544" t="s">
        <v>6263</v>
      </c>
      <c r="C454" s="517" t="s">
        <v>6357</v>
      </c>
      <c r="D454" s="518">
        <v>6683</v>
      </c>
      <c r="E454" s="517" t="s">
        <v>3351</v>
      </c>
      <c r="F454" s="518" t="s">
        <v>29</v>
      </c>
      <c r="G454" s="519">
        <v>127786</v>
      </c>
      <c r="H454" s="517" t="s">
        <v>6915</v>
      </c>
    </row>
    <row r="455" spans="2:8" ht="15" x14ac:dyDescent="0.35">
      <c r="B455" s="544" t="s">
        <v>6263</v>
      </c>
      <c r="C455" s="517" t="s">
        <v>6342</v>
      </c>
      <c r="D455" s="518">
        <v>6684</v>
      </c>
      <c r="E455" s="517" t="s">
        <v>3352</v>
      </c>
      <c r="F455" s="518" t="s">
        <v>29</v>
      </c>
      <c r="G455" s="519">
        <v>6148</v>
      </c>
      <c r="H455" s="517" t="s">
        <v>6425</v>
      </c>
    </row>
    <row r="456" spans="2:8" ht="15" x14ac:dyDescent="0.35">
      <c r="B456" s="544" t="s">
        <v>6263</v>
      </c>
      <c r="C456" s="517" t="s">
        <v>6258</v>
      </c>
      <c r="D456" s="518">
        <v>6698</v>
      </c>
      <c r="E456" s="517" t="s">
        <v>3353</v>
      </c>
      <c r="F456" s="518" t="s">
        <v>21</v>
      </c>
      <c r="G456" s="519">
        <v>7521</v>
      </c>
      <c r="H456" s="517" t="s">
        <v>6915</v>
      </c>
    </row>
    <row r="457" spans="2:8" ht="15" x14ac:dyDescent="0.35">
      <c r="B457" s="544" t="s">
        <v>6263</v>
      </c>
      <c r="C457" s="517" t="s">
        <v>6258</v>
      </c>
      <c r="D457" s="518">
        <v>6700</v>
      </c>
      <c r="E457" s="517" t="s">
        <v>3354</v>
      </c>
      <c r="F457" s="518" t="s">
        <v>21</v>
      </c>
      <c r="G457" s="519">
        <v>9978</v>
      </c>
      <c r="H457" s="517" t="s">
        <v>6915</v>
      </c>
    </row>
    <row r="458" spans="2:8" ht="15" x14ac:dyDescent="0.35">
      <c r="B458" s="544" t="s">
        <v>6263</v>
      </c>
      <c r="C458" s="517" t="s">
        <v>6258</v>
      </c>
      <c r="D458" s="518">
        <v>6701</v>
      </c>
      <c r="E458" s="517" t="s">
        <v>3355</v>
      </c>
      <c r="F458" s="518" t="s">
        <v>21</v>
      </c>
      <c r="G458" s="519">
        <v>17705</v>
      </c>
      <c r="H458" s="517" t="s">
        <v>6915</v>
      </c>
    </row>
    <row r="459" spans="2:8" ht="15" x14ac:dyDescent="0.35">
      <c r="B459" s="544" t="s">
        <v>6263</v>
      </c>
      <c r="C459" s="517" t="s">
        <v>6258</v>
      </c>
      <c r="D459" s="518">
        <v>6702</v>
      </c>
      <c r="E459" s="517" t="s">
        <v>3356</v>
      </c>
      <c r="F459" s="518" t="s">
        <v>21</v>
      </c>
      <c r="G459" s="519">
        <v>21975</v>
      </c>
      <c r="H459" s="517" t="s">
        <v>6915</v>
      </c>
    </row>
    <row r="460" spans="2:8" ht="15" x14ac:dyDescent="0.35">
      <c r="B460" s="544" t="s">
        <v>6263</v>
      </c>
      <c r="C460" s="517" t="s">
        <v>6258</v>
      </c>
      <c r="D460" s="518">
        <v>6703</v>
      </c>
      <c r="E460" s="517" t="s">
        <v>3357</v>
      </c>
      <c r="F460" s="518" t="s">
        <v>21</v>
      </c>
      <c r="G460" s="519">
        <v>25129</v>
      </c>
      <c r="H460" s="517" t="s">
        <v>6915</v>
      </c>
    </row>
    <row r="461" spans="2:8" ht="15" x14ac:dyDescent="0.35">
      <c r="B461" s="544" t="s">
        <v>6263</v>
      </c>
      <c r="C461" s="517" t="s">
        <v>6258</v>
      </c>
      <c r="D461" s="518">
        <v>6704</v>
      </c>
      <c r="E461" s="517" t="s">
        <v>3358</v>
      </c>
      <c r="F461" s="518" t="s">
        <v>21</v>
      </c>
      <c r="G461" s="519">
        <v>31384</v>
      </c>
      <c r="H461" s="517" t="s">
        <v>6915</v>
      </c>
    </row>
    <row r="462" spans="2:8" ht="15" x14ac:dyDescent="0.35">
      <c r="B462" s="544" t="s">
        <v>6263</v>
      </c>
      <c r="C462" s="517" t="s">
        <v>6258</v>
      </c>
      <c r="D462" s="518">
        <v>6710</v>
      </c>
      <c r="E462" s="517" t="s">
        <v>3359</v>
      </c>
      <c r="F462" s="518" t="s">
        <v>21</v>
      </c>
      <c r="G462" s="519">
        <v>8469</v>
      </c>
      <c r="H462" s="517" t="s">
        <v>6915</v>
      </c>
    </row>
    <row r="463" spans="2:8" ht="15" x14ac:dyDescent="0.35">
      <c r="B463" s="544" t="s">
        <v>6263</v>
      </c>
      <c r="C463" s="517" t="s">
        <v>6346</v>
      </c>
      <c r="D463" s="518">
        <v>6715</v>
      </c>
      <c r="E463" s="517" t="s">
        <v>5536</v>
      </c>
      <c r="F463" s="518" t="s">
        <v>29</v>
      </c>
      <c r="G463" s="519">
        <v>25395</v>
      </c>
      <c r="H463" s="517" t="s">
        <v>6425</v>
      </c>
    </row>
    <row r="464" spans="2:8" ht="15" x14ac:dyDescent="0.35">
      <c r="B464" s="544" t="s">
        <v>6263</v>
      </c>
      <c r="C464" s="517" t="s">
        <v>6343</v>
      </c>
      <c r="D464" s="518">
        <v>6722</v>
      </c>
      <c r="E464" s="517" t="s">
        <v>3360</v>
      </c>
      <c r="F464" s="518" t="s">
        <v>23</v>
      </c>
      <c r="G464" s="519">
        <v>29750</v>
      </c>
      <c r="H464" s="517" t="s">
        <v>6425</v>
      </c>
    </row>
    <row r="465" spans="2:8" ht="15" x14ac:dyDescent="0.35">
      <c r="B465" s="544" t="s">
        <v>6263</v>
      </c>
      <c r="C465" s="517" t="s">
        <v>6342</v>
      </c>
      <c r="D465" s="518">
        <v>6733</v>
      </c>
      <c r="E465" s="517" t="s">
        <v>3361</v>
      </c>
      <c r="F465" s="518" t="s">
        <v>29</v>
      </c>
      <c r="G465" s="519">
        <v>1230</v>
      </c>
      <c r="H465" s="517" t="s">
        <v>6425</v>
      </c>
    </row>
    <row r="466" spans="2:8" ht="15" x14ac:dyDescent="0.35">
      <c r="B466" s="544" t="s">
        <v>6263</v>
      </c>
      <c r="C466" s="517" t="s">
        <v>6337</v>
      </c>
      <c r="D466" s="518">
        <v>6739</v>
      </c>
      <c r="E466" s="517" t="s">
        <v>3362</v>
      </c>
      <c r="F466" s="518" t="s">
        <v>23</v>
      </c>
      <c r="G466" s="519">
        <v>75041</v>
      </c>
      <c r="H466" s="517" t="s">
        <v>6425</v>
      </c>
    </row>
    <row r="467" spans="2:8" ht="15" x14ac:dyDescent="0.35">
      <c r="B467" s="544" t="s">
        <v>6263</v>
      </c>
      <c r="C467" s="517" t="s">
        <v>6350</v>
      </c>
      <c r="D467" s="518">
        <v>6780</v>
      </c>
      <c r="E467" s="517" t="s">
        <v>3363</v>
      </c>
      <c r="F467" s="518" t="s">
        <v>3175</v>
      </c>
      <c r="G467" s="519">
        <v>134708</v>
      </c>
      <c r="H467" s="517" t="s">
        <v>6425</v>
      </c>
    </row>
    <row r="468" spans="2:8" ht="15" x14ac:dyDescent="0.35">
      <c r="B468" s="544" t="s">
        <v>6263</v>
      </c>
      <c r="C468" s="517" t="s">
        <v>6341</v>
      </c>
      <c r="D468" s="518">
        <v>6789</v>
      </c>
      <c r="E468" s="517" t="s">
        <v>3364</v>
      </c>
      <c r="F468" s="518" t="s">
        <v>367</v>
      </c>
      <c r="G468" s="519">
        <v>4665</v>
      </c>
      <c r="H468" s="517" t="s">
        <v>6425</v>
      </c>
    </row>
    <row r="469" spans="2:8" ht="15" x14ac:dyDescent="0.35">
      <c r="B469" s="544" t="s">
        <v>6263</v>
      </c>
      <c r="C469" s="517" t="s">
        <v>6344</v>
      </c>
      <c r="D469" s="518">
        <v>6792</v>
      </c>
      <c r="E469" s="517" t="s">
        <v>3365</v>
      </c>
      <c r="F469" s="518" t="s">
        <v>29</v>
      </c>
      <c r="G469" s="519">
        <v>571200</v>
      </c>
      <c r="H469" s="517" t="s">
        <v>6425</v>
      </c>
    </row>
    <row r="470" spans="2:8" ht="15" x14ac:dyDescent="0.35">
      <c r="B470" s="544" t="s">
        <v>6263</v>
      </c>
      <c r="C470" s="517" t="s">
        <v>6344</v>
      </c>
      <c r="D470" s="518">
        <v>6793</v>
      </c>
      <c r="E470" s="517" t="s">
        <v>3366</v>
      </c>
      <c r="F470" s="518" t="s">
        <v>29</v>
      </c>
      <c r="G470" s="519">
        <v>543830</v>
      </c>
      <c r="H470" s="517" t="s">
        <v>6425</v>
      </c>
    </row>
    <row r="471" spans="2:8" ht="15" x14ac:dyDescent="0.35">
      <c r="B471" s="544" t="s">
        <v>6263</v>
      </c>
      <c r="C471" s="517" t="s">
        <v>6340</v>
      </c>
      <c r="D471" s="518">
        <v>6807</v>
      </c>
      <c r="E471" s="517" t="s">
        <v>3367</v>
      </c>
      <c r="F471" s="518" t="s">
        <v>21</v>
      </c>
      <c r="G471" s="519">
        <v>50700</v>
      </c>
      <c r="H471" s="517" t="s">
        <v>6425</v>
      </c>
    </row>
    <row r="472" spans="2:8" ht="15" x14ac:dyDescent="0.35">
      <c r="B472" s="544" t="s">
        <v>6263</v>
      </c>
      <c r="C472" s="517" t="s">
        <v>6360</v>
      </c>
      <c r="D472" s="518">
        <v>6824</v>
      </c>
      <c r="E472" s="517" t="s">
        <v>3368</v>
      </c>
      <c r="F472" s="518" t="s">
        <v>367</v>
      </c>
      <c r="G472" s="519">
        <v>42</v>
      </c>
      <c r="H472" s="517" t="s">
        <v>6425</v>
      </c>
    </row>
    <row r="473" spans="2:8" ht="15" x14ac:dyDescent="0.35">
      <c r="B473" s="544" t="s">
        <v>6263</v>
      </c>
      <c r="C473" s="517" t="s">
        <v>6359</v>
      </c>
      <c r="D473" s="518">
        <v>6825</v>
      </c>
      <c r="E473" s="517" t="s">
        <v>3369</v>
      </c>
      <c r="F473" s="518" t="s">
        <v>29</v>
      </c>
      <c r="G473" s="519">
        <v>281961</v>
      </c>
      <c r="H473" s="517" t="s">
        <v>6915</v>
      </c>
    </row>
    <row r="474" spans="2:8" ht="15" x14ac:dyDescent="0.35">
      <c r="B474" s="544" t="s">
        <v>6263</v>
      </c>
      <c r="C474" s="517" t="s">
        <v>6359</v>
      </c>
      <c r="D474" s="518">
        <v>6826</v>
      </c>
      <c r="E474" s="517" t="s">
        <v>3370</v>
      </c>
      <c r="F474" s="518" t="s">
        <v>29</v>
      </c>
      <c r="G474" s="519">
        <v>435504</v>
      </c>
      <c r="H474" s="517" t="s">
        <v>6915</v>
      </c>
    </row>
    <row r="475" spans="2:8" ht="15" x14ac:dyDescent="0.35">
      <c r="B475" s="544" t="s">
        <v>6263</v>
      </c>
      <c r="C475" s="517" t="s">
        <v>6337</v>
      </c>
      <c r="D475" s="518">
        <v>6830</v>
      </c>
      <c r="E475" s="517" t="s">
        <v>3371</v>
      </c>
      <c r="F475" s="518" t="s">
        <v>23</v>
      </c>
      <c r="G475" s="519">
        <v>609200</v>
      </c>
      <c r="H475" s="517" t="s">
        <v>6425</v>
      </c>
    </row>
    <row r="476" spans="2:8" ht="15" x14ac:dyDescent="0.35">
      <c r="B476" s="544" t="s">
        <v>6263</v>
      </c>
      <c r="C476" s="517" t="s">
        <v>6337</v>
      </c>
      <c r="D476" s="518">
        <v>6831</v>
      </c>
      <c r="E476" s="517" t="s">
        <v>3372</v>
      </c>
      <c r="F476" s="518" t="s">
        <v>23</v>
      </c>
      <c r="G476" s="519">
        <v>641109</v>
      </c>
      <c r="H476" s="517" t="s">
        <v>6425</v>
      </c>
    </row>
    <row r="477" spans="2:8" ht="15" x14ac:dyDescent="0.35">
      <c r="B477" s="544" t="s">
        <v>6263</v>
      </c>
      <c r="C477" s="517" t="s">
        <v>6337</v>
      </c>
      <c r="D477" s="518">
        <v>6832</v>
      </c>
      <c r="E477" s="517" t="s">
        <v>3373</v>
      </c>
      <c r="F477" s="518" t="s">
        <v>23</v>
      </c>
      <c r="G477" s="519">
        <v>650233</v>
      </c>
      <c r="H477" s="517" t="s">
        <v>6425</v>
      </c>
    </row>
    <row r="478" spans="2:8" ht="15" x14ac:dyDescent="0.35">
      <c r="B478" s="544" t="s">
        <v>6263</v>
      </c>
      <c r="C478" s="517" t="s">
        <v>6361</v>
      </c>
      <c r="D478" s="518">
        <v>6834</v>
      </c>
      <c r="E478" s="517" t="s">
        <v>3374</v>
      </c>
      <c r="F478" s="518" t="s">
        <v>26</v>
      </c>
      <c r="G478" s="519">
        <v>4121</v>
      </c>
      <c r="H478" s="517" t="s">
        <v>6915</v>
      </c>
    </row>
    <row r="479" spans="2:8" ht="15" x14ac:dyDescent="0.35">
      <c r="B479" s="544" t="s">
        <v>6263</v>
      </c>
      <c r="C479" s="517" t="s">
        <v>6346</v>
      </c>
      <c r="D479" s="518">
        <v>6835</v>
      </c>
      <c r="E479" s="517" t="s">
        <v>5537</v>
      </c>
      <c r="F479" s="518" t="s">
        <v>29</v>
      </c>
      <c r="G479" s="519">
        <v>605</v>
      </c>
      <c r="H479" s="517" t="s">
        <v>6425</v>
      </c>
    </row>
    <row r="480" spans="2:8" ht="15" x14ac:dyDescent="0.35">
      <c r="B480" s="544" t="s">
        <v>6263</v>
      </c>
      <c r="C480" s="517" t="s">
        <v>6342</v>
      </c>
      <c r="D480" s="518">
        <v>6846</v>
      </c>
      <c r="E480" s="517" t="s">
        <v>3375</v>
      </c>
      <c r="F480" s="518" t="s">
        <v>29</v>
      </c>
      <c r="G480" s="519">
        <v>2255</v>
      </c>
      <c r="H480" s="517" t="s">
        <v>6425</v>
      </c>
    </row>
    <row r="481" spans="2:8" ht="15" x14ac:dyDescent="0.35">
      <c r="B481" s="544" t="s">
        <v>6263</v>
      </c>
      <c r="C481" s="517" t="s">
        <v>6342</v>
      </c>
      <c r="D481" s="518">
        <v>6847</v>
      </c>
      <c r="E481" s="517" t="s">
        <v>3376</v>
      </c>
      <c r="F481" s="518" t="s">
        <v>29</v>
      </c>
      <c r="G481" s="519">
        <v>2337</v>
      </c>
      <c r="H481" s="517" t="s">
        <v>6425</v>
      </c>
    </row>
    <row r="482" spans="2:8" ht="15" x14ac:dyDescent="0.35">
      <c r="B482" s="544" t="s">
        <v>6263</v>
      </c>
      <c r="C482" s="517" t="s">
        <v>6342</v>
      </c>
      <c r="D482" s="518">
        <v>6853</v>
      </c>
      <c r="E482" s="517" t="s">
        <v>3377</v>
      </c>
      <c r="F482" s="518" t="s">
        <v>29</v>
      </c>
      <c r="G482" s="519">
        <v>1745</v>
      </c>
      <c r="H482" s="517" t="s">
        <v>6425</v>
      </c>
    </row>
    <row r="483" spans="2:8" ht="15" x14ac:dyDescent="0.35">
      <c r="B483" s="544" t="s">
        <v>6263</v>
      </c>
      <c r="C483" s="517" t="s">
        <v>6337</v>
      </c>
      <c r="D483" s="518">
        <v>6858</v>
      </c>
      <c r="E483" s="517" t="s">
        <v>3378</v>
      </c>
      <c r="F483" s="518" t="s">
        <v>23</v>
      </c>
      <c r="G483" s="519">
        <v>830381</v>
      </c>
      <c r="H483" s="517" t="s">
        <v>6425</v>
      </c>
    </row>
    <row r="484" spans="2:8" ht="15" x14ac:dyDescent="0.35">
      <c r="B484" s="544" t="s">
        <v>6263</v>
      </c>
      <c r="C484" s="517" t="s">
        <v>6337</v>
      </c>
      <c r="D484" s="518">
        <v>6859</v>
      </c>
      <c r="E484" s="517" t="s">
        <v>3379</v>
      </c>
      <c r="F484" s="518" t="s">
        <v>23</v>
      </c>
      <c r="G484" s="519">
        <v>793679</v>
      </c>
      <c r="H484" s="517" t="s">
        <v>6425</v>
      </c>
    </row>
    <row r="485" spans="2:8" ht="15" x14ac:dyDescent="0.35">
      <c r="B485" s="544" t="s">
        <v>6263</v>
      </c>
      <c r="C485" s="517" t="s">
        <v>6352</v>
      </c>
      <c r="D485" s="518">
        <v>6861</v>
      </c>
      <c r="E485" s="517" t="s">
        <v>3380</v>
      </c>
      <c r="F485" s="518" t="s">
        <v>21</v>
      </c>
      <c r="G485" s="519">
        <v>96196</v>
      </c>
      <c r="H485" s="517" t="s">
        <v>6425</v>
      </c>
    </row>
    <row r="486" spans="2:8" ht="15" x14ac:dyDescent="0.35">
      <c r="B486" s="544" t="s">
        <v>6263</v>
      </c>
      <c r="C486" s="517" t="s">
        <v>6352</v>
      </c>
      <c r="D486" s="518">
        <v>6863</v>
      </c>
      <c r="E486" s="517" t="s">
        <v>3381</v>
      </c>
      <c r="F486" s="518" t="s">
        <v>29</v>
      </c>
      <c r="G486" s="519">
        <v>51943</v>
      </c>
      <c r="H486" s="517" t="s">
        <v>6425</v>
      </c>
    </row>
    <row r="487" spans="2:8" ht="15" x14ac:dyDescent="0.35">
      <c r="B487" s="544" t="s">
        <v>6263</v>
      </c>
      <c r="C487" s="517" t="s">
        <v>6337</v>
      </c>
      <c r="D487" s="518">
        <v>6865</v>
      </c>
      <c r="E487" s="517" t="s">
        <v>3382</v>
      </c>
      <c r="F487" s="518" t="s">
        <v>23</v>
      </c>
      <c r="G487" s="519">
        <v>622853</v>
      </c>
      <c r="H487" s="517" t="s">
        <v>6425</v>
      </c>
    </row>
    <row r="488" spans="2:8" ht="15" x14ac:dyDescent="0.35">
      <c r="B488" s="544" t="s">
        <v>6263</v>
      </c>
      <c r="C488" s="517" t="s">
        <v>6338</v>
      </c>
      <c r="D488" s="518">
        <v>6867</v>
      </c>
      <c r="E488" s="517" t="s">
        <v>5538</v>
      </c>
      <c r="F488" s="518" t="s">
        <v>676</v>
      </c>
      <c r="G488" s="519">
        <v>672130</v>
      </c>
      <c r="H488" s="517" t="s">
        <v>6425</v>
      </c>
    </row>
    <row r="489" spans="2:8" ht="15" x14ac:dyDescent="0.35">
      <c r="B489" s="544" t="s">
        <v>6263</v>
      </c>
      <c r="C489" s="517" t="s">
        <v>6362</v>
      </c>
      <c r="D489" s="518">
        <v>6875</v>
      </c>
      <c r="E489" s="517" t="s">
        <v>3383</v>
      </c>
      <c r="F489" s="518" t="s">
        <v>367</v>
      </c>
      <c r="G489" s="519">
        <v>5964</v>
      </c>
      <c r="H489" s="517" t="s">
        <v>6425</v>
      </c>
    </row>
    <row r="490" spans="2:8" ht="15" x14ac:dyDescent="0.35">
      <c r="B490" s="544" t="s">
        <v>6263</v>
      </c>
      <c r="C490" s="517" t="s">
        <v>6360</v>
      </c>
      <c r="D490" s="518">
        <v>6878</v>
      </c>
      <c r="E490" s="517" t="s">
        <v>3384</v>
      </c>
      <c r="F490" s="518" t="s">
        <v>1929</v>
      </c>
      <c r="G490" s="519">
        <v>2390</v>
      </c>
      <c r="H490" s="517" t="s">
        <v>6425</v>
      </c>
    </row>
    <row r="491" spans="2:8" ht="15" x14ac:dyDescent="0.35">
      <c r="B491" s="544" t="s">
        <v>6263</v>
      </c>
      <c r="C491" s="517" t="s">
        <v>6356</v>
      </c>
      <c r="D491" s="518">
        <v>6884</v>
      </c>
      <c r="E491" s="517" t="s">
        <v>3385</v>
      </c>
      <c r="F491" s="518" t="s">
        <v>29</v>
      </c>
      <c r="G491" s="519">
        <v>3866489</v>
      </c>
      <c r="H491" s="517" t="s">
        <v>6915</v>
      </c>
    </row>
    <row r="492" spans="2:8" ht="15" x14ac:dyDescent="0.35">
      <c r="B492" s="544" t="s">
        <v>6263</v>
      </c>
      <c r="C492" s="517" t="s">
        <v>6363</v>
      </c>
      <c r="D492" s="518">
        <v>6889</v>
      </c>
      <c r="E492" s="517" t="s">
        <v>3386</v>
      </c>
      <c r="F492" s="518" t="s">
        <v>26</v>
      </c>
      <c r="G492" s="519">
        <v>915</v>
      </c>
      <c r="H492" s="517" t="s">
        <v>6915</v>
      </c>
    </row>
    <row r="493" spans="2:8" ht="15" x14ac:dyDescent="0.35">
      <c r="B493" s="544" t="s">
        <v>6263</v>
      </c>
      <c r="C493" s="517" t="s">
        <v>6363</v>
      </c>
      <c r="D493" s="518">
        <v>6914</v>
      </c>
      <c r="E493" s="517" t="s">
        <v>3387</v>
      </c>
      <c r="F493" s="518" t="s">
        <v>367</v>
      </c>
      <c r="G493" s="519">
        <v>13823</v>
      </c>
      <c r="H493" s="517" t="s">
        <v>6915</v>
      </c>
    </row>
    <row r="494" spans="2:8" ht="15" x14ac:dyDescent="0.35">
      <c r="B494" s="544" t="s">
        <v>6263</v>
      </c>
      <c r="C494" s="517" t="s">
        <v>6354</v>
      </c>
      <c r="D494" s="518">
        <v>6919</v>
      </c>
      <c r="E494" s="517" t="s">
        <v>3388</v>
      </c>
      <c r="F494" s="518" t="s">
        <v>3172</v>
      </c>
      <c r="G494" s="519">
        <v>305251</v>
      </c>
      <c r="H494" s="517" t="s">
        <v>6915</v>
      </c>
    </row>
    <row r="495" spans="2:8" ht="15" x14ac:dyDescent="0.35">
      <c r="B495" s="544" t="s">
        <v>6263</v>
      </c>
      <c r="C495" s="517" t="s">
        <v>6344</v>
      </c>
      <c r="D495" s="518">
        <v>6944</v>
      </c>
      <c r="E495" s="517" t="s">
        <v>3389</v>
      </c>
      <c r="F495" s="518" t="s">
        <v>29</v>
      </c>
      <c r="G495" s="519">
        <v>597900</v>
      </c>
      <c r="H495" s="517" t="s">
        <v>6425</v>
      </c>
    </row>
    <row r="496" spans="2:8" ht="15" x14ac:dyDescent="0.35">
      <c r="B496" s="544" t="s">
        <v>6263</v>
      </c>
      <c r="C496" s="517" t="s">
        <v>6258</v>
      </c>
      <c r="D496" s="518">
        <v>6958</v>
      </c>
      <c r="E496" s="517" t="s">
        <v>3390</v>
      </c>
      <c r="F496" s="518" t="s">
        <v>21</v>
      </c>
      <c r="G496" s="519">
        <v>19656</v>
      </c>
      <c r="H496" s="517" t="s">
        <v>6915</v>
      </c>
    </row>
    <row r="497" spans="2:8" ht="15" x14ac:dyDescent="0.35">
      <c r="B497" s="544" t="s">
        <v>6263</v>
      </c>
      <c r="C497" s="517" t="s">
        <v>6362</v>
      </c>
      <c r="D497" s="518">
        <v>6962</v>
      </c>
      <c r="E497" s="517" t="s">
        <v>3391</v>
      </c>
      <c r="F497" s="518" t="s">
        <v>3189</v>
      </c>
      <c r="G497" s="519">
        <v>2494</v>
      </c>
      <c r="H497" s="517" t="s">
        <v>6425</v>
      </c>
    </row>
    <row r="498" spans="2:8" ht="15" x14ac:dyDescent="0.35">
      <c r="B498" s="544" t="s">
        <v>6263</v>
      </c>
      <c r="C498" s="517" t="s">
        <v>6362</v>
      </c>
      <c r="D498" s="518">
        <v>6963</v>
      </c>
      <c r="E498" s="517" t="s">
        <v>3392</v>
      </c>
      <c r="F498" s="518" t="s">
        <v>3189</v>
      </c>
      <c r="G498" s="519">
        <v>2494</v>
      </c>
      <c r="H498" s="517" t="s">
        <v>6425</v>
      </c>
    </row>
    <row r="499" spans="2:8" ht="15" x14ac:dyDescent="0.35">
      <c r="B499" s="544" t="s">
        <v>6263</v>
      </c>
      <c r="C499" s="517" t="s">
        <v>6362</v>
      </c>
      <c r="D499" s="518">
        <v>6964</v>
      </c>
      <c r="E499" s="517" t="s">
        <v>3393</v>
      </c>
      <c r="F499" s="518" t="s">
        <v>3189</v>
      </c>
      <c r="G499" s="519">
        <v>2788</v>
      </c>
      <c r="H499" s="517" t="s">
        <v>6425</v>
      </c>
    </row>
    <row r="500" spans="2:8" ht="15" x14ac:dyDescent="0.35">
      <c r="B500" s="544" t="s">
        <v>6263</v>
      </c>
      <c r="C500" s="517" t="s">
        <v>6343</v>
      </c>
      <c r="D500" s="518">
        <v>7004</v>
      </c>
      <c r="E500" s="517" t="s">
        <v>3394</v>
      </c>
      <c r="F500" s="518" t="s">
        <v>23</v>
      </c>
      <c r="G500" s="519">
        <v>57120</v>
      </c>
      <c r="H500" s="517" t="s">
        <v>6425</v>
      </c>
    </row>
    <row r="501" spans="2:8" ht="15" x14ac:dyDescent="0.35">
      <c r="B501" s="544" t="s">
        <v>6263</v>
      </c>
      <c r="C501" s="517" t="s">
        <v>6343</v>
      </c>
      <c r="D501" s="518">
        <v>7005</v>
      </c>
      <c r="E501" s="517" t="s">
        <v>3395</v>
      </c>
      <c r="F501" s="518" t="s">
        <v>23</v>
      </c>
      <c r="G501" s="519">
        <v>21420</v>
      </c>
      <c r="H501" s="517" t="s">
        <v>6425</v>
      </c>
    </row>
    <row r="502" spans="2:8" ht="15" x14ac:dyDescent="0.35">
      <c r="B502" s="544" t="s">
        <v>6263</v>
      </c>
      <c r="C502" s="517" t="s">
        <v>6350</v>
      </c>
      <c r="D502" s="518">
        <v>7009</v>
      </c>
      <c r="E502" s="517" t="s">
        <v>3396</v>
      </c>
      <c r="F502" s="518" t="s">
        <v>3175</v>
      </c>
      <c r="G502" s="519">
        <v>107849</v>
      </c>
      <c r="H502" s="517" t="s">
        <v>6425</v>
      </c>
    </row>
    <row r="503" spans="2:8" ht="15" x14ac:dyDescent="0.35">
      <c r="B503" s="544" t="s">
        <v>6263</v>
      </c>
      <c r="C503" s="517" t="s">
        <v>6342</v>
      </c>
      <c r="D503" s="518">
        <v>7012</v>
      </c>
      <c r="E503" s="517" t="s">
        <v>3397</v>
      </c>
      <c r="F503" s="518" t="s">
        <v>29</v>
      </c>
      <c r="G503" s="519">
        <v>1290</v>
      </c>
      <c r="H503" s="517" t="s">
        <v>6425</v>
      </c>
    </row>
    <row r="504" spans="2:8" ht="15" x14ac:dyDescent="0.35">
      <c r="B504" s="544" t="s">
        <v>6263</v>
      </c>
      <c r="C504" s="517" t="s">
        <v>6363</v>
      </c>
      <c r="D504" s="518">
        <v>7018</v>
      </c>
      <c r="E504" s="517" t="s">
        <v>3398</v>
      </c>
      <c r="F504" s="518" t="s">
        <v>3172</v>
      </c>
      <c r="G504" s="519">
        <v>390082</v>
      </c>
      <c r="H504" s="517" t="s">
        <v>6915</v>
      </c>
    </row>
    <row r="505" spans="2:8" ht="15" x14ac:dyDescent="0.35">
      <c r="B505" s="544" t="s">
        <v>6263</v>
      </c>
      <c r="C505" s="517" t="s">
        <v>6349</v>
      </c>
      <c r="D505" s="518">
        <v>7019</v>
      </c>
      <c r="E505" s="517" t="s">
        <v>3399</v>
      </c>
      <c r="F505" s="518" t="s">
        <v>3172</v>
      </c>
      <c r="G505" s="519">
        <v>15491</v>
      </c>
      <c r="H505" s="517" t="s">
        <v>6425</v>
      </c>
    </row>
    <row r="506" spans="2:8" ht="15" x14ac:dyDescent="0.35">
      <c r="B506" s="544" t="s">
        <v>6263</v>
      </c>
      <c r="C506" s="517" t="s">
        <v>6358</v>
      </c>
      <c r="D506" s="518">
        <v>7020</v>
      </c>
      <c r="E506" s="517" t="s">
        <v>5766</v>
      </c>
      <c r="F506" s="518" t="s">
        <v>29</v>
      </c>
      <c r="G506" s="519">
        <v>164639</v>
      </c>
      <c r="H506" s="517" t="s">
        <v>6915</v>
      </c>
    </row>
    <row r="507" spans="2:8" ht="15" x14ac:dyDescent="0.35">
      <c r="B507" s="544" t="s">
        <v>6263</v>
      </c>
      <c r="C507" s="517" t="s">
        <v>6358</v>
      </c>
      <c r="D507" s="518">
        <v>7021</v>
      </c>
      <c r="E507" s="517" t="s">
        <v>3400</v>
      </c>
      <c r="F507" s="518" t="s">
        <v>29</v>
      </c>
      <c r="G507" s="519">
        <v>170182</v>
      </c>
      <c r="H507" s="517" t="s">
        <v>6915</v>
      </c>
    </row>
    <row r="508" spans="2:8" ht="15" x14ac:dyDescent="0.35">
      <c r="B508" s="544" t="s">
        <v>6263</v>
      </c>
      <c r="C508" s="517" t="s">
        <v>6358</v>
      </c>
      <c r="D508" s="518">
        <v>7022</v>
      </c>
      <c r="E508" s="517" t="s">
        <v>3401</v>
      </c>
      <c r="F508" s="518" t="s">
        <v>29</v>
      </c>
      <c r="G508" s="519">
        <v>205092</v>
      </c>
      <c r="H508" s="517" t="s">
        <v>6915</v>
      </c>
    </row>
    <row r="509" spans="2:8" ht="15" x14ac:dyDescent="0.35">
      <c r="B509" s="544" t="s">
        <v>6263</v>
      </c>
      <c r="C509" s="517" t="s">
        <v>6358</v>
      </c>
      <c r="D509" s="518">
        <v>7023</v>
      </c>
      <c r="E509" s="517" t="s">
        <v>3402</v>
      </c>
      <c r="F509" s="518" t="s">
        <v>29</v>
      </c>
      <c r="G509" s="519">
        <v>302858</v>
      </c>
      <c r="H509" s="517" t="s">
        <v>6915</v>
      </c>
    </row>
    <row r="510" spans="2:8" ht="15" x14ac:dyDescent="0.35">
      <c r="B510" s="544" t="s">
        <v>6263</v>
      </c>
      <c r="C510" s="517" t="s">
        <v>6358</v>
      </c>
      <c r="D510" s="518">
        <v>7024</v>
      </c>
      <c r="E510" s="517" t="s">
        <v>3403</v>
      </c>
      <c r="F510" s="518" t="s">
        <v>29</v>
      </c>
      <c r="G510" s="519">
        <v>295275</v>
      </c>
      <c r="H510" s="517" t="s">
        <v>6915</v>
      </c>
    </row>
    <row r="511" spans="2:8" ht="15" x14ac:dyDescent="0.35">
      <c r="B511" s="544" t="s">
        <v>6263</v>
      </c>
      <c r="C511" s="517" t="s">
        <v>6358</v>
      </c>
      <c r="D511" s="518">
        <v>7025</v>
      </c>
      <c r="E511" s="517" t="s">
        <v>3404</v>
      </c>
      <c r="F511" s="518" t="s">
        <v>29</v>
      </c>
      <c r="G511" s="519">
        <v>597709</v>
      </c>
      <c r="H511" s="517" t="s">
        <v>6915</v>
      </c>
    </row>
    <row r="512" spans="2:8" ht="15" x14ac:dyDescent="0.35">
      <c r="B512" s="544" t="s">
        <v>6263</v>
      </c>
      <c r="C512" s="517" t="s">
        <v>6358</v>
      </c>
      <c r="D512" s="518">
        <v>7026</v>
      </c>
      <c r="E512" s="517" t="s">
        <v>3405</v>
      </c>
      <c r="F512" s="518" t="s">
        <v>29</v>
      </c>
      <c r="G512" s="519">
        <v>878841</v>
      </c>
      <c r="H512" s="517" t="s">
        <v>6915</v>
      </c>
    </row>
    <row r="513" spans="2:8" ht="15" x14ac:dyDescent="0.35">
      <c r="B513" s="544" t="s">
        <v>6263</v>
      </c>
      <c r="C513" s="517" t="s">
        <v>6344</v>
      </c>
      <c r="D513" s="518">
        <v>7041</v>
      </c>
      <c r="E513" s="517" t="s">
        <v>3406</v>
      </c>
      <c r="F513" s="518" t="s">
        <v>29</v>
      </c>
      <c r="G513" s="519">
        <v>1794104</v>
      </c>
      <c r="H513" s="517" t="s">
        <v>6425</v>
      </c>
    </row>
    <row r="514" spans="2:8" ht="15" x14ac:dyDescent="0.35">
      <c r="B514" s="544" t="s">
        <v>6263</v>
      </c>
      <c r="C514" s="517" t="s">
        <v>6351</v>
      </c>
      <c r="D514" s="518">
        <v>7050</v>
      </c>
      <c r="E514" s="517" t="s">
        <v>3407</v>
      </c>
      <c r="F514" s="518" t="s">
        <v>676</v>
      </c>
      <c r="G514" s="519">
        <v>17317</v>
      </c>
      <c r="H514" s="517" t="s">
        <v>6915</v>
      </c>
    </row>
    <row r="515" spans="2:8" ht="15" x14ac:dyDescent="0.35">
      <c r="B515" s="544" t="s">
        <v>6263</v>
      </c>
      <c r="C515" s="517" t="s">
        <v>6347</v>
      </c>
      <c r="D515" s="518">
        <v>7055</v>
      </c>
      <c r="E515" s="517" t="s">
        <v>3408</v>
      </c>
      <c r="F515" s="518" t="s">
        <v>367</v>
      </c>
      <c r="G515" s="519">
        <v>1355</v>
      </c>
      <c r="H515" s="517" t="s">
        <v>6425</v>
      </c>
    </row>
    <row r="516" spans="2:8" ht="15" x14ac:dyDescent="0.35">
      <c r="B516" s="544" t="s">
        <v>6263</v>
      </c>
      <c r="C516" s="517" t="s">
        <v>6351</v>
      </c>
      <c r="D516" s="518">
        <v>7057</v>
      </c>
      <c r="E516" s="517" t="s">
        <v>3409</v>
      </c>
      <c r="F516" s="518" t="s">
        <v>676</v>
      </c>
      <c r="G516" s="519">
        <v>13917</v>
      </c>
      <c r="H516" s="517" t="s">
        <v>6915</v>
      </c>
    </row>
    <row r="517" spans="2:8" ht="15" x14ac:dyDescent="0.35">
      <c r="B517" s="544" t="s">
        <v>6263</v>
      </c>
      <c r="C517" s="517" t="s">
        <v>6362</v>
      </c>
      <c r="D517" s="518">
        <v>7071</v>
      </c>
      <c r="E517" s="517" t="s">
        <v>3410</v>
      </c>
      <c r="F517" s="518" t="s">
        <v>3189</v>
      </c>
      <c r="G517" s="519">
        <v>2058</v>
      </c>
      <c r="H517" s="517" t="s">
        <v>6425</v>
      </c>
    </row>
    <row r="518" spans="2:8" ht="15" x14ac:dyDescent="0.35">
      <c r="B518" s="544" t="s">
        <v>6263</v>
      </c>
      <c r="C518" s="517" t="s">
        <v>6353</v>
      </c>
      <c r="D518" s="518">
        <v>7080</v>
      </c>
      <c r="E518" s="517" t="s">
        <v>5539</v>
      </c>
      <c r="F518" s="518" t="s">
        <v>26</v>
      </c>
      <c r="G518" s="519">
        <v>38436</v>
      </c>
      <c r="H518" s="517" t="s">
        <v>6425</v>
      </c>
    </row>
    <row r="519" spans="2:8" ht="15" x14ac:dyDescent="0.35">
      <c r="B519" s="544" t="s">
        <v>6263</v>
      </c>
      <c r="C519" s="517" t="s">
        <v>6353</v>
      </c>
      <c r="D519" s="518">
        <v>7081</v>
      </c>
      <c r="E519" s="517" t="s">
        <v>5540</v>
      </c>
      <c r="F519" s="518" t="s">
        <v>26</v>
      </c>
      <c r="G519" s="519">
        <v>80651</v>
      </c>
      <c r="H519" s="517" t="s">
        <v>6425</v>
      </c>
    </row>
    <row r="520" spans="2:8" ht="15" x14ac:dyDescent="0.35">
      <c r="B520" s="544" t="s">
        <v>6263</v>
      </c>
      <c r="C520" s="517" t="s">
        <v>6364</v>
      </c>
      <c r="D520" s="518">
        <v>7082</v>
      </c>
      <c r="E520" s="517" t="s">
        <v>3411</v>
      </c>
      <c r="F520" s="518" t="s">
        <v>29</v>
      </c>
      <c r="G520" s="519">
        <v>1701700</v>
      </c>
      <c r="H520" s="517" t="s">
        <v>6425</v>
      </c>
    </row>
    <row r="521" spans="2:8" ht="15" x14ac:dyDescent="0.35">
      <c r="B521" s="544" t="s">
        <v>6263</v>
      </c>
      <c r="C521" s="517" t="s">
        <v>6364</v>
      </c>
      <c r="D521" s="518">
        <v>7084</v>
      </c>
      <c r="E521" s="517" t="s">
        <v>3412</v>
      </c>
      <c r="F521" s="518" t="s">
        <v>29</v>
      </c>
      <c r="G521" s="519">
        <v>1154300</v>
      </c>
      <c r="H521" s="517" t="s">
        <v>6425</v>
      </c>
    </row>
    <row r="522" spans="2:8" ht="15" x14ac:dyDescent="0.35">
      <c r="B522" s="544" t="s">
        <v>6263</v>
      </c>
      <c r="C522" s="517" t="s">
        <v>6364</v>
      </c>
      <c r="D522" s="518">
        <v>7085</v>
      </c>
      <c r="E522" s="517" t="s">
        <v>3413</v>
      </c>
      <c r="F522" s="518" t="s">
        <v>29</v>
      </c>
      <c r="G522" s="519">
        <v>1576708</v>
      </c>
      <c r="H522" s="517" t="s">
        <v>6425</v>
      </c>
    </row>
    <row r="523" spans="2:8" ht="15" x14ac:dyDescent="0.35">
      <c r="B523" s="544" t="s">
        <v>6263</v>
      </c>
      <c r="C523" s="517" t="s">
        <v>6364</v>
      </c>
      <c r="D523" s="518">
        <v>7086</v>
      </c>
      <c r="E523" s="517" t="s">
        <v>3414</v>
      </c>
      <c r="F523" s="518" t="s">
        <v>29</v>
      </c>
      <c r="G523" s="519">
        <v>871185</v>
      </c>
      <c r="H523" s="517" t="s">
        <v>6425</v>
      </c>
    </row>
    <row r="524" spans="2:8" ht="15" x14ac:dyDescent="0.35">
      <c r="B524" s="544" t="s">
        <v>6263</v>
      </c>
      <c r="C524" s="517" t="s">
        <v>6364</v>
      </c>
      <c r="D524" s="518">
        <v>7087</v>
      </c>
      <c r="E524" s="517" t="s">
        <v>3415</v>
      </c>
      <c r="F524" s="518" t="s">
        <v>29</v>
      </c>
      <c r="G524" s="519">
        <v>604905</v>
      </c>
      <c r="H524" s="517" t="s">
        <v>6425</v>
      </c>
    </row>
    <row r="525" spans="2:8" ht="15" x14ac:dyDescent="0.35">
      <c r="B525" s="544" t="s">
        <v>6263</v>
      </c>
      <c r="C525" s="517" t="s">
        <v>6341</v>
      </c>
      <c r="D525" s="518">
        <v>7088</v>
      </c>
      <c r="E525" s="517" t="s">
        <v>3416</v>
      </c>
      <c r="F525" s="518" t="s">
        <v>367</v>
      </c>
      <c r="G525" s="519">
        <v>4665</v>
      </c>
      <c r="H525" s="517" t="s">
        <v>6425</v>
      </c>
    </row>
    <row r="526" spans="2:8" ht="15" x14ac:dyDescent="0.35">
      <c r="B526" s="544" t="s">
        <v>6263</v>
      </c>
      <c r="C526" s="517" t="s">
        <v>6344</v>
      </c>
      <c r="D526" s="518">
        <v>7089</v>
      </c>
      <c r="E526" s="517" t="s">
        <v>3417</v>
      </c>
      <c r="F526" s="518" t="s">
        <v>29</v>
      </c>
      <c r="G526" s="519">
        <v>666400</v>
      </c>
      <c r="H526" s="517" t="s">
        <v>6425</v>
      </c>
    </row>
    <row r="527" spans="2:8" ht="15" x14ac:dyDescent="0.35">
      <c r="B527" s="544" t="s">
        <v>6263</v>
      </c>
      <c r="C527" s="517" t="s">
        <v>6365</v>
      </c>
      <c r="D527" s="518">
        <v>7091</v>
      </c>
      <c r="E527" s="517" t="s">
        <v>3418</v>
      </c>
      <c r="F527" s="518" t="s">
        <v>29</v>
      </c>
      <c r="G527" s="519">
        <v>1689374</v>
      </c>
      <c r="H527" s="517" t="s">
        <v>6425</v>
      </c>
    </row>
    <row r="528" spans="2:8" ht="15" x14ac:dyDescent="0.35">
      <c r="B528" s="544" t="s">
        <v>6263</v>
      </c>
      <c r="C528" s="517" t="s">
        <v>6365</v>
      </c>
      <c r="D528" s="518">
        <v>7092</v>
      </c>
      <c r="E528" s="517" t="s">
        <v>3419</v>
      </c>
      <c r="F528" s="518" t="s">
        <v>29</v>
      </c>
      <c r="G528" s="519">
        <v>2267576</v>
      </c>
      <c r="H528" s="517" t="s">
        <v>6425</v>
      </c>
    </row>
    <row r="529" spans="2:8" ht="15" x14ac:dyDescent="0.35">
      <c r="B529" s="544" t="s">
        <v>6263</v>
      </c>
      <c r="C529" s="517" t="s">
        <v>6365</v>
      </c>
      <c r="D529" s="518">
        <v>7093</v>
      </c>
      <c r="E529" s="517" t="s">
        <v>3420</v>
      </c>
      <c r="F529" s="518" t="s">
        <v>29</v>
      </c>
      <c r="G529" s="519">
        <v>2625082</v>
      </c>
      <c r="H529" s="517" t="s">
        <v>6425</v>
      </c>
    </row>
    <row r="530" spans="2:8" ht="15" x14ac:dyDescent="0.35">
      <c r="B530" s="544" t="s">
        <v>6263</v>
      </c>
      <c r="C530" s="517" t="s">
        <v>6365</v>
      </c>
      <c r="D530" s="518">
        <v>7094</v>
      </c>
      <c r="E530" s="517" t="s">
        <v>3421</v>
      </c>
      <c r="F530" s="518" t="s">
        <v>29</v>
      </c>
      <c r="G530" s="519">
        <v>3633420</v>
      </c>
      <c r="H530" s="517" t="s">
        <v>6425</v>
      </c>
    </row>
    <row r="531" spans="2:8" ht="15" x14ac:dyDescent="0.35">
      <c r="B531" s="544" t="s">
        <v>6263</v>
      </c>
      <c r="C531" s="517" t="s">
        <v>6365</v>
      </c>
      <c r="D531" s="518">
        <v>7096</v>
      </c>
      <c r="E531" s="517" t="s">
        <v>3422</v>
      </c>
      <c r="F531" s="518" t="s">
        <v>29</v>
      </c>
      <c r="G531" s="519">
        <v>1713842</v>
      </c>
      <c r="H531" s="517" t="s">
        <v>6425</v>
      </c>
    </row>
    <row r="532" spans="2:8" ht="15" x14ac:dyDescent="0.35">
      <c r="B532" s="544" t="s">
        <v>6263</v>
      </c>
      <c r="C532" s="517" t="s">
        <v>6365</v>
      </c>
      <c r="D532" s="518">
        <v>7097</v>
      </c>
      <c r="E532" s="517" t="s">
        <v>3423</v>
      </c>
      <c r="F532" s="518" t="s">
        <v>29</v>
      </c>
      <c r="G532" s="519">
        <v>2648082</v>
      </c>
      <c r="H532" s="517" t="s">
        <v>6425</v>
      </c>
    </row>
    <row r="533" spans="2:8" ht="15" x14ac:dyDescent="0.35">
      <c r="B533" s="544" t="s">
        <v>6263</v>
      </c>
      <c r="C533" s="517" t="s">
        <v>6365</v>
      </c>
      <c r="D533" s="518">
        <v>7098</v>
      </c>
      <c r="E533" s="517" t="s">
        <v>3424</v>
      </c>
      <c r="F533" s="518" t="s">
        <v>29</v>
      </c>
      <c r="G533" s="519">
        <v>3364671</v>
      </c>
      <c r="H533" s="517" t="s">
        <v>6425</v>
      </c>
    </row>
    <row r="534" spans="2:8" ht="15" x14ac:dyDescent="0.35">
      <c r="B534" s="544" t="s">
        <v>6263</v>
      </c>
      <c r="C534" s="517" t="s">
        <v>6365</v>
      </c>
      <c r="D534" s="518">
        <v>7099</v>
      </c>
      <c r="E534" s="517" t="s">
        <v>3425</v>
      </c>
      <c r="F534" s="518" t="s">
        <v>29</v>
      </c>
      <c r="G534" s="519">
        <v>3481775</v>
      </c>
      <c r="H534" s="517" t="s">
        <v>6425</v>
      </c>
    </row>
    <row r="535" spans="2:8" ht="15" x14ac:dyDescent="0.35">
      <c r="B535" s="544" t="s">
        <v>6263</v>
      </c>
      <c r="C535" s="517" t="s">
        <v>6365</v>
      </c>
      <c r="D535" s="518">
        <v>7101</v>
      </c>
      <c r="E535" s="517" t="s">
        <v>3426</v>
      </c>
      <c r="F535" s="518" t="s">
        <v>29</v>
      </c>
      <c r="G535" s="519">
        <v>937673</v>
      </c>
      <c r="H535" s="517" t="s">
        <v>6425</v>
      </c>
    </row>
    <row r="536" spans="2:8" ht="15" x14ac:dyDescent="0.35">
      <c r="B536" s="544" t="s">
        <v>6263</v>
      </c>
      <c r="C536" s="517" t="s">
        <v>6365</v>
      </c>
      <c r="D536" s="518">
        <v>7104</v>
      </c>
      <c r="E536" s="517" t="s">
        <v>3427</v>
      </c>
      <c r="F536" s="518" t="s">
        <v>29</v>
      </c>
      <c r="G536" s="519">
        <v>398001</v>
      </c>
      <c r="H536" s="517" t="s">
        <v>6425</v>
      </c>
    </row>
    <row r="537" spans="2:8" ht="15" x14ac:dyDescent="0.35">
      <c r="B537" s="544" t="s">
        <v>6263</v>
      </c>
      <c r="C537" s="517" t="s">
        <v>6353</v>
      </c>
      <c r="D537" s="518">
        <v>7105</v>
      </c>
      <c r="E537" s="517" t="s">
        <v>3428</v>
      </c>
      <c r="F537" s="518" t="s">
        <v>26</v>
      </c>
      <c r="G537" s="519">
        <v>14753</v>
      </c>
      <c r="H537" s="517" t="s">
        <v>6425</v>
      </c>
    </row>
    <row r="538" spans="2:8" ht="15" x14ac:dyDescent="0.35">
      <c r="B538" s="544" t="s">
        <v>6263</v>
      </c>
      <c r="C538" s="517" t="s">
        <v>6353</v>
      </c>
      <c r="D538" s="518">
        <v>7106</v>
      </c>
      <c r="E538" s="517" t="s">
        <v>3429</v>
      </c>
      <c r="F538" s="518" t="s">
        <v>26</v>
      </c>
      <c r="G538" s="519">
        <v>26064</v>
      </c>
      <c r="H538" s="517" t="s">
        <v>6425</v>
      </c>
    </row>
    <row r="539" spans="2:8" ht="15" x14ac:dyDescent="0.35">
      <c r="B539" s="544" t="s">
        <v>6263</v>
      </c>
      <c r="C539" s="517" t="s">
        <v>6353</v>
      </c>
      <c r="D539" s="518">
        <v>7107</v>
      </c>
      <c r="E539" s="517" t="s">
        <v>3430</v>
      </c>
      <c r="F539" s="518" t="s">
        <v>26</v>
      </c>
      <c r="G539" s="519">
        <v>58068</v>
      </c>
      <c r="H539" s="517" t="s">
        <v>6425</v>
      </c>
    </row>
    <row r="540" spans="2:8" ht="15" x14ac:dyDescent="0.35">
      <c r="B540" s="544" t="s">
        <v>6263</v>
      </c>
      <c r="C540" s="517" t="s">
        <v>6353</v>
      </c>
      <c r="D540" s="518">
        <v>7109</v>
      </c>
      <c r="E540" s="517" t="s">
        <v>3431</v>
      </c>
      <c r="F540" s="518" t="s">
        <v>26</v>
      </c>
      <c r="G540" s="519">
        <v>20206</v>
      </c>
      <c r="H540" s="517" t="s">
        <v>6425</v>
      </c>
    </row>
    <row r="541" spans="2:8" ht="15" x14ac:dyDescent="0.35">
      <c r="B541" s="544" t="s">
        <v>6263</v>
      </c>
      <c r="C541" s="517" t="s">
        <v>6353</v>
      </c>
      <c r="D541" s="518">
        <v>7110</v>
      </c>
      <c r="E541" s="517" t="s">
        <v>5541</v>
      </c>
      <c r="F541" s="518" t="s">
        <v>26</v>
      </c>
      <c r="G541" s="519">
        <v>35129</v>
      </c>
      <c r="H541" s="517" t="s">
        <v>6425</v>
      </c>
    </row>
    <row r="542" spans="2:8" ht="15" x14ac:dyDescent="0.35">
      <c r="B542" s="544" t="s">
        <v>6263</v>
      </c>
      <c r="C542" s="517" t="s">
        <v>6353</v>
      </c>
      <c r="D542" s="518">
        <v>7111</v>
      </c>
      <c r="E542" s="517" t="s">
        <v>3432</v>
      </c>
      <c r="F542" s="518" t="s">
        <v>26</v>
      </c>
      <c r="G542" s="519">
        <v>80450</v>
      </c>
      <c r="H542" s="517" t="s">
        <v>6425</v>
      </c>
    </row>
    <row r="543" spans="2:8" ht="15" x14ac:dyDescent="0.35">
      <c r="B543" s="544" t="s">
        <v>6263</v>
      </c>
      <c r="C543" s="517" t="s">
        <v>6337</v>
      </c>
      <c r="D543" s="518">
        <v>7114</v>
      </c>
      <c r="E543" s="517" t="s">
        <v>3433</v>
      </c>
      <c r="F543" s="518" t="s">
        <v>23</v>
      </c>
      <c r="G543" s="519">
        <v>776449</v>
      </c>
      <c r="H543" s="517" t="s">
        <v>6425</v>
      </c>
    </row>
    <row r="544" spans="2:8" ht="15" x14ac:dyDescent="0.35">
      <c r="B544" s="544" t="s">
        <v>6263</v>
      </c>
      <c r="C544" s="517" t="s">
        <v>6363</v>
      </c>
      <c r="D544" s="518">
        <v>7115</v>
      </c>
      <c r="E544" s="517" t="s">
        <v>3434</v>
      </c>
      <c r="F544" s="518" t="s">
        <v>367</v>
      </c>
      <c r="G544" s="519">
        <v>15312</v>
      </c>
      <c r="H544" s="517" t="s">
        <v>6915</v>
      </c>
    </row>
    <row r="545" spans="2:8" ht="15" x14ac:dyDescent="0.35">
      <c r="B545" s="544" t="s">
        <v>6263</v>
      </c>
      <c r="C545" s="517" t="s">
        <v>6353</v>
      </c>
      <c r="D545" s="518">
        <v>7119</v>
      </c>
      <c r="E545" s="517" t="s">
        <v>5542</v>
      </c>
      <c r="F545" s="518" t="s">
        <v>26</v>
      </c>
      <c r="G545" s="519">
        <v>658308</v>
      </c>
      <c r="H545" s="517" t="s">
        <v>6425</v>
      </c>
    </row>
    <row r="546" spans="2:8" ht="15" x14ac:dyDescent="0.35">
      <c r="B546" s="544" t="s">
        <v>6263</v>
      </c>
      <c r="C546" s="517" t="s">
        <v>6353</v>
      </c>
      <c r="D546" s="518">
        <v>7120</v>
      </c>
      <c r="E546" s="517" t="s">
        <v>5543</v>
      </c>
      <c r="F546" s="518" t="s">
        <v>26</v>
      </c>
      <c r="G546" s="519">
        <v>793692</v>
      </c>
      <c r="H546" s="517" t="s">
        <v>6425</v>
      </c>
    </row>
    <row r="547" spans="2:8" ht="15" x14ac:dyDescent="0.35">
      <c r="B547" s="544" t="s">
        <v>6263</v>
      </c>
      <c r="C547" s="517" t="s">
        <v>6353</v>
      </c>
      <c r="D547" s="518">
        <v>7121</v>
      </c>
      <c r="E547" s="517" t="s">
        <v>5544</v>
      </c>
      <c r="F547" s="518" t="s">
        <v>26</v>
      </c>
      <c r="G547" s="519">
        <v>979846</v>
      </c>
      <c r="H547" s="517" t="s">
        <v>6425</v>
      </c>
    </row>
    <row r="548" spans="2:8" ht="15" x14ac:dyDescent="0.35">
      <c r="B548" s="544" t="s">
        <v>6263</v>
      </c>
      <c r="C548" s="517" t="s">
        <v>6353</v>
      </c>
      <c r="D548" s="518">
        <v>7122</v>
      </c>
      <c r="E548" s="517" t="s">
        <v>5545</v>
      </c>
      <c r="F548" s="518" t="s">
        <v>26</v>
      </c>
      <c r="G548" s="519">
        <v>1345385</v>
      </c>
      <c r="H548" s="517" t="s">
        <v>6425</v>
      </c>
    </row>
    <row r="549" spans="2:8" ht="15" x14ac:dyDescent="0.35">
      <c r="B549" s="544" t="s">
        <v>6263</v>
      </c>
      <c r="C549" s="517" t="s">
        <v>6353</v>
      </c>
      <c r="D549" s="518">
        <v>7123</v>
      </c>
      <c r="E549" s="517" t="s">
        <v>5546</v>
      </c>
      <c r="F549" s="518" t="s">
        <v>26</v>
      </c>
      <c r="G549" s="519">
        <v>1818385</v>
      </c>
      <c r="H549" s="517" t="s">
        <v>6425</v>
      </c>
    </row>
    <row r="550" spans="2:8" ht="15" x14ac:dyDescent="0.35">
      <c r="B550" s="544" t="s">
        <v>6263</v>
      </c>
      <c r="C550" s="517" t="s">
        <v>6353</v>
      </c>
      <c r="D550" s="518">
        <v>7124</v>
      </c>
      <c r="E550" s="517" t="s">
        <v>5547</v>
      </c>
      <c r="F550" s="518" t="s">
        <v>26</v>
      </c>
      <c r="G550" s="519">
        <v>2435231</v>
      </c>
      <c r="H550" s="517" t="s">
        <v>6425</v>
      </c>
    </row>
    <row r="551" spans="2:8" ht="15" x14ac:dyDescent="0.35">
      <c r="B551" s="544" t="s">
        <v>6263</v>
      </c>
      <c r="C551" s="517" t="s">
        <v>6353</v>
      </c>
      <c r="D551" s="518">
        <v>7125</v>
      </c>
      <c r="E551" s="517" t="s">
        <v>5548</v>
      </c>
      <c r="F551" s="518" t="s">
        <v>26</v>
      </c>
      <c r="G551" s="519">
        <v>2855769</v>
      </c>
      <c r="H551" s="517" t="s">
        <v>6425</v>
      </c>
    </row>
    <row r="552" spans="2:8" ht="15" x14ac:dyDescent="0.35">
      <c r="B552" s="544" t="s">
        <v>6263</v>
      </c>
      <c r="C552" s="517" t="s">
        <v>6258</v>
      </c>
      <c r="D552" s="518">
        <v>7131</v>
      </c>
      <c r="E552" s="517" t="s">
        <v>3435</v>
      </c>
      <c r="F552" s="518" t="s">
        <v>21</v>
      </c>
      <c r="G552" s="519">
        <v>11163</v>
      </c>
      <c r="H552" s="517" t="s">
        <v>6915</v>
      </c>
    </row>
    <row r="553" spans="2:8" ht="15" x14ac:dyDescent="0.35">
      <c r="B553" s="544" t="s">
        <v>6263</v>
      </c>
      <c r="C553" s="517" t="s">
        <v>6258</v>
      </c>
      <c r="D553" s="518">
        <v>7133</v>
      </c>
      <c r="E553" s="517" t="s">
        <v>3436</v>
      </c>
      <c r="F553" s="518" t="s">
        <v>21</v>
      </c>
      <c r="G553" s="519">
        <v>26709</v>
      </c>
      <c r="H553" s="517" t="s">
        <v>6915</v>
      </c>
    </row>
    <row r="554" spans="2:8" ht="15" x14ac:dyDescent="0.35">
      <c r="B554" s="544" t="s">
        <v>6263</v>
      </c>
      <c r="C554" s="517" t="s">
        <v>6258</v>
      </c>
      <c r="D554" s="518">
        <v>7134</v>
      </c>
      <c r="E554" s="517" t="s">
        <v>3437</v>
      </c>
      <c r="F554" s="518" t="s">
        <v>21</v>
      </c>
      <c r="G554" s="519">
        <v>8935</v>
      </c>
      <c r="H554" s="517" t="s">
        <v>6915</v>
      </c>
    </row>
    <row r="555" spans="2:8" ht="15" x14ac:dyDescent="0.35">
      <c r="B555" s="544" t="s">
        <v>6263</v>
      </c>
      <c r="C555" s="517" t="s">
        <v>6342</v>
      </c>
      <c r="D555" s="518">
        <v>7135</v>
      </c>
      <c r="E555" s="517" t="s">
        <v>3438</v>
      </c>
      <c r="F555" s="518" t="s">
        <v>29</v>
      </c>
      <c r="G555" s="519">
        <v>1000</v>
      </c>
      <c r="H555" s="517" t="s">
        <v>6425</v>
      </c>
    </row>
    <row r="556" spans="2:8" ht="15" x14ac:dyDescent="0.35">
      <c r="B556" s="544" t="s">
        <v>6263</v>
      </c>
      <c r="C556" s="517" t="s">
        <v>6352</v>
      </c>
      <c r="D556" s="518">
        <v>7138</v>
      </c>
      <c r="E556" s="517" t="s">
        <v>3439</v>
      </c>
      <c r="F556" s="518" t="s">
        <v>29</v>
      </c>
      <c r="G556" s="519">
        <v>30584</v>
      </c>
      <c r="H556" s="517" t="s">
        <v>6425</v>
      </c>
    </row>
    <row r="557" spans="2:8" ht="15" x14ac:dyDescent="0.35">
      <c r="B557" s="544" t="s">
        <v>6263</v>
      </c>
      <c r="C557" s="517" t="s">
        <v>6352</v>
      </c>
      <c r="D557" s="518">
        <v>7141</v>
      </c>
      <c r="E557" s="517" t="s">
        <v>3440</v>
      </c>
      <c r="F557" s="518" t="s">
        <v>29</v>
      </c>
      <c r="G557" s="519">
        <v>40323</v>
      </c>
      <c r="H557" s="517" t="s">
        <v>6425</v>
      </c>
    </row>
    <row r="558" spans="2:8" ht="15" x14ac:dyDescent="0.35">
      <c r="B558" s="544" t="s">
        <v>6263</v>
      </c>
      <c r="C558" s="517" t="s">
        <v>6345</v>
      </c>
      <c r="D558" s="518">
        <v>7142</v>
      </c>
      <c r="E558" s="517" t="s">
        <v>3441</v>
      </c>
      <c r="F558" s="518" t="s">
        <v>26</v>
      </c>
      <c r="G558" s="519">
        <v>61930</v>
      </c>
      <c r="H558" s="517" t="s">
        <v>6425</v>
      </c>
    </row>
    <row r="559" spans="2:8" ht="15" x14ac:dyDescent="0.35">
      <c r="B559" s="544" t="s">
        <v>6263</v>
      </c>
      <c r="C559" s="517" t="s">
        <v>6344</v>
      </c>
      <c r="D559" s="518">
        <v>7145</v>
      </c>
      <c r="E559" s="517" t="s">
        <v>3442</v>
      </c>
      <c r="F559" s="518" t="s">
        <v>29</v>
      </c>
      <c r="G559" s="519">
        <v>401566</v>
      </c>
      <c r="H559" s="517" t="s">
        <v>6425</v>
      </c>
    </row>
    <row r="560" spans="2:8" ht="15" x14ac:dyDescent="0.35">
      <c r="B560" s="544" t="s">
        <v>6263</v>
      </c>
      <c r="C560" s="517" t="s">
        <v>6338</v>
      </c>
      <c r="D560" s="518">
        <v>7146</v>
      </c>
      <c r="E560" s="517" t="s">
        <v>3443</v>
      </c>
      <c r="F560" s="518" t="s">
        <v>676</v>
      </c>
      <c r="G560" s="519">
        <v>136484</v>
      </c>
      <c r="H560" s="517" t="s">
        <v>6425</v>
      </c>
    </row>
    <row r="561" spans="2:8" ht="15" x14ac:dyDescent="0.35">
      <c r="B561" s="544" t="s">
        <v>6263</v>
      </c>
      <c r="C561" s="517" t="s">
        <v>6356</v>
      </c>
      <c r="D561" s="518">
        <v>7147</v>
      </c>
      <c r="E561" s="517" t="s">
        <v>3444</v>
      </c>
      <c r="F561" s="518" t="s">
        <v>29</v>
      </c>
      <c r="G561" s="519">
        <v>968898</v>
      </c>
      <c r="H561" s="517" t="s">
        <v>6915</v>
      </c>
    </row>
    <row r="562" spans="2:8" ht="15" x14ac:dyDescent="0.35">
      <c r="B562" s="544" t="s">
        <v>6263</v>
      </c>
      <c r="C562" s="517" t="s">
        <v>6344</v>
      </c>
      <c r="D562" s="518">
        <v>7151</v>
      </c>
      <c r="E562" s="517" t="s">
        <v>3445</v>
      </c>
      <c r="F562" s="518" t="s">
        <v>29</v>
      </c>
      <c r="G562" s="519">
        <v>1065050</v>
      </c>
      <c r="H562" s="517" t="s">
        <v>6425</v>
      </c>
    </row>
    <row r="563" spans="2:8" ht="15" x14ac:dyDescent="0.35">
      <c r="B563" s="544" t="s">
        <v>6263</v>
      </c>
      <c r="C563" s="517" t="s">
        <v>6344</v>
      </c>
      <c r="D563" s="518">
        <v>7152</v>
      </c>
      <c r="E563" s="517" t="s">
        <v>3446</v>
      </c>
      <c r="F563" s="518" t="s">
        <v>29</v>
      </c>
      <c r="G563" s="519">
        <v>1832600</v>
      </c>
      <c r="H563" s="517" t="s">
        <v>6425</v>
      </c>
    </row>
    <row r="564" spans="2:8" ht="15" x14ac:dyDescent="0.35">
      <c r="B564" s="544" t="s">
        <v>6263</v>
      </c>
      <c r="C564" s="517" t="s">
        <v>6362</v>
      </c>
      <c r="D564" s="518">
        <v>7153</v>
      </c>
      <c r="E564" s="517" t="s">
        <v>3447</v>
      </c>
      <c r="F564" s="518" t="s">
        <v>3189</v>
      </c>
      <c r="G564" s="519">
        <v>3584</v>
      </c>
      <c r="H564" s="517" t="s">
        <v>6425</v>
      </c>
    </row>
    <row r="565" spans="2:8" ht="15" x14ac:dyDescent="0.35">
      <c r="B565" s="544" t="s">
        <v>6263</v>
      </c>
      <c r="C565" s="517" t="s">
        <v>6362</v>
      </c>
      <c r="D565" s="518">
        <v>7154</v>
      </c>
      <c r="E565" s="517" t="s">
        <v>3448</v>
      </c>
      <c r="F565" s="518" t="s">
        <v>3189</v>
      </c>
      <c r="G565" s="519">
        <v>3818</v>
      </c>
      <c r="H565" s="517" t="s">
        <v>6425</v>
      </c>
    </row>
    <row r="566" spans="2:8" ht="15" x14ac:dyDescent="0.35">
      <c r="B566" s="544" t="s">
        <v>6263</v>
      </c>
      <c r="C566" s="517" t="s">
        <v>6338</v>
      </c>
      <c r="D566" s="518">
        <v>7166</v>
      </c>
      <c r="E566" s="517" t="s">
        <v>3449</v>
      </c>
      <c r="F566" s="518" t="s">
        <v>676</v>
      </c>
      <c r="G566" s="519">
        <v>735991</v>
      </c>
      <c r="H566" s="517" t="s">
        <v>6425</v>
      </c>
    </row>
    <row r="567" spans="2:8" ht="15" x14ac:dyDescent="0.35">
      <c r="B567" s="544" t="s">
        <v>6263</v>
      </c>
      <c r="C567" s="517" t="s">
        <v>6362</v>
      </c>
      <c r="D567" s="518">
        <v>7172</v>
      </c>
      <c r="E567" s="517" t="s">
        <v>3450</v>
      </c>
      <c r="F567" s="518" t="s">
        <v>23</v>
      </c>
      <c r="G567" s="519">
        <v>1035100</v>
      </c>
      <c r="H567" s="517" t="s">
        <v>6425</v>
      </c>
    </row>
    <row r="568" spans="2:8" ht="15" x14ac:dyDescent="0.35">
      <c r="B568" s="544" t="s">
        <v>6263</v>
      </c>
      <c r="C568" s="517" t="s">
        <v>6362</v>
      </c>
      <c r="D568" s="518">
        <v>7174</v>
      </c>
      <c r="E568" s="517" t="s">
        <v>3451</v>
      </c>
      <c r="F568" s="518" t="s">
        <v>23</v>
      </c>
      <c r="G568" s="519">
        <v>1044316</v>
      </c>
      <c r="H568" s="517" t="s">
        <v>6425</v>
      </c>
    </row>
    <row r="569" spans="2:8" ht="15" x14ac:dyDescent="0.35">
      <c r="B569" s="544" t="s">
        <v>6263</v>
      </c>
      <c r="C569" s="517" t="s">
        <v>6362</v>
      </c>
      <c r="D569" s="518">
        <v>7181</v>
      </c>
      <c r="E569" s="517" t="s">
        <v>3452</v>
      </c>
      <c r="F569" s="518" t="s">
        <v>23</v>
      </c>
      <c r="G569" s="519">
        <v>1148470</v>
      </c>
      <c r="H569" s="517" t="s">
        <v>6425</v>
      </c>
    </row>
    <row r="570" spans="2:8" ht="15" x14ac:dyDescent="0.35">
      <c r="B570" s="544" t="s">
        <v>6263</v>
      </c>
      <c r="C570" s="517" t="s">
        <v>6337</v>
      </c>
      <c r="D570" s="518">
        <v>7199</v>
      </c>
      <c r="E570" s="517" t="s">
        <v>3453</v>
      </c>
      <c r="F570" s="518" t="s">
        <v>23</v>
      </c>
      <c r="G570" s="519">
        <v>641670</v>
      </c>
      <c r="H570" s="517" t="s">
        <v>6425</v>
      </c>
    </row>
    <row r="571" spans="2:8" ht="15" x14ac:dyDescent="0.35">
      <c r="B571" s="544" t="s">
        <v>6263</v>
      </c>
      <c r="C571" s="517" t="s">
        <v>6337</v>
      </c>
      <c r="D571" s="518">
        <v>7200</v>
      </c>
      <c r="E571" s="517" t="s">
        <v>3454</v>
      </c>
      <c r="F571" s="518" t="s">
        <v>23</v>
      </c>
      <c r="G571" s="519">
        <v>611648</v>
      </c>
      <c r="H571" s="517" t="s">
        <v>6425</v>
      </c>
    </row>
    <row r="572" spans="2:8" ht="15" x14ac:dyDescent="0.35">
      <c r="B572" s="544" t="s">
        <v>6263</v>
      </c>
      <c r="C572" s="517" t="s">
        <v>6341</v>
      </c>
      <c r="D572" s="518">
        <v>7202</v>
      </c>
      <c r="E572" s="517" t="s">
        <v>3455</v>
      </c>
      <c r="F572" s="518" t="s">
        <v>367</v>
      </c>
      <c r="G572" s="519">
        <v>6069</v>
      </c>
      <c r="H572" s="517" t="s">
        <v>6425</v>
      </c>
    </row>
    <row r="573" spans="2:8" ht="15" x14ac:dyDescent="0.35">
      <c r="B573" s="544" t="s">
        <v>6263</v>
      </c>
      <c r="C573" s="517" t="s">
        <v>6341</v>
      </c>
      <c r="D573" s="518">
        <v>7203</v>
      </c>
      <c r="E573" s="517" t="s">
        <v>3456</v>
      </c>
      <c r="F573" s="518" t="s">
        <v>367</v>
      </c>
      <c r="G573" s="519">
        <v>6069</v>
      </c>
      <c r="H573" s="517" t="s">
        <v>6425</v>
      </c>
    </row>
    <row r="574" spans="2:8" ht="15" x14ac:dyDescent="0.35">
      <c r="B574" s="544" t="s">
        <v>6263</v>
      </c>
      <c r="C574" s="517" t="s">
        <v>6341</v>
      </c>
      <c r="D574" s="518">
        <v>7204</v>
      </c>
      <c r="E574" s="517" t="s">
        <v>3457</v>
      </c>
      <c r="F574" s="518" t="s">
        <v>367</v>
      </c>
      <c r="G574" s="519">
        <v>6069</v>
      </c>
      <c r="H574" s="517" t="s">
        <v>6425</v>
      </c>
    </row>
    <row r="575" spans="2:8" ht="15" x14ac:dyDescent="0.35">
      <c r="B575" s="544" t="s">
        <v>6263</v>
      </c>
      <c r="C575" s="517" t="s">
        <v>6341</v>
      </c>
      <c r="D575" s="518">
        <v>7205</v>
      </c>
      <c r="E575" s="517" t="s">
        <v>3458</v>
      </c>
      <c r="F575" s="518" t="s">
        <v>367</v>
      </c>
      <c r="G575" s="519">
        <v>6069</v>
      </c>
      <c r="H575" s="517" t="s">
        <v>6425</v>
      </c>
    </row>
    <row r="576" spans="2:8" ht="15" x14ac:dyDescent="0.35">
      <c r="B576" s="544" t="s">
        <v>6263</v>
      </c>
      <c r="C576" s="517" t="s">
        <v>6341</v>
      </c>
      <c r="D576" s="518">
        <v>7206</v>
      </c>
      <c r="E576" s="517" t="s">
        <v>3459</v>
      </c>
      <c r="F576" s="518" t="s">
        <v>367</v>
      </c>
      <c r="G576" s="519">
        <v>6069</v>
      </c>
      <c r="H576" s="517" t="s">
        <v>6425</v>
      </c>
    </row>
    <row r="577" spans="2:8" ht="15" x14ac:dyDescent="0.35">
      <c r="B577" s="544" t="s">
        <v>6263</v>
      </c>
      <c r="C577" s="517" t="s">
        <v>6341</v>
      </c>
      <c r="D577" s="518">
        <v>7207</v>
      </c>
      <c r="E577" s="517" t="s">
        <v>3460</v>
      </c>
      <c r="F577" s="518" t="s">
        <v>367</v>
      </c>
      <c r="G577" s="519">
        <v>6069</v>
      </c>
      <c r="H577" s="517" t="s">
        <v>6425</v>
      </c>
    </row>
    <row r="578" spans="2:8" ht="15" x14ac:dyDescent="0.35">
      <c r="B578" s="544" t="s">
        <v>6263</v>
      </c>
      <c r="C578" s="517" t="s">
        <v>6341</v>
      </c>
      <c r="D578" s="518">
        <v>7208</v>
      </c>
      <c r="E578" s="517" t="s">
        <v>3461</v>
      </c>
      <c r="F578" s="518" t="s">
        <v>367</v>
      </c>
      <c r="G578" s="519">
        <v>6069</v>
      </c>
      <c r="H578" s="517" t="s">
        <v>6425</v>
      </c>
    </row>
    <row r="579" spans="2:8" ht="15" x14ac:dyDescent="0.35">
      <c r="B579" s="544" t="s">
        <v>6263</v>
      </c>
      <c r="C579" s="517" t="s">
        <v>6354</v>
      </c>
      <c r="D579" s="518">
        <v>7216</v>
      </c>
      <c r="E579" s="517" t="s">
        <v>3462</v>
      </c>
      <c r="F579" s="518" t="s">
        <v>21</v>
      </c>
      <c r="G579" s="519">
        <v>171837</v>
      </c>
      <c r="H579" s="517" t="s">
        <v>6915</v>
      </c>
    </row>
    <row r="580" spans="2:8" ht="15" x14ac:dyDescent="0.35">
      <c r="B580" s="544" t="s">
        <v>6263</v>
      </c>
      <c r="C580" s="517" t="s">
        <v>6344</v>
      </c>
      <c r="D580" s="518">
        <v>7219</v>
      </c>
      <c r="E580" s="517" t="s">
        <v>3463</v>
      </c>
      <c r="F580" s="518" t="s">
        <v>29</v>
      </c>
      <c r="G580" s="519">
        <v>942000</v>
      </c>
      <c r="H580" s="517" t="s">
        <v>6425</v>
      </c>
    </row>
    <row r="581" spans="2:8" ht="15" x14ac:dyDescent="0.35">
      <c r="B581" s="544" t="s">
        <v>6263</v>
      </c>
      <c r="C581" s="517" t="s">
        <v>6344</v>
      </c>
      <c r="D581" s="518">
        <v>7224</v>
      </c>
      <c r="E581" s="517" t="s">
        <v>3464</v>
      </c>
      <c r="F581" s="518" t="s">
        <v>29</v>
      </c>
      <c r="G581" s="519">
        <v>382240</v>
      </c>
      <c r="H581" s="517" t="s">
        <v>6425</v>
      </c>
    </row>
    <row r="582" spans="2:8" ht="15" x14ac:dyDescent="0.35">
      <c r="B582" s="544" t="s">
        <v>6263</v>
      </c>
      <c r="C582" s="517" t="s">
        <v>6352</v>
      </c>
      <c r="D582" s="518">
        <v>7227</v>
      </c>
      <c r="E582" s="517" t="s">
        <v>3465</v>
      </c>
      <c r="F582" s="518" t="s">
        <v>29</v>
      </c>
      <c r="G582" s="519">
        <v>28917</v>
      </c>
      <c r="H582" s="517" t="s">
        <v>6425</v>
      </c>
    </row>
    <row r="583" spans="2:8" ht="15" x14ac:dyDescent="0.35">
      <c r="B583" s="544" t="s">
        <v>6263</v>
      </c>
      <c r="C583" s="517" t="s">
        <v>6365</v>
      </c>
      <c r="D583" s="518">
        <v>7228</v>
      </c>
      <c r="E583" s="517" t="s">
        <v>3466</v>
      </c>
      <c r="F583" s="518" t="s">
        <v>29</v>
      </c>
      <c r="G583" s="519">
        <v>219983</v>
      </c>
      <c r="H583" s="517" t="s">
        <v>6425</v>
      </c>
    </row>
    <row r="584" spans="2:8" ht="15" x14ac:dyDescent="0.35">
      <c r="B584" s="544" t="s">
        <v>6263</v>
      </c>
      <c r="C584" s="517" t="s">
        <v>6339</v>
      </c>
      <c r="D584" s="518">
        <v>7229</v>
      </c>
      <c r="E584" s="517" t="s">
        <v>3467</v>
      </c>
      <c r="F584" s="518" t="s">
        <v>23</v>
      </c>
      <c r="G584" s="519">
        <v>89250</v>
      </c>
      <c r="H584" s="517" t="s">
        <v>6425</v>
      </c>
    </row>
    <row r="585" spans="2:8" ht="15" x14ac:dyDescent="0.35">
      <c r="B585" s="544" t="s">
        <v>6263</v>
      </c>
      <c r="C585" s="517" t="s">
        <v>6360</v>
      </c>
      <c r="D585" s="518">
        <v>7231</v>
      </c>
      <c r="E585" s="517" t="s">
        <v>3468</v>
      </c>
      <c r="F585" s="518" t="s">
        <v>23</v>
      </c>
      <c r="G585" s="519">
        <v>7934</v>
      </c>
      <c r="H585" s="517" t="s">
        <v>6425</v>
      </c>
    </row>
    <row r="586" spans="2:8" ht="15" x14ac:dyDescent="0.35">
      <c r="B586" s="544" t="s">
        <v>6263</v>
      </c>
      <c r="C586" s="517" t="s">
        <v>6346</v>
      </c>
      <c r="D586" s="518">
        <v>7236</v>
      </c>
      <c r="E586" s="517" t="s">
        <v>3469</v>
      </c>
      <c r="F586" s="518" t="s">
        <v>29</v>
      </c>
      <c r="G586" s="519">
        <v>33989</v>
      </c>
      <c r="H586" s="517" t="s">
        <v>6425</v>
      </c>
    </row>
    <row r="587" spans="2:8" ht="15" x14ac:dyDescent="0.35">
      <c r="B587" s="544" t="s">
        <v>6263</v>
      </c>
      <c r="C587" s="517" t="s">
        <v>6353</v>
      </c>
      <c r="D587" s="518">
        <v>7244</v>
      </c>
      <c r="E587" s="517" t="s">
        <v>5549</v>
      </c>
      <c r="F587" s="518" t="s">
        <v>29</v>
      </c>
      <c r="G587" s="519">
        <v>18972</v>
      </c>
      <c r="H587" s="517" t="s">
        <v>6425</v>
      </c>
    </row>
    <row r="588" spans="2:8" ht="15" x14ac:dyDescent="0.35">
      <c r="B588" s="544" t="s">
        <v>6263</v>
      </c>
      <c r="C588" s="517" t="s">
        <v>6353</v>
      </c>
      <c r="D588" s="518">
        <v>7245</v>
      </c>
      <c r="E588" s="517" t="s">
        <v>5550</v>
      </c>
      <c r="F588" s="518" t="s">
        <v>29</v>
      </c>
      <c r="G588" s="519">
        <v>45970</v>
      </c>
      <c r="H588" s="517" t="s">
        <v>6425</v>
      </c>
    </row>
    <row r="589" spans="2:8" ht="15" x14ac:dyDescent="0.35">
      <c r="B589" s="544" t="s">
        <v>6263</v>
      </c>
      <c r="C589" s="517" t="s">
        <v>6351</v>
      </c>
      <c r="D589" s="518">
        <v>7246</v>
      </c>
      <c r="E589" s="517" t="s">
        <v>3470</v>
      </c>
      <c r="F589" s="518" t="s">
        <v>389</v>
      </c>
      <c r="G589" s="519">
        <v>139262</v>
      </c>
      <c r="H589" s="517" t="s">
        <v>5686</v>
      </c>
    </row>
    <row r="590" spans="2:8" ht="15" x14ac:dyDescent="0.35">
      <c r="B590" s="544" t="s">
        <v>6263</v>
      </c>
      <c r="C590" s="517" t="s">
        <v>6351</v>
      </c>
      <c r="D590" s="518">
        <v>7247</v>
      </c>
      <c r="E590" s="517" t="s">
        <v>3471</v>
      </c>
      <c r="F590" s="518" t="s">
        <v>676</v>
      </c>
      <c r="G590" s="519">
        <v>19895</v>
      </c>
      <c r="H590" s="517" t="s">
        <v>6915</v>
      </c>
    </row>
    <row r="591" spans="2:8" ht="15" x14ac:dyDescent="0.35">
      <c r="B591" s="544" t="s">
        <v>6263</v>
      </c>
      <c r="C591" s="517" t="s">
        <v>6351</v>
      </c>
      <c r="D591" s="518">
        <v>7248</v>
      </c>
      <c r="E591" s="517" t="s">
        <v>3472</v>
      </c>
      <c r="F591" s="518" t="s">
        <v>389</v>
      </c>
      <c r="G591" s="519">
        <v>139262</v>
      </c>
      <c r="H591" s="517" t="s">
        <v>5686</v>
      </c>
    </row>
    <row r="592" spans="2:8" ht="15" x14ac:dyDescent="0.35">
      <c r="B592" s="544" t="s">
        <v>6263</v>
      </c>
      <c r="C592" s="517" t="s">
        <v>6351</v>
      </c>
      <c r="D592" s="518">
        <v>7249</v>
      </c>
      <c r="E592" s="517" t="s">
        <v>3473</v>
      </c>
      <c r="F592" s="518" t="s">
        <v>676</v>
      </c>
      <c r="G592" s="519">
        <v>19895</v>
      </c>
      <c r="H592" s="517" t="s">
        <v>6915</v>
      </c>
    </row>
    <row r="593" spans="2:8" ht="15" x14ac:dyDescent="0.35">
      <c r="B593" s="544" t="s">
        <v>6263</v>
      </c>
      <c r="C593" s="517" t="s">
        <v>6285</v>
      </c>
      <c r="D593" s="518">
        <v>7252</v>
      </c>
      <c r="E593" s="517" t="s">
        <v>3474</v>
      </c>
      <c r="F593" s="518" t="s">
        <v>29</v>
      </c>
      <c r="G593" s="519">
        <v>35700</v>
      </c>
      <c r="H593" s="517" t="s">
        <v>6425</v>
      </c>
    </row>
    <row r="594" spans="2:8" ht="15" x14ac:dyDescent="0.35">
      <c r="B594" s="544" t="s">
        <v>6263</v>
      </c>
      <c r="C594" s="517" t="s">
        <v>6285</v>
      </c>
      <c r="D594" s="518">
        <v>7253</v>
      </c>
      <c r="E594" s="517" t="s">
        <v>3475</v>
      </c>
      <c r="F594" s="518" t="s">
        <v>29</v>
      </c>
      <c r="G594" s="519">
        <v>63308</v>
      </c>
      <c r="H594" s="517" t="s">
        <v>6425</v>
      </c>
    </row>
    <row r="595" spans="2:8" ht="15" x14ac:dyDescent="0.35">
      <c r="B595" s="544" t="s">
        <v>6263</v>
      </c>
      <c r="C595" s="517" t="s">
        <v>6285</v>
      </c>
      <c r="D595" s="518">
        <v>7254</v>
      </c>
      <c r="E595" s="517" t="s">
        <v>3476</v>
      </c>
      <c r="F595" s="518" t="s">
        <v>29</v>
      </c>
      <c r="G595" s="519">
        <v>120785</v>
      </c>
      <c r="H595" s="517" t="s">
        <v>6425</v>
      </c>
    </row>
    <row r="596" spans="2:8" ht="15" x14ac:dyDescent="0.35">
      <c r="B596" s="544" t="s">
        <v>6263</v>
      </c>
      <c r="C596" s="517" t="s">
        <v>6285</v>
      </c>
      <c r="D596" s="518">
        <v>7255</v>
      </c>
      <c r="E596" s="517" t="s">
        <v>3477</v>
      </c>
      <c r="F596" s="518" t="s">
        <v>29</v>
      </c>
      <c r="G596" s="519">
        <v>140063</v>
      </c>
      <c r="H596" s="517" t="s">
        <v>6425</v>
      </c>
    </row>
    <row r="597" spans="2:8" ht="15" x14ac:dyDescent="0.35">
      <c r="B597" s="544" t="s">
        <v>6263</v>
      </c>
      <c r="C597" s="517" t="s">
        <v>6285</v>
      </c>
      <c r="D597" s="518">
        <v>7256</v>
      </c>
      <c r="E597" s="517" t="s">
        <v>3478</v>
      </c>
      <c r="F597" s="518" t="s">
        <v>29</v>
      </c>
      <c r="G597" s="519">
        <v>14399</v>
      </c>
      <c r="H597" s="517" t="s">
        <v>6425</v>
      </c>
    </row>
    <row r="598" spans="2:8" ht="15" x14ac:dyDescent="0.35">
      <c r="B598" s="544" t="s">
        <v>6263</v>
      </c>
      <c r="C598" s="517" t="s">
        <v>6285</v>
      </c>
      <c r="D598" s="518">
        <v>7257</v>
      </c>
      <c r="E598" s="517" t="s">
        <v>3479</v>
      </c>
      <c r="F598" s="518" t="s">
        <v>29</v>
      </c>
      <c r="G598" s="519">
        <v>34510</v>
      </c>
      <c r="H598" s="517" t="s">
        <v>6425</v>
      </c>
    </row>
    <row r="599" spans="2:8" ht="15" x14ac:dyDescent="0.35">
      <c r="B599" s="544" t="s">
        <v>6263</v>
      </c>
      <c r="C599" s="517" t="s">
        <v>6285</v>
      </c>
      <c r="D599" s="518">
        <v>7258</v>
      </c>
      <c r="E599" s="517" t="s">
        <v>3480</v>
      </c>
      <c r="F599" s="518" t="s">
        <v>29</v>
      </c>
      <c r="G599" s="519">
        <v>59500</v>
      </c>
      <c r="H599" s="517" t="s">
        <v>6425</v>
      </c>
    </row>
    <row r="600" spans="2:8" ht="15" x14ac:dyDescent="0.35">
      <c r="B600" s="544" t="s">
        <v>6263</v>
      </c>
      <c r="C600" s="517" t="s">
        <v>6285</v>
      </c>
      <c r="D600" s="518">
        <v>7259</v>
      </c>
      <c r="E600" s="517" t="s">
        <v>3481</v>
      </c>
      <c r="F600" s="518" t="s">
        <v>29</v>
      </c>
      <c r="G600" s="519">
        <v>69853</v>
      </c>
      <c r="H600" s="517" t="s">
        <v>6425</v>
      </c>
    </row>
    <row r="601" spans="2:8" ht="15" x14ac:dyDescent="0.35">
      <c r="B601" s="544" t="s">
        <v>6263</v>
      </c>
      <c r="C601" s="517" t="s">
        <v>6285</v>
      </c>
      <c r="D601" s="518">
        <v>7260</v>
      </c>
      <c r="E601" s="517" t="s">
        <v>3482</v>
      </c>
      <c r="F601" s="518" t="s">
        <v>29</v>
      </c>
      <c r="G601" s="519">
        <v>7973</v>
      </c>
      <c r="H601" s="517" t="s">
        <v>6425</v>
      </c>
    </row>
    <row r="602" spans="2:8" ht="15" x14ac:dyDescent="0.35">
      <c r="B602" s="544" t="s">
        <v>6263</v>
      </c>
      <c r="C602" s="517" t="s">
        <v>6285</v>
      </c>
      <c r="D602" s="518">
        <v>7261</v>
      </c>
      <c r="E602" s="517" t="s">
        <v>3483</v>
      </c>
      <c r="F602" s="518" t="s">
        <v>29</v>
      </c>
      <c r="G602" s="519">
        <v>15827</v>
      </c>
      <c r="H602" s="517" t="s">
        <v>6425</v>
      </c>
    </row>
    <row r="603" spans="2:8" ht="15" x14ac:dyDescent="0.35">
      <c r="B603" s="544" t="s">
        <v>6263</v>
      </c>
      <c r="C603" s="517" t="s">
        <v>6285</v>
      </c>
      <c r="D603" s="518">
        <v>7262</v>
      </c>
      <c r="E603" s="517" t="s">
        <v>3484</v>
      </c>
      <c r="F603" s="518" t="s">
        <v>29</v>
      </c>
      <c r="G603" s="519">
        <v>37723</v>
      </c>
      <c r="H603" s="517" t="s">
        <v>6425</v>
      </c>
    </row>
    <row r="604" spans="2:8" ht="15" x14ac:dyDescent="0.35">
      <c r="B604" s="544" t="s">
        <v>6263</v>
      </c>
      <c r="C604" s="517" t="s">
        <v>6285</v>
      </c>
      <c r="D604" s="518">
        <v>7263</v>
      </c>
      <c r="E604" s="517" t="s">
        <v>3485</v>
      </c>
      <c r="F604" s="518" t="s">
        <v>29</v>
      </c>
      <c r="G604" s="519">
        <v>63308</v>
      </c>
      <c r="H604" s="517" t="s">
        <v>6425</v>
      </c>
    </row>
    <row r="605" spans="2:8" ht="15" x14ac:dyDescent="0.35">
      <c r="B605" s="544" t="s">
        <v>6263</v>
      </c>
      <c r="C605" s="517" t="s">
        <v>6285</v>
      </c>
      <c r="D605" s="518">
        <v>7264</v>
      </c>
      <c r="E605" s="517" t="s">
        <v>3486</v>
      </c>
      <c r="F605" s="518" t="s">
        <v>29</v>
      </c>
      <c r="G605" s="519">
        <v>119000</v>
      </c>
      <c r="H605" s="517" t="s">
        <v>6425</v>
      </c>
    </row>
    <row r="606" spans="2:8" ht="15" x14ac:dyDescent="0.35">
      <c r="B606" s="544" t="s">
        <v>6263</v>
      </c>
      <c r="C606" s="517" t="s">
        <v>6285</v>
      </c>
      <c r="D606" s="518">
        <v>7265</v>
      </c>
      <c r="E606" s="517" t="s">
        <v>3487</v>
      </c>
      <c r="F606" s="518" t="s">
        <v>29</v>
      </c>
      <c r="G606" s="519">
        <v>140063</v>
      </c>
      <c r="H606" s="517" t="s">
        <v>6425</v>
      </c>
    </row>
    <row r="607" spans="2:8" ht="15" x14ac:dyDescent="0.35">
      <c r="B607" s="544" t="s">
        <v>6263</v>
      </c>
      <c r="C607" s="517" t="s">
        <v>6285</v>
      </c>
      <c r="D607" s="518">
        <v>7266</v>
      </c>
      <c r="E607" s="517" t="s">
        <v>3488</v>
      </c>
      <c r="F607" s="518" t="s">
        <v>29</v>
      </c>
      <c r="G607" s="519">
        <v>31580</v>
      </c>
      <c r="H607" s="517" t="s">
        <v>6425</v>
      </c>
    </row>
    <row r="608" spans="2:8" ht="15" x14ac:dyDescent="0.35">
      <c r="B608" s="544" t="s">
        <v>6263</v>
      </c>
      <c r="C608" s="517" t="s">
        <v>6285</v>
      </c>
      <c r="D608" s="518">
        <v>7267</v>
      </c>
      <c r="E608" s="517" t="s">
        <v>3489</v>
      </c>
      <c r="F608" s="518" t="s">
        <v>29</v>
      </c>
      <c r="G608" s="519">
        <v>26623</v>
      </c>
      <c r="H608" s="517" t="s">
        <v>6425</v>
      </c>
    </row>
    <row r="609" spans="2:8" ht="15" x14ac:dyDescent="0.35">
      <c r="B609" s="544" t="s">
        <v>6263</v>
      </c>
      <c r="C609" s="517" t="s">
        <v>6285</v>
      </c>
      <c r="D609" s="518">
        <v>7268</v>
      </c>
      <c r="E609" s="517" t="s">
        <v>3490</v>
      </c>
      <c r="F609" s="518" t="s">
        <v>29</v>
      </c>
      <c r="G609" s="519">
        <v>21384</v>
      </c>
      <c r="H609" s="517" t="s">
        <v>6425</v>
      </c>
    </row>
    <row r="610" spans="2:8" ht="15" x14ac:dyDescent="0.35">
      <c r="B610" s="544" t="s">
        <v>6263</v>
      </c>
      <c r="C610" s="517" t="s">
        <v>6285</v>
      </c>
      <c r="D610" s="518">
        <v>7269</v>
      </c>
      <c r="E610" s="517" t="s">
        <v>3491</v>
      </c>
      <c r="F610" s="518" t="s">
        <v>29</v>
      </c>
      <c r="G610" s="519">
        <v>16144</v>
      </c>
      <c r="H610" s="517" t="s">
        <v>6425</v>
      </c>
    </row>
    <row r="611" spans="2:8" ht="15" x14ac:dyDescent="0.35">
      <c r="B611" s="544" t="s">
        <v>6263</v>
      </c>
      <c r="C611" s="517" t="s">
        <v>6285</v>
      </c>
      <c r="D611" s="518">
        <v>7270</v>
      </c>
      <c r="E611" s="517" t="s">
        <v>3492</v>
      </c>
      <c r="F611" s="518" t="s">
        <v>29</v>
      </c>
      <c r="G611" s="519">
        <v>25349</v>
      </c>
      <c r="H611" s="517" t="s">
        <v>6425</v>
      </c>
    </row>
    <row r="612" spans="2:8" ht="15" x14ac:dyDescent="0.35">
      <c r="B612" s="544" t="s">
        <v>6263</v>
      </c>
      <c r="C612" s="517" t="s">
        <v>6285</v>
      </c>
      <c r="D612" s="518">
        <v>7271</v>
      </c>
      <c r="E612" s="517" t="s">
        <v>3493</v>
      </c>
      <c r="F612" s="518" t="s">
        <v>29</v>
      </c>
      <c r="G612" s="519">
        <v>21384</v>
      </c>
      <c r="H612" s="517" t="s">
        <v>6425</v>
      </c>
    </row>
    <row r="613" spans="2:8" ht="15" x14ac:dyDescent="0.35">
      <c r="B613" s="544" t="s">
        <v>6263</v>
      </c>
      <c r="C613" s="517" t="s">
        <v>6285</v>
      </c>
      <c r="D613" s="518">
        <v>7272</v>
      </c>
      <c r="E613" s="517" t="s">
        <v>3494</v>
      </c>
      <c r="F613" s="518" t="s">
        <v>29</v>
      </c>
      <c r="G613" s="519">
        <v>16994</v>
      </c>
      <c r="H613" s="517" t="s">
        <v>6425</v>
      </c>
    </row>
    <row r="614" spans="2:8" ht="15" x14ac:dyDescent="0.35">
      <c r="B614" s="544" t="s">
        <v>6263</v>
      </c>
      <c r="C614" s="517" t="s">
        <v>6285</v>
      </c>
      <c r="D614" s="518">
        <v>7273</v>
      </c>
      <c r="E614" s="517" t="s">
        <v>3495</v>
      </c>
      <c r="F614" s="518" t="s">
        <v>29</v>
      </c>
      <c r="G614" s="519">
        <v>12887</v>
      </c>
      <c r="H614" s="517" t="s">
        <v>6425</v>
      </c>
    </row>
    <row r="615" spans="2:8" ht="15" x14ac:dyDescent="0.35">
      <c r="B615" s="544" t="s">
        <v>6263</v>
      </c>
      <c r="C615" s="517" t="s">
        <v>6285</v>
      </c>
      <c r="D615" s="518">
        <v>7274</v>
      </c>
      <c r="E615" s="517" t="s">
        <v>3496</v>
      </c>
      <c r="F615" s="518" t="s">
        <v>29</v>
      </c>
      <c r="G615" s="519">
        <v>44625</v>
      </c>
      <c r="H615" s="517" t="s">
        <v>6425</v>
      </c>
    </row>
    <row r="616" spans="2:8" ht="15" x14ac:dyDescent="0.35">
      <c r="B616" s="544" t="s">
        <v>6263</v>
      </c>
      <c r="C616" s="517" t="s">
        <v>6285</v>
      </c>
      <c r="D616" s="518">
        <v>7275</v>
      </c>
      <c r="E616" s="517" t="s">
        <v>5767</v>
      </c>
      <c r="F616" s="518" t="s">
        <v>29</v>
      </c>
      <c r="G616" s="519">
        <v>17943</v>
      </c>
      <c r="H616" s="517" t="s">
        <v>6425</v>
      </c>
    </row>
    <row r="617" spans="2:8" ht="15" x14ac:dyDescent="0.35">
      <c r="B617" s="544" t="s">
        <v>6263</v>
      </c>
      <c r="C617" s="517" t="s">
        <v>6285</v>
      </c>
      <c r="D617" s="518">
        <v>7276</v>
      </c>
      <c r="E617" s="517" t="s">
        <v>3497</v>
      </c>
      <c r="F617" s="518" t="s">
        <v>29</v>
      </c>
      <c r="G617" s="519">
        <v>25865</v>
      </c>
      <c r="H617" s="517" t="s">
        <v>6425</v>
      </c>
    </row>
    <row r="618" spans="2:8" ht="15" x14ac:dyDescent="0.35">
      <c r="B618" s="544" t="s">
        <v>6263</v>
      </c>
      <c r="C618" s="517" t="s">
        <v>6285</v>
      </c>
      <c r="D618" s="518">
        <v>7277</v>
      </c>
      <c r="E618" s="517" t="s">
        <v>3498</v>
      </c>
      <c r="F618" s="518" t="s">
        <v>29</v>
      </c>
      <c r="G618" s="519">
        <v>28665</v>
      </c>
      <c r="H618" s="517" t="s">
        <v>6425</v>
      </c>
    </row>
    <row r="619" spans="2:8" ht="15" x14ac:dyDescent="0.35">
      <c r="B619" s="544" t="s">
        <v>6263</v>
      </c>
      <c r="C619" s="517" t="s">
        <v>6285</v>
      </c>
      <c r="D619" s="518">
        <v>7278</v>
      </c>
      <c r="E619" s="517" t="s">
        <v>3499</v>
      </c>
      <c r="F619" s="518" t="s">
        <v>29</v>
      </c>
      <c r="G619" s="519">
        <v>35805</v>
      </c>
      <c r="H619" s="517" t="s">
        <v>6425</v>
      </c>
    </row>
    <row r="620" spans="2:8" ht="15" x14ac:dyDescent="0.35">
      <c r="B620" s="544" t="s">
        <v>6263</v>
      </c>
      <c r="C620" s="517" t="s">
        <v>6285</v>
      </c>
      <c r="D620" s="518">
        <v>7279</v>
      </c>
      <c r="E620" s="517" t="s">
        <v>3500</v>
      </c>
      <c r="F620" s="518" t="s">
        <v>29</v>
      </c>
      <c r="G620" s="519">
        <v>42945</v>
      </c>
      <c r="H620" s="517" t="s">
        <v>6425</v>
      </c>
    </row>
    <row r="621" spans="2:8" ht="15" x14ac:dyDescent="0.35">
      <c r="B621" s="544" t="s">
        <v>6263</v>
      </c>
      <c r="C621" s="517" t="s">
        <v>6285</v>
      </c>
      <c r="D621" s="518">
        <v>7280</v>
      </c>
      <c r="E621" s="517" t="s">
        <v>3501</v>
      </c>
      <c r="F621" s="518" t="s">
        <v>29</v>
      </c>
      <c r="G621" s="519">
        <v>86100</v>
      </c>
      <c r="H621" s="517" t="s">
        <v>6425</v>
      </c>
    </row>
    <row r="622" spans="2:8" ht="15" x14ac:dyDescent="0.35">
      <c r="B622" s="544" t="s">
        <v>6263</v>
      </c>
      <c r="C622" s="517" t="s">
        <v>6285</v>
      </c>
      <c r="D622" s="518">
        <v>7281</v>
      </c>
      <c r="E622" s="517" t="s">
        <v>3502</v>
      </c>
      <c r="F622" s="518" t="s">
        <v>29</v>
      </c>
      <c r="G622" s="519">
        <v>91214</v>
      </c>
      <c r="H622" s="517" t="s">
        <v>6425</v>
      </c>
    </row>
    <row r="623" spans="2:8" ht="15" x14ac:dyDescent="0.35">
      <c r="B623" s="544" t="s">
        <v>6263</v>
      </c>
      <c r="C623" s="517" t="s">
        <v>6285</v>
      </c>
      <c r="D623" s="518">
        <v>7282</v>
      </c>
      <c r="E623" s="517" t="s">
        <v>3503</v>
      </c>
      <c r="F623" s="518" t="s">
        <v>29</v>
      </c>
      <c r="G623" s="519">
        <v>8925</v>
      </c>
      <c r="H623" s="517" t="s">
        <v>6425</v>
      </c>
    </row>
    <row r="624" spans="2:8" ht="15" x14ac:dyDescent="0.35">
      <c r="B624" s="544" t="s">
        <v>6263</v>
      </c>
      <c r="C624" s="517" t="s">
        <v>6285</v>
      </c>
      <c r="D624" s="518">
        <v>7283</v>
      </c>
      <c r="E624" s="517" t="s">
        <v>3504</v>
      </c>
      <c r="F624" s="518" t="s">
        <v>29</v>
      </c>
      <c r="G624" s="519">
        <v>14700</v>
      </c>
      <c r="H624" s="517" t="s">
        <v>6425</v>
      </c>
    </row>
    <row r="625" spans="2:8" ht="15" x14ac:dyDescent="0.35">
      <c r="B625" s="544" t="s">
        <v>6263</v>
      </c>
      <c r="C625" s="517" t="s">
        <v>6285</v>
      </c>
      <c r="D625" s="518">
        <v>7284</v>
      </c>
      <c r="E625" s="517" t="s">
        <v>3505</v>
      </c>
      <c r="F625" s="518" t="s">
        <v>29</v>
      </c>
      <c r="G625" s="519">
        <v>18375</v>
      </c>
      <c r="H625" s="517" t="s">
        <v>6425</v>
      </c>
    </row>
    <row r="626" spans="2:8" ht="15" x14ac:dyDescent="0.35">
      <c r="B626" s="544" t="s">
        <v>6263</v>
      </c>
      <c r="C626" s="517" t="s">
        <v>6285</v>
      </c>
      <c r="D626" s="518">
        <v>7285</v>
      </c>
      <c r="E626" s="517" t="s">
        <v>3506</v>
      </c>
      <c r="F626" s="518" t="s">
        <v>29</v>
      </c>
      <c r="G626" s="519">
        <v>22050</v>
      </c>
      <c r="H626" s="517" t="s">
        <v>6425</v>
      </c>
    </row>
    <row r="627" spans="2:8" ht="15" x14ac:dyDescent="0.35">
      <c r="B627" s="544" t="s">
        <v>6263</v>
      </c>
      <c r="C627" s="517" t="s">
        <v>6285</v>
      </c>
      <c r="D627" s="518">
        <v>7287</v>
      </c>
      <c r="E627" s="517" t="s">
        <v>3507</v>
      </c>
      <c r="F627" s="518" t="s">
        <v>29</v>
      </c>
      <c r="G627" s="519">
        <v>11025</v>
      </c>
      <c r="H627" s="517" t="s">
        <v>6425</v>
      </c>
    </row>
    <row r="628" spans="2:8" ht="15" x14ac:dyDescent="0.35">
      <c r="B628" s="544" t="s">
        <v>6263</v>
      </c>
      <c r="C628" s="517" t="s">
        <v>6285</v>
      </c>
      <c r="D628" s="518">
        <v>7288</v>
      </c>
      <c r="E628" s="517" t="s">
        <v>3508</v>
      </c>
      <c r="F628" s="518" t="s">
        <v>29</v>
      </c>
      <c r="G628" s="519">
        <v>22050</v>
      </c>
      <c r="H628" s="517" t="s">
        <v>6425</v>
      </c>
    </row>
    <row r="629" spans="2:8" ht="15" x14ac:dyDescent="0.35">
      <c r="B629" s="544" t="s">
        <v>6263</v>
      </c>
      <c r="C629" s="517" t="s">
        <v>6342</v>
      </c>
      <c r="D629" s="518">
        <v>7289</v>
      </c>
      <c r="E629" s="517" t="s">
        <v>3509</v>
      </c>
      <c r="F629" s="518" t="s">
        <v>29</v>
      </c>
      <c r="G629" s="519">
        <v>5657</v>
      </c>
      <c r="H629" s="517" t="s">
        <v>6425</v>
      </c>
    </row>
    <row r="630" spans="2:8" ht="15" x14ac:dyDescent="0.35">
      <c r="B630" s="544" t="s">
        <v>6263</v>
      </c>
      <c r="C630" s="517" t="s">
        <v>6344</v>
      </c>
      <c r="D630" s="518">
        <v>7291</v>
      </c>
      <c r="E630" s="517" t="s">
        <v>3510</v>
      </c>
      <c r="F630" s="518" t="s">
        <v>29</v>
      </c>
      <c r="G630" s="519">
        <v>642600</v>
      </c>
      <c r="H630" s="517" t="s">
        <v>6425</v>
      </c>
    </row>
    <row r="631" spans="2:8" ht="15" x14ac:dyDescent="0.35">
      <c r="B631" s="544" t="s">
        <v>6263</v>
      </c>
      <c r="C631" s="517" t="s">
        <v>6344</v>
      </c>
      <c r="D631" s="518">
        <v>7293</v>
      </c>
      <c r="E631" s="517" t="s">
        <v>3511</v>
      </c>
      <c r="F631" s="518" t="s">
        <v>29</v>
      </c>
      <c r="G631" s="519">
        <v>574620</v>
      </c>
      <c r="H631" s="517" t="s">
        <v>6425</v>
      </c>
    </row>
    <row r="632" spans="2:8" ht="15" x14ac:dyDescent="0.35">
      <c r="B632" s="544" t="s">
        <v>6263</v>
      </c>
      <c r="C632" s="517" t="s">
        <v>6344</v>
      </c>
      <c r="D632" s="518">
        <v>7295</v>
      </c>
      <c r="E632" s="517" t="s">
        <v>3512</v>
      </c>
      <c r="F632" s="518" t="s">
        <v>29</v>
      </c>
      <c r="G632" s="519">
        <v>656880</v>
      </c>
      <c r="H632" s="517" t="s">
        <v>6425</v>
      </c>
    </row>
    <row r="633" spans="2:8" ht="15" x14ac:dyDescent="0.35">
      <c r="B633" s="544" t="s">
        <v>6263</v>
      </c>
      <c r="C633" s="517" t="s">
        <v>6344</v>
      </c>
      <c r="D633" s="518">
        <v>7298</v>
      </c>
      <c r="E633" s="517" t="s">
        <v>3513</v>
      </c>
      <c r="F633" s="518" t="s">
        <v>29</v>
      </c>
      <c r="G633" s="519">
        <v>293026</v>
      </c>
      <c r="H633" s="517" t="s">
        <v>6425</v>
      </c>
    </row>
    <row r="634" spans="2:8" ht="15" x14ac:dyDescent="0.35">
      <c r="B634" s="544" t="s">
        <v>6263</v>
      </c>
      <c r="C634" s="517" t="s">
        <v>6345</v>
      </c>
      <c r="D634" s="518">
        <v>7300</v>
      </c>
      <c r="E634" s="517" t="s">
        <v>3514</v>
      </c>
      <c r="F634" s="518" t="s">
        <v>26</v>
      </c>
      <c r="G634" s="519">
        <v>62035</v>
      </c>
      <c r="H634" s="517" t="s">
        <v>6425</v>
      </c>
    </row>
    <row r="635" spans="2:8" ht="15" x14ac:dyDescent="0.35">
      <c r="B635" s="544" t="s">
        <v>6263</v>
      </c>
      <c r="C635" s="517" t="s">
        <v>6345</v>
      </c>
      <c r="D635" s="518">
        <v>7302</v>
      </c>
      <c r="E635" s="517" t="s">
        <v>3515</v>
      </c>
      <c r="F635" s="518" t="s">
        <v>26</v>
      </c>
      <c r="G635" s="519">
        <v>11010</v>
      </c>
      <c r="H635" s="517" t="s">
        <v>6425</v>
      </c>
    </row>
    <row r="636" spans="2:8" ht="15" x14ac:dyDescent="0.35">
      <c r="B636" s="544" t="s">
        <v>6263</v>
      </c>
      <c r="C636" s="517" t="s">
        <v>6345</v>
      </c>
      <c r="D636" s="518">
        <v>7303</v>
      </c>
      <c r="E636" s="517" t="s">
        <v>3516</v>
      </c>
      <c r="F636" s="518" t="s">
        <v>26</v>
      </c>
      <c r="G636" s="519">
        <v>24411</v>
      </c>
      <c r="H636" s="517" t="s">
        <v>6425</v>
      </c>
    </row>
    <row r="637" spans="2:8" ht="15" x14ac:dyDescent="0.35">
      <c r="B637" s="544" t="s">
        <v>6263</v>
      </c>
      <c r="C637" s="517" t="s">
        <v>6345</v>
      </c>
      <c r="D637" s="518">
        <v>7304</v>
      </c>
      <c r="E637" s="517" t="s">
        <v>3517</v>
      </c>
      <c r="F637" s="518" t="s">
        <v>26</v>
      </c>
      <c r="G637" s="519">
        <v>41175</v>
      </c>
      <c r="H637" s="517" t="s">
        <v>6425</v>
      </c>
    </row>
    <row r="638" spans="2:8" ht="15" x14ac:dyDescent="0.35">
      <c r="B638" s="544" t="s">
        <v>6263</v>
      </c>
      <c r="C638" s="517" t="s">
        <v>6345</v>
      </c>
      <c r="D638" s="518">
        <v>7305</v>
      </c>
      <c r="E638" s="517" t="s">
        <v>3518</v>
      </c>
      <c r="F638" s="518" t="s">
        <v>26</v>
      </c>
      <c r="G638" s="519">
        <v>85883</v>
      </c>
      <c r="H638" s="517" t="s">
        <v>6425</v>
      </c>
    </row>
    <row r="639" spans="2:8" ht="15" x14ac:dyDescent="0.35">
      <c r="B639" s="544" t="s">
        <v>6263</v>
      </c>
      <c r="C639" s="517" t="s">
        <v>6359</v>
      </c>
      <c r="D639" s="518">
        <v>7306</v>
      </c>
      <c r="E639" s="517" t="s">
        <v>3519</v>
      </c>
      <c r="F639" s="518" t="s">
        <v>29</v>
      </c>
      <c r="G639" s="519">
        <v>28862</v>
      </c>
      <c r="H639" s="517" t="s">
        <v>6915</v>
      </c>
    </row>
    <row r="640" spans="2:8" ht="15" x14ac:dyDescent="0.35">
      <c r="B640" s="544" t="s">
        <v>6263</v>
      </c>
      <c r="C640" s="517" t="s">
        <v>6366</v>
      </c>
      <c r="D640" s="518">
        <v>7307</v>
      </c>
      <c r="E640" s="517" t="s">
        <v>3520</v>
      </c>
      <c r="F640" s="518" t="s">
        <v>29</v>
      </c>
      <c r="G640" s="519">
        <v>99900</v>
      </c>
      <c r="H640" s="517" t="s">
        <v>6915</v>
      </c>
    </row>
    <row r="641" spans="2:8" ht="15" x14ac:dyDescent="0.35">
      <c r="B641" s="544" t="s">
        <v>6263</v>
      </c>
      <c r="C641" s="517" t="s">
        <v>6351</v>
      </c>
      <c r="D641" s="518">
        <v>7308</v>
      </c>
      <c r="E641" s="517" t="s">
        <v>3521</v>
      </c>
      <c r="F641" s="518" t="s">
        <v>1628</v>
      </c>
      <c r="G641" s="519">
        <v>1750905</v>
      </c>
      <c r="H641" s="517" t="s">
        <v>5686</v>
      </c>
    </row>
    <row r="642" spans="2:8" ht="15" x14ac:dyDescent="0.35">
      <c r="B642" s="544" t="s">
        <v>6263</v>
      </c>
      <c r="C642" s="517" t="s">
        <v>6341</v>
      </c>
      <c r="D642" s="518">
        <v>7309</v>
      </c>
      <c r="E642" s="517" t="s">
        <v>3522</v>
      </c>
      <c r="F642" s="518" t="s">
        <v>367</v>
      </c>
      <c r="G642" s="519">
        <v>4701</v>
      </c>
      <c r="H642" s="517" t="s">
        <v>6425</v>
      </c>
    </row>
    <row r="643" spans="2:8" ht="15" x14ac:dyDescent="0.35">
      <c r="B643" s="544" t="s">
        <v>6263</v>
      </c>
      <c r="C643" s="517" t="s">
        <v>6350</v>
      </c>
      <c r="D643" s="518">
        <v>7313</v>
      </c>
      <c r="E643" s="517" t="s">
        <v>3523</v>
      </c>
      <c r="F643" s="518" t="s">
        <v>3175</v>
      </c>
      <c r="G643" s="519">
        <v>28560</v>
      </c>
      <c r="H643" s="517" t="s">
        <v>6425</v>
      </c>
    </row>
    <row r="644" spans="2:8" ht="15" x14ac:dyDescent="0.35">
      <c r="B644" s="544" t="s">
        <v>6263</v>
      </c>
      <c r="C644" s="517" t="s">
        <v>6258</v>
      </c>
      <c r="D644" s="518">
        <v>7317</v>
      </c>
      <c r="E644" s="517" t="s">
        <v>3524</v>
      </c>
      <c r="F644" s="518" t="s">
        <v>21</v>
      </c>
      <c r="G644" s="519">
        <v>8439</v>
      </c>
      <c r="H644" s="517" t="s">
        <v>6915</v>
      </c>
    </row>
    <row r="645" spans="2:8" ht="15" x14ac:dyDescent="0.35">
      <c r="B645" s="544" t="s">
        <v>6263</v>
      </c>
      <c r="C645" s="517" t="s">
        <v>6366</v>
      </c>
      <c r="D645" s="518">
        <v>7336</v>
      </c>
      <c r="E645" s="517" t="s">
        <v>3525</v>
      </c>
      <c r="F645" s="518" t="s">
        <v>29</v>
      </c>
      <c r="G645" s="519">
        <v>52073</v>
      </c>
      <c r="H645" s="517" t="s">
        <v>6915</v>
      </c>
    </row>
    <row r="646" spans="2:8" ht="15" x14ac:dyDescent="0.35">
      <c r="B646" s="544" t="s">
        <v>6263</v>
      </c>
      <c r="C646" s="517" t="s">
        <v>6363</v>
      </c>
      <c r="D646" s="518">
        <v>7337</v>
      </c>
      <c r="E646" s="517" t="s">
        <v>3526</v>
      </c>
      <c r="F646" s="518" t="s">
        <v>367</v>
      </c>
      <c r="G646" s="519">
        <v>176235</v>
      </c>
      <c r="H646" s="517" t="s">
        <v>6915</v>
      </c>
    </row>
    <row r="647" spans="2:8" ht="15" x14ac:dyDescent="0.35">
      <c r="B647" s="544" t="s">
        <v>6263</v>
      </c>
      <c r="C647" s="517" t="s">
        <v>6363</v>
      </c>
      <c r="D647" s="518">
        <v>7338</v>
      </c>
      <c r="E647" s="517" t="s">
        <v>3527</v>
      </c>
      <c r="F647" s="518" t="s">
        <v>26</v>
      </c>
      <c r="G647" s="519">
        <v>57596</v>
      </c>
      <c r="H647" s="517" t="s">
        <v>6915</v>
      </c>
    </row>
    <row r="648" spans="2:8" ht="15" x14ac:dyDescent="0.35">
      <c r="B648" s="544" t="s">
        <v>6263</v>
      </c>
      <c r="C648" s="517" t="s">
        <v>6357</v>
      </c>
      <c r="D648" s="518">
        <v>7343</v>
      </c>
      <c r="E648" s="517" t="s">
        <v>3528</v>
      </c>
      <c r="F648" s="518" t="s">
        <v>26</v>
      </c>
      <c r="G648" s="519">
        <v>399840</v>
      </c>
      <c r="H648" s="517" t="s">
        <v>6915</v>
      </c>
    </row>
    <row r="649" spans="2:8" ht="15" x14ac:dyDescent="0.35">
      <c r="B649" s="544" t="s">
        <v>6263</v>
      </c>
      <c r="C649" s="517" t="s">
        <v>6357</v>
      </c>
      <c r="D649" s="518">
        <v>7344</v>
      </c>
      <c r="E649" s="517" t="s">
        <v>3529</v>
      </c>
      <c r="F649" s="518" t="s">
        <v>26</v>
      </c>
      <c r="G649" s="519">
        <v>474810</v>
      </c>
      <c r="H649" s="517" t="s">
        <v>6915</v>
      </c>
    </row>
    <row r="650" spans="2:8" ht="15" x14ac:dyDescent="0.35">
      <c r="B650" s="544" t="s">
        <v>6263</v>
      </c>
      <c r="C650" s="517" t="s">
        <v>6357</v>
      </c>
      <c r="D650" s="518">
        <v>7345</v>
      </c>
      <c r="E650" s="517" t="s">
        <v>3530</v>
      </c>
      <c r="F650" s="518" t="s">
        <v>29</v>
      </c>
      <c r="G650" s="519">
        <v>874650</v>
      </c>
      <c r="H650" s="517" t="s">
        <v>6915</v>
      </c>
    </row>
    <row r="651" spans="2:8" ht="15" x14ac:dyDescent="0.35">
      <c r="B651" s="544" t="s">
        <v>6263</v>
      </c>
      <c r="C651" s="517" t="s">
        <v>6357</v>
      </c>
      <c r="D651" s="518">
        <v>7346</v>
      </c>
      <c r="E651" s="517" t="s">
        <v>3531</v>
      </c>
      <c r="F651" s="518" t="s">
        <v>29</v>
      </c>
      <c r="G651" s="519">
        <v>7140000</v>
      </c>
      <c r="H651" s="517" t="s">
        <v>6915</v>
      </c>
    </row>
    <row r="652" spans="2:8" ht="15" x14ac:dyDescent="0.35">
      <c r="B652" s="544" t="s">
        <v>6263</v>
      </c>
      <c r="C652" s="517" t="s">
        <v>6358</v>
      </c>
      <c r="D652" s="518">
        <v>7351</v>
      </c>
      <c r="E652" s="517" t="s">
        <v>3532</v>
      </c>
      <c r="F652" s="518" t="s">
        <v>29</v>
      </c>
      <c r="G652" s="519">
        <v>204680</v>
      </c>
      <c r="H652" s="517" t="s">
        <v>6915</v>
      </c>
    </row>
    <row r="653" spans="2:8" ht="15" x14ac:dyDescent="0.35">
      <c r="B653" s="544" t="s">
        <v>6263</v>
      </c>
      <c r="C653" s="517" t="s">
        <v>6358</v>
      </c>
      <c r="D653" s="518">
        <v>7352</v>
      </c>
      <c r="E653" s="517" t="s">
        <v>3533</v>
      </c>
      <c r="F653" s="518" t="s">
        <v>29</v>
      </c>
      <c r="G653" s="519">
        <v>220150</v>
      </c>
      <c r="H653" s="517" t="s">
        <v>6915</v>
      </c>
    </row>
    <row r="654" spans="2:8" ht="15" x14ac:dyDescent="0.35">
      <c r="B654" s="544" t="s">
        <v>6263</v>
      </c>
      <c r="C654" s="517" t="s">
        <v>6358</v>
      </c>
      <c r="D654" s="518">
        <v>7353</v>
      </c>
      <c r="E654" s="517" t="s">
        <v>3534</v>
      </c>
      <c r="F654" s="518" t="s">
        <v>29</v>
      </c>
      <c r="G654" s="519">
        <v>417690</v>
      </c>
      <c r="H654" s="517" t="s">
        <v>6915</v>
      </c>
    </row>
    <row r="655" spans="2:8" ht="15" x14ac:dyDescent="0.35">
      <c r="B655" s="544" t="s">
        <v>6263</v>
      </c>
      <c r="C655" s="517" t="s">
        <v>6358</v>
      </c>
      <c r="D655" s="518">
        <v>7354</v>
      </c>
      <c r="E655" s="517" t="s">
        <v>3535</v>
      </c>
      <c r="F655" s="518" t="s">
        <v>29</v>
      </c>
      <c r="G655" s="519">
        <v>593810</v>
      </c>
      <c r="H655" s="517" t="s">
        <v>6915</v>
      </c>
    </row>
    <row r="656" spans="2:8" ht="15" x14ac:dyDescent="0.35">
      <c r="B656" s="544" t="s">
        <v>6263</v>
      </c>
      <c r="C656" s="517" t="s">
        <v>6358</v>
      </c>
      <c r="D656" s="518">
        <v>7355</v>
      </c>
      <c r="E656" s="517" t="s">
        <v>3536</v>
      </c>
      <c r="F656" s="518" t="s">
        <v>29</v>
      </c>
      <c r="G656" s="519">
        <v>903210</v>
      </c>
      <c r="H656" s="517" t="s">
        <v>6915</v>
      </c>
    </row>
    <row r="657" spans="2:8" ht="15" x14ac:dyDescent="0.35">
      <c r="B657" s="544" t="s">
        <v>6263</v>
      </c>
      <c r="C657" s="517" t="s">
        <v>6358</v>
      </c>
      <c r="D657" s="518">
        <v>7356</v>
      </c>
      <c r="E657" s="517" t="s">
        <v>3537</v>
      </c>
      <c r="F657" s="518" t="s">
        <v>29</v>
      </c>
      <c r="G657" s="519">
        <v>1176910</v>
      </c>
      <c r="H657" s="517" t="s">
        <v>6915</v>
      </c>
    </row>
    <row r="658" spans="2:8" ht="15" x14ac:dyDescent="0.35">
      <c r="B658" s="544" t="s">
        <v>6263</v>
      </c>
      <c r="C658" s="517" t="s">
        <v>6359</v>
      </c>
      <c r="D658" s="518">
        <v>7359</v>
      </c>
      <c r="E658" s="517" t="s">
        <v>3538</v>
      </c>
      <c r="F658" s="518" t="s">
        <v>29</v>
      </c>
      <c r="G658" s="519">
        <v>363056</v>
      </c>
      <c r="H658" s="517" t="s">
        <v>6915</v>
      </c>
    </row>
    <row r="659" spans="2:8" ht="15" x14ac:dyDescent="0.35">
      <c r="B659" s="544" t="s">
        <v>6263</v>
      </c>
      <c r="C659" s="517" t="s">
        <v>6359</v>
      </c>
      <c r="D659" s="518">
        <v>7360</v>
      </c>
      <c r="E659" s="517" t="s">
        <v>3539</v>
      </c>
      <c r="F659" s="518" t="s">
        <v>29</v>
      </c>
      <c r="G659" s="519">
        <v>494563</v>
      </c>
      <c r="H659" s="517" t="s">
        <v>6915</v>
      </c>
    </row>
    <row r="660" spans="2:8" ht="15" x14ac:dyDescent="0.35">
      <c r="B660" s="544" t="s">
        <v>6263</v>
      </c>
      <c r="C660" s="517" t="s">
        <v>6342</v>
      </c>
      <c r="D660" s="518">
        <v>7361</v>
      </c>
      <c r="E660" s="517" t="s">
        <v>3540</v>
      </c>
      <c r="F660" s="518" t="s">
        <v>29</v>
      </c>
      <c r="G660" s="519">
        <v>1400</v>
      </c>
      <c r="H660" s="517" t="s">
        <v>6425</v>
      </c>
    </row>
    <row r="661" spans="2:8" ht="15" x14ac:dyDescent="0.35">
      <c r="B661" s="544" t="s">
        <v>6263</v>
      </c>
      <c r="C661" s="517" t="s">
        <v>6342</v>
      </c>
      <c r="D661" s="518">
        <v>7362</v>
      </c>
      <c r="E661" s="517" t="s">
        <v>3541</v>
      </c>
      <c r="F661" s="518" t="s">
        <v>29</v>
      </c>
      <c r="G661" s="519">
        <v>1450</v>
      </c>
      <c r="H661" s="517" t="s">
        <v>6425</v>
      </c>
    </row>
    <row r="662" spans="2:8" ht="15" x14ac:dyDescent="0.35">
      <c r="B662" s="544" t="s">
        <v>6263</v>
      </c>
      <c r="C662" s="517" t="s">
        <v>6364</v>
      </c>
      <c r="D662" s="518">
        <v>7363</v>
      </c>
      <c r="E662" s="517" t="s">
        <v>3542</v>
      </c>
      <c r="F662" s="518" t="s">
        <v>29</v>
      </c>
      <c r="G662" s="519">
        <v>283101</v>
      </c>
      <c r="H662" s="517" t="s">
        <v>6425</v>
      </c>
    </row>
    <row r="663" spans="2:8" ht="15" x14ac:dyDescent="0.35">
      <c r="B663" s="544" t="s">
        <v>6263</v>
      </c>
      <c r="C663" s="517" t="s">
        <v>6365</v>
      </c>
      <c r="D663" s="518">
        <v>7364</v>
      </c>
      <c r="E663" s="517" t="s">
        <v>3543</v>
      </c>
      <c r="F663" s="518" t="s">
        <v>29</v>
      </c>
      <c r="G663" s="519">
        <v>443590</v>
      </c>
      <c r="H663" s="517" t="s">
        <v>6425</v>
      </c>
    </row>
    <row r="664" spans="2:8" ht="15" x14ac:dyDescent="0.35">
      <c r="B664" s="544" t="s">
        <v>6263</v>
      </c>
      <c r="C664" s="517" t="s">
        <v>6353</v>
      </c>
      <c r="D664" s="518">
        <v>7366</v>
      </c>
      <c r="E664" s="517" t="s">
        <v>5551</v>
      </c>
      <c r="F664" s="518" t="s">
        <v>29</v>
      </c>
      <c r="G664" s="519">
        <v>77164</v>
      </c>
      <c r="H664" s="517" t="s">
        <v>6425</v>
      </c>
    </row>
    <row r="665" spans="2:8" ht="15" x14ac:dyDescent="0.35">
      <c r="B665" s="544" t="s">
        <v>6263</v>
      </c>
      <c r="C665" s="517" t="s">
        <v>6353</v>
      </c>
      <c r="D665" s="518">
        <v>7367</v>
      </c>
      <c r="E665" s="517" t="s">
        <v>5552</v>
      </c>
      <c r="F665" s="518" t="s">
        <v>29</v>
      </c>
      <c r="G665" s="519">
        <v>219179</v>
      </c>
      <c r="H665" s="517" t="s">
        <v>6425</v>
      </c>
    </row>
    <row r="666" spans="2:8" ht="15" x14ac:dyDescent="0.35">
      <c r="B666" s="544" t="s">
        <v>6263</v>
      </c>
      <c r="C666" s="517" t="s">
        <v>6353</v>
      </c>
      <c r="D666" s="518">
        <v>7368</v>
      </c>
      <c r="E666" s="517" t="s">
        <v>5553</v>
      </c>
      <c r="F666" s="518" t="s">
        <v>29</v>
      </c>
      <c r="G666" s="519">
        <v>375019</v>
      </c>
      <c r="H666" s="517" t="s">
        <v>6425</v>
      </c>
    </row>
    <row r="667" spans="2:8" ht="15" x14ac:dyDescent="0.35">
      <c r="B667" s="544" t="s">
        <v>6263</v>
      </c>
      <c r="C667" s="517" t="s">
        <v>6353</v>
      </c>
      <c r="D667" s="518">
        <v>7369</v>
      </c>
      <c r="E667" s="517" t="s">
        <v>5554</v>
      </c>
      <c r="F667" s="518" t="s">
        <v>29</v>
      </c>
      <c r="G667" s="519">
        <v>571775</v>
      </c>
      <c r="H667" s="517" t="s">
        <v>6425</v>
      </c>
    </row>
    <row r="668" spans="2:8" ht="15" x14ac:dyDescent="0.35">
      <c r="B668" s="544" t="s">
        <v>6263</v>
      </c>
      <c r="C668" s="517" t="s">
        <v>6353</v>
      </c>
      <c r="D668" s="518">
        <v>7370</v>
      </c>
      <c r="E668" s="517" t="s">
        <v>5555</v>
      </c>
      <c r="F668" s="518" t="s">
        <v>29</v>
      </c>
      <c r="G668" s="519">
        <v>601434</v>
      </c>
      <c r="H668" s="517" t="s">
        <v>6425</v>
      </c>
    </row>
    <row r="669" spans="2:8" ht="15" x14ac:dyDescent="0.35">
      <c r="B669" s="544" t="s">
        <v>6263</v>
      </c>
      <c r="C669" s="517" t="s">
        <v>6353</v>
      </c>
      <c r="D669" s="518">
        <v>7371</v>
      </c>
      <c r="E669" s="517" t="s">
        <v>5556</v>
      </c>
      <c r="F669" s="518" t="s">
        <v>29</v>
      </c>
      <c r="G669" s="519">
        <v>675703</v>
      </c>
      <c r="H669" s="517" t="s">
        <v>6425</v>
      </c>
    </row>
    <row r="670" spans="2:8" ht="15" x14ac:dyDescent="0.35">
      <c r="B670" s="544" t="s">
        <v>6263</v>
      </c>
      <c r="C670" s="517" t="s">
        <v>6358</v>
      </c>
      <c r="D670" s="518">
        <v>7372</v>
      </c>
      <c r="E670" s="517" t="s">
        <v>5768</v>
      </c>
      <c r="F670" s="518" t="s">
        <v>29</v>
      </c>
      <c r="G670" s="519">
        <v>928200</v>
      </c>
      <c r="H670" s="517" t="s">
        <v>6915</v>
      </c>
    </row>
    <row r="671" spans="2:8" ht="15" x14ac:dyDescent="0.35">
      <c r="B671" s="544" t="s">
        <v>6263</v>
      </c>
      <c r="C671" s="517" t="s">
        <v>6358</v>
      </c>
      <c r="D671" s="518">
        <v>7373</v>
      </c>
      <c r="E671" s="517" t="s">
        <v>5769</v>
      </c>
      <c r="F671" s="518" t="s">
        <v>29</v>
      </c>
      <c r="G671" s="519">
        <v>208250</v>
      </c>
      <c r="H671" s="517" t="s">
        <v>6915</v>
      </c>
    </row>
    <row r="672" spans="2:8" ht="15" x14ac:dyDescent="0.35">
      <c r="B672" s="544" t="s">
        <v>6263</v>
      </c>
      <c r="C672" s="517" t="s">
        <v>6358</v>
      </c>
      <c r="D672" s="518">
        <v>7374</v>
      </c>
      <c r="E672" s="517" t="s">
        <v>5770</v>
      </c>
      <c r="F672" s="518" t="s">
        <v>29</v>
      </c>
      <c r="G672" s="519">
        <v>1136450</v>
      </c>
      <c r="H672" s="517" t="s">
        <v>6915</v>
      </c>
    </row>
    <row r="673" spans="2:8" ht="15" x14ac:dyDescent="0.35">
      <c r="B673" s="544" t="s">
        <v>6263</v>
      </c>
      <c r="C673" s="517" t="s">
        <v>6358</v>
      </c>
      <c r="D673" s="518">
        <v>7375</v>
      </c>
      <c r="E673" s="517" t="s">
        <v>5771</v>
      </c>
      <c r="F673" s="518" t="s">
        <v>29</v>
      </c>
      <c r="G673" s="519">
        <v>6290340</v>
      </c>
      <c r="H673" s="517" t="s">
        <v>6915</v>
      </c>
    </row>
    <row r="674" spans="2:8" ht="15" x14ac:dyDescent="0.35">
      <c r="B674" s="544" t="s">
        <v>6263</v>
      </c>
      <c r="C674" s="517" t="s">
        <v>6358</v>
      </c>
      <c r="D674" s="518">
        <v>7376</v>
      </c>
      <c r="E674" s="517" t="s">
        <v>5772</v>
      </c>
      <c r="F674" s="518" t="s">
        <v>29</v>
      </c>
      <c r="G674" s="519">
        <v>7485100</v>
      </c>
      <c r="H674" s="517" t="s">
        <v>6915</v>
      </c>
    </row>
    <row r="675" spans="2:8" ht="15" x14ac:dyDescent="0.35">
      <c r="B675" s="544" t="s">
        <v>6263</v>
      </c>
      <c r="C675" s="517" t="s">
        <v>6358</v>
      </c>
      <c r="D675" s="518">
        <v>7377</v>
      </c>
      <c r="E675" s="517" t="s">
        <v>5773</v>
      </c>
      <c r="F675" s="518" t="s">
        <v>29</v>
      </c>
      <c r="G675" s="519">
        <v>130900</v>
      </c>
      <c r="H675" s="517" t="s">
        <v>6915</v>
      </c>
    </row>
    <row r="676" spans="2:8" ht="15" x14ac:dyDescent="0.35">
      <c r="B676" s="544" t="s">
        <v>6263</v>
      </c>
      <c r="C676" s="517" t="s">
        <v>6358</v>
      </c>
      <c r="D676" s="518">
        <v>7378</v>
      </c>
      <c r="E676" s="517" t="s">
        <v>5774</v>
      </c>
      <c r="F676" s="518" t="s">
        <v>29</v>
      </c>
      <c r="G676" s="519">
        <v>224910</v>
      </c>
      <c r="H676" s="517" t="s">
        <v>6915</v>
      </c>
    </row>
    <row r="677" spans="2:8" ht="15" x14ac:dyDescent="0.35">
      <c r="B677" s="544" t="s">
        <v>6263</v>
      </c>
      <c r="C677" s="517" t="s">
        <v>6358</v>
      </c>
      <c r="D677" s="518">
        <v>7379</v>
      </c>
      <c r="E677" s="517" t="s">
        <v>5775</v>
      </c>
      <c r="F677" s="518" t="s">
        <v>29</v>
      </c>
      <c r="G677" s="519">
        <v>302260</v>
      </c>
      <c r="H677" s="517" t="s">
        <v>6915</v>
      </c>
    </row>
    <row r="678" spans="2:8" ht="15" x14ac:dyDescent="0.35">
      <c r="B678" s="544" t="s">
        <v>6263</v>
      </c>
      <c r="C678" s="517" t="s">
        <v>6358</v>
      </c>
      <c r="D678" s="518">
        <v>7380</v>
      </c>
      <c r="E678" s="517" t="s">
        <v>5776</v>
      </c>
      <c r="F678" s="518" t="s">
        <v>29</v>
      </c>
      <c r="G678" s="519">
        <v>617610</v>
      </c>
      <c r="H678" s="517" t="s">
        <v>6915</v>
      </c>
    </row>
    <row r="679" spans="2:8" ht="15" x14ac:dyDescent="0.35">
      <c r="B679" s="544" t="s">
        <v>6263</v>
      </c>
      <c r="C679" s="517" t="s">
        <v>6358</v>
      </c>
      <c r="D679" s="518">
        <v>7381</v>
      </c>
      <c r="E679" s="517" t="s">
        <v>5777</v>
      </c>
      <c r="F679" s="518" t="s">
        <v>29</v>
      </c>
      <c r="G679" s="519">
        <v>919870</v>
      </c>
      <c r="H679" s="517" t="s">
        <v>6915</v>
      </c>
    </row>
    <row r="680" spans="2:8" ht="15" x14ac:dyDescent="0.35">
      <c r="B680" s="544" t="s">
        <v>6263</v>
      </c>
      <c r="C680" s="517" t="s">
        <v>6346</v>
      </c>
      <c r="D680" s="518">
        <v>7382</v>
      </c>
      <c r="E680" s="517" t="s">
        <v>5557</v>
      </c>
      <c r="F680" s="518" t="s">
        <v>29</v>
      </c>
      <c r="G680" s="519">
        <v>131889</v>
      </c>
      <c r="H680" s="517" t="s">
        <v>6425</v>
      </c>
    </row>
    <row r="681" spans="2:8" ht="15" x14ac:dyDescent="0.35">
      <c r="B681" s="544" t="s">
        <v>6263</v>
      </c>
      <c r="C681" s="517" t="s">
        <v>6346</v>
      </c>
      <c r="D681" s="518">
        <v>7384</v>
      </c>
      <c r="E681" s="517" t="s">
        <v>5558</v>
      </c>
      <c r="F681" s="518" t="s">
        <v>29</v>
      </c>
      <c r="G681" s="519">
        <v>139150</v>
      </c>
      <c r="H681" s="517" t="s">
        <v>6425</v>
      </c>
    </row>
    <row r="682" spans="2:8" ht="15" x14ac:dyDescent="0.35">
      <c r="B682" s="544" t="s">
        <v>6263</v>
      </c>
      <c r="C682" s="517" t="s">
        <v>6346</v>
      </c>
      <c r="D682" s="518">
        <v>7387</v>
      </c>
      <c r="E682" s="517" t="s">
        <v>5559</v>
      </c>
      <c r="F682" s="518" t="s">
        <v>29</v>
      </c>
      <c r="G682" s="519">
        <v>78401</v>
      </c>
      <c r="H682" s="517" t="s">
        <v>6425</v>
      </c>
    </row>
    <row r="683" spans="2:8" ht="15" x14ac:dyDescent="0.35">
      <c r="B683" s="544" t="s">
        <v>6263</v>
      </c>
      <c r="C683" s="517" t="s">
        <v>6346</v>
      </c>
      <c r="D683" s="518">
        <v>7388</v>
      </c>
      <c r="E683" s="517" t="s">
        <v>5560</v>
      </c>
      <c r="F683" s="518" t="s">
        <v>29</v>
      </c>
      <c r="G683" s="519">
        <v>99680</v>
      </c>
      <c r="H683" s="517" t="s">
        <v>6425</v>
      </c>
    </row>
    <row r="684" spans="2:8" ht="15" x14ac:dyDescent="0.35">
      <c r="B684" s="544" t="s">
        <v>6263</v>
      </c>
      <c r="C684" s="517" t="s">
        <v>6346</v>
      </c>
      <c r="D684" s="518">
        <v>7389</v>
      </c>
      <c r="E684" s="517" t="s">
        <v>5561</v>
      </c>
      <c r="F684" s="518" t="s">
        <v>29</v>
      </c>
      <c r="G684" s="519">
        <v>228057</v>
      </c>
      <c r="H684" s="517" t="s">
        <v>6425</v>
      </c>
    </row>
    <row r="685" spans="2:8" ht="15" x14ac:dyDescent="0.35">
      <c r="B685" s="544" t="s">
        <v>6263</v>
      </c>
      <c r="C685" s="517" t="s">
        <v>6358</v>
      </c>
      <c r="D685" s="518">
        <v>7391</v>
      </c>
      <c r="E685" s="517" t="s">
        <v>5778</v>
      </c>
      <c r="F685" s="518" t="s">
        <v>29</v>
      </c>
      <c r="G685" s="519">
        <v>282030</v>
      </c>
      <c r="H685" s="517" t="s">
        <v>6915</v>
      </c>
    </row>
    <row r="686" spans="2:8" ht="15" x14ac:dyDescent="0.35">
      <c r="B686" s="544" t="s">
        <v>6263</v>
      </c>
      <c r="C686" s="517" t="s">
        <v>6358</v>
      </c>
      <c r="D686" s="518">
        <v>7392</v>
      </c>
      <c r="E686" s="517" t="s">
        <v>5779</v>
      </c>
      <c r="F686" s="518" t="s">
        <v>29</v>
      </c>
      <c r="G686" s="519">
        <v>484330</v>
      </c>
      <c r="H686" s="517" t="s">
        <v>6915</v>
      </c>
    </row>
    <row r="687" spans="2:8" ht="15" x14ac:dyDescent="0.35">
      <c r="B687" s="544" t="s">
        <v>6263</v>
      </c>
      <c r="C687" s="517" t="s">
        <v>6358</v>
      </c>
      <c r="D687" s="518">
        <v>7393</v>
      </c>
      <c r="E687" s="517" t="s">
        <v>5780</v>
      </c>
      <c r="F687" s="518" t="s">
        <v>29</v>
      </c>
      <c r="G687" s="519">
        <v>506940</v>
      </c>
      <c r="H687" s="517" t="s">
        <v>6915</v>
      </c>
    </row>
    <row r="688" spans="2:8" ht="15" x14ac:dyDescent="0.35">
      <c r="B688" s="544" t="s">
        <v>6263</v>
      </c>
      <c r="C688" s="517" t="s">
        <v>6358</v>
      </c>
      <c r="D688" s="518">
        <v>7396</v>
      </c>
      <c r="E688" s="517" t="s">
        <v>5781</v>
      </c>
      <c r="F688" s="518" t="s">
        <v>29</v>
      </c>
      <c r="G688" s="519">
        <v>704480</v>
      </c>
      <c r="H688" s="517" t="s">
        <v>6915</v>
      </c>
    </row>
    <row r="689" spans="2:8" ht="15" x14ac:dyDescent="0.35">
      <c r="B689" s="544" t="s">
        <v>6263</v>
      </c>
      <c r="C689" s="517" t="s">
        <v>6358</v>
      </c>
      <c r="D689" s="518">
        <v>7397</v>
      </c>
      <c r="E689" s="517" t="s">
        <v>5782</v>
      </c>
      <c r="F689" s="518" t="s">
        <v>29</v>
      </c>
      <c r="G689" s="519">
        <v>749700</v>
      </c>
      <c r="H689" s="517" t="s">
        <v>6915</v>
      </c>
    </row>
    <row r="690" spans="2:8" ht="15" x14ac:dyDescent="0.35">
      <c r="B690" s="544" t="s">
        <v>6263</v>
      </c>
      <c r="C690" s="517" t="s">
        <v>6358</v>
      </c>
      <c r="D690" s="518">
        <v>7398</v>
      </c>
      <c r="E690" s="517" t="s">
        <v>5783</v>
      </c>
      <c r="F690" s="518" t="s">
        <v>29</v>
      </c>
      <c r="G690" s="519">
        <v>1250690</v>
      </c>
      <c r="H690" s="517" t="s">
        <v>6915</v>
      </c>
    </row>
    <row r="691" spans="2:8" ht="15" x14ac:dyDescent="0.35">
      <c r="B691" s="544" t="s">
        <v>6263</v>
      </c>
      <c r="C691" s="517" t="s">
        <v>6358</v>
      </c>
      <c r="D691" s="518">
        <v>7399</v>
      </c>
      <c r="E691" s="517" t="s">
        <v>5784</v>
      </c>
      <c r="F691" s="518" t="s">
        <v>29</v>
      </c>
      <c r="G691" s="519">
        <v>1200710</v>
      </c>
      <c r="H691" s="517" t="s">
        <v>6915</v>
      </c>
    </row>
    <row r="692" spans="2:8" ht="15" x14ac:dyDescent="0.35">
      <c r="B692" s="544" t="s">
        <v>6263</v>
      </c>
      <c r="C692" s="517" t="s">
        <v>6358</v>
      </c>
      <c r="D692" s="518">
        <v>7400</v>
      </c>
      <c r="E692" s="517" t="s">
        <v>5785</v>
      </c>
      <c r="F692" s="518" t="s">
        <v>29</v>
      </c>
      <c r="G692" s="519">
        <v>1263780</v>
      </c>
      <c r="H692" s="517" t="s">
        <v>6915</v>
      </c>
    </row>
    <row r="693" spans="2:8" ht="15" x14ac:dyDescent="0.35">
      <c r="B693" s="544" t="s">
        <v>6263</v>
      </c>
      <c r="C693" s="517" t="s">
        <v>6358</v>
      </c>
      <c r="D693" s="518">
        <v>7401</v>
      </c>
      <c r="E693" s="517" t="s">
        <v>5786</v>
      </c>
      <c r="F693" s="518" t="s">
        <v>29</v>
      </c>
      <c r="G693" s="519">
        <v>1242360</v>
      </c>
      <c r="H693" s="517" t="s">
        <v>6915</v>
      </c>
    </row>
    <row r="694" spans="2:8" ht="15" x14ac:dyDescent="0.35">
      <c r="B694" s="544" t="s">
        <v>6263</v>
      </c>
      <c r="C694" s="517" t="s">
        <v>6358</v>
      </c>
      <c r="D694" s="518">
        <v>7403</v>
      </c>
      <c r="E694" s="517" t="s">
        <v>5787</v>
      </c>
      <c r="F694" s="518" t="s">
        <v>29</v>
      </c>
      <c r="G694" s="519">
        <v>1731450</v>
      </c>
      <c r="H694" s="517" t="s">
        <v>6915</v>
      </c>
    </row>
    <row r="695" spans="2:8" ht="15" x14ac:dyDescent="0.35">
      <c r="B695" s="544" t="s">
        <v>6263</v>
      </c>
      <c r="C695" s="517" t="s">
        <v>6358</v>
      </c>
      <c r="D695" s="518">
        <v>7404</v>
      </c>
      <c r="E695" s="517" t="s">
        <v>5788</v>
      </c>
      <c r="F695" s="518" t="s">
        <v>29</v>
      </c>
      <c r="G695" s="519">
        <v>1619590</v>
      </c>
      <c r="H695" s="517" t="s">
        <v>6915</v>
      </c>
    </row>
    <row r="696" spans="2:8" ht="15" x14ac:dyDescent="0.35">
      <c r="B696" s="544" t="s">
        <v>6263</v>
      </c>
      <c r="C696" s="517" t="s">
        <v>6358</v>
      </c>
      <c r="D696" s="518">
        <v>7405</v>
      </c>
      <c r="E696" s="517" t="s">
        <v>5789</v>
      </c>
      <c r="F696" s="518" t="s">
        <v>29</v>
      </c>
      <c r="G696" s="519">
        <v>1955170</v>
      </c>
      <c r="H696" s="517" t="s">
        <v>6915</v>
      </c>
    </row>
    <row r="697" spans="2:8" ht="15" x14ac:dyDescent="0.35">
      <c r="B697" s="544" t="s">
        <v>6263</v>
      </c>
      <c r="C697" s="517" t="s">
        <v>6358</v>
      </c>
      <c r="D697" s="518">
        <v>7406</v>
      </c>
      <c r="E697" s="517" t="s">
        <v>5790</v>
      </c>
      <c r="F697" s="518" t="s">
        <v>29</v>
      </c>
      <c r="G697" s="519">
        <v>2828630</v>
      </c>
      <c r="H697" s="517" t="s">
        <v>6915</v>
      </c>
    </row>
    <row r="698" spans="2:8" ht="15" x14ac:dyDescent="0.35">
      <c r="B698" s="544" t="s">
        <v>6263</v>
      </c>
      <c r="C698" s="517" t="s">
        <v>6346</v>
      </c>
      <c r="D698" s="518">
        <v>7407</v>
      </c>
      <c r="E698" s="517" t="s">
        <v>5562</v>
      </c>
      <c r="F698" s="518" t="s">
        <v>29</v>
      </c>
      <c r="G698" s="519">
        <v>47186</v>
      </c>
      <c r="H698" s="517" t="s">
        <v>6425</v>
      </c>
    </row>
    <row r="699" spans="2:8" ht="15" x14ac:dyDescent="0.35">
      <c r="B699" s="544" t="s">
        <v>6263</v>
      </c>
      <c r="C699" s="517" t="s">
        <v>6346</v>
      </c>
      <c r="D699" s="518">
        <v>7409</v>
      </c>
      <c r="E699" s="517" t="s">
        <v>5563</v>
      </c>
      <c r="F699" s="518" t="s">
        <v>29</v>
      </c>
      <c r="G699" s="519">
        <v>75158</v>
      </c>
      <c r="H699" s="517" t="s">
        <v>6425</v>
      </c>
    </row>
    <row r="700" spans="2:8" ht="15" x14ac:dyDescent="0.35">
      <c r="B700" s="544" t="s">
        <v>6263</v>
      </c>
      <c r="C700" s="517" t="s">
        <v>6346</v>
      </c>
      <c r="D700" s="518">
        <v>7410</v>
      </c>
      <c r="E700" s="517" t="s">
        <v>5564</v>
      </c>
      <c r="F700" s="518" t="s">
        <v>29</v>
      </c>
      <c r="G700" s="519">
        <v>115474</v>
      </c>
      <c r="H700" s="517" t="s">
        <v>6425</v>
      </c>
    </row>
    <row r="701" spans="2:8" ht="15" x14ac:dyDescent="0.35">
      <c r="B701" s="544" t="s">
        <v>6263</v>
      </c>
      <c r="C701" s="517" t="s">
        <v>6346</v>
      </c>
      <c r="D701" s="518">
        <v>7411</v>
      </c>
      <c r="E701" s="517" t="s">
        <v>5565</v>
      </c>
      <c r="F701" s="518" t="s">
        <v>29</v>
      </c>
      <c r="G701" s="519">
        <v>839761</v>
      </c>
      <c r="H701" s="517" t="s">
        <v>6425</v>
      </c>
    </row>
    <row r="702" spans="2:8" ht="15" x14ac:dyDescent="0.35">
      <c r="B702" s="544" t="s">
        <v>6263</v>
      </c>
      <c r="C702" s="517" t="s">
        <v>6358</v>
      </c>
      <c r="D702" s="518">
        <v>7412</v>
      </c>
      <c r="E702" s="517" t="s">
        <v>5791</v>
      </c>
      <c r="F702" s="518" t="s">
        <v>29</v>
      </c>
      <c r="G702" s="519">
        <v>209440</v>
      </c>
      <c r="H702" s="517" t="s">
        <v>6915</v>
      </c>
    </row>
    <row r="703" spans="2:8" ht="15" x14ac:dyDescent="0.35">
      <c r="B703" s="544" t="s">
        <v>6263</v>
      </c>
      <c r="C703" s="517" t="s">
        <v>6358</v>
      </c>
      <c r="D703" s="518">
        <v>7413</v>
      </c>
      <c r="E703" s="517" t="s">
        <v>5792</v>
      </c>
      <c r="F703" s="518" t="s">
        <v>29</v>
      </c>
      <c r="G703" s="519">
        <v>232050</v>
      </c>
      <c r="H703" s="517" t="s">
        <v>6915</v>
      </c>
    </row>
    <row r="704" spans="2:8" ht="15" x14ac:dyDescent="0.35">
      <c r="B704" s="544" t="s">
        <v>6263</v>
      </c>
      <c r="C704" s="517" t="s">
        <v>6358</v>
      </c>
      <c r="D704" s="518">
        <v>7414</v>
      </c>
      <c r="E704" s="517" t="s">
        <v>5793</v>
      </c>
      <c r="F704" s="518" t="s">
        <v>29</v>
      </c>
      <c r="G704" s="519">
        <v>479570</v>
      </c>
      <c r="H704" s="517" t="s">
        <v>6915</v>
      </c>
    </row>
    <row r="705" spans="2:8" ht="15" x14ac:dyDescent="0.35">
      <c r="B705" s="544" t="s">
        <v>6263</v>
      </c>
      <c r="C705" s="517" t="s">
        <v>6358</v>
      </c>
      <c r="D705" s="518">
        <v>7416</v>
      </c>
      <c r="E705" s="517" t="s">
        <v>5794</v>
      </c>
      <c r="F705" s="518" t="s">
        <v>29</v>
      </c>
      <c r="G705" s="519">
        <v>1155490</v>
      </c>
      <c r="H705" s="517" t="s">
        <v>6915</v>
      </c>
    </row>
    <row r="706" spans="2:8" ht="15" x14ac:dyDescent="0.35">
      <c r="B706" s="544" t="s">
        <v>6263</v>
      </c>
      <c r="C706" s="517" t="s">
        <v>6358</v>
      </c>
      <c r="D706" s="518">
        <v>7417</v>
      </c>
      <c r="E706" s="517" t="s">
        <v>5795</v>
      </c>
      <c r="F706" s="518" t="s">
        <v>29</v>
      </c>
      <c r="G706" s="519">
        <v>1309000</v>
      </c>
      <c r="H706" s="517" t="s">
        <v>6915</v>
      </c>
    </row>
    <row r="707" spans="2:8" ht="15" x14ac:dyDescent="0.35">
      <c r="B707" s="544" t="s">
        <v>6263</v>
      </c>
      <c r="C707" s="517" t="s">
        <v>6351</v>
      </c>
      <c r="D707" s="518">
        <v>7418</v>
      </c>
      <c r="E707" s="517" t="s">
        <v>3544</v>
      </c>
      <c r="F707" s="518" t="s">
        <v>1628</v>
      </c>
      <c r="G707" s="519">
        <v>249095</v>
      </c>
      <c r="H707" s="517" t="s">
        <v>5686</v>
      </c>
    </row>
    <row r="708" spans="2:8" ht="15" x14ac:dyDescent="0.35">
      <c r="B708" s="544" t="s">
        <v>6263</v>
      </c>
      <c r="C708" s="517" t="s">
        <v>6337</v>
      </c>
      <c r="D708" s="518">
        <v>7419</v>
      </c>
      <c r="E708" s="517" t="s">
        <v>3545</v>
      </c>
      <c r="F708" s="518" t="s">
        <v>23</v>
      </c>
      <c r="G708" s="519">
        <v>649826</v>
      </c>
      <c r="H708" s="517" t="s">
        <v>6425</v>
      </c>
    </row>
    <row r="709" spans="2:8" ht="15" x14ac:dyDescent="0.35">
      <c r="B709" s="544" t="s">
        <v>6263</v>
      </c>
      <c r="C709" s="517" t="s">
        <v>6337</v>
      </c>
      <c r="D709" s="518">
        <v>7420</v>
      </c>
      <c r="E709" s="517" t="s">
        <v>3546</v>
      </c>
      <c r="F709" s="518" t="s">
        <v>23</v>
      </c>
      <c r="G709" s="519">
        <v>749343</v>
      </c>
      <c r="H709" s="517" t="s">
        <v>6425</v>
      </c>
    </row>
    <row r="710" spans="2:8" ht="15" x14ac:dyDescent="0.35">
      <c r="B710" s="544" t="s">
        <v>6263</v>
      </c>
      <c r="C710" s="517" t="s">
        <v>6337</v>
      </c>
      <c r="D710" s="518">
        <v>7421</v>
      </c>
      <c r="E710" s="517" t="s">
        <v>3547</v>
      </c>
      <c r="F710" s="518" t="s">
        <v>23</v>
      </c>
      <c r="G710" s="519">
        <v>776713</v>
      </c>
      <c r="H710" s="517" t="s">
        <v>6425</v>
      </c>
    </row>
    <row r="711" spans="2:8" ht="15" x14ac:dyDescent="0.35">
      <c r="B711" s="544" t="s">
        <v>6263</v>
      </c>
      <c r="C711" s="517" t="s">
        <v>6337</v>
      </c>
      <c r="D711" s="518">
        <v>7422</v>
      </c>
      <c r="E711" s="517" t="s">
        <v>3548</v>
      </c>
      <c r="F711" s="518" t="s">
        <v>23</v>
      </c>
      <c r="G711" s="519">
        <v>866103</v>
      </c>
      <c r="H711" s="517" t="s">
        <v>6425</v>
      </c>
    </row>
    <row r="712" spans="2:8" ht="15" x14ac:dyDescent="0.35">
      <c r="B712" s="544" t="s">
        <v>6263</v>
      </c>
      <c r="C712" s="517" t="s">
        <v>6341</v>
      </c>
      <c r="D712" s="518">
        <v>7423</v>
      </c>
      <c r="E712" s="517" t="s">
        <v>3549</v>
      </c>
      <c r="F712" s="518" t="s">
        <v>367</v>
      </c>
      <c r="G712" s="519">
        <v>706</v>
      </c>
      <c r="H712" s="517" t="s">
        <v>6425</v>
      </c>
    </row>
    <row r="713" spans="2:8" ht="15" x14ac:dyDescent="0.35">
      <c r="B713" s="544" t="s">
        <v>6263</v>
      </c>
      <c r="C713" s="517" t="s">
        <v>6258</v>
      </c>
      <c r="D713" s="518">
        <v>7426</v>
      </c>
      <c r="E713" s="517" t="s">
        <v>3550</v>
      </c>
      <c r="F713" s="518" t="s">
        <v>26</v>
      </c>
      <c r="G713" s="519">
        <v>53812</v>
      </c>
      <c r="H713" s="517" t="s">
        <v>6915</v>
      </c>
    </row>
    <row r="714" spans="2:8" ht="15" x14ac:dyDescent="0.35">
      <c r="B714" s="544" t="s">
        <v>6263</v>
      </c>
      <c r="C714" s="517" t="s">
        <v>6258</v>
      </c>
      <c r="D714" s="518">
        <v>7427</v>
      </c>
      <c r="E714" s="517" t="s">
        <v>3551</v>
      </c>
      <c r="F714" s="518" t="s">
        <v>26</v>
      </c>
      <c r="G714" s="519">
        <v>108874</v>
      </c>
      <c r="H714" s="517" t="s">
        <v>6915</v>
      </c>
    </row>
    <row r="715" spans="2:8" ht="15" x14ac:dyDescent="0.35">
      <c r="B715" s="544" t="s">
        <v>6263</v>
      </c>
      <c r="C715" s="517" t="s">
        <v>6258</v>
      </c>
      <c r="D715" s="518">
        <v>7428</v>
      </c>
      <c r="E715" s="517" t="s">
        <v>3552</v>
      </c>
      <c r="F715" s="518" t="s">
        <v>26</v>
      </c>
      <c r="G715" s="519">
        <v>58422</v>
      </c>
      <c r="H715" s="517" t="s">
        <v>6915</v>
      </c>
    </row>
    <row r="716" spans="2:8" ht="15" x14ac:dyDescent="0.35">
      <c r="B716" s="544" t="s">
        <v>6263</v>
      </c>
      <c r="C716" s="517" t="s">
        <v>6258</v>
      </c>
      <c r="D716" s="518">
        <v>7429</v>
      </c>
      <c r="E716" s="517" t="s">
        <v>3553</v>
      </c>
      <c r="F716" s="518" t="s">
        <v>26</v>
      </c>
      <c r="G716" s="519">
        <v>84301</v>
      </c>
      <c r="H716" s="517" t="s">
        <v>6915</v>
      </c>
    </row>
    <row r="717" spans="2:8" ht="15" x14ac:dyDescent="0.35">
      <c r="B717" s="544" t="s">
        <v>6263</v>
      </c>
      <c r="C717" s="517" t="s">
        <v>6258</v>
      </c>
      <c r="D717" s="518">
        <v>7430</v>
      </c>
      <c r="E717" s="517" t="s">
        <v>3554</v>
      </c>
      <c r="F717" s="518" t="s">
        <v>26</v>
      </c>
      <c r="G717" s="519">
        <v>138013</v>
      </c>
      <c r="H717" s="517" t="s">
        <v>6915</v>
      </c>
    </row>
    <row r="718" spans="2:8" ht="15" x14ac:dyDescent="0.35">
      <c r="B718" s="544" t="s">
        <v>6263</v>
      </c>
      <c r="C718" s="517" t="s">
        <v>6367</v>
      </c>
      <c r="D718" s="518">
        <v>7434</v>
      </c>
      <c r="E718" s="517" t="s">
        <v>3555</v>
      </c>
      <c r="F718" s="518" t="s">
        <v>29</v>
      </c>
      <c r="G718" s="519">
        <v>582804</v>
      </c>
      <c r="H718" s="517" t="s">
        <v>6915</v>
      </c>
    </row>
    <row r="719" spans="2:8" ht="15" x14ac:dyDescent="0.35">
      <c r="B719" s="544" t="s">
        <v>6263</v>
      </c>
      <c r="C719" s="517" t="s">
        <v>6350</v>
      </c>
      <c r="D719" s="518">
        <v>7436</v>
      </c>
      <c r="E719" s="517" t="s">
        <v>3556</v>
      </c>
      <c r="F719" s="518" t="s">
        <v>3175</v>
      </c>
      <c r="G719" s="519">
        <v>68508</v>
      </c>
      <c r="H719" s="517" t="s">
        <v>6425</v>
      </c>
    </row>
    <row r="720" spans="2:8" ht="15" x14ac:dyDescent="0.35">
      <c r="B720" s="544" t="s">
        <v>6263</v>
      </c>
      <c r="C720" s="517" t="s">
        <v>6350</v>
      </c>
      <c r="D720" s="518">
        <v>7437</v>
      </c>
      <c r="E720" s="517" t="s">
        <v>5566</v>
      </c>
      <c r="F720" s="518" t="s">
        <v>3175</v>
      </c>
      <c r="G720" s="519">
        <v>58857</v>
      </c>
      <c r="H720" s="517" t="s">
        <v>6425</v>
      </c>
    </row>
    <row r="721" spans="2:8" ht="15" x14ac:dyDescent="0.35">
      <c r="B721" s="544" t="s">
        <v>6263</v>
      </c>
      <c r="C721" s="517" t="s">
        <v>6338</v>
      </c>
      <c r="D721" s="518">
        <v>7438</v>
      </c>
      <c r="E721" s="517" t="s">
        <v>3557</v>
      </c>
      <c r="F721" s="518" t="s">
        <v>3175</v>
      </c>
      <c r="G721" s="519">
        <v>491230</v>
      </c>
      <c r="H721" s="517" t="s">
        <v>6425</v>
      </c>
    </row>
    <row r="722" spans="2:8" ht="15" x14ac:dyDescent="0.35">
      <c r="B722" s="544" t="s">
        <v>6263</v>
      </c>
      <c r="C722" s="517" t="s">
        <v>6350</v>
      </c>
      <c r="D722" s="518">
        <v>7439</v>
      </c>
      <c r="E722" s="517" t="s">
        <v>3558</v>
      </c>
      <c r="F722" s="518" t="s">
        <v>676</v>
      </c>
      <c r="G722" s="519">
        <v>5950</v>
      </c>
      <c r="H722" s="517" t="s">
        <v>6425</v>
      </c>
    </row>
    <row r="723" spans="2:8" ht="15" x14ac:dyDescent="0.35">
      <c r="B723" s="544" t="s">
        <v>6263</v>
      </c>
      <c r="C723" s="517" t="s">
        <v>6363</v>
      </c>
      <c r="D723" s="518">
        <v>7442</v>
      </c>
      <c r="E723" s="517" t="s">
        <v>3559</v>
      </c>
      <c r="F723" s="518" t="s">
        <v>26</v>
      </c>
      <c r="G723" s="519">
        <v>1571</v>
      </c>
      <c r="H723" s="517" t="s">
        <v>6915</v>
      </c>
    </row>
    <row r="724" spans="2:8" ht="15" x14ac:dyDescent="0.35">
      <c r="B724" s="544" t="s">
        <v>6263</v>
      </c>
      <c r="C724" s="517" t="s">
        <v>6363</v>
      </c>
      <c r="D724" s="518">
        <v>7443</v>
      </c>
      <c r="E724" s="517" t="s">
        <v>3560</v>
      </c>
      <c r="F724" s="518" t="s">
        <v>26</v>
      </c>
      <c r="G724" s="519">
        <v>3123</v>
      </c>
      <c r="H724" s="517" t="s">
        <v>6915</v>
      </c>
    </row>
    <row r="725" spans="2:8" ht="15" x14ac:dyDescent="0.35">
      <c r="B725" s="544" t="s">
        <v>6263</v>
      </c>
      <c r="C725" s="517" t="s">
        <v>6353</v>
      </c>
      <c r="D725" s="518">
        <v>7444</v>
      </c>
      <c r="E725" s="517" t="s">
        <v>5567</v>
      </c>
      <c r="F725" s="518" t="s">
        <v>26</v>
      </c>
      <c r="G725" s="519">
        <v>14757</v>
      </c>
      <c r="H725" s="517" t="s">
        <v>6425</v>
      </c>
    </row>
    <row r="726" spans="2:8" ht="15" x14ac:dyDescent="0.35">
      <c r="B726" s="544" t="s">
        <v>6263</v>
      </c>
      <c r="C726" s="517" t="s">
        <v>6358</v>
      </c>
      <c r="D726" s="518">
        <v>7445</v>
      </c>
      <c r="E726" s="517" t="s">
        <v>5796</v>
      </c>
      <c r="F726" s="518" t="s">
        <v>29</v>
      </c>
      <c r="G726" s="519">
        <v>364140</v>
      </c>
      <c r="H726" s="517" t="s">
        <v>6915</v>
      </c>
    </row>
    <row r="727" spans="2:8" ht="15" x14ac:dyDescent="0.35">
      <c r="B727" s="544" t="s">
        <v>6263</v>
      </c>
      <c r="C727" s="517" t="s">
        <v>6358</v>
      </c>
      <c r="D727" s="518">
        <v>7446</v>
      </c>
      <c r="E727" s="517" t="s">
        <v>5797</v>
      </c>
      <c r="F727" s="518" t="s">
        <v>29</v>
      </c>
      <c r="G727" s="519">
        <v>561680</v>
      </c>
      <c r="H727" s="517" t="s">
        <v>6915</v>
      </c>
    </row>
    <row r="728" spans="2:8" ht="15" x14ac:dyDescent="0.35">
      <c r="B728" s="544" t="s">
        <v>6263</v>
      </c>
      <c r="C728" s="517" t="s">
        <v>6358</v>
      </c>
      <c r="D728" s="518">
        <v>7448</v>
      </c>
      <c r="E728" s="517" t="s">
        <v>5798</v>
      </c>
      <c r="F728" s="518" t="s">
        <v>29</v>
      </c>
      <c r="G728" s="519">
        <v>1012690</v>
      </c>
      <c r="H728" s="517" t="s">
        <v>6915</v>
      </c>
    </row>
    <row r="729" spans="2:8" ht="15" x14ac:dyDescent="0.35">
      <c r="B729" s="544" t="s">
        <v>6263</v>
      </c>
      <c r="C729" s="517" t="s">
        <v>6341</v>
      </c>
      <c r="D729" s="518">
        <v>7451</v>
      </c>
      <c r="E729" s="517" t="s">
        <v>3561</v>
      </c>
      <c r="F729" s="518" t="s">
        <v>367</v>
      </c>
      <c r="G729" s="519">
        <v>4701</v>
      </c>
      <c r="H729" s="517" t="s">
        <v>6425</v>
      </c>
    </row>
    <row r="730" spans="2:8" ht="15" x14ac:dyDescent="0.35">
      <c r="B730" s="544" t="s">
        <v>6263</v>
      </c>
      <c r="C730" s="517" t="s">
        <v>6341</v>
      </c>
      <c r="D730" s="518">
        <v>7452</v>
      </c>
      <c r="E730" s="517" t="s">
        <v>3562</v>
      </c>
      <c r="F730" s="518" t="s">
        <v>367</v>
      </c>
      <c r="G730" s="519">
        <v>4939</v>
      </c>
      <c r="H730" s="517" t="s">
        <v>6425</v>
      </c>
    </row>
    <row r="731" spans="2:8" ht="15" x14ac:dyDescent="0.35">
      <c r="B731" s="544" t="s">
        <v>6263</v>
      </c>
      <c r="C731" s="517" t="s">
        <v>6358</v>
      </c>
      <c r="D731" s="518">
        <v>7453</v>
      </c>
      <c r="E731" s="517" t="s">
        <v>5799</v>
      </c>
      <c r="F731" s="518" t="s">
        <v>29</v>
      </c>
      <c r="G731" s="519">
        <v>182226</v>
      </c>
      <c r="H731" s="517" t="s">
        <v>6915</v>
      </c>
    </row>
    <row r="732" spans="2:8" ht="15" x14ac:dyDescent="0.35">
      <c r="B732" s="544" t="s">
        <v>6263</v>
      </c>
      <c r="C732" s="517" t="s">
        <v>6358</v>
      </c>
      <c r="D732" s="518">
        <v>7455</v>
      </c>
      <c r="E732" s="517" t="s">
        <v>5800</v>
      </c>
      <c r="F732" s="518" t="s">
        <v>29</v>
      </c>
      <c r="G732" s="519">
        <v>955570</v>
      </c>
      <c r="H732" s="517" t="s">
        <v>6915</v>
      </c>
    </row>
    <row r="733" spans="2:8" ht="15" x14ac:dyDescent="0.35">
      <c r="B733" s="544" t="s">
        <v>6263</v>
      </c>
      <c r="C733" s="517" t="s">
        <v>6348</v>
      </c>
      <c r="D733" s="518">
        <v>7457</v>
      </c>
      <c r="E733" s="517" t="s">
        <v>3563</v>
      </c>
      <c r="F733" s="518" t="s">
        <v>26</v>
      </c>
      <c r="G733" s="519">
        <v>28821</v>
      </c>
      <c r="H733" s="517" t="s">
        <v>6915</v>
      </c>
    </row>
    <row r="734" spans="2:8" ht="15" x14ac:dyDescent="0.35">
      <c r="B734" s="544" t="s">
        <v>6263</v>
      </c>
      <c r="C734" s="517" t="s">
        <v>6348</v>
      </c>
      <c r="D734" s="518">
        <v>7458</v>
      </c>
      <c r="E734" s="517" t="s">
        <v>3564</v>
      </c>
      <c r="F734" s="518" t="s">
        <v>26</v>
      </c>
      <c r="G734" s="519">
        <v>44783</v>
      </c>
      <c r="H734" s="517" t="s">
        <v>6915</v>
      </c>
    </row>
    <row r="735" spans="2:8" ht="15" x14ac:dyDescent="0.35">
      <c r="B735" s="544" t="s">
        <v>6263</v>
      </c>
      <c r="C735" s="517" t="s">
        <v>6348</v>
      </c>
      <c r="D735" s="518">
        <v>7460</v>
      </c>
      <c r="E735" s="517" t="s">
        <v>3565</v>
      </c>
      <c r="F735" s="518" t="s">
        <v>26</v>
      </c>
      <c r="G735" s="519">
        <v>39417</v>
      </c>
      <c r="H735" s="517" t="s">
        <v>6915</v>
      </c>
    </row>
    <row r="736" spans="2:8" ht="15" x14ac:dyDescent="0.35">
      <c r="B736" s="544" t="s">
        <v>6263</v>
      </c>
      <c r="C736" s="517" t="s">
        <v>6343</v>
      </c>
      <c r="D736" s="518">
        <v>7461</v>
      </c>
      <c r="E736" s="517" t="s">
        <v>3566</v>
      </c>
      <c r="F736" s="518" t="s">
        <v>23</v>
      </c>
      <c r="G736" s="519">
        <v>90566</v>
      </c>
      <c r="H736" s="517" t="s">
        <v>6425</v>
      </c>
    </row>
    <row r="737" spans="2:8" ht="15" x14ac:dyDescent="0.35">
      <c r="B737" s="544" t="s">
        <v>6263</v>
      </c>
      <c r="C737" s="517" t="s">
        <v>6360</v>
      </c>
      <c r="D737" s="518">
        <v>7462</v>
      </c>
      <c r="E737" s="517" t="s">
        <v>3567</v>
      </c>
      <c r="F737" s="518" t="s">
        <v>1929</v>
      </c>
      <c r="G737" s="519">
        <v>1800</v>
      </c>
      <c r="H737" s="517" t="s">
        <v>6425</v>
      </c>
    </row>
    <row r="738" spans="2:8" ht="15" x14ac:dyDescent="0.35">
      <c r="B738" s="544" t="s">
        <v>6263</v>
      </c>
      <c r="C738" s="517" t="s">
        <v>6258</v>
      </c>
      <c r="D738" s="518">
        <v>7463</v>
      </c>
      <c r="E738" s="517" t="s">
        <v>3568</v>
      </c>
      <c r="F738" s="518" t="s">
        <v>21</v>
      </c>
      <c r="G738" s="519">
        <v>5337</v>
      </c>
      <c r="H738" s="517" t="s">
        <v>6915</v>
      </c>
    </row>
    <row r="739" spans="2:8" ht="15" x14ac:dyDescent="0.35">
      <c r="B739" s="544" t="s">
        <v>6263</v>
      </c>
      <c r="C739" s="517" t="s">
        <v>6258</v>
      </c>
      <c r="D739" s="518">
        <v>7465</v>
      </c>
      <c r="E739" s="517" t="s">
        <v>3569</v>
      </c>
      <c r="F739" s="518" t="s">
        <v>21</v>
      </c>
      <c r="G739" s="519">
        <v>7572</v>
      </c>
      <c r="H739" s="517" t="s">
        <v>6915</v>
      </c>
    </row>
    <row r="740" spans="2:8" ht="15" x14ac:dyDescent="0.35">
      <c r="B740" s="544" t="s">
        <v>6263</v>
      </c>
      <c r="C740" s="517" t="s">
        <v>6258</v>
      </c>
      <c r="D740" s="518">
        <v>7467</v>
      </c>
      <c r="E740" s="517" t="s">
        <v>3570</v>
      </c>
      <c r="F740" s="518" t="s">
        <v>21</v>
      </c>
      <c r="G740" s="519">
        <v>7204</v>
      </c>
      <c r="H740" s="517" t="s">
        <v>6915</v>
      </c>
    </row>
    <row r="741" spans="2:8" ht="15" x14ac:dyDescent="0.35">
      <c r="B741" s="544" t="s">
        <v>6263</v>
      </c>
      <c r="C741" s="517" t="s">
        <v>6258</v>
      </c>
      <c r="D741" s="518">
        <v>7468</v>
      </c>
      <c r="E741" s="517" t="s">
        <v>3571</v>
      </c>
      <c r="F741" s="518" t="s">
        <v>21</v>
      </c>
      <c r="G741" s="519">
        <v>7426</v>
      </c>
      <c r="H741" s="517" t="s">
        <v>6915</v>
      </c>
    </row>
    <row r="742" spans="2:8" ht="15" x14ac:dyDescent="0.35">
      <c r="B742" s="544" t="s">
        <v>6263</v>
      </c>
      <c r="C742" s="517" t="s">
        <v>6368</v>
      </c>
      <c r="D742" s="518">
        <v>7471</v>
      </c>
      <c r="E742" s="517" t="s">
        <v>5801</v>
      </c>
      <c r="F742" s="518" t="s">
        <v>29</v>
      </c>
      <c r="G742" s="519">
        <v>108000</v>
      </c>
      <c r="H742" s="517" t="s">
        <v>6915</v>
      </c>
    </row>
    <row r="743" spans="2:8" ht="15" x14ac:dyDescent="0.35">
      <c r="B743" s="544" t="s">
        <v>6263</v>
      </c>
      <c r="C743" s="517" t="s">
        <v>6368</v>
      </c>
      <c r="D743" s="518">
        <v>7472</v>
      </c>
      <c r="E743" s="517" t="s">
        <v>3572</v>
      </c>
      <c r="F743" s="518" t="s">
        <v>29</v>
      </c>
      <c r="G743" s="519">
        <v>108000</v>
      </c>
      <c r="H743" s="517" t="s">
        <v>6915</v>
      </c>
    </row>
    <row r="744" spans="2:8" ht="15" x14ac:dyDescent="0.35">
      <c r="B744" s="544" t="s">
        <v>6263</v>
      </c>
      <c r="C744" s="517" t="s">
        <v>6369</v>
      </c>
      <c r="D744" s="518">
        <v>7482</v>
      </c>
      <c r="E744" s="517" t="s">
        <v>5802</v>
      </c>
      <c r="F744" s="518" t="s">
        <v>29</v>
      </c>
      <c r="G744" s="519">
        <v>129710</v>
      </c>
      <c r="H744" s="517" t="s">
        <v>6915</v>
      </c>
    </row>
    <row r="745" spans="2:8" ht="15" x14ac:dyDescent="0.35">
      <c r="B745" s="544" t="s">
        <v>6263</v>
      </c>
      <c r="C745" s="517" t="s">
        <v>6370</v>
      </c>
      <c r="D745" s="518">
        <v>7485</v>
      </c>
      <c r="E745" s="517" t="s">
        <v>5803</v>
      </c>
      <c r="F745" s="518" t="s">
        <v>29</v>
      </c>
      <c r="G745" s="519">
        <v>168623</v>
      </c>
      <c r="H745" s="517" t="s">
        <v>6915</v>
      </c>
    </row>
    <row r="746" spans="2:8" ht="15" x14ac:dyDescent="0.35">
      <c r="B746" s="544" t="s">
        <v>6263</v>
      </c>
      <c r="C746" s="517" t="s">
        <v>6370</v>
      </c>
      <c r="D746" s="518">
        <v>7487</v>
      </c>
      <c r="E746" s="517" t="s">
        <v>3573</v>
      </c>
      <c r="F746" s="518" t="s">
        <v>29</v>
      </c>
      <c r="G746" s="519">
        <v>233000</v>
      </c>
      <c r="H746" s="517" t="s">
        <v>6915</v>
      </c>
    </row>
    <row r="747" spans="2:8" ht="15" x14ac:dyDescent="0.35">
      <c r="B747" s="544" t="s">
        <v>6263</v>
      </c>
      <c r="C747" s="517" t="s">
        <v>6369</v>
      </c>
      <c r="D747" s="518">
        <v>7488</v>
      </c>
      <c r="E747" s="517" t="s">
        <v>3574</v>
      </c>
      <c r="F747" s="518" t="s">
        <v>29</v>
      </c>
      <c r="G747" s="519">
        <v>14875</v>
      </c>
      <c r="H747" s="517" t="s">
        <v>6915</v>
      </c>
    </row>
    <row r="748" spans="2:8" ht="15" x14ac:dyDescent="0.35">
      <c r="B748" s="544" t="s">
        <v>6263</v>
      </c>
      <c r="C748" s="517" t="s">
        <v>6369</v>
      </c>
      <c r="D748" s="518">
        <v>7489</v>
      </c>
      <c r="E748" s="517" t="s">
        <v>3575</v>
      </c>
      <c r="F748" s="518" t="s">
        <v>29</v>
      </c>
      <c r="G748" s="519">
        <v>39389</v>
      </c>
      <c r="H748" s="517" t="s">
        <v>6915</v>
      </c>
    </row>
    <row r="749" spans="2:8" ht="15" x14ac:dyDescent="0.35">
      <c r="B749" s="544" t="s">
        <v>6263</v>
      </c>
      <c r="C749" s="517" t="s">
        <v>6369</v>
      </c>
      <c r="D749" s="518">
        <v>7490</v>
      </c>
      <c r="E749" s="517" t="s">
        <v>5804</v>
      </c>
      <c r="F749" s="518" t="s">
        <v>29</v>
      </c>
      <c r="G749" s="519">
        <v>164220</v>
      </c>
      <c r="H749" s="517" t="s">
        <v>6915</v>
      </c>
    </row>
    <row r="750" spans="2:8" ht="15" x14ac:dyDescent="0.35">
      <c r="B750" s="544" t="s">
        <v>6263</v>
      </c>
      <c r="C750" s="517" t="s">
        <v>6370</v>
      </c>
      <c r="D750" s="518">
        <v>7493</v>
      </c>
      <c r="E750" s="517" t="s">
        <v>5805</v>
      </c>
      <c r="F750" s="518" t="s">
        <v>29</v>
      </c>
      <c r="G750" s="519">
        <v>53193</v>
      </c>
      <c r="H750" s="517" t="s">
        <v>6915</v>
      </c>
    </row>
    <row r="751" spans="2:8" ht="15" x14ac:dyDescent="0.35">
      <c r="B751" s="544" t="s">
        <v>6263</v>
      </c>
      <c r="C751" s="517" t="s">
        <v>6369</v>
      </c>
      <c r="D751" s="518">
        <v>7494</v>
      </c>
      <c r="E751" s="517" t="s">
        <v>5806</v>
      </c>
      <c r="F751" s="518" t="s">
        <v>29</v>
      </c>
      <c r="G751" s="519">
        <v>78778</v>
      </c>
      <c r="H751" s="517" t="s">
        <v>6915</v>
      </c>
    </row>
    <row r="752" spans="2:8" ht="15" x14ac:dyDescent="0.35">
      <c r="B752" s="544" t="s">
        <v>6263</v>
      </c>
      <c r="C752" s="517" t="s">
        <v>6369</v>
      </c>
      <c r="D752" s="518">
        <v>7496</v>
      </c>
      <c r="E752" s="517" t="s">
        <v>5807</v>
      </c>
      <c r="F752" s="518" t="s">
        <v>29</v>
      </c>
      <c r="G752" s="519">
        <v>96390</v>
      </c>
      <c r="H752" s="517" t="s">
        <v>6915</v>
      </c>
    </row>
    <row r="753" spans="2:8" ht="15" x14ac:dyDescent="0.35">
      <c r="B753" s="544" t="s">
        <v>6263</v>
      </c>
      <c r="C753" s="517" t="s">
        <v>6369</v>
      </c>
      <c r="D753" s="518">
        <v>7497</v>
      </c>
      <c r="E753" s="517" t="s">
        <v>5808</v>
      </c>
      <c r="F753" s="518" t="s">
        <v>29</v>
      </c>
      <c r="G753" s="519">
        <v>93653</v>
      </c>
      <c r="H753" s="517" t="s">
        <v>6915</v>
      </c>
    </row>
    <row r="754" spans="2:8" ht="15" x14ac:dyDescent="0.35">
      <c r="B754" s="544" t="s">
        <v>6263</v>
      </c>
      <c r="C754" s="517" t="s">
        <v>6369</v>
      </c>
      <c r="D754" s="518">
        <v>7501</v>
      </c>
      <c r="E754" s="517" t="s">
        <v>3576</v>
      </c>
      <c r="F754" s="518" t="s">
        <v>29</v>
      </c>
      <c r="G754" s="519">
        <v>399840</v>
      </c>
      <c r="H754" s="517" t="s">
        <v>6915</v>
      </c>
    </row>
    <row r="755" spans="2:8" ht="15" x14ac:dyDescent="0.35">
      <c r="B755" s="544" t="s">
        <v>6263</v>
      </c>
      <c r="C755" s="517" t="s">
        <v>6369</v>
      </c>
      <c r="D755" s="518">
        <v>7502</v>
      </c>
      <c r="E755" s="517" t="s">
        <v>3577</v>
      </c>
      <c r="F755" s="518" t="s">
        <v>29</v>
      </c>
      <c r="G755" s="519">
        <v>737800</v>
      </c>
      <c r="H755" s="517" t="s">
        <v>6915</v>
      </c>
    </row>
    <row r="756" spans="2:8" ht="15" x14ac:dyDescent="0.35">
      <c r="B756" s="544" t="s">
        <v>6263</v>
      </c>
      <c r="C756" s="517" t="s">
        <v>6369</v>
      </c>
      <c r="D756" s="518">
        <v>7503</v>
      </c>
      <c r="E756" s="517" t="s">
        <v>3578</v>
      </c>
      <c r="F756" s="518" t="s">
        <v>29</v>
      </c>
      <c r="G756" s="519">
        <v>868700</v>
      </c>
      <c r="H756" s="517" t="s">
        <v>6915</v>
      </c>
    </row>
    <row r="757" spans="2:8" ht="15" x14ac:dyDescent="0.35">
      <c r="B757" s="544" t="s">
        <v>6263</v>
      </c>
      <c r="C757" s="517" t="s">
        <v>6369</v>
      </c>
      <c r="D757" s="518">
        <v>7511</v>
      </c>
      <c r="E757" s="517" t="s">
        <v>3579</v>
      </c>
      <c r="F757" s="518" t="s">
        <v>29</v>
      </c>
      <c r="G757" s="519">
        <v>323561</v>
      </c>
      <c r="H757" s="517" t="s">
        <v>6915</v>
      </c>
    </row>
    <row r="758" spans="2:8" ht="15" x14ac:dyDescent="0.35">
      <c r="B758" s="544" t="s">
        <v>6263</v>
      </c>
      <c r="C758" s="517" t="s">
        <v>6369</v>
      </c>
      <c r="D758" s="518">
        <v>7520</v>
      </c>
      <c r="E758" s="517" t="s">
        <v>3580</v>
      </c>
      <c r="F758" s="518" t="s">
        <v>29</v>
      </c>
      <c r="G758" s="519">
        <v>136850</v>
      </c>
      <c r="H758" s="517" t="s">
        <v>6915</v>
      </c>
    </row>
    <row r="759" spans="2:8" ht="15" x14ac:dyDescent="0.35">
      <c r="B759" s="544" t="s">
        <v>6263</v>
      </c>
      <c r="C759" s="517" t="s">
        <v>6371</v>
      </c>
      <c r="D759" s="518">
        <v>7523</v>
      </c>
      <c r="E759" s="517" t="s">
        <v>3581</v>
      </c>
      <c r="F759" s="518" t="s">
        <v>29</v>
      </c>
      <c r="G759" s="519">
        <v>247000</v>
      </c>
      <c r="H759" s="517" t="s">
        <v>6915</v>
      </c>
    </row>
    <row r="760" spans="2:8" ht="15" x14ac:dyDescent="0.35">
      <c r="B760" s="544" t="s">
        <v>6263</v>
      </c>
      <c r="C760" s="517" t="s">
        <v>6371</v>
      </c>
      <c r="D760" s="518">
        <v>7524</v>
      </c>
      <c r="E760" s="517" t="s">
        <v>3582</v>
      </c>
      <c r="F760" s="518" t="s">
        <v>29</v>
      </c>
      <c r="G760" s="519">
        <v>247000</v>
      </c>
      <c r="H760" s="517" t="s">
        <v>6915</v>
      </c>
    </row>
    <row r="761" spans="2:8" ht="15" x14ac:dyDescent="0.35">
      <c r="B761" s="544" t="s">
        <v>6263</v>
      </c>
      <c r="C761" s="517" t="s">
        <v>6372</v>
      </c>
      <c r="D761" s="518">
        <v>7530</v>
      </c>
      <c r="E761" s="517" t="s">
        <v>3583</v>
      </c>
      <c r="F761" s="518" t="s">
        <v>29</v>
      </c>
      <c r="G761" s="519">
        <v>130900</v>
      </c>
      <c r="H761" s="517" t="s">
        <v>6915</v>
      </c>
    </row>
    <row r="762" spans="2:8" ht="15" x14ac:dyDescent="0.35">
      <c r="B762" s="544" t="s">
        <v>6263</v>
      </c>
      <c r="C762" s="517" t="s">
        <v>6373</v>
      </c>
      <c r="D762" s="518">
        <v>7542</v>
      </c>
      <c r="E762" s="517" t="s">
        <v>5809</v>
      </c>
      <c r="F762" s="518" t="s">
        <v>29</v>
      </c>
      <c r="G762" s="519">
        <v>10115</v>
      </c>
      <c r="H762" s="517" t="s">
        <v>6915</v>
      </c>
    </row>
    <row r="763" spans="2:8" ht="15" x14ac:dyDescent="0.35">
      <c r="B763" s="544" t="s">
        <v>6263</v>
      </c>
      <c r="C763" s="517" t="s">
        <v>6373</v>
      </c>
      <c r="D763" s="518">
        <v>7544</v>
      </c>
      <c r="E763" s="517" t="s">
        <v>5810</v>
      </c>
      <c r="F763" s="518" t="s">
        <v>29</v>
      </c>
      <c r="G763" s="519">
        <v>22610</v>
      </c>
      <c r="H763" s="517" t="s">
        <v>6915</v>
      </c>
    </row>
    <row r="764" spans="2:8" ht="15" x14ac:dyDescent="0.35">
      <c r="B764" s="544" t="s">
        <v>6263</v>
      </c>
      <c r="C764" s="517" t="s">
        <v>6374</v>
      </c>
      <c r="D764" s="518">
        <v>7550</v>
      </c>
      <c r="E764" s="517" t="s">
        <v>3584</v>
      </c>
      <c r="F764" s="518" t="s">
        <v>29</v>
      </c>
      <c r="G764" s="519">
        <v>173740</v>
      </c>
      <c r="H764" s="517" t="s">
        <v>6915</v>
      </c>
    </row>
    <row r="765" spans="2:8" ht="15" x14ac:dyDescent="0.35">
      <c r="B765" s="544" t="s">
        <v>6263</v>
      </c>
      <c r="C765" s="517" t="s">
        <v>6375</v>
      </c>
      <c r="D765" s="518">
        <v>7551</v>
      </c>
      <c r="E765" s="517" t="s">
        <v>5811</v>
      </c>
      <c r="F765" s="518" t="s">
        <v>29</v>
      </c>
      <c r="G765" s="519">
        <v>84252</v>
      </c>
      <c r="H765" s="517" t="s">
        <v>6915</v>
      </c>
    </row>
    <row r="766" spans="2:8" ht="15" x14ac:dyDescent="0.35">
      <c r="B766" s="544" t="s">
        <v>6263</v>
      </c>
      <c r="C766" s="517" t="s">
        <v>6359</v>
      </c>
      <c r="D766" s="518">
        <v>7554</v>
      </c>
      <c r="E766" s="517" t="s">
        <v>3585</v>
      </c>
      <c r="F766" s="518" t="s">
        <v>29</v>
      </c>
      <c r="G766" s="519">
        <v>46520</v>
      </c>
      <c r="H766" s="517" t="s">
        <v>6915</v>
      </c>
    </row>
    <row r="767" spans="2:8" ht="15" x14ac:dyDescent="0.35">
      <c r="B767" s="544" t="s">
        <v>6263</v>
      </c>
      <c r="C767" s="517" t="s">
        <v>6359</v>
      </c>
      <c r="D767" s="518">
        <v>7555</v>
      </c>
      <c r="E767" s="517" t="s">
        <v>3586</v>
      </c>
      <c r="F767" s="518" t="s">
        <v>29</v>
      </c>
      <c r="G767" s="519">
        <v>42090</v>
      </c>
      <c r="H767" s="517" t="s">
        <v>6915</v>
      </c>
    </row>
    <row r="768" spans="2:8" ht="15" x14ac:dyDescent="0.35">
      <c r="B768" s="544" t="s">
        <v>6263</v>
      </c>
      <c r="C768" s="517" t="s">
        <v>6367</v>
      </c>
      <c r="D768" s="518">
        <v>7556</v>
      </c>
      <c r="E768" s="517" t="s">
        <v>3587</v>
      </c>
      <c r="F768" s="518" t="s">
        <v>21</v>
      </c>
      <c r="G768" s="519">
        <v>1802</v>
      </c>
      <c r="H768" s="517" t="s">
        <v>6915</v>
      </c>
    </row>
    <row r="769" spans="2:8" ht="15" x14ac:dyDescent="0.35">
      <c r="B769" s="544" t="s">
        <v>6263</v>
      </c>
      <c r="C769" s="517" t="s">
        <v>6367</v>
      </c>
      <c r="D769" s="518">
        <v>7557</v>
      </c>
      <c r="E769" s="517" t="s">
        <v>3588</v>
      </c>
      <c r="F769" s="518" t="s">
        <v>29</v>
      </c>
      <c r="G769" s="519">
        <v>2931</v>
      </c>
      <c r="H769" s="517" t="s">
        <v>6915</v>
      </c>
    </row>
    <row r="770" spans="2:8" ht="15" x14ac:dyDescent="0.35">
      <c r="B770" s="544" t="s">
        <v>6263</v>
      </c>
      <c r="C770" s="517" t="s">
        <v>6376</v>
      </c>
      <c r="D770" s="518">
        <v>7558</v>
      </c>
      <c r="E770" s="517" t="s">
        <v>5812</v>
      </c>
      <c r="F770" s="518" t="s">
        <v>1106</v>
      </c>
      <c r="G770" s="519">
        <v>863345</v>
      </c>
      <c r="H770" s="517" t="s">
        <v>6915</v>
      </c>
    </row>
    <row r="771" spans="2:8" ht="15" x14ac:dyDescent="0.35">
      <c r="B771" s="544" t="s">
        <v>6263</v>
      </c>
      <c r="C771" s="517" t="s">
        <v>6359</v>
      </c>
      <c r="D771" s="518">
        <v>7559</v>
      </c>
      <c r="E771" s="517" t="s">
        <v>3589</v>
      </c>
      <c r="F771" s="518" t="s">
        <v>21</v>
      </c>
      <c r="G771" s="519">
        <v>2763</v>
      </c>
      <c r="H771" s="517" t="s">
        <v>6915</v>
      </c>
    </row>
    <row r="772" spans="2:8" ht="15" x14ac:dyDescent="0.35">
      <c r="B772" s="544" t="s">
        <v>6263</v>
      </c>
      <c r="C772" s="517" t="s">
        <v>6359</v>
      </c>
      <c r="D772" s="518">
        <v>7560</v>
      </c>
      <c r="E772" s="517" t="s">
        <v>3590</v>
      </c>
      <c r="F772" s="518" t="s">
        <v>21</v>
      </c>
      <c r="G772" s="519">
        <v>3247</v>
      </c>
      <c r="H772" s="517" t="s">
        <v>6915</v>
      </c>
    </row>
    <row r="773" spans="2:8" ht="15" x14ac:dyDescent="0.35">
      <c r="B773" s="544" t="s">
        <v>6263</v>
      </c>
      <c r="C773" s="517" t="s">
        <v>6359</v>
      </c>
      <c r="D773" s="518">
        <v>7561</v>
      </c>
      <c r="E773" s="517" t="s">
        <v>3591</v>
      </c>
      <c r="F773" s="518" t="s">
        <v>21</v>
      </c>
      <c r="G773" s="519">
        <v>1852</v>
      </c>
      <c r="H773" s="517" t="s">
        <v>6915</v>
      </c>
    </row>
    <row r="774" spans="2:8" ht="15" x14ac:dyDescent="0.35">
      <c r="B774" s="544" t="s">
        <v>6263</v>
      </c>
      <c r="C774" s="517" t="s">
        <v>6285</v>
      </c>
      <c r="D774" s="518">
        <v>7562</v>
      </c>
      <c r="E774" s="517" t="s">
        <v>3592</v>
      </c>
      <c r="F774" s="518" t="s">
        <v>26</v>
      </c>
      <c r="G774" s="519">
        <v>23387</v>
      </c>
      <c r="H774" s="517" t="s">
        <v>6425</v>
      </c>
    </row>
    <row r="775" spans="2:8" ht="15" x14ac:dyDescent="0.35">
      <c r="B775" s="544" t="s">
        <v>6263</v>
      </c>
      <c r="C775" s="517" t="s">
        <v>6359</v>
      </c>
      <c r="D775" s="518">
        <v>7567</v>
      </c>
      <c r="E775" s="517" t="s">
        <v>3593</v>
      </c>
      <c r="F775" s="518" t="s">
        <v>29</v>
      </c>
      <c r="G775" s="519">
        <v>95994</v>
      </c>
      <c r="H775" s="517" t="s">
        <v>6915</v>
      </c>
    </row>
    <row r="776" spans="2:8" ht="15" x14ac:dyDescent="0.35">
      <c r="B776" s="544" t="s">
        <v>6263</v>
      </c>
      <c r="C776" s="517" t="s">
        <v>6377</v>
      </c>
      <c r="D776" s="518">
        <v>7568</v>
      </c>
      <c r="E776" s="517" t="s">
        <v>3594</v>
      </c>
      <c r="F776" s="518" t="s">
        <v>29</v>
      </c>
      <c r="G776" s="519">
        <v>42900</v>
      </c>
      <c r="H776" s="517" t="s">
        <v>6425</v>
      </c>
    </row>
    <row r="777" spans="2:8" ht="15" x14ac:dyDescent="0.35">
      <c r="B777" s="544" t="s">
        <v>6263</v>
      </c>
      <c r="C777" s="517" t="s">
        <v>6359</v>
      </c>
      <c r="D777" s="518">
        <v>7571</v>
      </c>
      <c r="E777" s="517" t="s">
        <v>3595</v>
      </c>
      <c r="F777" s="518" t="s">
        <v>29</v>
      </c>
      <c r="G777" s="519">
        <v>83781</v>
      </c>
      <c r="H777" s="517" t="s">
        <v>6915</v>
      </c>
    </row>
    <row r="778" spans="2:8" ht="15" x14ac:dyDescent="0.35">
      <c r="B778" s="544" t="s">
        <v>6263</v>
      </c>
      <c r="C778" s="517" t="s">
        <v>6377</v>
      </c>
      <c r="D778" s="518">
        <v>7575</v>
      </c>
      <c r="E778" s="517" t="s">
        <v>3596</v>
      </c>
      <c r="F778" s="518" t="s">
        <v>29</v>
      </c>
      <c r="G778" s="519">
        <v>34900</v>
      </c>
      <c r="H778" s="517" t="s">
        <v>6425</v>
      </c>
    </row>
    <row r="779" spans="2:8" ht="15" x14ac:dyDescent="0.35">
      <c r="B779" s="544" t="s">
        <v>6263</v>
      </c>
      <c r="C779" s="517" t="s">
        <v>6377</v>
      </c>
      <c r="D779" s="518">
        <v>7576</v>
      </c>
      <c r="E779" s="517" t="s">
        <v>3597</v>
      </c>
      <c r="F779" s="518" t="s">
        <v>29</v>
      </c>
      <c r="G779" s="519">
        <v>2040</v>
      </c>
      <c r="H779" s="517" t="s">
        <v>6425</v>
      </c>
    </row>
    <row r="780" spans="2:8" ht="15" x14ac:dyDescent="0.35">
      <c r="B780" s="544" t="s">
        <v>6263</v>
      </c>
      <c r="C780" s="517" t="s">
        <v>6377</v>
      </c>
      <c r="D780" s="518">
        <v>7577</v>
      </c>
      <c r="E780" s="517" t="s">
        <v>3598</v>
      </c>
      <c r="F780" s="518" t="s">
        <v>29</v>
      </c>
      <c r="G780" s="519">
        <v>8100</v>
      </c>
      <c r="H780" s="517" t="s">
        <v>6425</v>
      </c>
    </row>
    <row r="781" spans="2:8" ht="15" x14ac:dyDescent="0.35">
      <c r="B781" s="544" t="s">
        <v>6263</v>
      </c>
      <c r="C781" s="517" t="s">
        <v>6377</v>
      </c>
      <c r="D781" s="518">
        <v>7578</v>
      </c>
      <c r="E781" s="517" t="s">
        <v>6448</v>
      </c>
      <c r="F781" s="518" t="s">
        <v>3707</v>
      </c>
      <c r="G781" s="519">
        <v>9055</v>
      </c>
      <c r="H781" s="517" t="s">
        <v>6425</v>
      </c>
    </row>
    <row r="782" spans="2:8" ht="15" x14ac:dyDescent="0.35">
      <c r="B782" s="544" t="s">
        <v>6263</v>
      </c>
      <c r="C782" s="517" t="s">
        <v>6377</v>
      </c>
      <c r="D782" s="518">
        <v>7579</v>
      </c>
      <c r="E782" s="517" t="s">
        <v>3599</v>
      </c>
      <c r="F782" s="518" t="s">
        <v>29</v>
      </c>
      <c r="G782" s="519">
        <v>750</v>
      </c>
      <c r="H782" s="517" t="s">
        <v>6425</v>
      </c>
    </row>
    <row r="783" spans="2:8" ht="15" x14ac:dyDescent="0.35">
      <c r="B783" s="544" t="s">
        <v>6263</v>
      </c>
      <c r="C783" s="517" t="s">
        <v>6377</v>
      </c>
      <c r="D783" s="518">
        <v>7580</v>
      </c>
      <c r="E783" s="517" t="s">
        <v>3600</v>
      </c>
      <c r="F783" s="518" t="s">
        <v>29</v>
      </c>
      <c r="G783" s="519">
        <v>21800</v>
      </c>
      <c r="H783" s="517" t="s">
        <v>6425</v>
      </c>
    </row>
    <row r="784" spans="2:8" ht="15" x14ac:dyDescent="0.35">
      <c r="B784" s="544" t="s">
        <v>6263</v>
      </c>
      <c r="C784" s="517" t="s">
        <v>6377</v>
      </c>
      <c r="D784" s="518">
        <v>7582</v>
      </c>
      <c r="E784" s="517" t="s">
        <v>3601</v>
      </c>
      <c r="F784" s="518" t="s">
        <v>29</v>
      </c>
      <c r="G784" s="519">
        <v>29738</v>
      </c>
      <c r="H784" s="517" t="s">
        <v>6425</v>
      </c>
    </row>
    <row r="785" spans="2:8" ht="15" x14ac:dyDescent="0.35">
      <c r="B785" s="544" t="s">
        <v>6263</v>
      </c>
      <c r="C785" s="517" t="s">
        <v>6377</v>
      </c>
      <c r="D785" s="518">
        <v>7583</v>
      </c>
      <c r="E785" s="517" t="s">
        <v>3602</v>
      </c>
      <c r="F785" s="518" t="s">
        <v>29</v>
      </c>
      <c r="G785" s="519">
        <v>32800</v>
      </c>
      <c r="H785" s="517" t="s">
        <v>6425</v>
      </c>
    </row>
    <row r="786" spans="2:8" ht="15" x14ac:dyDescent="0.35">
      <c r="B786" s="544" t="s">
        <v>6263</v>
      </c>
      <c r="C786" s="517" t="s">
        <v>6352</v>
      </c>
      <c r="D786" s="518">
        <v>7585</v>
      </c>
      <c r="E786" s="517" t="s">
        <v>3603</v>
      </c>
      <c r="F786" s="518" t="s">
        <v>26</v>
      </c>
      <c r="G786" s="519">
        <v>37506</v>
      </c>
      <c r="H786" s="517" t="s">
        <v>6425</v>
      </c>
    </row>
    <row r="787" spans="2:8" ht="15" x14ac:dyDescent="0.35">
      <c r="B787" s="544" t="s">
        <v>6263</v>
      </c>
      <c r="C787" s="517" t="s">
        <v>6359</v>
      </c>
      <c r="D787" s="518">
        <v>7586</v>
      </c>
      <c r="E787" s="517" t="s">
        <v>3604</v>
      </c>
      <c r="F787" s="518" t="s">
        <v>29</v>
      </c>
      <c r="G787" s="519">
        <v>3413</v>
      </c>
      <c r="H787" s="517" t="s">
        <v>6915</v>
      </c>
    </row>
    <row r="788" spans="2:8" ht="15" x14ac:dyDescent="0.35">
      <c r="B788" s="544" t="s">
        <v>6263</v>
      </c>
      <c r="C788" s="517" t="s">
        <v>6366</v>
      </c>
      <c r="D788" s="518">
        <v>7587</v>
      </c>
      <c r="E788" s="517" t="s">
        <v>3605</v>
      </c>
      <c r="F788" s="518" t="s">
        <v>367</v>
      </c>
      <c r="G788" s="519">
        <v>193800</v>
      </c>
      <c r="H788" s="517" t="s">
        <v>6915</v>
      </c>
    </row>
    <row r="789" spans="2:8" ht="15" x14ac:dyDescent="0.35">
      <c r="B789" s="544" t="s">
        <v>6263</v>
      </c>
      <c r="C789" s="517" t="s">
        <v>6350</v>
      </c>
      <c r="D789" s="518">
        <v>7596</v>
      </c>
      <c r="E789" s="517" t="s">
        <v>5568</v>
      </c>
      <c r="F789" s="518" t="s">
        <v>3175</v>
      </c>
      <c r="G789" s="519">
        <v>52107</v>
      </c>
      <c r="H789" s="517" t="s">
        <v>6425</v>
      </c>
    </row>
    <row r="790" spans="2:8" ht="15" x14ac:dyDescent="0.35">
      <c r="B790" s="544" t="s">
        <v>6263</v>
      </c>
      <c r="C790" s="517" t="s">
        <v>6343</v>
      </c>
      <c r="D790" s="518">
        <v>7598</v>
      </c>
      <c r="E790" s="517" t="s">
        <v>3606</v>
      </c>
      <c r="F790" s="518" t="s">
        <v>23</v>
      </c>
      <c r="G790" s="519">
        <v>95200</v>
      </c>
      <c r="H790" s="517" t="s">
        <v>6425</v>
      </c>
    </row>
    <row r="791" spans="2:8" ht="15" x14ac:dyDescent="0.35">
      <c r="B791" s="544" t="s">
        <v>6263</v>
      </c>
      <c r="C791" s="517" t="s">
        <v>6378</v>
      </c>
      <c r="D791" s="518">
        <v>7603</v>
      </c>
      <c r="E791" s="517" t="s">
        <v>3607</v>
      </c>
      <c r="F791" s="518" t="s">
        <v>26</v>
      </c>
      <c r="G791" s="519">
        <v>395382</v>
      </c>
      <c r="H791" s="517" t="s">
        <v>6425</v>
      </c>
    </row>
    <row r="792" spans="2:8" ht="15" x14ac:dyDescent="0.35">
      <c r="B792" s="544" t="s">
        <v>6263</v>
      </c>
      <c r="C792" s="517" t="s">
        <v>6378</v>
      </c>
      <c r="D792" s="518">
        <v>7604</v>
      </c>
      <c r="E792" s="517" t="s">
        <v>3608</v>
      </c>
      <c r="F792" s="518" t="s">
        <v>26</v>
      </c>
      <c r="G792" s="519">
        <v>485859</v>
      </c>
      <c r="H792" s="517" t="s">
        <v>6425</v>
      </c>
    </row>
    <row r="793" spans="2:8" ht="15" x14ac:dyDescent="0.35">
      <c r="B793" s="544" t="s">
        <v>6263</v>
      </c>
      <c r="C793" s="517" t="s">
        <v>6378</v>
      </c>
      <c r="D793" s="518">
        <v>7606</v>
      </c>
      <c r="E793" s="517" t="s">
        <v>3609</v>
      </c>
      <c r="F793" s="518" t="s">
        <v>26</v>
      </c>
      <c r="G793" s="519">
        <v>608367</v>
      </c>
      <c r="H793" s="517" t="s">
        <v>6425</v>
      </c>
    </row>
    <row r="794" spans="2:8" ht="15" x14ac:dyDescent="0.35">
      <c r="B794" s="544" t="s">
        <v>6263</v>
      </c>
      <c r="C794" s="517" t="s">
        <v>6378</v>
      </c>
      <c r="D794" s="518">
        <v>7607</v>
      </c>
      <c r="E794" s="517" t="s">
        <v>3610</v>
      </c>
      <c r="F794" s="518" t="s">
        <v>26</v>
      </c>
      <c r="G794" s="519">
        <v>658183</v>
      </c>
      <c r="H794" s="517" t="s">
        <v>6425</v>
      </c>
    </row>
    <row r="795" spans="2:8" ht="15" x14ac:dyDescent="0.35">
      <c r="B795" s="544" t="s">
        <v>6263</v>
      </c>
      <c r="C795" s="517" t="s">
        <v>6378</v>
      </c>
      <c r="D795" s="518">
        <v>7608</v>
      </c>
      <c r="E795" s="517" t="s">
        <v>3611</v>
      </c>
      <c r="F795" s="518" t="s">
        <v>26</v>
      </c>
      <c r="G795" s="519">
        <v>807048</v>
      </c>
      <c r="H795" s="517" t="s">
        <v>6425</v>
      </c>
    </row>
    <row r="796" spans="2:8" ht="15" x14ac:dyDescent="0.35">
      <c r="B796" s="544" t="s">
        <v>6263</v>
      </c>
      <c r="C796" s="517" t="s">
        <v>6258</v>
      </c>
      <c r="D796" s="518">
        <v>7610</v>
      </c>
      <c r="E796" s="517" t="s">
        <v>3612</v>
      </c>
      <c r="F796" s="518" t="s">
        <v>21</v>
      </c>
      <c r="G796" s="519">
        <v>9663</v>
      </c>
      <c r="H796" s="517" t="s">
        <v>6915</v>
      </c>
    </row>
    <row r="797" spans="2:8" ht="15" x14ac:dyDescent="0.35">
      <c r="B797" s="544" t="s">
        <v>6263</v>
      </c>
      <c r="C797" s="517" t="s">
        <v>6378</v>
      </c>
      <c r="D797" s="518">
        <v>7613</v>
      </c>
      <c r="E797" s="517" t="s">
        <v>3613</v>
      </c>
      <c r="F797" s="518" t="s">
        <v>26</v>
      </c>
      <c r="G797" s="519">
        <v>954768</v>
      </c>
      <c r="H797" s="517" t="s">
        <v>6425</v>
      </c>
    </row>
    <row r="798" spans="2:8" ht="15" x14ac:dyDescent="0.35">
      <c r="B798" s="544" t="s">
        <v>6263</v>
      </c>
      <c r="C798" s="517" t="s">
        <v>6378</v>
      </c>
      <c r="D798" s="518">
        <v>7614</v>
      </c>
      <c r="E798" s="517" t="s">
        <v>3614</v>
      </c>
      <c r="F798" s="518" t="s">
        <v>26</v>
      </c>
      <c r="G798" s="519">
        <v>1199074</v>
      </c>
      <c r="H798" s="517" t="s">
        <v>6425</v>
      </c>
    </row>
    <row r="799" spans="2:8" ht="15" x14ac:dyDescent="0.35">
      <c r="B799" s="544" t="s">
        <v>6263</v>
      </c>
      <c r="C799" s="517" t="s">
        <v>6378</v>
      </c>
      <c r="D799" s="518">
        <v>7615</v>
      </c>
      <c r="E799" s="517" t="s">
        <v>3615</v>
      </c>
      <c r="F799" s="518" t="s">
        <v>26</v>
      </c>
      <c r="G799" s="519">
        <v>1517164</v>
      </c>
      <c r="H799" s="517" t="s">
        <v>6425</v>
      </c>
    </row>
    <row r="800" spans="2:8" ht="15" x14ac:dyDescent="0.35">
      <c r="B800" s="544" t="s">
        <v>6263</v>
      </c>
      <c r="C800" s="517" t="s">
        <v>6378</v>
      </c>
      <c r="D800" s="518">
        <v>7616</v>
      </c>
      <c r="E800" s="517" t="s">
        <v>3616</v>
      </c>
      <c r="F800" s="518" t="s">
        <v>26</v>
      </c>
      <c r="G800" s="519">
        <v>1719583</v>
      </c>
      <c r="H800" s="517" t="s">
        <v>6425</v>
      </c>
    </row>
    <row r="801" spans="2:8" ht="15" x14ac:dyDescent="0.35">
      <c r="B801" s="544" t="s">
        <v>6263</v>
      </c>
      <c r="C801" s="517" t="s">
        <v>6378</v>
      </c>
      <c r="D801" s="518">
        <v>7617</v>
      </c>
      <c r="E801" s="517" t="s">
        <v>3617</v>
      </c>
      <c r="F801" s="518" t="s">
        <v>26</v>
      </c>
      <c r="G801" s="519">
        <v>1922002</v>
      </c>
      <c r="H801" s="517" t="s">
        <v>6425</v>
      </c>
    </row>
    <row r="802" spans="2:8" ht="15" x14ac:dyDescent="0.35">
      <c r="B802" s="544" t="s">
        <v>6263</v>
      </c>
      <c r="C802" s="517" t="s">
        <v>6378</v>
      </c>
      <c r="D802" s="518">
        <v>7618</v>
      </c>
      <c r="E802" s="517" t="s">
        <v>3618</v>
      </c>
      <c r="F802" s="518" t="s">
        <v>26</v>
      </c>
      <c r="G802" s="519">
        <v>2159845</v>
      </c>
      <c r="H802" s="517" t="s">
        <v>6425</v>
      </c>
    </row>
    <row r="803" spans="2:8" ht="15" x14ac:dyDescent="0.35">
      <c r="B803" s="544" t="s">
        <v>6263</v>
      </c>
      <c r="C803" s="517" t="s">
        <v>6378</v>
      </c>
      <c r="D803" s="518">
        <v>7619</v>
      </c>
      <c r="E803" s="517" t="s">
        <v>3619</v>
      </c>
      <c r="F803" s="518" t="s">
        <v>26</v>
      </c>
      <c r="G803" s="519">
        <v>2762416</v>
      </c>
      <c r="H803" s="517" t="s">
        <v>6425</v>
      </c>
    </row>
    <row r="804" spans="2:8" ht="15" x14ac:dyDescent="0.35">
      <c r="B804" s="544" t="s">
        <v>6263</v>
      </c>
      <c r="C804" s="517" t="s">
        <v>6378</v>
      </c>
      <c r="D804" s="518">
        <v>7620</v>
      </c>
      <c r="E804" s="517" t="s">
        <v>3620</v>
      </c>
      <c r="F804" s="518" t="s">
        <v>26</v>
      </c>
      <c r="G804" s="519">
        <v>3060985</v>
      </c>
      <c r="H804" s="517" t="s">
        <v>6425</v>
      </c>
    </row>
    <row r="805" spans="2:8" ht="15" x14ac:dyDescent="0.35">
      <c r="B805" s="544" t="s">
        <v>6263</v>
      </c>
      <c r="C805" s="517" t="s">
        <v>6378</v>
      </c>
      <c r="D805" s="518">
        <v>7621</v>
      </c>
      <c r="E805" s="517" t="s">
        <v>3621</v>
      </c>
      <c r="F805" s="518" t="s">
        <v>26</v>
      </c>
      <c r="G805" s="519">
        <v>3384855</v>
      </c>
      <c r="H805" s="517" t="s">
        <v>6425</v>
      </c>
    </row>
    <row r="806" spans="2:8" ht="15" x14ac:dyDescent="0.35">
      <c r="B806" s="544" t="s">
        <v>6263</v>
      </c>
      <c r="C806" s="517" t="s">
        <v>6378</v>
      </c>
      <c r="D806" s="518">
        <v>7622</v>
      </c>
      <c r="E806" s="517" t="s">
        <v>3622</v>
      </c>
      <c r="F806" s="518" t="s">
        <v>26</v>
      </c>
      <c r="G806" s="519">
        <v>3708725</v>
      </c>
      <c r="H806" s="517" t="s">
        <v>6425</v>
      </c>
    </row>
    <row r="807" spans="2:8" ht="15" x14ac:dyDescent="0.35">
      <c r="B807" s="544" t="s">
        <v>6263</v>
      </c>
      <c r="C807" s="517" t="s">
        <v>6378</v>
      </c>
      <c r="D807" s="518">
        <v>7626</v>
      </c>
      <c r="E807" s="517" t="s">
        <v>3623</v>
      </c>
      <c r="F807" s="518" t="s">
        <v>29</v>
      </c>
      <c r="G807" s="519">
        <v>623930</v>
      </c>
      <c r="H807" s="517" t="s">
        <v>6425</v>
      </c>
    </row>
    <row r="808" spans="2:8" ht="15" x14ac:dyDescent="0.35">
      <c r="B808" s="544" t="s">
        <v>6263</v>
      </c>
      <c r="C808" s="517" t="s">
        <v>6378</v>
      </c>
      <c r="D808" s="518">
        <v>7627</v>
      </c>
      <c r="E808" s="517" t="s">
        <v>3624</v>
      </c>
      <c r="F808" s="518" t="s">
        <v>29</v>
      </c>
      <c r="G808" s="519">
        <v>647170</v>
      </c>
      <c r="H808" s="517" t="s">
        <v>6425</v>
      </c>
    </row>
    <row r="809" spans="2:8" ht="15" x14ac:dyDescent="0.35">
      <c r="B809" s="544" t="s">
        <v>6263</v>
      </c>
      <c r="C809" s="517" t="s">
        <v>6378</v>
      </c>
      <c r="D809" s="518">
        <v>7628</v>
      </c>
      <c r="E809" s="517" t="s">
        <v>3625</v>
      </c>
      <c r="F809" s="518" t="s">
        <v>29</v>
      </c>
      <c r="G809" s="519">
        <v>669423</v>
      </c>
      <c r="H809" s="517" t="s">
        <v>6425</v>
      </c>
    </row>
    <row r="810" spans="2:8" ht="15" x14ac:dyDescent="0.35">
      <c r="B810" s="544" t="s">
        <v>6263</v>
      </c>
      <c r="C810" s="517" t="s">
        <v>6378</v>
      </c>
      <c r="D810" s="518">
        <v>7630</v>
      </c>
      <c r="E810" s="517" t="s">
        <v>3626</v>
      </c>
      <c r="F810" s="518" t="s">
        <v>29</v>
      </c>
      <c r="G810" s="519">
        <v>705256</v>
      </c>
      <c r="H810" s="517" t="s">
        <v>6425</v>
      </c>
    </row>
    <row r="811" spans="2:8" ht="15" x14ac:dyDescent="0.35">
      <c r="B811" s="544" t="s">
        <v>6263</v>
      </c>
      <c r="C811" s="517" t="s">
        <v>6378</v>
      </c>
      <c r="D811" s="518">
        <v>7631</v>
      </c>
      <c r="E811" s="517" t="s">
        <v>3627</v>
      </c>
      <c r="F811" s="518" t="s">
        <v>29</v>
      </c>
      <c r="G811" s="519">
        <v>905521</v>
      </c>
      <c r="H811" s="517" t="s">
        <v>6425</v>
      </c>
    </row>
    <row r="812" spans="2:8" ht="15" x14ac:dyDescent="0.35">
      <c r="B812" s="544" t="s">
        <v>6263</v>
      </c>
      <c r="C812" s="517" t="s">
        <v>6378</v>
      </c>
      <c r="D812" s="518">
        <v>7632</v>
      </c>
      <c r="E812" s="517" t="s">
        <v>3628</v>
      </c>
      <c r="F812" s="518" t="s">
        <v>29</v>
      </c>
      <c r="G812" s="519">
        <v>968595</v>
      </c>
      <c r="H812" s="517" t="s">
        <v>6425</v>
      </c>
    </row>
    <row r="813" spans="2:8" ht="15" x14ac:dyDescent="0.35">
      <c r="B813" s="544" t="s">
        <v>6263</v>
      </c>
      <c r="C813" s="517" t="s">
        <v>6378</v>
      </c>
      <c r="D813" s="518">
        <v>7633</v>
      </c>
      <c r="E813" s="517" t="s">
        <v>3629</v>
      </c>
      <c r="F813" s="518" t="s">
        <v>29</v>
      </c>
      <c r="G813" s="519">
        <v>1046753</v>
      </c>
      <c r="H813" s="517" t="s">
        <v>6425</v>
      </c>
    </row>
    <row r="814" spans="2:8" ht="15" x14ac:dyDescent="0.35">
      <c r="B814" s="544" t="s">
        <v>6263</v>
      </c>
      <c r="C814" s="517" t="s">
        <v>6378</v>
      </c>
      <c r="D814" s="518">
        <v>7634</v>
      </c>
      <c r="E814" s="517" t="s">
        <v>3630</v>
      </c>
      <c r="F814" s="518" t="s">
        <v>29</v>
      </c>
      <c r="G814" s="519">
        <v>1126844</v>
      </c>
      <c r="H814" s="517" t="s">
        <v>6425</v>
      </c>
    </row>
    <row r="815" spans="2:8" ht="15" x14ac:dyDescent="0.35">
      <c r="B815" s="544" t="s">
        <v>6263</v>
      </c>
      <c r="C815" s="517" t="s">
        <v>6378</v>
      </c>
      <c r="D815" s="518">
        <v>7635</v>
      </c>
      <c r="E815" s="517" t="s">
        <v>3631</v>
      </c>
      <c r="F815" s="518" t="s">
        <v>29</v>
      </c>
      <c r="G815" s="519">
        <v>1183187</v>
      </c>
      <c r="H815" s="517" t="s">
        <v>6425</v>
      </c>
    </row>
    <row r="816" spans="2:8" ht="15" x14ac:dyDescent="0.35">
      <c r="B816" s="544" t="s">
        <v>6263</v>
      </c>
      <c r="C816" s="517" t="s">
        <v>6378</v>
      </c>
      <c r="D816" s="518">
        <v>7636</v>
      </c>
      <c r="E816" s="517" t="s">
        <v>3632</v>
      </c>
      <c r="F816" s="518" t="s">
        <v>29</v>
      </c>
      <c r="G816" s="519">
        <v>1242347</v>
      </c>
      <c r="H816" s="517" t="s">
        <v>6425</v>
      </c>
    </row>
    <row r="817" spans="2:8" ht="15" x14ac:dyDescent="0.35">
      <c r="B817" s="544" t="s">
        <v>6263</v>
      </c>
      <c r="C817" s="517" t="s">
        <v>6378</v>
      </c>
      <c r="D817" s="518">
        <v>7637</v>
      </c>
      <c r="E817" s="517" t="s">
        <v>3633</v>
      </c>
      <c r="F817" s="518" t="s">
        <v>29</v>
      </c>
      <c r="G817" s="519">
        <v>1304465</v>
      </c>
      <c r="H817" s="517" t="s">
        <v>6425</v>
      </c>
    </row>
    <row r="818" spans="2:8" ht="15" x14ac:dyDescent="0.35">
      <c r="B818" s="544" t="s">
        <v>6263</v>
      </c>
      <c r="C818" s="517" t="s">
        <v>6378</v>
      </c>
      <c r="D818" s="518">
        <v>7638</v>
      </c>
      <c r="E818" s="517" t="s">
        <v>3634</v>
      </c>
      <c r="F818" s="518" t="s">
        <v>29</v>
      </c>
      <c r="G818" s="519">
        <v>1369689</v>
      </c>
      <c r="H818" s="517" t="s">
        <v>6425</v>
      </c>
    </row>
    <row r="819" spans="2:8" ht="15" x14ac:dyDescent="0.35">
      <c r="B819" s="544" t="s">
        <v>6263</v>
      </c>
      <c r="C819" s="517" t="s">
        <v>6378</v>
      </c>
      <c r="D819" s="518">
        <v>7639</v>
      </c>
      <c r="E819" s="517" t="s">
        <v>3635</v>
      </c>
      <c r="F819" s="518" t="s">
        <v>29</v>
      </c>
      <c r="G819" s="519">
        <v>1438173</v>
      </c>
      <c r="H819" s="517" t="s">
        <v>6425</v>
      </c>
    </row>
    <row r="820" spans="2:8" ht="15" x14ac:dyDescent="0.35">
      <c r="B820" s="544" t="s">
        <v>6263</v>
      </c>
      <c r="C820" s="517" t="s">
        <v>6378</v>
      </c>
      <c r="D820" s="518">
        <v>7640</v>
      </c>
      <c r="E820" s="517" t="s">
        <v>3636</v>
      </c>
      <c r="F820" s="518" t="s">
        <v>29</v>
      </c>
      <c r="G820" s="519">
        <v>1510083</v>
      </c>
      <c r="H820" s="517" t="s">
        <v>6425</v>
      </c>
    </row>
    <row r="821" spans="2:8" ht="15" x14ac:dyDescent="0.35">
      <c r="B821" s="544" t="s">
        <v>6263</v>
      </c>
      <c r="C821" s="517" t="s">
        <v>6378</v>
      </c>
      <c r="D821" s="518">
        <v>7641</v>
      </c>
      <c r="E821" s="517" t="s">
        <v>3637</v>
      </c>
      <c r="F821" s="518" t="s">
        <v>29</v>
      </c>
      <c r="G821" s="519">
        <v>1644655</v>
      </c>
      <c r="H821" s="517" t="s">
        <v>6425</v>
      </c>
    </row>
    <row r="822" spans="2:8" ht="15" x14ac:dyDescent="0.35">
      <c r="B822" s="544" t="s">
        <v>6263</v>
      </c>
      <c r="C822" s="517" t="s">
        <v>6378</v>
      </c>
      <c r="D822" s="518">
        <v>7642</v>
      </c>
      <c r="E822" s="517" t="s">
        <v>3638</v>
      </c>
      <c r="F822" s="518" t="s">
        <v>29</v>
      </c>
      <c r="G822" s="519">
        <v>1705381</v>
      </c>
      <c r="H822" s="517" t="s">
        <v>6425</v>
      </c>
    </row>
    <row r="823" spans="2:8" ht="15" x14ac:dyDescent="0.35">
      <c r="B823" s="544" t="s">
        <v>6263</v>
      </c>
      <c r="C823" s="517" t="s">
        <v>6378</v>
      </c>
      <c r="D823" s="518">
        <v>7643</v>
      </c>
      <c r="E823" s="517" t="s">
        <v>3639</v>
      </c>
      <c r="F823" s="518" t="s">
        <v>29</v>
      </c>
      <c r="G823" s="519">
        <v>1978646</v>
      </c>
      <c r="H823" s="517" t="s">
        <v>6425</v>
      </c>
    </row>
    <row r="824" spans="2:8" ht="15" x14ac:dyDescent="0.35">
      <c r="B824" s="544" t="s">
        <v>6263</v>
      </c>
      <c r="C824" s="517" t="s">
        <v>6378</v>
      </c>
      <c r="D824" s="518">
        <v>7644</v>
      </c>
      <c r="E824" s="517" t="s">
        <v>3640</v>
      </c>
      <c r="F824" s="518" t="s">
        <v>29</v>
      </c>
      <c r="G824" s="519">
        <v>2105158</v>
      </c>
      <c r="H824" s="517" t="s">
        <v>6425</v>
      </c>
    </row>
    <row r="825" spans="2:8" ht="15" x14ac:dyDescent="0.35">
      <c r="B825" s="544" t="s">
        <v>6263</v>
      </c>
      <c r="C825" s="517" t="s">
        <v>6378</v>
      </c>
      <c r="D825" s="518">
        <v>7645</v>
      </c>
      <c r="E825" s="517" t="s">
        <v>3641</v>
      </c>
      <c r="F825" s="518" t="s">
        <v>26</v>
      </c>
      <c r="G825" s="519">
        <v>4093322</v>
      </c>
      <c r="H825" s="517" t="s">
        <v>6425</v>
      </c>
    </row>
    <row r="826" spans="2:8" ht="15" x14ac:dyDescent="0.35">
      <c r="B826" s="544" t="s">
        <v>6263</v>
      </c>
      <c r="C826" s="517" t="s">
        <v>6378</v>
      </c>
      <c r="D826" s="518">
        <v>7646</v>
      </c>
      <c r="E826" s="517" t="s">
        <v>3642</v>
      </c>
      <c r="F826" s="518" t="s">
        <v>26</v>
      </c>
      <c r="G826" s="519">
        <v>4832151</v>
      </c>
      <c r="H826" s="517" t="s">
        <v>6425</v>
      </c>
    </row>
    <row r="827" spans="2:8" ht="15" x14ac:dyDescent="0.35">
      <c r="B827" s="544" t="s">
        <v>6263</v>
      </c>
      <c r="C827" s="517" t="s">
        <v>6378</v>
      </c>
      <c r="D827" s="518">
        <v>7647</v>
      </c>
      <c r="E827" s="517" t="s">
        <v>3643</v>
      </c>
      <c r="F827" s="518" t="s">
        <v>29</v>
      </c>
      <c r="G827" s="519">
        <v>2423968</v>
      </c>
      <c r="H827" s="517" t="s">
        <v>6425</v>
      </c>
    </row>
    <row r="828" spans="2:8" ht="15" x14ac:dyDescent="0.35">
      <c r="B828" s="544" t="s">
        <v>6263</v>
      </c>
      <c r="C828" s="517" t="s">
        <v>6378</v>
      </c>
      <c r="D828" s="518">
        <v>7648</v>
      </c>
      <c r="E828" s="517" t="s">
        <v>3644</v>
      </c>
      <c r="F828" s="518" t="s">
        <v>26</v>
      </c>
      <c r="G828" s="519">
        <v>6593196</v>
      </c>
      <c r="H828" s="517" t="s">
        <v>6425</v>
      </c>
    </row>
    <row r="829" spans="2:8" ht="15" x14ac:dyDescent="0.35">
      <c r="B829" s="544" t="s">
        <v>6263</v>
      </c>
      <c r="C829" s="517" t="s">
        <v>6354</v>
      </c>
      <c r="D829" s="518">
        <v>7650</v>
      </c>
      <c r="E829" s="517" t="s">
        <v>3645</v>
      </c>
      <c r="F829" s="518" t="s">
        <v>3172</v>
      </c>
      <c r="G829" s="519">
        <v>217786</v>
      </c>
      <c r="H829" s="517" t="s">
        <v>6915</v>
      </c>
    </row>
    <row r="830" spans="2:8" ht="15" x14ac:dyDescent="0.35">
      <c r="B830" s="544" t="s">
        <v>6263</v>
      </c>
      <c r="C830" s="517" t="s">
        <v>6354</v>
      </c>
      <c r="D830" s="518">
        <v>7651</v>
      </c>
      <c r="E830" s="517" t="s">
        <v>3646</v>
      </c>
      <c r="F830" s="518" t="s">
        <v>3172</v>
      </c>
      <c r="G830" s="519">
        <v>281697</v>
      </c>
      <c r="H830" s="517" t="s">
        <v>6915</v>
      </c>
    </row>
    <row r="831" spans="2:8" ht="15" x14ac:dyDescent="0.35">
      <c r="B831" s="544" t="s">
        <v>6263</v>
      </c>
      <c r="C831" s="517" t="s">
        <v>6354</v>
      </c>
      <c r="D831" s="518">
        <v>7652</v>
      </c>
      <c r="E831" s="517" t="s">
        <v>3647</v>
      </c>
      <c r="F831" s="518" t="s">
        <v>3172</v>
      </c>
      <c r="G831" s="519">
        <v>305251</v>
      </c>
      <c r="H831" s="517" t="s">
        <v>6915</v>
      </c>
    </row>
    <row r="832" spans="2:8" ht="15" x14ac:dyDescent="0.35">
      <c r="B832" s="544" t="s">
        <v>6263</v>
      </c>
      <c r="C832" s="517" t="s">
        <v>6354</v>
      </c>
      <c r="D832" s="518">
        <v>7653</v>
      </c>
      <c r="E832" s="517" t="s">
        <v>3648</v>
      </c>
      <c r="F832" s="518" t="s">
        <v>3172</v>
      </c>
      <c r="G832" s="519">
        <v>403920</v>
      </c>
      <c r="H832" s="517" t="s">
        <v>6915</v>
      </c>
    </row>
    <row r="833" spans="2:8" ht="15" x14ac:dyDescent="0.35">
      <c r="B833" s="544" t="s">
        <v>6263</v>
      </c>
      <c r="C833" s="517" t="s">
        <v>6354</v>
      </c>
      <c r="D833" s="518">
        <v>7654</v>
      </c>
      <c r="E833" s="517" t="s">
        <v>3649</v>
      </c>
      <c r="F833" s="518" t="s">
        <v>3172</v>
      </c>
      <c r="G833" s="519">
        <v>75473</v>
      </c>
      <c r="H833" s="517" t="s">
        <v>6915</v>
      </c>
    </row>
    <row r="834" spans="2:8" ht="15" x14ac:dyDescent="0.35">
      <c r="B834" s="544" t="s">
        <v>6263</v>
      </c>
      <c r="C834" s="517" t="s">
        <v>6354</v>
      </c>
      <c r="D834" s="518">
        <v>7655</v>
      </c>
      <c r="E834" s="517" t="s">
        <v>3650</v>
      </c>
      <c r="F834" s="518" t="s">
        <v>3172</v>
      </c>
      <c r="G834" s="519">
        <v>90335</v>
      </c>
      <c r="H834" s="517" t="s">
        <v>6915</v>
      </c>
    </row>
    <row r="835" spans="2:8" ht="15" x14ac:dyDescent="0.35">
      <c r="B835" s="544" t="s">
        <v>6263</v>
      </c>
      <c r="C835" s="517" t="s">
        <v>6354</v>
      </c>
      <c r="D835" s="518">
        <v>7656</v>
      </c>
      <c r="E835" s="517" t="s">
        <v>3651</v>
      </c>
      <c r="F835" s="518" t="s">
        <v>3172</v>
      </c>
      <c r="G835" s="519">
        <v>181163</v>
      </c>
      <c r="H835" s="517" t="s">
        <v>6915</v>
      </c>
    </row>
    <row r="836" spans="2:8" ht="15" x14ac:dyDescent="0.35">
      <c r="B836" s="544" t="s">
        <v>6263</v>
      </c>
      <c r="C836" s="517" t="s">
        <v>6354</v>
      </c>
      <c r="D836" s="518">
        <v>7657</v>
      </c>
      <c r="E836" s="517" t="s">
        <v>3652</v>
      </c>
      <c r="F836" s="518" t="s">
        <v>3172</v>
      </c>
      <c r="G836" s="519">
        <v>143612</v>
      </c>
      <c r="H836" s="517" t="s">
        <v>6915</v>
      </c>
    </row>
    <row r="837" spans="2:8" ht="15" x14ac:dyDescent="0.35">
      <c r="B837" s="544" t="s">
        <v>6263</v>
      </c>
      <c r="C837" s="517" t="s">
        <v>6362</v>
      </c>
      <c r="D837" s="518">
        <v>7658</v>
      </c>
      <c r="E837" s="517" t="s">
        <v>3653</v>
      </c>
      <c r="F837" s="518" t="s">
        <v>23</v>
      </c>
      <c r="G837" s="519">
        <v>1238040</v>
      </c>
      <c r="H837" s="517" t="s">
        <v>6425</v>
      </c>
    </row>
    <row r="838" spans="2:8" ht="15" x14ac:dyDescent="0.35">
      <c r="B838" s="544" t="s">
        <v>6263</v>
      </c>
      <c r="C838" s="517" t="s">
        <v>6359</v>
      </c>
      <c r="D838" s="518">
        <v>7664</v>
      </c>
      <c r="E838" s="517" t="s">
        <v>3654</v>
      </c>
      <c r="F838" s="518" t="s">
        <v>29</v>
      </c>
      <c r="G838" s="519">
        <v>1163004</v>
      </c>
      <c r="H838" s="517" t="s">
        <v>6915</v>
      </c>
    </row>
    <row r="839" spans="2:8" ht="15" x14ac:dyDescent="0.35">
      <c r="B839" s="544" t="s">
        <v>6263</v>
      </c>
      <c r="C839" s="517" t="s">
        <v>6354</v>
      </c>
      <c r="D839" s="518">
        <v>7680</v>
      </c>
      <c r="E839" s="517" t="s">
        <v>3655</v>
      </c>
      <c r="F839" s="518" t="s">
        <v>3172</v>
      </c>
      <c r="G839" s="519">
        <v>99960</v>
      </c>
      <c r="H839" s="517" t="s">
        <v>6915</v>
      </c>
    </row>
    <row r="840" spans="2:8" ht="15" x14ac:dyDescent="0.35">
      <c r="B840" s="544" t="s">
        <v>6263</v>
      </c>
      <c r="C840" s="517" t="s">
        <v>6343</v>
      </c>
      <c r="D840" s="518">
        <v>7686</v>
      </c>
      <c r="E840" s="517" t="s">
        <v>3656</v>
      </c>
      <c r="F840" s="518" t="s">
        <v>23</v>
      </c>
      <c r="G840" s="519">
        <v>82381</v>
      </c>
      <c r="H840" s="517" t="s">
        <v>6425</v>
      </c>
    </row>
    <row r="841" spans="2:8" ht="15" x14ac:dyDescent="0.35">
      <c r="B841" s="544" t="s">
        <v>6263</v>
      </c>
      <c r="C841" s="517" t="s">
        <v>6343</v>
      </c>
      <c r="D841" s="518">
        <v>7687</v>
      </c>
      <c r="E841" s="517" t="s">
        <v>3657</v>
      </c>
      <c r="F841" s="518" t="s">
        <v>23</v>
      </c>
      <c r="G841" s="519">
        <v>95611</v>
      </c>
      <c r="H841" s="517" t="s">
        <v>6425</v>
      </c>
    </row>
    <row r="842" spans="2:8" ht="15" x14ac:dyDescent="0.35">
      <c r="B842" s="544" t="s">
        <v>6263</v>
      </c>
      <c r="C842" s="517" t="s">
        <v>6343</v>
      </c>
      <c r="D842" s="518">
        <v>7688</v>
      </c>
      <c r="E842" s="517" t="s">
        <v>3658</v>
      </c>
      <c r="F842" s="518" t="s">
        <v>23</v>
      </c>
      <c r="G842" s="519">
        <v>76120</v>
      </c>
      <c r="H842" s="517" t="s">
        <v>6425</v>
      </c>
    </row>
    <row r="843" spans="2:8" ht="15" x14ac:dyDescent="0.35">
      <c r="B843" s="544" t="s">
        <v>6263</v>
      </c>
      <c r="C843" s="517" t="s">
        <v>6343</v>
      </c>
      <c r="D843" s="518">
        <v>7689</v>
      </c>
      <c r="E843" s="517" t="s">
        <v>3659</v>
      </c>
      <c r="F843" s="518" t="s">
        <v>23</v>
      </c>
      <c r="G843" s="519">
        <v>74850</v>
      </c>
      <c r="H843" s="517" t="s">
        <v>6425</v>
      </c>
    </row>
    <row r="844" spans="2:8" ht="15" x14ac:dyDescent="0.35">
      <c r="B844" s="544" t="s">
        <v>6263</v>
      </c>
      <c r="C844" s="517" t="s">
        <v>6343</v>
      </c>
      <c r="D844" s="518">
        <v>7690</v>
      </c>
      <c r="E844" s="517" t="s">
        <v>3660</v>
      </c>
      <c r="F844" s="518" t="s">
        <v>23</v>
      </c>
      <c r="G844" s="519">
        <v>72616</v>
      </c>
      <c r="H844" s="517" t="s">
        <v>6425</v>
      </c>
    </row>
    <row r="845" spans="2:8" ht="15" x14ac:dyDescent="0.35">
      <c r="B845" s="544" t="s">
        <v>6263</v>
      </c>
      <c r="C845" s="517" t="s">
        <v>6343</v>
      </c>
      <c r="D845" s="518">
        <v>7691</v>
      </c>
      <c r="E845" s="517" t="s">
        <v>3661</v>
      </c>
      <c r="F845" s="518" t="s">
        <v>23</v>
      </c>
      <c r="G845" s="519">
        <v>66565</v>
      </c>
      <c r="H845" s="517" t="s">
        <v>6425</v>
      </c>
    </row>
    <row r="846" spans="2:8" ht="15" x14ac:dyDescent="0.35">
      <c r="B846" s="544" t="s">
        <v>6263</v>
      </c>
      <c r="C846" s="517" t="s">
        <v>6343</v>
      </c>
      <c r="D846" s="518">
        <v>7692</v>
      </c>
      <c r="E846" s="517" t="s">
        <v>3662</v>
      </c>
      <c r="F846" s="518" t="s">
        <v>23</v>
      </c>
      <c r="G846" s="519">
        <v>104720</v>
      </c>
      <c r="H846" s="517" t="s">
        <v>6425</v>
      </c>
    </row>
    <row r="847" spans="2:8" ht="15" x14ac:dyDescent="0.35">
      <c r="B847" s="544" t="s">
        <v>6263</v>
      </c>
      <c r="C847" s="517" t="s">
        <v>6350</v>
      </c>
      <c r="D847" s="518">
        <v>7695</v>
      </c>
      <c r="E847" s="517" t="s">
        <v>3663</v>
      </c>
      <c r="F847" s="518" t="s">
        <v>676</v>
      </c>
      <c r="G847" s="519">
        <v>2838</v>
      </c>
      <c r="H847" s="517" t="s">
        <v>6425</v>
      </c>
    </row>
    <row r="848" spans="2:8" ht="15" x14ac:dyDescent="0.35">
      <c r="B848" s="544" t="s">
        <v>6263</v>
      </c>
      <c r="C848" s="517" t="s">
        <v>6350</v>
      </c>
      <c r="D848" s="518">
        <v>7697</v>
      </c>
      <c r="E848" s="517" t="s">
        <v>3664</v>
      </c>
      <c r="F848" s="518" t="s">
        <v>676</v>
      </c>
      <c r="G848" s="519">
        <v>13212</v>
      </c>
      <c r="H848" s="517" t="s">
        <v>6425</v>
      </c>
    </row>
    <row r="849" spans="2:8" ht="15" x14ac:dyDescent="0.35">
      <c r="B849" s="544" t="s">
        <v>6263</v>
      </c>
      <c r="C849" s="517" t="s">
        <v>6350</v>
      </c>
      <c r="D849" s="518">
        <v>7698</v>
      </c>
      <c r="E849" s="517" t="s">
        <v>3665</v>
      </c>
      <c r="F849" s="518" t="s">
        <v>676</v>
      </c>
      <c r="G849" s="519">
        <v>2549</v>
      </c>
      <c r="H849" s="517" t="s">
        <v>6425</v>
      </c>
    </row>
    <row r="850" spans="2:8" ht="15" x14ac:dyDescent="0.35">
      <c r="B850" s="544" t="s">
        <v>6263</v>
      </c>
      <c r="C850" s="517" t="s">
        <v>6367</v>
      </c>
      <c r="D850" s="518">
        <v>7699</v>
      </c>
      <c r="E850" s="517" t="s">
        <v>3666</v>
      </c>
      <c r="F850" s="518" t="s">
        <v>29</v>
      </c>
      <c r="G850" s="519">
        <v>5206</v>
      </c>
      <c r="H850" s="517" t="s">
        <v>6915</v>
      </c>
    </row>
    <row r="851" spans="2:8" ht="15" x14ac:dyDescent="0.35">
      <c r="B851" s="544" t="s">
        <v>6263</v>
      </c>
      <c r="C851" s="517" t="s">
        <v>6367</v>
      </c>
      <c r="D851" s="518">
        <v>7700</v>
      </c>
      <c r="E851" s="517" t="s">
        <v>3667</v>
      </c>
      <c r="F851" s="518" t="s">
        <v>29</v>
      </c>
      <c r="G851" s="519">
        <v>9305</v>
      </c>
      <c r="H851" s="517" t="s">
        <v>6915</v>
      </c>
    </row>
    <row r="852" spans="2:8" ht="15" x14ac:dyDescent="0.35">
      <c r="B852" s="544" t="s">
        <v>6263</v>
      </c>
      <c r="C852" s="517" t="s">
        <v>6350</v>
      </c>
      <c r="D852" s="518">
        <v>7701</v>
      </c>
      <c r="E852" s="517" t="s">
        <v>3668</v>
      </c>
      <c r="F852" s="518" t="s">
        <v>676</v>
      </c>
      <c r="G852" s="519">
        <v>3363</v>
      </c>
      <c r="H852" s="517" t="s">
        <v>6425</v>
      </c>
    </row>
    <row r="853" spans="2:8" ht="15" x14ac:dyDescent="0.35">
      <c r="B853" s="544" t="s">
        <v>6263</v>
      </c>
      <c r="C853" s="517" t="s">
        <v>6350</v>
      </c>
      <c r="D853" s="518">
        <v>7707</v>
      </c>
      <c r="E853" s="517" t="s">
        <v>3669</v>
      </c>
      <c r="F853" s="518" t="s">
        <v>3175</v>
      </c>
      <c r="G853" s="519">
        <v>79213</v>
      </c>
      <c r="H853" s="517" t="s">
        <v>6425</v>
      </c>
    </row>
    <row r="854" spans="2:8" ht="15" x14ac:dyDescent="0.35">
      <c r="B854" s="544" t="s">
        <v>6263</v>
      </c>
      <c r="C854" s="517" t="s">
        <v>6344</v>
      </c>
      <c r="D854" s="518">
        <v>7710</v>
      </c>
      <c r="E854" s="517" t="s">
        <v>3670</v>
      </c>
      <c r="F854" s="518" t="s">
        <v>29</v>
      </c>
      <c r="G854" s="519">
        <v>57596</v>
      </c>
      <c r="H854" s="517" t="s">
        <v>6425</v>
      </c>
    </row>
    <row r="855" spans="2:8" ht="15" x14ac:dyDescent="0.35">
      <c r="B855" s="544" t="s">
        <v>6263</v>
      </c>
      <c r="C855" s="517" t="s">
        <v>6346</v>
      </c>
      <c r="D855" s="518">
        <v>7713</v>
      </c>
      <c r="E855" s="517" t="s">
        <v>5569</v>
      </c>
      <c r="F855" s="518" t="s">
        <v>29</v>
      </c>
      <c r="G855" s="519">
        <v>11566</v>
      </c>
      <c r="H855" s="517" t="s">
        <v>6425</v>
      </c>
    </row>
    <row r="856" spans="2:8" ht="15" x14ac:dyDescent="0.35">
      <c r="B856" s="544" t="s">
        <v>6263</v>
      </c>
      <c r="C856" s="517" t="s">
        <v>6339</v>
      </c>
      <c r="D856" s="518">
        <v>7714</v>
      </c>
      <c r="E856" s="517" t="s">
        <v>3671</v>
      </c>
      <c r="F856" s="518" t="s">
        <v>21</v>
      </c>
      <c r="G856" s="519">
        <v>62174</v>
      </c>
      <c r="H856" s="517" t="s">
        <v>6425</v>
      </c>
    </row>
    <row r="857" spans="2:8" ht="15" x14ac:dyDescent="0.35">
      <c r="B857" s="544" t="s">
        <v>6263</v>
      </c>
      <c r="C857" s="517" t="s">
        <v>6339</v>
      </c>
      <c r="D857" s="518">
        <v>7715</v>
      </c>
      <c r="E857" s="517" t="s">
        <v>3672</v>
      </c>
      <c r="F857" s="518" t="s">
        <v>21</v>
      </c>
      <c r="G857" s="519">
        <v>53550</v>
      </c>
      <c r="H857" s="517" t="s">
        <v>6425</v>
      </c>
    </row>
    <row r="858" spans="2:8" ht="15" x14ac:dyDescent="0.35">
      <c r="B858" s="544" t="s">
        <v>6263</v>
      </c>
      <c r="C858" s="517" t="s">
        <v>6339</v>
      </c>
      <c r="D858" s="518">
        <v>7717</v>
      </c>
      <c r="E858" s="517" t="s">
        <v>3673</v>
      </c>
      <c r="F858" s="518" t="s">
        <v>29</v>
      </c>
      <c r="G858" s="519">
        <v>194812</v>
      </c>
      <c r="H858" s="517" t="s">
        <v>6425</v>
      </c>
    </row>
    <row r="859" spans="2:8" ht="15" x14ac:dyDescent="0.35">
      <c r="B859" s="544" t="s">
        <v>6263</v>
      </c>
      <c r="C859" s="517" t="s">
        <v>6339</v>
      </c>
      <c r="D859" s="518">
        <v>7718</v>
      </c>
      <c r="E859" s="517" t="s">
        <v>3674</v>
      </c>
      <c r="F859" s="518" t="s">
        <v>29</v>
      </c>
      <c r="G859" s="519">
        <v>113202</v>
      </c>
      <c r="H859" s="517" t="s">
        <v>6425</v>
      </c>
    </row>
    <row r="860" spans="2:8" ht="15" x14ac:dyDescent="0.35">
      <c r="B860" s="544" t="s">
        <v>6263</v>
      </c>
      <c r="C860" s="517" t="s">
        <v>6339</v>
      </c>
      <c r="D860" s="518">
        <v>7720</v>
      </c>
      <c r="E860" s="517" t="s">
        <v>3675</v>
      </c>
      <c r="F860" s="518" t="s">
        <v>29</v>
      </c>
      <c r="G860" s="519">
        <v>177541</v>
      </c>
      <c r="H860" s="517" t="s">
        <v>6425</v>
      </c>
    </row>
    <row r="861" spans="2:8" ht="15" x14ac:dyDescent="0.35">
      <c r="B861" s="544" t="s">
        <v>6263</v>
      </c>
      <c r="C861" s="517" t="s">
        <v>6346</v>
      </c>
      <c r="D861" s="518">
        <v>7722</v>
      </c>
      <c r="E861" s="517" t="s">
        <v>5570</v>
      </c>
      <c r="F861" s="518" t="s">
        <v>26</v>
      </c>
      <c r="G861" s="519">
        <v>16703</v>
      </c>
      <c r="H861" s="517" t="s">
        <v>6425</v>
      </c>
    </row>
    <row r="862" spans="2:8" ht="15" x14ac:dyDescent="0.35">
      <c r="B862" s="544" t="s">
        <v>6263</v>
      </c>
      <c r="C862" s="517" t="s">
        <v>6339</v>
      </c>
      <c r="D862" s="518">
        <v>7723</v>
      </c>
      <c r="E862" s="517" t="s">
        <v>3676</v>
      </c>
      <c r="F862" s="518" t="s">
        <v>29</v>
      </c>
      <c r="G862" s="519">
        <v>1104913</v>
      </c>
      <c r="H862" s="517" t="s">
        <v>6425</v>
      </c>
    </row>
    <row r="863" spans="2:8" ht="15" x14ac:dyDescent="0.35">
      <c r="B863" s="544" t="s">
        <v>6263</v>
      </c>
      <c r="C863" s="517" t="s">
        <v>6339</v>
      </c>
      <c r="D863" s="518">
        <v>7724</v>
      </c>
      <c r="E863" s="517" t="s">
        <v>3677</v>
      </c>
      <c r="F863" s="518" t="s">
        <v>29</v>
      </c>
      <c r="G863" s="519">
        <v>1657370</v>
      </c>
      <c r="H863" s="517" t="s">
        <v>6425</v>
      </c>
    </row>
    <row r="864" spans="2:8" ht="15" x14ac:dyDescent="0.35">
      <c r="B864" s="544" t="s">
        <v>6263</v>
      </c>
      <c r="C864" s="517" t="s">
        <v>6339</v>
      </c>
      <c r="D864" s="518">
        <v>7725</v>
      </c>
      <c r="E864" s="517" t="s">
        <v>3678</v>
      </c>
      <c r="F864" s="518" t="s">
        <v>29</v>
      </c>
      <c r="G864" s="519">
        <v>2209827</v>
      </c>
      <c r="H864" s="517" t="s">
        <v>6425</v>
      </c>
    </row>
    <row r="865" spans="2:8" ht="15" x14ac:dyDescent="0.35">
      <c r="B865" s="544" t="s">
        <v>6263</v>
      </c>
      <c r="C865" s="517" t="s">
        <v>6379</v>
      </c>
      <c r="D865" s="518">
        <v>7727</v>
      </c>
      <c r="E865" s="517" t="s">
        <v>5813</v>
      </c>
      <c r="F865" s="518" t="s">
        <v>26</v>
      </c>
      <c r="G865" s="519">
        <v>92820</v>
      </c>
      <c r="H865" s="517" t="s">
        <v>6915</v>
      </c>
    </row>
    <row r="866" spans="2:8" ht="15" x14ac:dyDescent="0.35">
      <c r="B866" s="544" t="s">
        <v>6263</v>
      </c>
      <c r="C866" s="517" t="s">
        <v>6379</v>
      </c>
      <c r="D866" s="518">
        <v>7729</v>
      </c>
      <c r="E866" s="517" t="s">
        <v>5814</v>
      </c>
      <c r="F866" s="518" t="s">
        <v>26</v>
      </c>
      <c r="G866" s="519">
        <v>314160</v>
      </c>
      <c r="H866" s="517" t="s">
        <v>6915</v>
      </c>
    </row>
    <row r="867" spans="2:8" ht="15" x14ac:dyDescent="0.35">
      <c r="B867" s="544" t="s">
        <v>6263</v>
      </c>
      <c r="C867" s="517" t="s">
        <v>6379</v>
      </c>
      <c r="D867" s="518">
        <v>7730</v>
      </c>
      <c r="E867" s="517" t="s">
        <v>5815</v>
      </c>
      <c r="F867" s="518" t="s">
        <v>26</v>
      </c>
      <c r="G867" s="519">
        <v>568860</v>
      </c>
      <c r="H867" s="517" t="s">
        <v>6915</v>
      </c>
    </row>
    <row r="868" spans="2:8" ht="15" x14ac:dyDescent="0.35">
      <c r="B868" s="544" t="s">
        <v>6263</v>
      </c>
      <c r="C868" s="517" t="s">
        <v>6370</v>
      </c>
      <c r="D868" s="518">
        <v>7737</v>
      </c>
      <c r="E868" s="517" t="s">
        <v>3679</v>
      </c>
      <c r="F868" s="518" t="s">
        <v>29</v>
      </c>
      <c r="G868" s="519">
        <v>109956</v>
      </c>
      <c r="H868" s="517" t="s">
        <v>6915</v>
      </c>
    </row>
    <row r="869" spans="2:8" ht="15" x14ac:dyDescent="0.35">
      <c r="B869" s="544" t="s">
        <v>6263</v>
      </c>
      <c r="C869" s="517" t="s">
        <v>6370</v>
      </c>
      <c r="D869" s="518">
        <v>7738</v>
      </c>
      <c r="E869" s="517" t="s">
        <v>3680</v>
      </c>
      <c r="F869" s="518" t="s">
        <v>29</v>
      </c>
      <c r="G869" s="519">
        <v>152439</v>
      </c>
      <c r="H869" s="517" t="s">
        <v>6915</v>
      </c>
    </row>
    <row r="870" spans="2:8" ht="15" x14ac:dyDescent="0.35">
      <c r="B870" s="544" t="s">
        <v>6263</v>
      </c>
      <c r="C870" s="517" t="s">
        <v>6370</v>
      </c>
      <c r="D870" s="518">
        <v>7743</v>
      </c>
      <c r="E870" s="517" t="s">
        <v>5816</v>
      </c>
      <c r="F870" s="518" t="s">
        <v>29</v>
      </c>
      <c r="G870" s="519">
        <v>87584</v>
      </c>
      <c r="H870" s="517" t="s">
        <v>6915</v>
      </c>
    </row>
    <row r="871" spans="2:8" ht="15" x14ac:dyDescent="0.35">
      <c r="B871" s="544" t="s">
        <v>6263</v>
      </c>
      <c r="C871" s="517" t="s">
        <v>6370</v>
      </c>
      <c r="D871" s="518">
        <v>7744</v>
      </c>
      <c r="E871" s="517" t="s">
        <v>3681</v>
      </c>
      <c r="F871" s="518" t="s">
        <v>29</v>
      </c>
      <c r="G871" s="519">
        <v>137088</v>
      </c>
      <c r="H871" s="517" t="s">
        <v>6915</v>
      </c>
    </row>
    <row r="872" spans="2:8" ht="15" x14ac:dyDescent="0.35">
      <c r="B872" s="544" t="s">
        <v>6263</v>
      </c>
      <c r="C872" s="517" t="s">
        <v>6370</v>
      </c>
      <c r="D872" s="518">
        <v>7750</v>
      </c>
      <c r="E872" s="517" t="s">
        <v>5817</v>
      </c>
      <c r="F872" s="518" t="s">
        <v>29</v>
      </c>
      <c r="G872" s="519">
        <v>102459</v>
      </c>
      <c r="H872" s="517" t="s">
        <v>6915</v>
      </c>
    </row>
    <row r="873" spans="2:8" ht="15" x14ac:dyDescent="0.35">
      <c r="B873" s="544" t="s">
        <v>6263</v>
      </c>
      <c r="C873" s="517" t="s">
        <v>6374</v>
      </c>
      <c r="D873" s="518">
        <v>7752</v>
      </c>
      <c r="E873" s="517" t="s">
        <v>3682</v>
      </c>
      <c r="F873" s="518" t="s">
        <v>29</v>
      </c>
      <c r="G873" s="519">
        <v>130900</v>
      </c>
      <c r="H873" s="517" t="s">
        <v>6915</v>
      </c>
    </row>
    <row r="874" spans="2:8" ht="15" x14ac:dyDescent="0.35">
      <c r="B874" s="544" t="s">
        <v>6263</v>
      </c>
      <c r="C874" s="517" t="s">
        <v>6374</v>
      </c>
      <c r="D874" s="518">
        <v>7754</v>
      </c>
      <c r="E874" s="517" t="s">
        <v>5818</v>
      </c>
      <c r="F874" s="518" t="s">
        <v>29</v>
      </c>
      <c r="G874" s="519">
        <v>176000</v>
      </c>
      <c r="H874" s="517" t="s">
        <v>6915</v>
      </c>
    </row>
    <row r="875" spans="2:8" ht="15" x14ac:dyDescent="0.35">
      <c r="B875" s="544" t="s">
        <v>6263</v>
      </c>
      <c r="C875" s="517" t="s">
        <v>6375</v>
      </c>
      <c r="D875" s="518">
        <v>7755</v>
      </c>
      <c r="E875" s="517" t="s">
        <v>5819</v>
      </c>
      <c r="F875" s="518" t="s">
        <v>29</v>
      </c>
      <c r="G875" s="519">
        <v>1260210</v>
      </c>
      <c r="H875" s="517" t="s">
        <v>6915</v>
      </c>
    </row>
    <row r="876" spans="2:8" ht="15" x14ac:dyDescent="0.35">
      <c r="B876" s="544" t="s">
        <v>6263</v>
      </c>
      <c r="C876" s="517" t="s">
        <v>6375</v>
      </c>
      <c r="D876" s="518">
        <v>7758</v>
      </c>
      <c r="E876" s="517" t="s">
        <v>3683</v>
      </c>
      <c r="F876" s="518" t="s">
        <v>29</v>
      </c>
      <c r="G876" s="519">
        <v>1914710</v>
      </c>
      <c r="H876" s="517" t="s">
        <v>6915</v>
      </c>
    </row>
    <row r="877" spans="2:8" ht="15" x14ac:dyDescent="0.35">
      <c r="B877" s="544" t="s">
        <v>6263</v>
      </c>
      <c r="C877" s="517" t="s">
        <v>6373</v>
      </c>
      <c r="D877" s="518">
        <v>7762</v>
      </c>
      <c r="E877" s="517" t="s">
        <v>3684</v>
      </c>
      <c r="F877" s="518" t="s">
        <v>29</v>
      </c>
      <c r="G877" s="519">
        <v>285600</v>
      </c>
      <c r="H877" s="517" t="s">
        <v>6915</v>
      </c>
    </row>
    <row r="878" spans="2:8" ht="15" x14ac:dyDescent="0.35">
      <c r="B878" s="544" t="s">
        <v>6263</v>
      </c>
      <c r="C878" s="517" t="s">
        <v>6374</v>
      </c>
      <c r="D878" s="518">
        <v>7766</v>
      </c>
      <c r="E878" s="517" t="s">
        <v>3685</v>
      </c>
      <c r="F878" s="518" t="s">
        <v>29</v>
      </c>
      <c r="G878" s="519">
        <v>168000</v>
      </c>
      <c r="H878" s="517" t="s">
        <v>6915</v>
      </c>
    </row>
    <row r="879" spans="2:8" ht="15" x14ac:dyDescent="0.35">
      <c r="B879" s="544" t="s">
        <v>6263</v>
      </c>
      <c r="C879" s="517" t="s">
        <v>6340</v>
      </c>
      <c r="D879" s="518">
        <v>7767</v>
      </c>
      <c r="E879" s="517" t="s">
        <v>3686</v>
      </c>
      <c r="F879" s="518" t="s">
        <v>3175</v>
      </c>
      <c r="G879" s="519">
        <v>1384</v>
      </c>
      <c r="H879" s="517" t="s">
        <v>6425</v>
      </c>
    </row>
    <row r="880" spans="2:8" ht="15" x14ac:dyDescent="0.35">
      <c r="B880" s="544" t="s">
        <v>6263</v>
      </c>
      <c r="C880" s="517" t="s">
        <v>6340</v>
      </c>
      <c r="D880" s="518">
        <v>7769</v>
      </c>
      <c r="E880" s="517" t="s">
        <v>5571</v>
      </c>
      <c r="F880" s="518" t="s">
        <v>3175</v>
      </c>
      <c r="G880" s="519">
        <v>3085</v>
      </c>
      <c r="H880" s="517" t="s">
        <v>6425</v>
      </c>
    </row>
    <row r="881" spans="2:8" ht="15" x14ac:dyDescent="0.35">
      <c r="B881" s="544" t="s">
        <v>6263</v>
      </c>
      <c r="C881" s="517" t="s">
        <v>6375</v>
      </c>
      <c r="D881" s="518">
        <v>7770</v>
      </c>
      <c r="E881" s="517" t="s">
        <v>3687</v>
      </c>
      <c r="F881" s="518" t="s">
        <v>29</v>
      </c>
      <c r="G881" s="519">
        <v>2170000</v>
      </c>
      <c r="H881" s="517" t="s">
        <v>6915</v>
      </c>
    </row>
    <row r="882" spans="2:8" ht="15" x14ac:dyDescent="0.35">
      <c r="B882" s="544" t="s">
        <v>6263</v>
      </c>
      <c r="C882" s="517" t="s">
        <v>6380</v>
      </c>
      <c r="D882" s="518">
        <v>7772</v>
      </c>
      <c r="E882" s="517" t="s">
        <v>3688</v>
      </c>
      <c r="F882" s="518" t="s">
        <v>29</v>
      </c>
      <c r="G882" s="519">
        <v>74995</v>
      </c>
      <c r="H882" s="517" t="s">
        <v>6915</v>
      </c>
    </row>
    <row r="883" spans="2:8" ht="15" x14ac:dyDescent="0.35">
      <c r="B883" s="544" t="s">
        <v>6263</v>
      </c>
      <c r="C883" s="517" t="s">
        <v>6380</v>
      </c>
      <c r="D883" s="518">
        <v>7773</v>
      </c>
      <c r="E883" s="517" t="s">
        <v>3689</v>
      </c>
      <c r="F883" s="518" t="s">
        <v>29</v>
      </c>
      <c r="G883" s="519">
        <v>72496</v>
      </c>
      <c r="H883" s="517" t="s">
        <v>6915</v>
      </c>
    </row>
    <row r="884" spans="2:8" ht="15" x14ac:dyDescent="0.35">
      <c r="B884" s="544" t="s">
        <v>6263</v>
      </c>
      <c r="C884" s="517" t="s">
        <v>6380</v>
      </c>
      <c r="D884" s="518">
        <v>7774</v>
      </c>
      <c r="E884" s="517" t="s">
        <v>3690</v>
      </c>
      <c r="F884" s="518" t="s">
        <v>29</v>
      </c>
      <c r="G884" s="519">
        <v>24217</v>
      </c>
      <c r="H884" s="517" t="s">
        <v>6915</v>
      </c>
    </row>
    <row r="885" spans="2:8" ht="15" x14ac:dyDescent="0.35">
      <c r="B885" s="544" t="s">
        <v>6263</v>
      </c>
      <c r="C885" s="517" t="s">
        <v>6380</v>
      </c>
      <c r="D885" s="518">
        <v>7775</v>
      </c>
      <c r="E885" s="517" t="s">
        <v>3691</v>
      </c>
      <c r="F885" s="518" t="s">
        <v>29</v>
      </c>
      <c r="G885" s="519">
        <v>58310</v>
      </c>
      <c r="H885" s="517" t="s">
        <v>6915</v>
      </c>
    </row>
    <row r="886" spans="2:8" ht="15" x14ac:dyDescent="0.35">
      <c r="B886" s="544" t="s">
        <v>6263</v>
      </c>
      <c r="C886" s="517" t="s">
        <v>6380</v>
      </c>
      <c r="D886" s="518">
        <v>7776</v>
      </c>
      <c r="E886" s="517" t="s">
        <v>3692</v>
      </c>
      <c r="F886" s="518" t="s">
        <v>29</v>
      </c>
      <c r="G886" s="519">
        <v>33320</v>
      </c>
      <c r="H886" s="517" t="s">
        <v>6915</v>
      </c>
    </row>
    <row r="887" spans="2:8" ht="15" x14ac:dyDescent="0.35">
      <c r="B887" s="544" t="s">
        <v>6263</v>
      </c>
      <c r="C887" s="517" t="s">
        <v>6380</v>
      </c>
      <c r="D887" s="518">
        <v>7777</v>
      </c>
      <c r="E887" s="517" t="s">
        <v>3693</v>
      </c>
      <c r="F887" s="518" t="s">
        <v>29</v>
      </c>
      <c r="G887" s="519">
        <v>64617</v>
      </c>
      <c r="H887" s="517" t="s">
        <v>6915</v>
      </c>
    </row>
    <row r="888" spans="2:8" ht="15" x14ac:dyDescent="0.35">
      <c r="B888" s="544" t="s">
        <v>6263</v>
      </c>
      <c r="C888" s="517" t="s">
        <v>6380</v>
      </c>
      <c r="D888" s="518">
        <v>7778</v>
      </c>
      <c r="E888" s="517" t="s">
        <v>5820</v>
      </c>
      <c r="F888" s="518" t="s">
        <v>29</v>
      </c>
      <c r="G888" s="519">
        <v>59500</v>
      </c>
      <c r="H888" s="517" t="s">
        <v>6915</v>
      </c>
    </row>
    <row r="889" spans="2:8" ht="15" x14ac:dyDescent="0.35">
      <c r="B889" s="544" t="s">
        <v>6263</v>
      </c>
      <c r="C889" s="517" t="s">
        <v>6380</v>
      </c>
      <c r="D889" s="518">
        <v>7780</v>
      </c>
      <c r="E889" s="517" t="s">
        <v>3694</v>
      </c>
      <c r="F889" s="518" t="s">
        <v>29</v>
      </c>
      <c r="G889" s="519">
        <v>34510</v>
      </c>
      <c r="H889" s="517" t="s">
        <v>6915</v>
      </c>
    </row>
    <row r="890" spans="2:8" ht="15" x14ac:dyDescent="0.35">
      <c r="B890" s="544" t="s">
        <v>6263</v>
      </c>
      <c r="C890" s="517" t="s">
        <v>6380</v>
      </c>
      <c r="D890" s="518">
        <v>7781</v>
      </c>
      <c r="E890" s="517" t="s">
        <v>3695</v>
      </c>
      <c r="F890" s="518" t="s">
        <v>29</v>
      </c>
      <c r="G890" s="519">
        <v>14280</v>
      </c>
      <c r="H890" s="517" t="s">
        <v>6915</v>
      </c>
    </row>
    <row r="891" spans="2:8" ht="15" x14ac:dyDescent="0.35">
      <c r="B891" s="544" t="s">
        <v>6263</v>
      </c>
      <c r="C891" s="517" t="s">
        <v>6380</v>
      </c>
      <c r="D891" s="518">
        <v>7782</v>
      </c>
      <c r="E891" s="517" t="s">
        <v>3696</v>
      </c>
      <c r="F891" s="518" t="s">
        <v>29</v>
      </c>
      <c r="G891" s="519">
        <v>20530</v>
      </c>
      <c r="H891" s="517" t="s">
        <v>6915</v>
      </c>
    </row>
    <row r="892" spans="2:8" ht="15" x14ac:dyDescent="0.35">
      <c r="B892" s="544" t="s">
        <v>6263</v>
      </c>
      <c r="C892" s="517" t="s">
        <v>6380</v>
      </c>
      <c r="D892" s="518">
        <v>7783</v>
      </c>
      <c r="E892" s="517" t="s">
        <v>3697</v>
      </c>
      <c r="F892" s="518" t="s">
        <v>29</v>
      </c>
      <c r="G892" s="519">
        <v>9758</v>
      </c>
      <c r="H892" s="517" t="s">
        <v>6915</v>
      </c>
    </row>
    <row r="893" spans="2:8" ht="15" x14ac:dyDescent="0.35">
      <c r="B893" s="544" t="s">
        <v>6263</v>
      </c>
      <c r="C893" s="517" t="s">
        <v>6380</v>
      </c>
      <c r="D893" s="518">
        <v>7784</v>
      </c>
      <c r="E893" s="517" t="s">
        <v>3698</v>
      </c>
      <c r="F893" s="518" t="s">
        <v>29</v>
      </c>
      <c r="G893" s="519">
        <v>65450</v>
      </c>
      <c r="H893" s="517" t="s">
        <v>6915</v>
      </c>
    </row>
    <row r="894" spans="2:8" ht="15" x14ac:dyDescent="0.35">
      <c r="B894" s="544" t="s">
        <v>6263</v>
      </c>
      <c r="C894" s="517" t="s">
        <v>6380</v>
      </c>
      <c r="D894" s="518">
        <v>7785</v>
      </c>
      <c r="E894" s="517" t="s">
        <v>3699</v>
      </c>
      <c r="F894" s="518" t="s">
        <v>29</v>
      </c>
      <c r="G894" s="519">
        <v>34674</v>
      </c>
      <c r="H894" s="517" t="s">
        <v>6915</v>
      </c>
    </row>
    <row r="895" spans="2:8" ht="15" x14ac:dyDescent="0.35">
      <c r="B895" s="544" t="s">
        <v>6263</v>
      </c>
      <c r="C895" s="517" t="s">
        <v>6380</v>
      </c>
      <c r="D895" s="518">
        <v>7786</v>
      </c>
      <c r="E895" s="517" t="s">
        <v>3700</v>
      </c>
      <c r="F895" s="518" t="s">
        <v>29</v>
      </c>
      <c r="G895" s="519">
        <v>34748</v>
      </c>
      <c r="H895" s="517" t="s">
        <v>6915</v>
      </c>
    </row>
    <row r="896" spans="2:8" ht="15" x14ac:dyDescent="0.35">
      <c r="B896" s="544" t="s">
        <v>6263</v>
      </c>
      <c r="C896" s="517" t="s">
        <v>6380</v>
      </c>
      <c r="D896" s="518">
        <v>7787</v>
      </c>
      <c r="E896" s="517" t="s">
        <v>5821</v>
      </c>
      <c r="F896" s="518" t="s">
        <v>29</v>
      </c>
      <c r="G896" s="519">
        <v>35677</v>
      </c>
      <c r="H896" s="517" t="s">
        <v>6915</v>
      </c>
    </row>
    <row r="897" spans="2:8" ht="15" x14ac:dyDescent="0.35">
      <c r="B897" s="544" t="s">
        <v>6263</v>
      </c>
      <c r="C897" s="517" t="s">
        <v>6380</v>
      </c>
      <c r="D897" s="518">
        <v>7788</v>
      </c>
      <c r="E897" s="517" t="s">
        <v>3701</v>
      </c>
      <c r="F897" s="518" t="s">
        <v>29</v>
      </c>
      <c r="G897" s="519">
        <v>9520</v>
      </c>
      <c r="H897" s="517" t="s">
        <v>6915</v>
      </c>
    </row>
    <row r="898" spans="2:8" ht="15" x14ac:dyDescent="0.35">
      <c r="B898" s="544" t="s">
        <v>6263</v>
      </c>
      <c r="C898" s="517" t="s">
        <v>6380</v>
      </c>
      <c r="D898" s="518">
        <v>7798</v>
      </c>
      <c r="E898" s="517" t="s">
        <v>3702</v>
      </c>
      <c r="F898" s="518" t="s">
        <v>29</v>
      </c>
      <c r="G898" s="519">
        <v>5950</v>
      </c>
      <c r="H898" s="517" t="s">
        <v>6915</v>
      </c>
    </row>
    <row r="899" spans="2:8" ht="15" x14ac:dyDescent="0.35">
      <c r="B899" s="544" t="s">
        <v>6263</v>
      </c>
      <c r="C899" s="517" t="s">
        <v>6380</v>
      </c>
      <c r="D899" s="518">
        <v>7800</v>
      </c>
      <c r="E899" s="517" t="s">
        <v>3703</v>
      </c>
      <c r="F899" s="518" t="s">
        <v>29</v>
      </c>
      <c r="G899" s="519">
        <v>3181</v>
      </c>
      <c r="H899" s="517" t="s">
        <v>6915</v>
      </c>
    </row>
    <row r="900" spans="2:8" ht="15" x14ac:dyDescent="0.35">
      <c r="B900" s="544" t="s">
        <v>6263</v>
      </c>
      <c r="C900" s="517" t="s">
        <v>6380</v>
      </c>
      <c r="D900" s="518">
        <v>7801</v>
      </c>
      <c r="E900" s="517" t="s">
        <v>3704</v>
      </c>
      <c r="F900" s="518" t="s">
        <v>29</v>
      </c>
      <c r="G900" s="519">
        <v>15915</v>
      </c>
      <c r="H900" s="517" t="s">
        <v>6915</v>
      </c>
    </row>
    <row r="901" spans="2:8" ht="15" x14ac:dyDescent="0.35">
      <c r="B901" s="544" t="s">
        <v>6263</v>
      </c>
      <c r="C901" s="517" t="s">
        <v>6367</v>
      </c>
      <c r="D901" s="518">
        <v>7811</v>
      </c>
      <c r="E901" s="517" t="s">
        <v>3705</v>
      </c>
      <c r="F901" s="518" t="s">
        <v>29</v>
      </c>
      <c r="G901" s="519">
        <v>17190</v>
      </c>
      <c r="H901" s="517" t="s">
        <v>6915</v>
      </c>
    </row>
    <row r="902" spans="2:8" ht="15" x14ac:dyDescent="0.35">
      <c r="B902" s="544" t="s">
        <v>6263</v>
      </c>
      <c r="C902" s="517" t="s">
        <v>6377</v>
      </c>
      <c r="D902" s="518">
        <v>7819</v>
      </c>
      <c r="E902" s="517" t="s">
        <v>3706</v>
      </c>
      <c r="F902" s="518" t="s">
        <v>29</v>
      </c>
      <c r="G902" s="519">
        <v>93900</v>
      </c>
      <c r="H902" s="517" t="s">
        <v>6425</v>
      </c>
    </row>
    <row r="903" spans="2:8" ht="15" x14ac:dyDescent="0.35">
      <c r="B903" s="544" t="s">
        <v>6263</v>
      </c>
      <c r="C903" s="517" t="s">
        <v>6377</v>
      </c>
      <c r="D903" s="518">
        <v>7821</v>
      </c>
      <c r="E903" s="517" t="s">
        <v>6449</v>
      </c>
      <c r="F903" s="518" t="s">
        <v>3707</v>
      </c>
      <c r="G903" s="519">
        <v>197064</v>
      </c>
      <c r="H903" s="517" t="s">
        <v>6425</v>
      </c>
    </row>
    <row r="904" spans="2:8" ht="15" x14ac:dyDescent="0.35">
      <c r="B904" s="544" t="s">
        <v>6263</v>
      </c>
      <c r="C904" s="517" t="s">
        <v>6377</v>
      </c>
      <c r="D904" s="518">
        <v>7822</v>
      </c>
      <c r="E904" s="517" t="s">
        <v>3708</v>
      </c>
      <c r="F904" s="518" t="s">
        <v>3707</v>
      </c>
      <c r="G904" s="519">
        <v>96900</v>
      </c>
      <c r="H904" s="517" t="s">
        <v>6425</v>
      </c>
    </row>
    <row r="905" spans="2:8" ht="15" x14ac:dyDescent="0.35">
      <c r="B905" s="544" t="s">
        <v>6263</v>
      </c>
      <c r="C905" s="517" t="s">
        <v>6377</v>
      </c>
      <c r="D905" s="518">
        <v>7824</v>
      </c>
      <c r="E905" s="517" t="s">
        <v>3709</v>
      </c>
      <c r="F905" s="518" t="s">
        <v>3707</v>
      </c>
      <c r="G905" s="519">
        <v>865</v>
      </c>
      <c r="H905" s="517" t="s">
        <v>6425</v>
      </c>
    </row>
    <row r="906" spans="2:8" ht="15" x14ac:dyDescent="0.35">
      <c r="B906" s="544" t="s">
        <v>6263</v>
      </c>
      <c r="C906" s="517" t="s">
        <v>6377</v>
      </c>
      <c r="D906" s="518">
        <v>7825</v>
      </c>
      <c r="E906" s="517" t="s">
        <v>3710</v>
      </c>
      <c r="F906" s="518" t="s">
        <v>29</v>
      </c>
      <c r="G906" s="519">
        <v>4400</v>
      </c>
      <c r="H906" s="517" t="s">
        <v>6425</v>
      </c>
    </row>
    <row r="907" spans="2:8" ht="15" x14ac:dyDescent="0.35">
      <c r="B907" s="544" t="s">
        <v>6263</v>
      </c>
      <c r="C907" s="517" t="s">
        <v>6377</v>
      </c>
      <c r="D907" s="518">
        <v>7826</v>
      </c>
      <c r="E907" s="517" t="s">
        <v>3711</v>
      </c>
      <c r="F907" s="518" t="s">
        <v>29</v>
      </c>
      <c r="G907" s="519">
        <v>9900</v>
      </c>
      <c r="H907" s="517" t="s">
        <v>6425</v>
      </c>
    </row>
    <row r="908" spans="2:8" ht="15" x14ac:dyDescent="0.35">
      <c r="B908" s="544" t="s">
        <v>6263</v>
      </c>
      <c r="C908" s="517" t="s">
        <v>6377</v>
      </c>
      <c r="D908" s="518">
        <v>7827</v>
      </c>
      <c r="E908" s="517" t="s">
        <v>3712</v>
      </c>
      <c r="F908" s="518" t="s">
        <v>3707</v>
      </c>
      <c r="G908" s="519">
        <v>2319</v>
      </c>
      <c r="H908" s="517" t="s">
        <v>6425</v>
      </c>
    </row>
    <row r="909" spans="2:8" ht="15" x14ac:dyDescent="0.35">
      <c r="B909" s="544" t="s">
        <v>6263</v>
      </c>
      <c r="C909" s="517" t="s">
        <v>6377</v>
      </c>
      <c r="D909" s="518">
        <v>7832</v>
      </c>
      <c r="E909" s="517" t="s">
        <v>3713</v>
      </c>
      <c r="F909" s="518" t="s">
        <v>29</v>
      </c>
      <c r="G909" s="519">
        <v>6188</v>
      </c>
      <c r="H909" s="517" t="s">
        <v>6425</v>
      </c>
    </row>
    <row r="910" spans="2:8" ht="15" x14ac:dyDescent="0.35">
      <c r="B910" s="544" t="s">
        <v>6263</v>
      </c>
      <c r="C910" s="517" t="s">
        <v>6377</v>
      </c>
      <c r="D910" s="518">
        <v>7836</v>
      </c>
      <c r="E910" s="517" t="s">
        <v>3714</v>
      </c>
      <c r="F910" s="518" t="s">
        <v>29</v>
      </c>
      <c r="G910" s="519">
        <v>191900</v>
      </c>
      <c r="H910" s="517" t="s">
        <v>6425</v>
      </c>
    </row>
    <row r="911" spans="2:8" ht="15" x14ac:dyDescent="0.35">
      <c r="B911" s="544" t="s">
        <v>6263</v>
      </c>
      <c r="C911" s="517" t="s">
        <v>6377</v>
      </c>
      <c r="D911" s="518">
        <v>7837</v>
      </c>
      <c r="E911" s="517" t="s">
        <v>3715</v>
      </c>
      <c r="F911" s="518" t="s">
        <v>29</v>
      </c>
      <c r="G911" s="519">
        <v>255000</v>
      </c>
      <c r="H911" s="517" t="s">
        <v>6425</v>
      </c>
    </row>
    <row r="912" spans="2:8" ht="15" x14ac:dyDescent="0.35">
      <c r="B912" s="544" t="s">
        <v>6263</v>
      </c>
      <c r="C912" s="517" t="s">
        <v>6377</v>
      </c>
      <c r="D912" s="518">
        <v>7839</v>
      </c>
      <c r="E912" s="517" t="s">
        <v>3716</v>
      </c>
      <c r="F912" s="518" t="s">
        <v>29</v>
      </c>
      <c r="G912" s="519">
        <v>62316</v>
      </c>
      <c r="H912" s="517" t="s">
        <v>6425</v>
      </c>
    </row>
    <row r="913" spans="2:8" ht="15" x14ac:dyDescent="0.35">
      <c r="B913" s="544" t="s">
        <v>6263</v>
      </c>
      <c r="C913" s="517" t="s">
        <v>6377</v>
      </c>
      <c r="D913" s="518">
        <v>7844</v>
      </c>
      <c r="E913" s="517" t="s">
        <v>3717</v>
      </c>
      <c r="F913" s="518" t="s">
        <v>3707</v>
      </c>
      <c r="G913" s="519">
        <v>11900</v>
      </c>
      <c r="H913" s="517" t="s">
        <v>6425</v>
      </c>
    </row>
    <row r="914" spans="2:8" ht="15" x14ac:dyDescent="0.35">
      <c r="B914" s="544" t="s">
        <v>6263</v>
      </c>
      <c r="C914" s="517" t="s">
        <v>6377</v>
      </c>
      <c r="D914" s="518">
        <v>7846</v>
      </c>
      <c r="E914" s="517" t="s">
        <v>5822</v>
      </c>
      <c r="F914" s="518" t="s">
        <v>3707</v>
      </c>
      <c r="G914" s="519">
        <v>11900</v>
      </c>
      <c r="H914" s="517" t="s">
        <v>6425</v>
      </c>
    </row>
    <row r="915" spans="2:8" ht="15" x14ac:dyDescent="0.35">
      <c r="B915" s="544" t="s">
        <v>6263</v>
      </c>
      <c r="C915" s="517" t="s">
        <v>6359</v>
      </c>
      <c r="D915" s="518">
        <v>7850</v>
      </c>
      <c r="E915" s="517" t="s">
        <v>3718</v>
      </c>
      <c r="F915" s="518" t="s">
        <v>3719</v>
      </c>
      <c r="G915" s="519">
        <v>26009</v>
      </c>
      <c r="H915" s="517" t="s">
        <v>6915</v>
      </c>
    </row>
    <row r="916" spans="2:8" ht="15" x14ac:dyDescent="0.35">
      <c r="B916" s="544" t="s">
        <v>6263</v>
      </c>
      <c r="C916" s="517" t="s">
        <v>6367</v>
      </c>
      <c r="D916" s="518">
        <v>7852</v>
      </c>
      <c r="E916" s="517" t="s">
        <v>3720</v>
      </c>
      <c r="F916" s="518" t="s">
        <v>26</v>
      </c>
      <c r="G916" s="519">
        <v>3049</v>
      </c>
      <c r="H916" s="517" t="s">
        <v>6915</v>
      </c>
    </row>
    <row r="917" spans="2:8" ht="15" x14ac:dyDescent="0.35">
      <c r="B917" s="544" t="s">
        <v>6263</v>
      </c>
      <c r="C917" s="517" t="s">
        <v>6381</v>
      </c>
      <c r="D917" s="518">
        <v>7870</v>
      </c>
      <c r="E917" s="517" t="s">
        <v>3721</v>
      </c>
      <c r="F917" s="518" t="s">
        <v>3175</v>
      </c>
      <c r="G917" s="519">
        <v>100862</v>
      </c>
      <c r="H917" s="517" t="s">
        <v>6915</v>
      </c>
    </row>
    <row r="918" spans="2:8" ht="15" x14ac:dyDescent="0.35">
      <c r="B918" s="544" t="s">
        <v>6263</v>
      </c>
      <c r="C918" s="517" t="s">
        <v>6375</v>
      </c>
      <c r="D918" s="518">
        <v>7874</v>
      </c>
      <c r="E918" s="517" t="s">
        <v>3722</v>
      </c>
      <c r="F918" s="518" t="s">
        <v>29</v>
      </c>
      <c r="G918" s="519">
        <v>54740</v>
      </c>
      <c r="H918" s="517" t="s">
        <v>6915</v>
      </c>
    </row>
    <row r="919" spans="2:8" ht="15" x14ac:dyDescent="0.35">
      <c r="B919" s="544" t="s">
        <v>6263</v>
      </c>
      <c r="C919" s="517" t="s">
        <v>6375</v>
      </c>
      <c r="D919" s="518">
        <v>7876</v>
      </c>
      <c r="E919" s="517" t="s">
        <v>3723</v>
      </c>
      <c r="F919" s="518" t="s">
        <v>29</v>
      </c>
      <c r="G919" s="519">
        <v>198016</v>
      </c>
      <c r="H919" s="517" t="s">
        <v>6915</v>
      </c>
    </row>
    <row r="920" spans="2:8" ht="15" x14ac:dyDescent="0.35">
      <c r="B920" s="544" t="s">
        <v>6263</v>
      </c>
      <c r="C920" s="517" t="s">
        <v>6373</v>
      </c>
      <c r="D920" s="518">
        <v>7877</v>
      </c>
      <c r="E920" s="517" t="s">
        <v>3724</v>
      </c>
      <c r="F920" s="518" t="s">
        <v>29</v>
      </c>
      <c r="G920" s="519">
        <v>41650</v>
      </c>
      <c r="H920" s="517" t="s">
        <v>6915</v>
      </c>
    </row>
    <row r="921" spans="2:8" ht="15" x14ac:dyDescent="0.35">
      <c r="B921" s="544" t="s">
        <v>6263</v>
      </c>
      <c r="C921" s="517" t="s">
        <v>6352</v>
      </c>
      <c r="D921" s="518">
        <v>7884</v>
      </c>
      <c r="E921" s="517" t="s">
        <v>3725</v>
      </c>
      <c r="F921" s="518" t="s">
        <v>29</v>
      </c>
      <c r="G921" s="519">
        <v>80000</v>
      </c>
      <c r="H921" s="517" t="s">
        <v>6425</v>
      </c>
    </row>
    <row r="922" spans="2:8" ht="15" x14ac:dyDescent="0.35">
      <c r="B922" s="544" t="s">
        <v>6263</v>
      </c>
      <c r="C922" s="517" t="s">
        <v>6354</v>
      </c>
      <c r="D922" s="518">
        <v>7891</v>
      </c>
      <c r="E922" s="517" t="s">
        <v>3726</v>
      </c>
      <c r="F922" s="518" t="s">
        <v>3172</v>
      </c>
      <c r="G922" s="519">
        <v>146452</v>
      </c>
      <c r="H922" s="517" t="s">
        <v>6915</v>
      </c>
    </row>
    <row r="923" spans="2:8" ht="15" x14ac:dyDescent="0.35">
      <c r="B923" s="544" t="s">
        <v>6263</v>
      </c>
      <c r="C923" s="517" t="s">
        <v>6382</v>
      </c>
      <c r="D923" s="518">
        <v>7892</v>
      </c>
      <c r="E923" s="517" t="s">
        <v>5823</v>
      </c>
      <c r="F923" s="518" t="s">
        <v>676</v>
      </c>
      <c r="G923" s="519">
        <v>380000</v>
      </c>
      <c r="H923" s="517" t="s">
        <v>6915</v>
      </c>
    </row>
    <row r="924" spans="2:8" ht="15" x14ac:dyDescent="0.35">
      <c r="B924" s="544" t="s">
        <v>6263</v>
      </c>
      <c r="C924" s="517" t="s">
        <v>6383</v>
      </c>
      <c r="D924" s="518">
        <v>7896</v>
      </c>
      <c r="E924" s="517" t="s">
        <v>3727</v>
      </c>
      <c r="F924" s="518" t="s">
        <v>29</v>
      </c>
      <c r="G924" s="519">
        <v>171</v>
      </c>
      <c r="H924" s="517" t="s">
        <v>6915</v>
      </c>
    </row>
    <row r="925" spans="2:8" ht="15" x14ac:dyDescent="0.35">
      <c r="B925" s="544" t="s">
        <v>6263</v>
      </c>
      <c r="C925" s="517" t="s">
        <v>6383</v>
      </c>
      <c r="D925" s="518">
        <v>7897</v>
      </c>
      <c r="E925" s="517" t="s">
        <v>3728</v>
      </c>
      <c r="F925" s="518" t="s">
        <v>29</v>
      </c>
      <c r="G925" s="519">
        <v>1426</v>
      </c>
      <c r="H925" s="517" t="s">
        <v>6915</v>
      </c>
    </row>
    <row r="926" spans="2:8" ht="15" x14ac:dyDescent="0.35">
      <c r="B926" s="544" t="s">
        <v>6263</v>
      </c>
      <c r="C926" s="517" t="s">
        <v>6383</v>
      </c>
      <c r="D926" s="518">
        <v>7898</v>
      </c>
      <c r="E926" s="517" t="s">
        <v>3729</v>
      </c>
      <c r="F926" s="518" t="s">
        <v>29</v>
      </c>
      <c r="G926" s="519">
        <v>762</v>
      </c>
      <c r="H926" s="517" t="s">
        <v>6915</v>
      </c>
    </row>
    <row r="927" spans="2:8" ht="15" x14ac:dyDescent="0.35">
      <c r="B927" s="544" t="s">
        <v>6263</v>
      </c>
      <c r="C927" s="517" t="s">
        <v>6383</v>
      </c>
      <c r="D927" s="518">
        <v>7900</v>
      </c>
      <c r="E927" s="517" t="s">
        <v>3730</v>
      </c>
      <c r="F927" s="518" t="s">
        <v>29</v>
      </c>
      <c r="G927" s="519">
        <v>373</v>
      </c>
      <c r="H927" s="517" t="s">
        <v>6915</v>
      </c>
    </row>
    <row r="928" spans="2:8" ht="15" x14ac:dyDescent="0.35">
      <c r="B928" s="544" t="s">
        <v>6263</v>
      </c>
      <c r="C928" s="517" t="s">
        <v>6383</v>
      </c>
      <c r="D928" s="518">
        <v>7901</v>
      </c>
      <c r="E928" s="517" t="s">
        <v>3731</v>
      </c>
      <c r="F928" s="518" t="s">
        <v>29</v>
      </c>
      <c r="G928" s="519">
        <v>152</v>
      </c>
      <c r="H928" s="517" t="s">
        <v>6915</v>
      </c>
    </row>
    <row r="929" spans="2:8" ht="15" x14ac:dyDescent="0.35">
      <c r="B929" s="544" t="s">
        <v>6263</v>
      </c>
      <c r="C929" s="517" t="s">
        <v>6384</v>
      </c>
      <c r="D929" s="518">
        <v>7904</v>
      </c>
      <c r="E929" s="517" t="s">
        <v>3732</v>
      </c>
      <c r="F929" s="518" t="s">
        <v>29</v>
      </c>
      <c r="G929" s="519">
        <v>40000</v>
      </c>
      <c r="H929" s="517" t="s">
        <v>6915</v>
      </c>
    </row>
    <row r="930" spans="2:8" ht="15" x14ac:dyDescent="0.35">
      <c r="B930" s="544" t="s">
        <v>6263</v>
      </c>
      <c r="C930" s="517" t="s">
        <v>6384</v>
      </c>
      <c r="D930" s="518">
        <v>7906</v>
      </c>
      <c r="E930" s="517" t="s">
        <v>3733</v>
      </c>
      <c r="F930" s="518" t="s">
        <v>29</v>
      </c>
      <c r="G930" s="519">
        <v>25000</v>
      </c>
      <c r="H930" s="517" t="s">
        <v>6915</v>
      </c>
    </row>
    <row r="931" spans="2:8" ht="15" x14ac:dyDescent="0.35">
      <c r="B931" s="544" t="s">
        <v>6263</v>
      </c>
      <c r="C931" s="517" t="s">
        <v>6384</v>
      </c>
      <c r="D931" s="518">
        <v>7908</v>
      </c>
      <c r="E931" s="517" t="s">
        <v>3734</v>
      </c>
      <c r="F931" s="518" t="s">
        <v>29</v>
      </c>
      <c r="G931" s="519">
        <v>30000</v>
      </c>
      <c r="H931" s="517" t="s">
        <v>6915</v>
      </c>
    </row>
    <row r="932" spans="2:8" ht="15" x14ac:dyDescent="0.35">
      <c r="B932" s="544" t="s">
        <v>6263</v>
      </c>
      <c r="C932" s="517" t="s">
        <v>6384</v>
      </c>
      <c r="D932" s="518">
        <v>7910</v>
      </c>
      <c r="E932" s="517" t="s">
        <v>3735</v>
      </c>
      <c r="F932" s="518" t="s">
        <v>29</v>
      </c>
      <c r="G932" s="519">
        <v>30000</v>
      </c>
      <c r="H932" s="517" t="s">
        <v>6915</v>
      </c>
    </row>
    <row r="933" spans="2:8" ht="15" x14ac:dyDescent="0.35">
      <c r="B933" s="544" t="s">
        <v>6263</v>
      </c>
      <c r="C933" s="517" t="s">
        <v>6350</v>
      </c>
      <c r="D933" s="518">
        <v>7919</v>
      </c>
      <c r="E933" s="517" t="s">
        <v>3736</v>
      </c>
      <c r="F933" s="518" t="s">
        <v>3175</v>
      </c>
      <c r="G933" s="519">
        <v>59976</v>
      </c>
      <c r="H933" s="517" t="s">
        <v>6425</v>
      </c>
    </row>
    <row r="934" spans="2:8" ht="15" x14ac:dyDescent="0.35">
      <c r="B934" s="544" t="s">
        <v>6263</v>
      </c>
      <c r="C934" s="517" t="s">
        <v>6337</v>
      </c>
      <c r="D934" s="518">
        <v>7921</v>
      </c>
      <c r="E934" s="517" t="s">
        <v>3737</v>
      </c>
      <c r="F934" s="518" t="s">
        <v>23</v>
      </c>
      <c r="G934" s="519">
        <v>838717</v>
      </c>
      <c r="H934" s="517" t="s">
        <v>6425</v>
      </c>
    </row>
    <row r="935" spans="2:8" ht="15" x14ac:dyDescent="0.35">
      <c r="B935" s="544" t="s">
        <v>6263</v>
      </c>
      <c r="C935" s="517" t="s">
        <v>6350</v>
      </c>
      <c r="D935" s="518">
        <v>7922</v>
      </c>
      <c r="E935" s="517" t="s">
        <v>3738</v>
      </c>
      <c r="F935" s="518" t="s">
        <v>676</v>
      </c>
      <c r="G935" s="519">
        <v>8878</v>
      </c>
      <c r="H935" s="517" t="s">
        <v>6425</v>
      </c>
    </row>
    <row r="936" spans="2:8" ht="15" x14ac:dyDescent="0.35">
      <c r="B936" s="544" t="s">
        <v>6263</v>
      </c>
      <c r="C936" s="517" t="s">
        <v>6385</v>
      </c>
      <c r="D936" s="518">
        <v>7923</v>
      </c>
      <c r="E936" s="517" t="s">
        <v>3739</v>
      </c>
      <c r="F936" s="518" t="s">
        <v>367</v>
      </c>
      <c r="G936" s="519">
        <v>7409</v>
      </c>
      <c r="H936" s="517" t="s">
        <v>6915</v>
      </c>
    </row>
    <row r="937" spans="2:8" ht="15" x14ac:dyDescent="0.35">
      <c r="B937" s="544" t="s">
        <v>6263</v>
      </c>
      <c r="C937" s="517" t="s">
        <v>6359</v>
      </c>
      <c r="D937" s="518">
        <v>7926</v>
      </c>
      <c r="E937" s="517" t="s">
        <v>3740</v>
      </c>
      <c r="F937" s="518" t="s">
        <v>29</v>
      </c>
      <c r="G937" s="519">
        <v>34323</v>
      </c>
      <c r="H937" s="517" t="s">
        <v>6915</v>
      </c>
    </row>
    <row r="938" spans="2:8" ht="15" x14ac:dyDescent="0.35">
      <c r="B938" s="544" t="s">
        <v>6263</v>
      </c>
      <c r="C938" s="517" t="s">
        <v>6346</v>
      </c>
      <c r="D938" s="518">
        <v>7932</v>
      </c>
      <c r="E938" s="517" t="s">
        <v>5572</v>
      </c>
      <c r="F938" s="518" t="s">
        <v>26</v>
      </c>
      <c r="G938" s="519">
        <v>5726</v>
      </c>
      <c r="H938" s="517" t="s">
        <v>6425</v>
      </c>
    </row>
    <row r="939" spans="2:8" ht="15" x14ac:dyDescent="0.35">
      <c r="B939" s="544" t="s">
        <v>6263</v>
      </c>
      <c r="C939" s="517" t="s">
        <v>6358</v>
      </c>
      <c r="D939" s="518">
        <v>7934</v>
      </c>
      <c r="E939" s="517" t="s">
        <v>5824</v>
      </c>
      <c r="F939" s="518" t="s">
        <v>29</v>
      </c>
      <c r="G939" s="519">
        <v>1259020</v>
      </c>
      <c r="H939" s="517" t="s">
        <v>6915</v>
      </c>
    </row>
    <row r="940" spans="2:8" ht="15" x14ac:dyDescent="0.35">
      <c r="B940" s="544" t="s">
        <v>6263</v>
      </c>
      <c r="C940" s="517" t="s">
        <v>6358</v>
      </c>
      <c r="D940" s="518">
        <v>7939</v>
      </c>
      <c r="E940" s="517" t="s">
        <v>5825</v>
      </c>
      <c r="F940" s="518" t="s">
        <v>29</v>
      </c>
      <c r="G940" s="519">
        <v>230860</v>
      </c>
      <c r="H940" s="517" t="s">
        <v>6915</v>
      </c>
    </row>
    <row r="941" spans="2:8" ht="15" x14ac:dyDescent="0.35">
      <c r="B941" s="544" t="s">
        <v>6263</v>
      </c>
      <c r="C941" s="517" t="s">
        <v>6358</v>
      </c>
      <c r="D941" s="518">
        <v>7941</v>
      </c>
      <c r="E941" s="517" t="s">
        <v>5826</v>
      </c>
      <c r="F941" s="518" t="s">
        <v>29</v>
      </c>
      <c r="G941" s="519">
        <v>556920</v>
      </c>
      <c r="H941" s="517" t="s">
        <v>6915</v>
      </c>
    </row>
    <row r="942" spans="2:8" ht="15" x14ac:dyDescent="0.35">
      <c r="B942" s="544" t="s">
        <v>6263</v>
      </c>
      <c r="C942" s="517" t="s">
        <v>6358</v>
      </c>
      <c r="D942" s="518">
        <v>7942</v>
      </c>
      <c r="E942" s="517" t="s">
        <v>5827</v>
      </c>
      <c r="F942" s="518" t="s">
        <v>29</v>
      </c>
      <c r="G942" s="519">
        <v>199920</v>
      </c>
      <c r="H942" s="517" t="s">
        <v>6915</v>
      </c>
    </row>
    <row r="943" spans="2:8" ht="15" x14ac:dyDescent="0.35">
      <c r="B943" s="544" t="s">
        <v>6263</v>
      </c>
      <c r="C943" s="517" t="s">
        <v>6367</v>
      </c>
      <c r="D943" s="518">
        <v>7945</v>
      </c>
      <c r="E943" s="517" t="s">
        <v>3741</v>
      </c>
      <c r="F943" s="518" t="s">
        <v>26</v>
      </c>
      <c r="G943" s="519">
        <v>130</v>
      </c>
      <c r="H943" s="517" t="s">
        <v>6915</v>
      </c>
    </row>
    <row r="944" spans="2:8" ht="15" x14ac:dyDescent="0.35">
      <c r="B944" s="544" t="s">
        <v>6263</v>
      </c>
      <c r="C944" s="517" t="s">
        <v>6366</v>
      </c>
      <c r="D944" s="518">
        <v>7946</v>
      </c>
      <c r="E944" s="517" t="s">
        <v>5828</v>
      </c>
      <c r="F944" s="518" t="s">
        <v>3742</v>
      </c>
      <c r="G944" s="519">
        <v>103320</v>
      </c>
      <c r="H944" s="517" t="s">
        <v>6915</v>
      </c>
    </row>
    <row r="945" spans="2:8" ht="15" x14ac:dyDescent="0.35">
      <c r="B945" s="544" t="s">
        <v>6263</v>
      </c>
      <c r="C945" s="517" t="s">
        <v>6344</v>
      </c>
      <c r="D945" s="518">
        <v>7947</v>
      </c>
      <c r="E945" s="517" t="s">
        <v>3743</v>
      </c>
      <c r="F945" s="518" t="s">
        <v>29</v>
      </c>
      <c r="G945" s="519">
        <v>337960</v>
      </c>
      <c r="H945" s="517" t="s">
        <v>6425</v>
      </c>
    </row>
    <row r="946" spans="2:8" ht="15" x14ac:dyDescent="0.35">
      <c r="B946" s="544" t="s">
        <v>6263</v>
      </c>
      <c r="C946" s="517" t="s">
        <v>6386</v>
      </c>
      <c r="D946" s="518">
        <v>7948</v>
      </c>
      <c r="E946" s="517" t="s">
        <v>5829</v>
      </c>
      <c r="F946" s="518" t="s">
        <v>26</v>
      </c>
      <c r="G946" s="519">
        <v>24871</v>
      </c>
      <c r="H946" s="517" t="s">
        <v>6915</v>
      </c>
    </row>
    <row r="947" spans="2:8" ht="15" x14ac:dyDescent="0.35">
      <c r="B947" s="544" t="s">
        <v>6263</v>
      </c>
      <c r="C947" s="517" t="s">
        <v>6353</v>
      </c>
      <c r="D947" s="518">
        <v>7949</v>
      </c>
      <c r="E947" s="517" t="s">
        <v>5573</v>
      </c>
      <c r="F947" s="518" t="s">
        <v>29</v>
      </c>
      <c r="G947" s="519">
        <v>217902</v>
      </c>
      <c r="H947" s="517" t="s">
        <v>6425</v>
      </c>
    </row>
    <row r="948" spans="2:8" ht="15" x14ac:dyDescent="0.35">
      <c r="B948" s="544" t="s">
        <v>6263</v>
      </c>
      <c r="C948" s="517" t="s">
        <v>6353</v>
      </c>
      <c r="D948" s="518">
        <v>7950</v>
      </c>
      <c r="E948" s="517" t="s">
        <v>5574</v>
      </c>
      <c r="F948" s="518" t="s">
        <v>29</v>
      </c>
      <c r="G948" s="519">
        <v>370391</v>
      </c>
      <c r="H948" s="517" t="s">
        <v>6425</v>
      </c>
    </row>
    <row r="949" spans="2:8" ht="15" x14ac:dyDescent="0.35">
      <c r="B949" s="544" t="s">
        <v>6263</v>
      </c>
      <c r="C949" s="517" t="s">
        <v>6339</v>
      </c>
      <c r="D949" s="518">
        <v>7953</v>
      </c>
      <c r="E949" s="517" t="s">
        <v>3744</v>
      </c>
      <c r="F949" s="518" t="s">
        <v>21</v>
      </c>
      <c r="G949" s="519">
        <v>12191</v>
      </c>
      <c r="H949" s="517" t="s">
        <v>6425</v>
      </c>
    </row>
    <row r="950" spans="2:8" ht="15" x14ac:dyDescent="0.35">
      <c r="B950" s="544" t="s">
        <v>6263</v>
      </c>
      <c r="C950" s="517" t="s">
        <v>6339</v>
      </c>
      <c r="D950" s="518">
        <v>7955</v>
      </c>
      <c r="E950" s="517" t="s">
        <v>3745</v>
      </c>
      <c r="F950" s="518" t="s">
        <v>29</v>
      </c>
      <c r="G950" s="519">
        <v>149658</v>
      </c>
      <c r="H950" s="517" t="s">
        <v>6425</v>
      </c>
    </row>
    <row r="951" spans="2:8" ht="15" x14ac:dyDescent="0.35">
      <c r="B951" s="544" t="s">
        <v>6263</v>
      </c>
      <c r="C951" s="517" t="s">
        <v>6339</v>
      </c>
      <c r="D951" s="518">
        <v>7956</v>
      </c>
      <c r="E951" s="517" t="s">
        <v>3746</v>
      </c>
      <c r="F951" s="518" t="s">
        <v>29</v>
      </c>
      <c r="G951" s="519">
        <v>157321</v>
      </c>
      <c r="H951" s="517" t="s">
        <v>6425</v>
      </c>
    </row>
    <row r="952" spans="2:8" ht="15" x14ac:dyDescent="0.35">
      <c r="B952" s="544" t="s">
        <v>6263</v>
      </c>
      <c r="C952" s="517" t="s">
        <v>6339</v>
      </c>
      <c r="D952" s="518">
        <v>7957</v>
      </c>
      <c r="E952" s="517" t="s">
        <v>3747</v>
      </c>
      <c r="F952" s="518" t="s">
        <v>29</v>
      </c>
      <c r="G952" s="519">
        <v>190667</v>
      </c>
      <c r="H952" s="517" t="s">
        <v>6425</v>
      </c>
    </row>
    <row r="953" spans="2:8" ht="15" x14ac:dyDescent="0.35">
      <c r="B953" s="544" t="s">
        <v>6263</v>
      </c>
      <c r="C953" s="517" t="s">
        <v>6339</v>
      </c>
      <c r="D953" s="518">
        <v>7958</v>
      </c>
      <c r="E953" s="517" t="s">
        <v>3748</v>
      </c>
      <c r="F953" s="518" t="s">
        <v>29</v>
      </c>
      <c r="G953" s="519">
        <v>493444</v>
      </c>
      <c r="H953" s="517" t="s">
        <v>6425</v>
      </c>
    </row>
    <row r="954" spans="2:8" ht="15" x14ac:dyDescent="0.35">
      <c r="B954" s="544" t="s">
        <v>6263</v>
      </c>
      <c r="C954" s="517" t="s">
        <v>6339</v>
      </c>
      <c r="D954" s="518">
        <v>7959</v>
      </c>
      <c r="E954" s="517" t="s">
        <v>3749</v>
      </c>
      <c r="F954" s="518" t="s">
        <v>29</v>
      </c>
      <c r="G954" s="519">
        <v>180304</v>
      </c>
      <c r="H954" s="517" t="s">
        <v>6425</v>
      </c>
    </row>
    <row r="955" spans="2:8" ht="15" x14ac:dyDescent="0.35">
      <c r="B955" s="544" t="s">
        <v>6263</v>
      </c>
      <c r="C955" s="517" t="s">
        <v>6355</v>
      </c>
      <c r="D955" s="518">
        <v>7961</v>
      </c>
      <c r="E955" s="517" t="s">
        <v>3750</v>
      </c>
      <c r="F955" s="518" t="s">
        <v>26</v>
      </c>
      <c r="G955" s="519">
        <v>359614</v>
      </c>
      <c r="H955" s="517" t="s">
        <v>6425</v>
      </c>
    </row>
    <row r="956" spans="2:8" ht="15" x14ac:dyDescent="0.35">
      <c r="B956" s="544" t="s">
        <v>6263</v>
      </c>
      <c r="C956" s="517" t="s">
        <v>6355</v>
      </c>
      <c r="D956" s="518">
        <v>7962</v>
      </c>
      <c r="E956" s="517" t="s">
        <v>3751</v>
      </c>
      <c r="F956" s="518" t="s">
        <v>26</v>
      </c>
      <c r="G956" s="519">
        <v>436286</v>
      </c>
      <c r="H956" s="517" t="s">
        <v>6425</v>
      </c>
    </row>
    <row r="957" spans="2:8" ht="15" x14ac:dyDescent="0.35">
      <c r="B957" s="544" t="s">
        <v>6263</v>
      </c>
      <c r="C957" s="517" t="s">
        <v>6355</v>
      </c>
      <c r="D957" s="518">
        <v>7963</v>
      </c>
      <c r="E957" s="517" t="s">
        <v>3752</v>
      </c>
      <c r="F957" s="518" t="s">
        <v>26</v>
      </c>
      <c r="G957" s="519">
        <v>533825</v>
      </c>
      <c r="H957" s="517" t="s">
        <v>6425</v>
      </c>
    </row>
    <row r="958" spans="2:8" ht="15" x14ac:dyDescent="0.35">
      <c r="B958" s="544" t="s">
        <v>6263</v>
      </c>
      <c r="C958" s="517" t="s">
        <v>6358</v>
      </c>
      <c r="D958" s="518">
        <v>7965</v>
      </c>
      <c r="E958" s="517" t="s">
        <v>5830</v>
      </c>
      <c r="F958" s="518" t="s">
        <v>29</v>
      </c>
      <c r="G958" s="519">
        <v>230860</v>
      </c>
      <c r="H958" s="517" t="s">
        <v>6915</v>
      </c>
    </row>
    <row r="959" spans="2:8" ht="15" x14ac:dyDescent="0.35">
      <c r="B959" s="544" t="s">
        <v>6263</v>
      </c>
      <c r="C959" s="517" t="s">
        <v>6358</v>
      </c>
      <c r="D959" s="518">
        <v>7966</v>
      </c>
      <c r="E959" s="517" t="s">
        <v>5831</v>
      </c>
      <c r="F959" s="518" t="s">
        <v>29</v>
      </c>
      <c r="G959" s="519">
        <v>749700</v>
      </c>
      <c r="H959" s="517" t="s">
        <v>6915</v>
      </c>
    </row>
    <row r="960" spans="2:8" ht="15" x14ac:dyDescent="0.35">
      <c r="B960" s="544" t="s">
        <v>6263</v>
      </c>
      <c r="C960" s="517" t="s">
        <v>6358</v>
      </c>
      <c r="D960" s="518">
        <v>7967</v>
      </c>
      <c r="E960" s="517" t="s">
        <v>5832</v>
      </c>
      <c r="F960" s="518" t="s">
        <v>29</v>
      </c>
      <c r="G960" s="519">
        <v>1259020</v>
      </c>
      <c r="H960" s="517" t="s">
        <v>6915</v>
      </c>
    </row>
    <row r="961" spans="2:8" ht="15" x14ac:dyDescent="0.35">
      <c r="B961" s="544" t="s">
        <v>6263</v>
      </c>
      <c r="C961" s="517" t="s">
        <v>6340</v>
      </c>
      <c r="D961" s="518">
        <v>7968</v>
      </c>
      <c r="E961" s="517" t="s">
        <v>3753</v>
      </c>
      <c r="F961" s="518" t="s">
        <v>29</v>
      </c>
      <c r="G961" s="519">
        <v>400000</v>
      </c>
      <c r="H961" s="517" t="s">
        <v>6425</v>
      </c>
    </row>
    <row r="962" spans="2:8" ht="15" x14ac:dyDescent="0.35">
      <c r="B962" s="544" t="s">
        <v>6263</v>
      </c>
      <c r="C962" s="517" t="s">
        <v>6363</v>
      </c>
      <c r="D962" s="518">
        <v>7969</v>
      </c>
      <c r="E962" s="517" t="s">
        <v>3754</v>
      </c>
      <c r="F962" s="518" t="s">
        <v>21</v>
      </c>
      <c r="G962" s="519">
        <v>12576</v>
      </c>
      <c r="H962" s="517" t="s">
        <v>6915</v>
      </c>
    </row>
    <row r="963" spans="2:8" ht="15" x14ac:dyDescent="0.35">
      <c r="B963" s="544" t="s">
        <v>6263</v>
      </c>
      <c r="C963" s="517" t="s">
        <v>6363</v>
      </c>
      <c r="D963" s="518">
        <v>7970</v>
      </c>
      <c r="E963" s="517" t="s">
        <v>3755</v>
      </c>
      <c r="F963" s="518" t="s">
        <v>21</v>
      </c>
      <c r="G963" s="519">
        <v>4355</v>
      </c>
      <c r="H963" s="517" t="s">
        <v>6915</v>
      </c>
    </row>
    <row r="964" spans="2:8" ht="15" x14ac:dyDescent="0.35">
      <c r="B964" s="544" t="s">
        <v>6263</v>
      </c>
      <c r="C964" s="517" t="s">
        <v>6363</v>
      </c>
      <c r="D964" s="518">
        <v>7971</v>
      </c>
      <c r="E964" s="517" t="s">
        <v>3756</v>
      </c>
      <c r="F964" s="518" t="s">
        <v>21</v>
      </c>
      <c r="G964" s="519">
        <v>7000</v>
      </c>
      <c r="H964" s="517" t="s">
        <v>6915</v>
      </c>
    </row>
    <row r="965" spans="2:8" ht="15" x14ac:dyDescent="0.35">
      <c r="B965" s="544" t="s">
        <v>6263</v>
      </c>
      <c r="C965" s="517" t="s">
        <v>6363</v>
      </c>
      <c r="D965" s="518">
        <v>7973</v>
      </c>
      <c r="E965" s="517" t="s">
        <v>3757</v>
      </c>
      <c r="F965" s="518" t="s">
        <v>367</v>
      </c>
      <c r="G965" s="519">
        <v>46285</v>
      </c>
      <c r="H965" s="517" t="s">
        <v>6915</v>
      </c>
    </row>
    <row r="966" spans="2:8" ht="15" x14ac:dyDescent="0.35">
      <c r="B966" s="544" t="s">
        <v>6263</v>
      </c>
      <c r="C966" s="517" t="s">
        <v>6343</v>
      </c>
      <c r="D966" s="518">
        <v>7976</v>
      </c>
      <c r="E966" s="517" t="s">
        <v>3758</v>
      </c>
      <c r="F966" s="518" t="s">
        <v>23</v>
      </c>
      <c r="G966" s="519">
        <v>70196</v>
      </c>
      <c r="H966" s="517" t="s">
        <v>6425</v>
      </c>
    </row>
    <row r="967" spans="2:8" ht="15" x14ac:dyDescent="0.35">
      <c r="B967" s="544" t="s">
        <v>6263</v>
      </c>
      <c r="C967" s="517" t="s">
        <v>6343</v>
      </c>
      <c r="D967" s="518">
        <v>7977</v>
      </c>
      <c r="E967" s="517" t="s">
        <v>3759</v>
      </c>
      <c r="F967" s="518" t="s">
        <v>23</v>
      </c>
      <c r="G967" s="519">
        <v>41650</v>
      </c>
      <c r="H967" s="517" t="s">
        <v>6425</v>
      </c>
    </row>
    <row r="968" spans="2:8" ht="15" x14ac:dyDescent="0.35">
      <c r="B968" s="544" t="s">
        <v>6263</v>
      </c>
      <c r="C968" s="517" t="s">
        <v>6367</v>
      </c>
      <c r="D968" s="518">
        <v>7979</v>
      </c>
      <c r="E968" s="517" t="s">
        <v>3760</v>
      </c>
      <c r="F968" s="518" t="s">
        <v>29</v>
      </c>
      <c r="G968" s="519">
        <v>76145</v>
      </c>
      <c r="H968" s="517" t="s">
        <v>6915</v>
      </c>
    </row>
    <row r="969" spans="2:8" ht="15" x14ac:dyDescent="0.35">
      <c r="B969" s="544" t="s">
        <v>6263</v>
      </c>
      <c r="C969" s="517" t="s">
        <v>6387</v>
      </c>
      <c r="D969" s="518">
        <v>7983</v>
      </c>
      <c r="E969" s="517" t="s">
        <v>5833</v>
      </c>
      <c r="F969" s="518" t="s">
        <v>3175</v>
      </c>
      <c r="G969" s="519">
        <v>219000</v>
      </c>
      <c r="H969" s="517" t="s">
        <v>5686</v>
      </c>
    </row>
    <row r="970" spans="2:8" ht="15" x14ac:dyDescent="0.35">
      <c r="B970" s="544" t="s">
        <v>6263</v>
      </c>
      <c r="C970" s="517" t="s">
        <v>6338</v>
      </c>
      <c r="D970" s="518">
        <v>7984</v>
      </c>
      <c r="E970" s="517" t="s">
        <v>3761</v>
      </c>
      <c r="F970" s="518" t="s">
        <v>676</v>
      </c>
      <c r="G970" s="519">
        <v>111226</v>
      </c>
      <c r="H970" s="517" t="s">
        <v>6425</v>
      </c>
    </row>
    <row r="971" spans="2:8" ht="15" x14ac:dyDescent="0.35">
      <c r="B971" s="544" t="s">
        <v>6263</v>
      </c>
      <c r="C971" s="517" t="s">
        <v>6387</v>
      </c>
      <c r="D971" s="518">
        <v>7989</v>
      </c>
      <c r="E971" s="517" t="s">
        <v>5834</v>
      </c>
      <c r="F971" s="518" t="s">
        <v>1628</v>
      </c>
      <c r="G971" s="519">
        <v>12795750</v>
      </c>
      <c r="H971" s="517" t="s">
        <v>5686</v>
      </c>
    </row>
    <row r="972" spans="2:8" ht="15" x14ac:dyDescent="0.35">
      <c r="B972" s="544" t="s">
        <v>6263</v>
      </c>
      <c r="C972" s="517" t="s">
        <v>6388</v>
      </c>
      <c r="D972" s="518">
        <v>7993</v>
      </c>
      <c r="E972" s="517" t="s">
        <v>3762</v>
      </c>
      <c r="F972" s="518" t="s">
        <v>29</v>
      </c>
      <c r="G972" s="519">
        <v>2040850</v>
      </c>
      <c r="H972" s="517" t="s">
        <v>6915</v>
      </c>
    </row>
    <row r="973" spans="2:8" ht="15" x14ac:dyDescent="0.35">
      <c r="B973" s="544" t="s">
        <v>6263</v>
      </c>
      <c r="C973" s="517" t="s">
        <v>6341</v>
      </c>
      <c r="D973" s="518">
        <v>7994</v>
      </c>
      <c r="E973" s="517" t="s">
        <v>3763</v>
      </c>
      <c r="F973" s="518" t="s">
        <v>21</v>
      </c>
      <c r="G973" s="519">
        <v>2495</v>
      </c>
      <c r="H973" s="517" t="s">
        <v>6425</v>
      </c>
    </row>
    <row r="974" spans="2:8" ht="15" x14ac:dyDescent="0.35">
      <c r="B974" s="544" t="s">
        <v>6263</v>
      </c>
      <c r="C974" s="517" t="s">
        <v>6363</v>
      </c>
      <c r="D974" s="518">
        <v>7999</v>
      </c>
      <c r="E974" s="517" t="s">
        <v>3764</v>
      </c>
      <c r="F974" s="518" t="s">
        <v>367</v>
      </c>
      <c r="G974" s="519">
        <v>7013</v>
      </c>
      <c r="H974" s="517" t="s">
        <v>6915</v>
      </c>
    </row>
    <row r="975" spans="2:8" ht="15" x14ac:dyDescent="0.35">
      <c r="B975" s="544" t="s">
        <v>6263</v>
      </c>
      <c r="C975" s="517" t="s">
        <v>6382</v>
      </c>
      <c r="D975" s="518">
        <v>8000</v>
      </c>
      <c r="E975" s="517" t="s">
        <v>3765</v>
      </c>
      <c r="F975" s="518" t="s">
        <v>26</v>
      </c>
      <c r="G975" s="519">
        <v>14999</v>
      </c>
      <c r="H975" s="517" t="s">
        <v>6915</v>
      </c>
    </row>
    <row r="976" spans="2:8" ht="15" x14ac:dyDescent="0.35">
      <c r="B976" s="544" t="s">
        <v>6263</v>
      </c>
      <c r="C976" s="517" t="s">
        <v>6382</v>
      </c>
      <c r="D976" s="518">
        <v>8001</v>
      </c>
      <c r="E976" s="517" t="s">
        <v>3766</v>
      </c>
      <c r="F976" s="518" t="s">
        <v>26</v>
      </c>
      <c r="G976" s="519">
        <v>15500</v>
      </c>
      <c r="H976" s="517" t="s">
        <v>6915</v>
      </c>
    </row>
    <row r="977" spans="2:8" ht="15" x14ac:dyDescent="0.35">
      <c r="B977" s="544" t="s">
        <v>6263</v>
      </c>
      <c r="C977" s="517" t="s">
        <v>6382</v>
      </c>
      <c r="D977" s="518">
        <v>8002</v>
      </c>
      <c r="E977" s="517" t="s">
        <v>1910</v>
      </c>
      <c r="F977" s="518" t="s">
        <v>26</v>
      </c>
      <c r="G977" s="519">
        <v>39270</v>
      </c>
      <c r="H977" s="517" t="s">
        <v>6915</v>
      </c>
    </row>
    <row r="978" spans="2:8" ht="15" x14ac:dyDescent="0.35">
      <c r="B978" s="544" t="s">
        <v>6263</v>
      </c>
      <c r="C978" s="517" t="s">
        <v>6382</v>
      </c>
      <c r="D978" s="518">
        <v>8003</v>
      </c>
      <c r="E978" s="517" t="s">
        <v>1911</v>
      </c>
      <c r="F978" s="518" t="s">
        <v>26</v>
      </c>
      <c r="G978" s="519">
        <v>45220</v>
      </c>
      <c r="H978" s="517" t="s">
        <v>6915</v>
      </c>
    </row>
    <row r="979" spans="2:8" ht="15" x14ac:dyDescent="0.35">
      <c r="B979" s="544" t="s">
        <v>6263</v>
      </c>
      <c r="C979" s="517" t="s">
        <v>6369</v>
      </c>
      <c r="D979" s="518">
        <v>8011</v>
      </c>
      <c r="E979" s="517" t="s">
        <v>5835</v>
      </c>
      <c r="F979" s="518" t="s">
        <v>29</v>
      </c>
      <c r="G979" s="519">
        <v>2397850</v>
      </c>
      <c r="H979" s="517" t="s">
        <v>6915</v>
      </c>
    </row>
    <row r="980" spans="2:8" ht="15" x14ac:dyDescent="0.35">
      <c r="B980" s="544" t="s">
        <v>6263</v>
      </c>
      <c r="C980" s="517" t="s">
        <v>6369</v>
      </c>
      <c r="D980" s="518">
        <v>8012</v>
      </c>
      <c r="E980" s="517" t="s">
        <v>3767</v>
      </c>
      <c r="F980" s="518" t="s">
        <v>29</v>
      </c>
      <c r="G980" s="519">
        <v>186830</v>
      </c>
      <c r="H980" s="517" t="s">
        <v>6915</v>
      </c>
    </row>
    <row r="981" spans="2:8" ht="15" x14ac:dyDescent="0.35">
      <c r="B981" s="544" t="s">
        <v>6263</v>
      </c>
      <c r="C981" s="517" t="s">
        <v>6369</v>
      </c>
      <c r="D981" s="518">
        <v>8015</v>
      </c>
      <c r="E981" s="517" t="s">
        <v>3768</v>
      </c>
      <c r="F981" s="518" t="s">
        <v>29</v>
      </c>
      <c r="G981" s="519">
        <v>92463</v>
      </c>
      <c r="H981" s="517" t="s">
        <v>6915</v>
      </c>
    </row>
    <row r="982" spans="2:8" ht="15" x14ac:dyDescent="0.35">
      <c r="B982" s="544" t="s">
        <v>6263</v>
      </c>
      <c r="C982" s="517" t="s">
        <v>6369</v>
      </c>
      <c r="D982" s="518">
        <v>8019</v>
      </c>
      <c r="E982" s="517" t="s">
        <v>5836</v>
      </c>
      <c r="F982" s="518" t="s">
        <v>29</v>
      </c>
      <c r="G982" s="519">
        <v>190400</v>
      </c>
      <c r="H982" s="517" t="s">
        <v>6915</v>
      </c>
    </row>
    <row r="983" spans="2:8" ht="15" x14ac:dyDescent="0.35">
      <c r="B983" s="544" t="s">
        <v>6263</v>
      </c>
      <c r="C983" s="517" t="s">
        <v>6371</v>
      </c>
      <c r="D983" s="518">
        <v>8025</v>
      </c>
      <c r="E983" s="517" t="s">
        <v>3769</v>
      </c>
      <c r="F983" s="518" t="s">
        <v>3175</v>
      </c>
      <c r="G983" s="519">
        <v>1740000</v>
      </c>
      <c r="H983" s="517" t="s">
        <v>6915</v>
      </c>
    </row>
    <row r="984" spans="2:8" ht="15" x14ac:dyDescent="0.35">
      <c r="B984" s="544" t="s">
        <v>6263</v>
      </c>
      <c r="C984" s="517" t="s">
        <v>6371</v>
      </c>
      <c r="D984" s="518">
        <v>8026</v>
      </c>
      <c r="E984" s="517" t="s">
        <v>3770</v>
      </c>
      <c r="F984" s="518" t="s">
        <v>29</v>
      </c>
      <c r="G984" s="519">
        <v>54264</v>
      </c>
      <c r="H984" s="517" t="s">
        <v>6915</v>
      </c>
    </row>
    <row r="985" spans="2:8" ht="15" x14ac:dyDescent="0.35">
      <c r="B985" s="544" t="s">
        <v>6263</v>
      </c>
      <c r="C985" s="517" t="s">
        <v>6371</v>
      </c>
      <c r="D985" s="518">
        <v>8028</v>
      </c>
      <c r="E985" s="517" t="s">
        <v>5837</v>
      </c>
      <c r="F985" s="518" t="s">
        <v>29</v>
      </c>
      <c r="G985" s="519">
        <v>107576</v>
      </c>
      <c r="H985" s="517" t="s">
        <v>6915</v>
      </c>
    </row>
    <row r="986" spans="2:8" ht="15" x14ac:dyDescent="0.35">
      <c r="B986" s="544" t="s">
        <v>6263</v>
      </c>
      <c r="C986" s="517" t="s">
        <v>6389</v>
      </c>
      <c r="D986" s="518">
        <v>8033</v>
      </c>
      <c r="E986" s="517" t="s">
        <v>3771</v>
      </c>
      <c r="F986" s="518" t="s">
        <v>29</v>
      </c>
      <c r="G986" s="519">
        <v>4475685</v>
      </c>
      <c r="H986" s="517" t="s">
        <v>6425</v>
      </c>
    </row>
    <row r="987" spans="2:8" ht="15" x14ac:dyDescent="0.35">
      <c r="B987" s="544" t="s">
        <v>6263</v>
      </c>
      <c r="C987" s="517" t="s">
        <v>6389</v>
      </c>
      <c r="D987" s="518">
        <v>8034</v>
      </c>
      <c r="E987" s="517" t="s">
        <v>3772</v>
      </c>
      <c r="F987" s="518" t="s">
        <v>29</v>
      </c>
      <c r="G987" s="519">
        <v>3163370</v>
      </c>
      <c r="H987" s="517" t="s">
        <v>6425</v>
      </c>
    </row>
    <row r="988" spans="2:8" ht="15" x14ac:dyDescent="0.35">
      <c r="B988" s="544" t="s">
        <v>6263</v>
      </c>
      <c r="C988" s="517" t="s">
        <v>6389</v>
      </c>
      <c r="D988" s="518">
        <v>8035</v>
      </c>
      <c r="E988" s="517" t="s">
        <v>3773</v>
      </c>
      <c r="F988" s="518" t="s">
        <v>29</v>
      </c>
      <c r="G988" s="519">
        <v>3646568</v>
      </c>
      <c r="H988" s="517" t="s">
        <v>6425</v>
      </c>
    </row>
    <row r="989" spans="2:8" ht="15" x14ac:dyDescent="0.35">
      <c r="B989" s="544" t="s">
        <v>6263</v>
      </c>
      <c r="C989" s="517" t="s">
        <v>6389</v>
      </c>
      <c r="D989" s="518">
        <v>8036</v>
      </c>
      <c r="E989" s="517" t="s">
        <v>3774</v>
      </c>
      <c r="F989" s="518" t="s">
        <v>29</v>
      </c>
      <c r="G989" s="519">
        <v>8105972</v>
      </c>
      <c r="H989" s="517" t="s">
        <v>6425</v>
      </c>
    </row>
    <row r="990" spans="2:8" ht="15" x14ac:dyDescent="0.35">
      <c r="B990" s="544" t="s">
        <v>6263</v>
      </c>
      <c r="C990" s="517" t="s">
        <v>6389</v>
      </c>
      <c r="D990" s="518">
        <v>8037</v>
      </c>
      <c r="E990" s="517" t="s">
        <v>3775</v>
      </c>
      <c r="F990" s="518" t="s">
        <v>26</v>
      </c>
      <c r="G990" s="519">
        <v>28352</v>
      </c>
      <c r="H990" s="517" t="s">
        <v>6425</v>
      </c>
    </row>
    <row r="991" spans="2:8" ht="15" x14ac:dyDescent="0.35">
      <c r="B991" s="544" t="s">
        <v>6263</v>
      </c>
      <c r="C991" s="517" t="s">
        <v>6389</v>
      </c>
      <c r="D991" s="518">
        <v>8038</v>
      </c>
      <c r="E991" s="517" t="s">
        <v>3776</v>
      </c>
      <c r="F991" s="518" t="s">
        <v>26</v>
      </c>
      <c r="G991" s="519">
        <v>24447</v>
      </c>
      <c r="H991" s="517" t="s">
        <v>6425</v>
      </c>
    </row>
    <row r="992" spans="2:8" ht="15" x14ac:dyDescent="0.35">
      <c r="B992" s="544" t="s">
        <v>6263</v>
      </c>
      <c r="C992" s="517" t="s">
        <v>6390</v>
      </c>
      <c r="D992" s="518">
        <v>8039</v>
      </c>
      <c r="E992" s="517" t="s">
        <v>3777</v>
      </c>
      <c r="F992" s="518" t="s">
        <v>26</v>
      </c>
      <c r="G992" s="519">
        <v>22487</v>
      </c>
      <c r="H992" s="517" t="s">
        <v>6915</v>
      </c>
    </row>
    <row r="993" spans="2:8" ht="15" x14ac:dyDescent="0.35">
      <c r="B993" s="544" t="s">
        <v>6263</v>
      </c>
      <c r="C993" s="517" t="s">
        <v>6341</v>
      </c>
      <c r="D993" s="518">
        <v>8041</v>
      </c>
      <c r="E993" s="517" t="s">
        <v>3778</v>
      </c>
      <c r="F993" s="518" t="s">
        <v>367</v>
      </c>
      <c r="G993" s="519">
        <v>7557</v>
      </c>
      <c r="H993" s="517" t="s">
        <v>6425</v>
      </c>
    </row>
    <row r="994" spans="2:8" ht="15" x14ac:dyDescent="0.35">
      <c r="B994" s="544" t="s">
        <v>6263</v>
      </c>
      <c r="C994" s="517" t="s">
        <v>6340</v>
      </c>
      <c r="D994" s="518">
        <v>8044</v>
      </c>
      <c r="E994" s="517" t="s">
        <v>3779</v>
      </c>
      <c r="F994" s="518" t="s">
        <v>3175</v>
      </c>
      <c r="G994" s="519">
        <v>8304</v>
      </c>
      <c r="H994" s="517" t="s">
        <v>6425</v>
      </c>
    </row>
    <row r="995" spans="2:8" ht="15" x14ac:dyDescent="0.35">
      <c r="B995" s="544" t="s">
        <v>6263</v>
      </c>
      <c r="C995" s="517" t="s">
        <v>6358</v>
      </c>
      <c r="D995" s="518">
        <v>8046</v>
      </c>
      <c r="E995" s="517" t="s">
        <v>5838</v>
      </c>
      <c r="F995" s="518" t="s">
        <v>29</v>
      </c>
      <c r="G995" s="519">
        <v>1142242</v>
      </c>
      <c r="H995" s="517" t="s">
        <v>6915</v>
      </c>
    </row>
    <row r="996" spans="2:8" ht="15" x14ac:dyDescent="0.35">
      <c r="B996" s="544" t="s">
        <v>6263</v>
      </c>
      <c r="C996" s="517" t="s">
        <v>6358</v>
      </c>
      <c r="D996" s="518">
        <v>8047</v>
      </c>
      <c r="E996" s="517" t="s">
        <v>5839</v>
      </c>
      <c r="F996" s="518" t="s">
        <v>29</v>
      </c>
      <c r="G996" s="519">
        <v>710430</v>
      </c>
      <c r="H996" s="517" t="s">
        <v>6915</v>
      </c>
    </row>
    <row r="997" spans="2:8" ht="15" x14ac:dyDescent="0.35">
      <c r="B997" s="544" t="s">
        <v>6263</v>
      </c>
      <c r="C997" s="517" t="s">
        <v>6358</v>
      </c>
      <c r="D997" s="518">
        <v>8048</v>
      </c>
      <c r="E997" s="517" t="s">
        <v>5840</v>
      </c>
      <c r="F997" s="518" t="s">
        <v>29</v>
      </c>
      <c r="G997" s="519">
        <v>1309000</v>
      </c>
      <c r="H997" s="517" t="s">
        <v>6915</v>
      </c>
    </row>
    <row r="998" spans="2:8" ht="15" x14ac:dyDescent="0.35">
      <c r="B998" s="544" t="s">
        <v>6263</v>
      </c>
      <c r="C998" s="517" t="s">
        <v>6340</v>
      </c>
      <c r="D998" s="518">
        <v>8050</v>
      </c>
      <c r="E998" s="517" t="s">
        <v>3780</v>
      </c>
      <c r="F998" s="518" t="s">
        <v>3175</v>
      </c>
      <c r="G998" s="519">
        <v>238</v>
      </c>
      <c r="H998" s="517" t="s">
        <v>6425</v>
      </c>
    </row>
    <row r="999" spans="2:8" ht="15" x14ac:dyDescent="0.35">
      <c r="B999" s="544" t="s">
        <v>6263</v>
      </c>
      <c r="C999" s="517" t="s">
        <v>6275</v>
      </c>
      <c r="D999" s="518">
        <v>8051</v>
      </c>
      <c r="E999" s="517" t="s">
        <v>3781</v>
      </c>
      <c r="F999" s="518" t="s">
        <v>29</v>
      </c>
      <c r="G999" s="519">
        <v>105904</v>
      </c>
      <c r="H999" s="517" t="s">
        <v>6425</v>
      </c>
    </row>
    <row r="1000" spans="2:8" ht="15" x14ac:dyDescent="0.35">
      <c r="B1000" s="544" t="s">
        <v>6263</v>
      </c>
      <c r="C1000" s="517" t="s">
        <v>6358</v>
      </c>
      <c r="D1000" s="518">
        <v>8052</v>
      </c>
      <c r="E1000" s="517" t="s">
        <v>3782</v>
      </c>
      <c r="F1000" s="518" t="s">
        <v>29</v>
      </c>
      <c r="G1000" s="519">
        <v>32898</v>
      </c>
      <c r="H1000" s="517" t="s">
        <v>6915</v>
      </c>
    </row>
    <row r="1001" spans="2:8" ht="15" x14ac:dyDescent="0.35">
      <c r="B1001" s="544" t="s">
        <v>6263</v>
      </c>
      <c r="C1001" s="517" t="s">
        <v>6358</v>
      </c>
      <c r="D1001" s="518">
        <v>8053</v>
      </c>
      <c r="E1001" s="517" t="s">
        <v>3783</v>
      </c>
      <c r="F1001" s="518" t="s">
        <v>29</v>
      </c>
      <c r="G1001" s="519">
        <v>29750</v>
      </c>
      <c r="H1001" s="517" t="s">
        <v>6915</v>
      </c>
    </row>
    <row r="1002" spans="2:8" ht="15" x14ac:dyDescent="0.35">
      <c r="B1002" s="544" t="s">
        <v>6263</v>
      </c>
      <c r="C1002" s="517" t="s">
        <v>6346</v>
      </c>
      <c r="D1002" s="518">
        <v>8054</v>
      </c>
      <c r="E1002" s="517" t="s">
        <v>5575</v>
      </c>
      <c r="F1002" s="518" t="s">
        <v>29</v>
      </c>
      <c r="G1002" s="519">
        <v>654</v>
      </c>
      <c r="H1002" s="517" t="s">
        <v>6425</v>
      </c>
    </row>
    <row r="1003" spans="2:8" ht="15" x14ac:dyDescent="0.35">
      <c r="B1003" s="544" t="s">
        <v>6263</v>
      </c>
      <c r="C1003" s="517" t="s">
        <v>6358</v>
      </c>
      <c r="D1003" s="518">
        <v>8055</v>
      </c>
      <c r="E1003" s="517" t="s">
        <v>5841</v>
      </c>
      <c r="F1003" s="518" t="s">
        <v>29</v>
      </c>
      <c r="G1003" s="519">
        <v>64189</v>
      </c>
      <c r="H1003" s="517" t="s">
        <v>6915</v>
      </c>
    </row>
    <row r="1004" spans="2:8" ht="15" x14ac:dyDescent="0.35">
      <c r="B1004" s="544" t="s">
        <v>6263</v>
      </c>
      <c r="C1004" s="517" t="s">
        <v>6386</v>
      </c>
      <c r="D1004" s="518">
        <v>8057</v>
      </c>
      <c r="E1004" s="517" t="s">
        <v>5842</v>
      </c>
      <c r="F1004" s="518" t="s">
        <v>26</v>
      </c>
      <c r="G1004" s="519">
        <v>15708</v>
      </c>
      <c r="H1004" s="517" t="s">
        <v>6915</v>
      </c>
    </row>
    <row r="1005" spans="2:8" ht="15" x14ac:dyDescent="0.35">
      <c r="B1005" s="544" t="s">
        <v>6263</v>
      </c>
      <c r="C1005" s="517" t="s">
        <v>6360</v>
      </c>
      <c r="D1005" s="518">
        <v>8060</v>
      </c>
      <c r="E1005" s="517" t="s">
        <v>3784</v>
      </c>
      <c r="F1005" s="518" t="s">
        <v>1147</v>
      </c>
      <c r="G1005" s="519">
        <v>1840000</v>
      </c>
      <c r="H1005" s="517" t="s">
        <v>6425</v>
      </c>
    </row>
    <row r="1006" spans="2:8" ht="15" x14ac:dyDescent="0.35">
      <c r="B1006" s="544" t="s">
        <v>6263</v>
      </c>
      <c r="C1006" s="517" t="s">
        <v>6375</v>
      </c>
      <c r="D1006" s="518">
        <v>8061</v>
      </c>
      <c r="E1006" s="517" t="s">
        <v>5843</v>
      </c>
      <c r="F1006" s="518" t="s">
        <v>29</v>
      </c>
      <c r="G1006" s="519">
        <v>1664096</v>
      </c>
      <c r="H1006" s="517" t="s">
        <v>6915</v>
      </c>
    </row>
    <row r="1007" spans="2:8" ht="15" x14ac:dyDescent="0.35">
      <c r="B1007" s="544" t="s">
        <v>6263</v>
      </c>
      <c r="C1007" s="517" t="s">
        <v>6369</v>
      </c>
      <c r="D1007" s="518">
        <v>8062</v>
      </c>
      <c r="E1007" s="517" t="s">
        <v>5844</v>
      </c>
      <c r="F1007" s="518" t="s">
        <v>29</v>
      </c>
      <c r="G1007" s="519">
        <v>1557829</v>
      </c>
      <c r="H1007" s="517" t="s">
        <v>6915</v>
      </c>
    </row>
    <row r="1008" spans="2:8" ht="15" x14ac:dyDescent="0.35">
      <c r="B1008" s="544" t="s">
        <v>6263</v>
      </c>
      <c r="C1008" s="517" t="s">
        <v>6356</v>
      </c>
      <c r="D1008" s="518">
        <v>8070</v>
      </c>
      <c r="E1008" s="517" t="s">
        <v>3785</v>
      </c>
      <c r="F1008" s="518" t="s">
        <v>29</v>
      </c>
      <c r="G1008" s="519">
        <v>495040</v>
      </c>
      <c r="H1008" s="517" t="s">
        <v>6915</v>
      </c>
    </row>
    <row r="1009" spans="2:8" ht="15" x14ac:dyDescent="0.35">
      <c r="B1009" s="544" t="s">
        <v>6263</v>
      </c>
      <c r="C1009" s="517" t="s">
        <v>6350</v>
      </c>
      <c r="D1009" s="518">
        <v>8077</v>
      </c>
      <c r="E1009" s="517" t="s">
        <v>3786</v>
      </c>
      <c r="F1009" s="518" t="s">
        <v>3175</v>
      </c>
      <c r="G1009" s="519">
        <v>107100</v>
      </c>
      <c r="H1009" s="517" t="s">
        <v>6425</v>
      </c>
    </row>
    <row r="1010" spans="2:8" ht="15" x14ac:dyDescent="0.35">
      <c r="B1010" s="544" t="s">
        <v>6263</v>
      </c>
      <c r="C1010" s="517" t="s">
        <v>6353</v>
      </c>
      <c r="D1010" s="518">
        <v>8078</v>
      </c>
      <c r="E1010" s="517" t="s">
        <v>5576</v>
      </c>
      <c r="F1010" s="518" t="s">
        <v>29</v>
      </c>
      <c r="G1010" s="519">
        <v>39984</v>
      </c>
      <c r="H1010" s="517" t="s">
        <v>6425</v>
      </c>
    </row>
    <row r="1011" spans="2:8" ht="15" x14ac:dyDescent="0.35">
      <c r="B1011" s="544" t="s">
        <v>6263</v>
      </c>
      <c r="C1011" s="517" t="s">
        <v>6358</v>
      </c>
      <c r="D1011" s="518">
        <v>8079</v>
      </c>
      <c r="E1011" s="517" t="s">
        <v>5845</v>
      </c>
      <c r="F1011" s="518" t="s">
        <v>29</v>
      </c>
      <c r="G1011" s="519">
        <v>379610</v>
      </c>
      <c r="H1011" s="517" t="s">
        <v>6915</v>
      </c>
    </row>
    <row r="1012" spans="2:8" ht="15" x14ac:dyDescent="0.35">
      <c r="B1012" s="544" t="s">
        <v>6263</v>
      </c>
      <c r="C1012" s="517" t="s">
        <v>6379</v>
      </c>
      <c r="D1012" s="518">
        <v>8080</v>
      </c>
      <c r="E1012" s="517" t="s">
        <v>5846</v>
      </c>
      <c r="F1012" s="518" t="s">
        <v>26</v>
      </c>
      <c r="G1012" s="519">
        <v>784924</v>
      </c>
      <c r="H1012" s="517" t="s">
        <v>6915</v>
      </c>
    </row>
    <row r="1013" spans="2:8" ht="15" x14ac:dyDescent="0.35">
      <c r="B1013" s="544" t="s">
        <v>6263</v>
      </c>
      <c r="C1013" s="517" t="s">
        <v>6339</v>
      </c>
      <c r="D1013" s="518">
        <v>8085</v>
      </c>
      <c r="E1013" s="517" t="s">
        <v>3787</v>
      </c>
      <c r="F1013" s="518" t="s">
        <v>29</v>
      </c>
      <c r="G1013" s="519">
        <v>148613</v>
      </c>
      <c r="H1013" s="517" t="s">
        <v>6425</v>
      </c>
    </row>
    <row r="1014" spans="2:8" ht="15" x14ac:dyDescent="0.35">
      <c r="B1014" s="544" t="s">
        <v>6263</v>
      </c>
      <c r="C1014" s="517" t="s">
        <v>6339</v>
      </c>
      <c r="D1014" s="518">
        <v>8086</v>
      </c>
      <c r="E1014" s="517" t="s">
        <v>3788</v>
      </c>
      <c r="F1014" s="518" t="s">
        <v>29</v>
      </c>
      <c r="G1014" s="519">
        <v>171834</v>
      </c>
      <c r="H1014" s="517" t="s">
        <v>6425</v>
      </c>
    </row>
    <row r="1015" spans="2:8" ht="15" x14ac:dyDescent="0.35">
      <c r="B1015" s="544" t="s">
        <v>6263</v>
      </c>
      <c r="C1015" s="517" t="s">
        <v>6339</v>
      </c>
      <c r="D1015" s="518">
        <v>8089</v>
      </c>
      <c r="E1015" s="517" t="s">
        <v>3789</v>
      </c>
      <c r="F1015" s="518" t="s">
        <v>29</v>
      </c>
      <c r="G1015" s="519">
        <v>161385</v>
      </c>
      <c r="H1015" s="517" t="s">
        <v>6425</v>
      </c>
    </row>
    <row r="1016" spans="2:8" ht="15" x14ac:dyDescent="0.35">
      <c r="B1016" s="544" t="s">
        <v>6263</v>
      </c>
      <c r="C1016" s="517" t="s">
        <v>6339</v>
      </c>
      <c r="D1016" s="518">
        <v>8090</v>
      </c>
      <c r="E1016" s="517" t="s">
        <v>3790</v>
      </c>
      <c r="F1016" s="518" t="s">
        <v>29</v>
      </c>
      <c r="G1016" s="519">
        <v>95206</v>
      </c>
      <c r="H1016" s="517" t="s">
        <v>6425</v>
      </c>
    </row>
    <row r="1017" spans="2:8" ht="15" x14ac:dyDescent="0.35">
      <c r="B1017" s="544" t="s">
        <v>6263</v>
      </c>
      <c r="C1017" s="517" t="s">
        <v>6339</v>
      </c>
      <c r="D1017" s="518">
        <v>8091</v>
      </c>
      <c r="E1017" s="517" t="s">
        <v>3791</v>
      </c>
      <c r="F1017" s="518" t="s">
        <v>29</v>
      </c>
      <c r="G1017" s="519">
        <v>153259</v>
      </c>
      <c r="H1017" s="517" t="s">
        <v>6425</v>
      </c>
    </row>
    <row r="1018" spans="2:8" ht="15" x14ac:dyDescent="0.35">
      <c r="B1018" s="544" t="s">
        <v>6263</v>
      </c>
      <c r="C1018" s="517" t="s">
        <v>6339</v>
      </c>
      <c r="D1018" s="518">
        <v>8094</v>
      </c>
      <c r="E1018" s="517" t="s">
        <v>3792</v>
      </c>
      <c r="F1018" s="518" t="s">
        <v>29</v>
      </c>
      <c r="G1018" s="519">
        <v>149194</v>
      </c>
      <c r="H1018" s="517" t="s">
        <v>6425</v>
      </c>
    </row>
    <row r="1019" spans="2:8" ht="15" x14ac:dyDescent="0.35">
      <c r="B1019" s="544" t="s">
        <v>6263</v>
      </c>
      <c r="C1019" s="517" t="s">
        <v>6339</v>
      </c>
      <c r="D1019" s="518">
        <v>8097</v>
      </c>
      <c r="E1019" s="517" t="s">
        <v>3793</v>
      </c>
      <c r="F1019" s="518" t="s">
        <v>21</v>
      </c>
      <c r="G1019" s="519">
        <v>67700</v>
      </c>
      <c r="H1019" s="517" t="s">
        <v>6425</v>
      </c>
    </row>
    <row r="1020" spans="2:8" ht="15" x14ac:dyDescent="0.35">
      <c r="B1020" s="544" t="s">
        <v>6263</v>
      </c>
      <c r="C1020" s="517" t="s">
        <v>6342</v>
      </c>
      <c r="D1020" s="518">
        <v>8099</v>
      </c>
      <c r="E1020" s="517" t="s">
        <v>3794</v>
      </c>
      <c r="F1020" s="518" t="s">
        <v>21</v>
      </c>
      <c r="G1020" s="519">
        <v>97755</v>
      </c>
      <c r="H1020" s="517" t="s">
        <v>6425</v>
      </c>
    </row>
    <row r="1021" spans="2:8" ht="15" x14ac:dyDescent="0.35">
      <c r="B1021" s="544" t="s">
        <v>6263</v>
      </c>
      <c r="C1021" s="517" t="s">
        <v>6342</v>
      </c>
      <c r="D1021" s="518">
        <v>8100</v>
      </c>
      <c r="E1021" s="517" t="s">
        <v>3795</v>
      </c>
      <c r="F1021" s="518" t="s">
        <v>21</v>
      </c>
      <c r="G1021" s="519">
        <v>102270</v>
      </c>
      <c r="H1021" s="517" t="s">
        <v>6425</v>
      </c>
    </row>
    <row r="1022" spans="2:8" ht="15" x14ac:dyDescent="0.35">
      <c r="B1022" s="544" t="s">
        <v>6263</v>
      </c>
      <c r="C1022" s="517" t="s">
        <v>6363</v>
      </c>
      <c r="D1022" s="518">
        <v>8101</v>
      </c>
      <c r="E1022" s="517" t="s">
        <v>3796</v>
      </c>
      <c r="F1022" s="518" t="s">
        <v>367</v>
      </c>
      <c r="G1022" s="519">
        <v>15980</v>
      </c>
      <c r="H1022" s="517" t="s">
        <v>6915</v>
      </c>
    </row>
    <row r="1023" spans="2:8" ht="15" x14ac:dyDescent="0.35">
      <c r="B1023" s="544" t="s">
        <v>6263</v>
      </c>
      <c r="C1023" s="517" t="s">
        <v>6351</v>
      </c>
      <c r="D1023" s="518">
        <v>8102</v>
      </c>
      <c r="E1023" s="517" t="s">
        <v>5847</v>
      </c>
      <c r="F1023" s="518" t="s">
        <v>1628</v>
      </c>
      <c r="G1023" s="519">
        <v>3309125</v>
      </c>
      <c r="H1023" s="517" t="s">
        <v>5686</v>
      </c>
    </row>
    <row r="1024" spans="2:8" ht="15" x14ac:dyDescent="0.35">
      <c r="B1024" s="544" t="s">
        <v>6263</v>
      </c>
      <c r="C1024" s="517" t="s">
        <v>6338</v>
      </c>
      <c r="D1024" s="518">
        <v>8103</v>
      </c>
      <c r="E1024" s="517" t="s">
        <v>3797</v>
      </c>
      <c r="F1024" s="518" t="s">
        <v>3175</v>
      </c>
      <c r="G1024" s="519">
        <v>3631142</v>
      </c>
      <c r="H1024" s="517" t="s">
        <v>6425</v>
      </c>
    </row>
    <row r="1025" spans="2:8" ht="15" x14ac:dyDescent="0.35">
      <c r="B1025" s="544" t="s">
        <v>6263</v>
      </c>
      <c r="C1025" s="517" t="s">
        <v>6391</v>
      </c>
      <c r="D1025" s="518">
        <v>8113</v>
      </c>
      <c r="E1025" s="517" t="s">
        <v>5848</v>
      </c>
      <c r="F1025" s="518" t="s">
        <v>29</v>
      </c>
      <c r="G1025" s="519">
        <v>109480</v>
      </c>
      <c r="H1025" s="517" t="s">
        <v>6915</v>
      </c>
    </row>
    <row r="1026" spans="2:8" ht="15" x14ac:dyDescent="0.35">
      <c r="B1026" s="544" t="s">
        <v>6263</v>
      </c>
      <c r="C1026" s="517" t="s">
        <v>6375</v>
      </c>
      <c r="D1026" s="518">
        <v>8116</v>
      </c>
      <c r="E1026" s="517" t="s">
        <v>3798</v>
      </c>
      <c r="F1026" s="518" t="s">
        <v>29</v>
      </c>
      <c r="G1026" s="519">
        <v>4001613</v>
      </c>
      <c r="H1026" s="517" t="s">
        <v>6915</v>
      </c>
    </row>
    <row r="1027" spans="2:8" ht="15" x14ac:dyDescent="0.35">
      <c r="B1027" s="544" t="s">
        <v>6263</v>
      </c>
      <c r="C1027" s="517" t="s">
        <v>6354</v>
      </c>
      <c r="D1027" s="518">
        <v>8141</v>
      </c>
      <c r="E1027" s="517" t="s">
        <v>3799</v>
      </c>
      <c r="F1027" s="518" t="s">
        <v>3172</v>
      </c>
      <c r="G1027" s="519">
        <v>99058</v>
      </c>
      <c r="H1027" s="517" t="s">
        <v>6915</v>
      </c>
    </row>
    <row r="1028" spans="2:8" ht="15" x14ac:dyDescent="0.35">
      <c r="B1028" s="544" t="s">
        <v>6263</v>
      </c>
      <c r="C1028" s="517" t="s">
        <v>6392</v>
      </c>
      <c r="D1028" s="518">
        <v>8142</v>
      </c>
      <c r="E1028" s="517" t="s">
        <v>3800</v>
      </c>
      <c r="F1028" s="518" t="s">
        <v>21</v>
      </c>
      <c r="G1028" s="519">
        <v>91300</v>
      </c>
      <c r="H1028" s="517" t="s">
        <v>6915</v>
      </c>
    </row>
    <row r="1029" spans="2:8" ht="15" x14ac:dyDescent="0.35">
      <c r="B1029" s="544" t="s">
        <v>6263</v>
      </c>
      <c r="C1029" s="517" t="s">
        <v>6363</v>
      </c>
      <c r="D1029" s="518">
        <v>8143</v>
      </c>
      <c r="E1029" s="517" t="s">
        <v>3801</v>
      </c>
      <c r="F1029" s="518" t="s">
        <v>367</v>
      </c>
      <c r="G1029" s="519">
        <v>2291</v>
      </c>
      <c r="H1029" s="517" t="s">
        <v>6915</v>
      </c>
    </row>
    <row r="1030" spans="2:8" ht="15" x14ac:dyDescent="0.35">
      <c r="B1030" s="544" t="s">
        <v>6263</v>
      </c>
      <c r="C1030" s="517" t="s">
        <v>6367</v>
      </c>
      <c r="D1030" s="518">
        <v>8144</v>
      </c>
      <c r="E1030" s="517" t="s">
        <v>3802</v>
      </c>
      <c r="F1030" s="518" t="s">
        <v>367</v>
      </c>
      <c r="G1030" s="519">
        <v>6362</v>
      </c>
      <c r="H1030" s="517" t="s">
        <v>6915</v>
      </c>
    </row>
    <row r="1031" spans="2:8" ht="15" x14ac:dyDescent="0.35">
      <c r="B1031" s="544" t="s">
        <v>6263</v>
      </c>
      <c r="C1031" s="517" t="s">
        <v>6392</v>
      </c>
      <c r="D1031" s="518">
        <v>8145</v>
      </c>
      <c r="E1031" s="517" t="s">
        <v>3803</v>
      </c>
      <c r="F1031" s="518" t="s">
        <v>26</v>
      </c>
      <c r="G1031" s="519">
        <v>24900</v>
      </c>
      <c r="H1031" s="517" t="s">
        <v>6915</v>
      </c>
    </row>
    <row r="1032" spans="2:8" ht="15" x14ac:dyDescent="0.35">
      <c r="B1032" s="544" t="s">
        <v>6263</v>
      </c>
      <c r="C1032" s="517" t="s">
        <v>6392</v>
      </c>
      <c r="D1032" s="518">
        <v>8146</v>
      </c>
      <c r="E1032" s="517" t="s">
        <v>3804</v>
      </c>
      <c r="F1032" s="518" t="s">
        <v>21</v>
      </c>
      <c r="G1032" s="519">
        <v>68373</v>
      </c>
      <c r="H1032" s="517" t="s">
        <v>6915</v>
      </c>
    </row>
    <row r="1033" spans="2:8" ht="15" x14ac:dyDescent="0.35">
      <c r="B1033" s="544" t="s">
        <v>6263</v>
      </c>
      <c r="C1033" s="517" t="s">
        <v>6354</v>
      </c>
      <c r="D1033" s="518">
        <v>8149</v>
      </c>
      <c r="E1033" s="517" t="s">
        <v>3805</v>
      </c>
      <c r="F1033" s="518" t="s">
        <v>3172</v>
      </c>
      <c r="G1033" s="519">
        <v>209702</v>
      </c>
      <c r="H1033" s="517" t="s">
        <v>6915</v>
      </c>
    </row>
    <row r="1034" spans="2:8" ht="15" x14ac:dyDescent="0.35">
      <c r="B1034" s="544" t="s">
        <v>6263</v>
      </c>
      <c r="C1034" s="517" t="s">
        <v>6367</v>
      </c>
      <c r="D1034" s="518">
        <v>8150</v>
      </c>
      <c r="E1034" s="517" t="s">
        <v>3806</v>
      </c>
      <c r="F1034" s="518" t="s">
        <v>29</v>
      </c>
      <c r="G1034" s="519">
        <v>108827</v>
      </c>
      <c r="H1034" s="517" t="s">
        <v>6915</v>
      </c>
    </row>
    <row r="1035" spans="2:8" ht="15" x14ac:dyDescent="0.35">
      <c r="B1035" s="544" t="s">
        <v>6263</v>
      </c>
      <c r="C1035" s="517" t="s">
        <v>6367</v>
      </c>
      <c r="D1035" s="518">
        <v>8152</v>
      </c>
      <c r="E1035" s="517" t="s">
        <v>3807</v>
      </c>
      <c r="F1035" s="518" t="s">
        <v>29</v>
      </c>
      <c r="G1035" s="519">
        <v>19499</v>
      </c>
      <c r="H1035" s="517" t="s">
        <v>6915</v>
      </c>
    </row>
    <row r="1036" spans="2:8" ht="15" x14ac:dyDescent="0.35">
      <c r="B1036" s="544" t="s">
        <v>6263</v>
      </c>
      <c r="C1036" s="517" t="s">
        <v>6367</v>
      </c>
      <c r="D1036" s="518">
        <v>8153</v>
      </c>
      <c r="E1036" s="517" t="s">
        <v>3808</v>
      </c>
      <c r="F1036" s="518" t="s">
        <v>29</v>
      </c>
      <c r="G1036" s="519">
        <v>96144</v>
      </c>
      <c r="H1036" s="517" t="s">
        <v>6915</v>
      </c>
    </row>
    <row r="1037" spans="2:8" ht="15" x14ac:dyDescent="0.35">
      <c r="B1037" s="544" t="s">
        <v>6263</v>
      </c>
      <c r="C1037" s="517" t="s">
        <v>6367</v>
      </c>
      <c r="D1037" s="518">
        <v>8154</v>
      </c>
      <c r="E1037" s="517" t="s">
        <v>3809</v>
      </c>
      <c r="F1037" s="518" t="s">
        <v>29</v>
      </c>
      <c r="G1037" s="519">
        <v>183992</v>
      </c>
      <c r="H1037" s="517" t="s">
        <v>6915</v>
      </c>
    </row>
    <row r="1038" spans="2:8" ht="15" x14ac:dyDescent="0.35">
      <c r="B1038" s="544" t="s">
        <v>6263</v>
      </c>
      <c r="C1038" s="517" t="s">
        <v>6367</v>
      </c>
      <c r="D1038" s="518">
        <v>8155</v>
      </c>
      <c r="E1038" s="517" t="s">
        <v>3810</v>
      </c>
      <c r="F1038" s="518" t="s">
        <v>29</v>
      </c>
      <c r="G1038" s="519">
        <v>11133</v>
      </c>
      <c r="H1038" s="517" t="s">
        <v>6915</v>
      </c>
    </row>
    <row r="1039" spans="2:8" ht="15" x14ac:dyDescent="0.35">
      <c r="B1039" s="544" t="s">
        <v>6263</v>
      </c>
      <c r="C1039" s="517" t="s">
        <v>6353</v>
      </c>
      <c r="D1039" s="518">
        <v>8156</v>
      </c>
      <c r="E1039" s="517" t="s">
        <v>3811</v>
      </c>
      <c r="F1039" s="518" t="s">
        <v>26</v>
      </c>
      <c r="G1039" s="519">
        <v>18294</v>
      </c>
      <c r="H1039" s="517" t="s">
        <v>6425</v>
      </c>
    </row>
    <row r="1040" spans="2:8" ht="15" x14ac:dyDescent="0.35">
      <c r="B1040" s="544" t="s">
        <v>6263</v>
      </c>
      <c r="C1040" s="517" t="s">
        <v>6353</v>
      </c>
      <c r="D1040" s="518">
        <v>8157</v>
      </c>
      <c r="E1040" s="517" t="s">
        <v>3812</v>
      </c>
      <c r="F1040" s="518" t="s">
        <v>29</v>
      </c>
      <c r="G1040" s="519">
        <v>1805</v>
      </c>
      <c r="H1040" s="517" t="s">
        <v>6425</v>
      </c>
    </row>
    <row r="1041" spans="2:8" ht="15" x14ac:dyDescent="0.35">
      <c r="B1041" s="544" t="s">
        <v>6263</v>
      </c>
      <c r="C1041" s="517" t="s">
        <v>6353</v>
      </c>
      <c r="D1041" s="518">
        <v>8158</v>
      </c>
      <c r="E1041" s="517" t="s">
        <v>3813</v>
      </c>
      <c r="F1041" s="518" t="s">
        <v>29</v>
      </c>
      <c r="G1041" s="519">
        <v>4553</v>
      </c>
      <c r="H1041" s="517" t="s">
        <v>6425</v>
      </c>
    </row>
    <row r="1042" spans="2:8" ht="15" x14ac:dyDescent="0.35">
      <c r="B1042" s="544" t="s">
        <v>6263</v>
      </c>
      <c r="C1042" s="517" t="s">
        <v>6353</v>
      </c>
      <c r="D1042" s="518">
        <v>8159</v>
      </c>
      <c r="E1042" s="517" t="s">
        <v>5577</v>
      </c>
      <c r="F1042" s="518" t="s">
        <v>29</v>
      </c>
      <c r="G1042" s="519">
        <v>22101</v>
      </c>
      <c r="H1042" s="517" t="s">
        <v>6425</v>
      </c>
    </row>
    <row r="1043" spans="2:8" ht="15" x14ac:dyDescent="0.35">
      <c r="B1043" s="544" t="s">
        <v>6263</v>
      </c>
      <c r="C1043" s="517" t="s">
        <v>6353</v>
      </c>
      <c r="D1043" s="518">
        <v>8160</v>
      </c>
      <c r="E1043" s="517" t="s">
        <v>5578</v>
      </c>
      <c r="F1043" s="518" t="s">
        <v>29</v>
      </c>
      <c r="G1043" s="519">
        <v>5841</v>
      </c>
      <c r="H1043" s="517" t="s">
        <v>6425</v>
      </c>
    </row>
    <row r="1044" spans="2:8" ht="15" x14ac:dyDescent="0.35">
      <c r="B1044" s="544" t="s">
        <v>6263</v>
      </c>
      <c r="C1044" s="517" t="s">
        <v>6353</v>
      </c>
      <c r="D1044" s="518">
        <v>8161</v>
      </c>
      <c r="E1044" s="517" t="s">
        <v>5579</v>
      </c>
      <c r="F1044" s="518" t="s">
        <v>29</v>
      </c>
      <c r="G1044" s="519">
        <v>24225</v>
      </c>
      <c r="H1044" s="517" t="s">
        <v>6425</v>
      </c>
    </row>
    <row r="1045" spans="2:8" ht="15" x14ac:dyDescent="0.35">
      <c r="B1045" s="544" t="s">
        <v>6263</v>
      </c>
      <c r="C1045" s="517" t="s">
        <v>6353</v>
      </c>
      <c r="D1045" s="518">
        <v>8162</v>
      </c>
      <c r="E1045" s="517" t="s">
        <v>3814</v>
      </c>
      <c r="F1045" s="518" t="s">
        <v>29</v>
      </c>
      <c r="G1045" s="519">
        <v>11190</v>
      </c>
      <c r="H1045" s="517" t="s">
        <v>6425</v>
      </c>
    </row>
    <row r="1046" spans="2:8" ht="15" x14ac:dyDescent="0.35">
      <c r="B1046" s="544" t="s">
        <v>6263</v>
      </c>
      <c r="C1046" s="517" t="s">
        <v>6353</v>
      </c>
      <c r="D1046" s="518">
        <v>8164</v>
      </c>
      <c r="E1046" s="517" t="s">
        <v>3815</v>
      </c>
      <c r="F1046" s="518" t="s">
        <v>29</v>
      </c>
      <c r="G1046" s="519">
        <v>70491</v>
      </c>
      <c r="H1046" s="517" t="s">
        <v>6425</v>
      </c>
    </row>
    <row r="1047" spans="2:8" ht="15" x14ac:dyDescent="0.35">
      <c r="B1047" s="544" t="s">
        <v>6263</v>
      </c>
      <c r="C1047" s="517" t="s">
        <v>6353</v>
      </c>
      <c r="D1047" s="518">
        <v>8165</v>
      </c>
      <c r="E1047" s="517" t="s">
        <v>5580</v>
      </c>
      <c r="F1047" s="518" t="s">
        <v>29</v>
      </c>
      <c r="G1047" s="519">
        <v>34330</v>
      </c>
      <c r="H1047" s="517" t="s">
        <v>6425</v>
      </c>
    </row>
    <row r="1048" spans="2:8" ht="15" x14ac:dyDescent="0.35">
      <c r="B1048" s="544" t="s">
        <v>6263</v>
      </c>
      <c r="C1048" s="517" t="s">
        <v>6353</v>
      </c>
      <c r="D1048" s="518">
        <v>8166</v>
      </c>
      <c r="E1048" s="517" t="s">
        <v>5581</v>
      </c>
      <c r="F1048" s="518" t="s">
        <v>29</v>
      </c>
      <c r="G1048" s="519">
        <v>22101</v>
      </c>
      <c r="H1048" s="517" t="s">
        <v>6425</v>
      </c>
    </row>
    <row r="1049" spans="2:8" ht="15" x14ac:dyDescent="0.35">
      <c r="B1049" s="544" t="s">
        <v>6263</v>
      </c>
      <c r="C1049" s="517" t="s">
        <v>6353</v>
      </c>
      <c r="D1049" s="518">
        <v>8167</v>
      </c>
      <c r="E1049" s="517" t="s">
        <v>5582</v>
      </c>
      <c r="F1049" s="518" t="s">
        <v>29</v>
      </c>
      <c r="G1049" s="519">
        <v>11444</v>
      </c>
      <c r="H1049" s="517" t="s">
        <v>6425</v>
      </c>
    </row>
    <row r="1050" spans="2:8" ht="15" x14ac:dyDescent="0.35">
      <c r="B1050" s="544" t="s">
        <v>6263</v>
      </c>
      <c r="C1050" s="517" t="s">
        <v>6353</v>
      </c>
      <c r="D1050" s="518">
        <v>8169</v>
      </c>
      <c r="E1050" s="517" t="s">
        <v>5583</v>
      </c>
      <c r="F1050" s="518" t="s">
        <v>29</v>
      </c>
      <c r="G1050" s="519">
        <v>5839</v>
      </c>
      <c r="H1050" s="517" t="s">
        <v>6425</v>
      </c>
    </row>
    <row r="1051" spans="2:8" ht="15" x14ac:dyDescent="0.35">
      <c r="B1051" s="544" t="s">
        <v>6263</v>
      </c>
      <c r="C1051" s="517" t="s">
        <v>6353</v>
      </c>
      <c r="D1051" s="518">
        <v>8170</v>
      </c>
      <c r="E1051" s="517" t="s">
        <v>5584</v>
      </c>
      <c r="F1051" s="518" t="s">
        <v>29</v>
      </c>
      <c r="G1051" s="519">
        <v>8080</v>
      </c>
      <c r="H1051" s="517" t="s">
        <v>6425</v>
      </c>
    </row>
    <row r="1052" spans="2:8" ht="15" x14ac:dyDescent="0.35">
      <c r="B1052" s="544" t="s">
        <v>6263</v>
      </c>
      <c r="C1052" s="517" t="s">
        <v>6353</v>
      </c>
      <c r="D1052" s="518">
        <v>8171</v>
      </c>
      <c r="E1052" s="517" t="s">
        <v>5585</v>
      </c>
      <c r="F1052" s="518" t="s">
        <v>29</v>
      </c>
      <c r="G1052" s="519">
        <v>3944</v>
      </c>
      <c r="H1052" s="517" t="s">
        <v>6425</v>
      </c>
    </row>
    <row r="1053" spans="2:8" ht="15" x14ac:dyDescent="0.35">
      <c r="B1053" s="544" t="s">
        <v>6263</v>
      </c>
      <c r="C1053" s="517" t="s">
        <v>6346</v>
      </c>
      <c r="D1053" s="518">
        <v>8172</v>
      </c>
      <c r="E1053" s="517" t="s">
        <v>5586</v>
      </c>
      <c r="F1053" s="518" t="s">
        <v>26</v>
      </c>
      <c r="G1053" s="519">
        <v>12794</v>
      </c>
      <c r="H1053" s="517" t="s">
        <v>6425</v>
      </c>
    </row>
    <row r="1054" spans="2:8" ht="15" x14ac:dyDescent="0.35">
      <c r="B1054" s="544" t="s">
        <v>6263</v>
      </c>
      <c r="C1054" s="517" t="s">
        <v>6346</v>
      </c>
      <c r="D1054" s="518">
        <v>8173</v>
      </c>
      <c r="E1054" s="517" t="s">
        <v>5587</v>
      </c>
      <c r="F1054" s="518" t="s">
        <v>26</v>
      </c>
      <c r="G1054" s="519">
        <v>10288</v>
      </c>
      <c r="H1054" s="517" t="s">
        <v>6425</v>
      </c>
    </row>
    <row r="1055" spans="2:8" ht="15" x14ac:dyDescent="0.35">
      <c r="B1055" s="544" t="s">
        <v>6263</v>
      </c>
      <c r="C1055" s="517" t="s">
        <v>6346</v>
      </c>
      <c r="D1055" s="518">
        <v>8174</v>
      </c>
      <c r="E1055" s="517" t="s">
        <v>5588</v>
      </c>
      <c r="F1055" s="518" t="s">
        <v>29</v>
      </c>
      <c r="G1055" s="519">
        <v>14068</v>
      </c>
      <c r="H1055" s="517" t="s">
        <v>6425</v>
      </c>
    </row>
    <row r="1056" spans="2:8" ht="15" x14ac:dyDescent="0.35">
      <c r="B1056" s="544" t="s">
        <v>6263</v>
      </c>
      <c r="C1056" s="517" t="s">
        <v>6346</v>
      </c>
      <c r="D1056" s="518">
        <v>8175</v>
      </c>
      <c r="E1056" s="517" t="s">
        <v>5589</v>
      </c>
      <c r="F1056" s="518" t="s">
        <v>29</v>
      </c>
      <c r="G1056" s="519">
        <v>10702</v>
      </c>
      <c r="H1056" s="517" t="s">
        <v>6425</v>
      </c>
    </row>
    <row r="1057" spans="2:8" ht="15" x14ac:dyDescent="0.35">
      <c r="B1057" s="544" t="s">
        <v>6263</v>
      </c>
      <c r="C1057" s="517" t="s">
        <v>6346</v>
      </c>
      <c r="D1057" s="518">
        <v>8177</v>
      </c>
      <c r="E1057" s="517" t="s">
        <v>5590</v>
      </c>
      <c r="F1057" s="518" t="s">
        <v>29</v>
      </c>
      <c r="G1057" s="519">
        <v>5701</v>
      </c>
      <c r="H1057" s="517" t="s">
        <v>6425</v>
      </c>
    </row>
    <row r="1058" spans="2:8" ht="15" x14ac:dyDescent="0.35">
      <c r="B1058" s="544" t="s">
        <v>6263</v>
      </c>
      <c r="C1058" s="517" t="s">
        <v>6346</v>
      </c>
      <c r="D1058" s="518">
        <v>8178</v>
      </c>
      <c r="E1058" s="517" t="s">
        <v>5591</v>
      </c>
      <c r="F1058" s="518" t="s">
        <v>29</v>
      </c>
      <c r="G1058" s="519">
        <v>2969</v>
      </c>
      <c r="H1058" s="517" t="s">
        <v>6425</v>
      </c>
    </row>
    <row r="1059" spans="2:8" ht="15" x14ac:dyDescent="0.35">
      <c r="B1059" s="544" t="s">
        <v>6263</v>
      </c>
      <c r="C1059" s="517" t="s">
        <v>6346</v>
      </c>
      <c r="D1059" s="518">
        <v>8179</v>
      </c>
      <c r="E1059" s="517" t="s">
        <v>5592</v>
      </c>
      <c r="F1059" s="518" t="s">
        <v>29</v>
      </c>
      <c r="G1059" s="519">
        <v>10643</v>
      </c>
      <c r="H1059" s="517" t="s">
        <v>6425</v>
      </c>
    </row>
    <row r="1060" spans="2:8" ht="15" x14ac:dyDescent="0.35">
      <c r="B1060" s="544" t="s">
        <v>6263</v>
      </c>
      <c r="C1060" s="517" t="s">
        <v>6346</v>
      </c>
      <c r="D1060" s="518">
        <v>8180</v>
      </c>
      <c r="E1060" s="517" t="s">
        <v>5593</v>
      </c>
      <c r="F1060" s="518" t="s">
        <v>29</v>
      </c>
      <c r="G1060" s="519">
        <v>5421</v>
      </c>
      <c r="H1060" s="517" t="s">
        <v>6425</v>
      </c>
    </row>
    <row r="1061" spans="2:8" ht="15" x14ac:dyDescent="0.35">
      <c r="B1061" s="544" t="s">
        <v>6263</v>
      </c>
      <c r="C1061" s="517" t="s">
        <v>6346</v>
      </c>
      <c r="D1061" s="518">
        <v>8181</v>
      </c>
      <c r="E1061" s="517" t="s">
        <v>5594</v>
      </c>
      <c r="F1061" s="518" t="s">
        <v>29</v>
      </c>
      <c r="G1061" s="519">
        <v>3512</v>
      </c>
      <c r="H1061" s="517" t="s">
        <v>6425</v>
      </c>
    </row>
    <row r="1062" spans="2:8" ht="15" x14ac:dyDescent="0.35">
      <c r="B1062" s="544" t="s">
        <v>6263</v>
      </c>
      <c r="C1062" s="517" t="s">
        <v>6346</v>
      </c>
      <c r="D1062" s="518">
        <v>8182</v>
      </c>
      <c r="E1062" s="517" t="s">
        <v>5595</v>
      </c>
      <c r="F1062" s="518" t="s">
        <v>29</v>
      </c>
      <c r="G1062" s="519">
        <v>1829</v>
      </c>
      <c r="H1062" s="517" t="s">
        <v>6425</v>
      </c>
    </row>
    <row r="1063" spans="2:8" ht="15" x14ac:dyDescent="0.35">
      <c r="B1063" s="544" t="s">
        <v>6263</v>
      </c>
      <c r="C1063" s="517" t="s">
        <v>6346</v>
      </c>
      <c r="D1063" s="518">
        <v>8183</v>
      </c>
      <c r="E1063" s="517" t="s">
        <v>5596</v>
      </c>
      <c r="F1063" s="518" t="s">
        <v>29</v>
      </c>
      <c r="G1063" s="519">
        <v>919</v>
      </c>
      <c r="H1063" s="517" t="s">
        <v>6425</v>
      </c>
    </row>
    <row r="1064" spans="2:8" ht="15" x14ac:dyDescent="0.35">
      <c r="B1064" s="544" t="s">
        <v>6263</v>
      </c>
      <c r="C1064" s="517" t="s">
        <v>6346</v>
      </c>
      <c r="D1064" s="518">
        <v>8185</v>
      </c>
      <c r="E1064" s="517" t="s">
        <v>5597</v>
      </c>
      <c r="F1064" s="518" t="s">
        <v>29</v>
      </c>
      <c r="G1064" s="519">
        <v>27562</v>
      </c>
      <c r="H1064" s="517" t="s">
        <v>6425</v>
      </c>
    </row>
    <row r="1065" spans="2:8" ht="15" x14ac:dyDescent="0.35">
      <c r="B1065" s="544" t="s">
        <v>6263</v>
      </c>
      <c r="C1065" s="517" t="s">
        <v>6346</v>
      </c>
      <c r="D1065" s="518">
        <v>8186</v>
      </c>
      <c r="E1065" s="517" t="s">
        <v>5598</v>
      </c>
      <c r="F1065" s="518" t="s">
        <v>29</v>
      </c>
      <c r="G1065" s="519">
        <v>36961</v>
      </c>
      <c r="H1065" s="517" t="s">
        <v>6425</v>
      </c>
    </row>
    <row r="1066" spans="2:8" ht="15" x14ac:dyDescent="0.35">
      <c r="B1066" s="544" t="s">
        <v>6263</v>
      </c>
      <c r="C1066" s="517" t="s">
        <v>6346</v>
      </c>
      <c r="D1066" s="518">
        <v>8187</v>
      </c>
      <c r="E1066" s="517" t="s">
        <v>3816</v>
      </c>
      <c r="F1066" s="518" t="s">
        <v>29</v>
      </c>
      <c r="G1066" s="519">
        <v>4767</v>
      </c>
      <c r="H1066" s="517" t="s">
        <v>6425</v>
      </c>
    </row>
    <row r="1067" spans="2:8" ht="15" x14ac:dyDescent="0.35">
      <c r="B1067" s="544" t="s">
        <v>6263</v>
      </c>
      <c r="C1067" s="517" t="s">
        <v>6346</v>
      </c>
      <c r="D1067" s="518">
        <v>8188</v>
      </c>
      <c r="E1067" s="517" t="s">
        <v>5599</v>
      </c>
      <c r="F1067" s="518" t="s">
        <v>29</v>
      </c>
      <c r="G1067" s="519">
        <v>4125</v>
      </c>
      <c r="H1067" s="517" t="s">
        <v>6425</v>
      </c>
    </row>
    <row r="1068" spans="2:8" ht="15" x14ac:dyDescent="0.35">
      <c r="B1068" s="544" t="s">
        <v>6263</v>
      </c>
      <c r="C1068" s="517" t="s">
        <v>6346</v>
      </c>
      <c r="D1068" s="518">
        <v>8189</v>
      </c>
      <c r="E1068" s="517" t="s">
        <v>5600</v>
      </c>
      <c r="F1068" s="518" t="s">
        <v>29</v>
      </c>
      <c r="G1068" s="519">
        <v>1805</v>
      </c>
      <c r="H1068" s="517" t="s">
        <v>6425</v>
      </c>
    </row>
    <row r="1069" spans="2:8" ht="15" x14ac:dyDescent="0.35">
      <c r="B1069" s="544" t="s">
        <v>6263</v>
      </c>
      <c r="C1069" s="517" t="s">
        <v>6346</v>
      </c>
      <c r="D1069" s="518">
        <v>8190</v>
      </c>
      <c r="E1069" s="517" t="s">
        <v>3817</v>
      </c>
      <c r="F1069" s="518" t="s">
        <v>29</v>
      </c>
      <c r="G1069" s="519">
        <v>1568</v>
      </c>
      <c r="H1069" s="517" t="s">
        <v>6425</v>
      </c>
    </row>
    <row r="1070" spans="2:8" ht="15" x14ac:dyDescent="0.35">
      <c r="B1070" s="544" t="s">
        <v>6263</v>
      </c>
      <c r="C1070" s="517" t="s">
        <v>6346</v>
      </c>
      <c r="D1070" s="518">
        <v>8191</v>
      </c>
      <c r="E1070" s="517" t="s">
        <v>5601</v>
      </c>
      <c r="F1070" s="518" t="s">
        <v>26</v>
      </c>
      <c r="G1070" s="519">
        <v>4085</v>
      </c>
      <c r="H1070" s="517" t="s">
        <v>6425</v>
      </c>
    </row>
    <row r="1071" spans="2:8" ht="15" x14ac:dyDescent="0.35">
      <c r="B1071" s="544" t="s">
        <v>6263</v>
      </c>
      <c r="C1071" s="517" t="s">
        <v>6346</v>
      </c>
      <c r="D1071" s="518">
        <v>8192</v>
      </c>
      <c r="E1071" s="517" t="s">
        <v>5602</v>
      </c>
      <c r="F1071" s="518" t="s">
        <v>29</v>
      </c>
      <c r="G1071" s="519">
        <v>1253</v>
      </c>
      <c r="H1071" s="517" t="s">
        <v>6425</v>
      </c>
    </row>
    <row r="1072" spans="2:8" ht="15" x14ac:dyDescent="0.35">
      <c r="B1072" s="544" t="s">
        <v>6263</v>
      </c>
      <c r="C1072" s="517" t="s">
        <v>6346</v>
      </c>
      <c r="D1072" s="518">
        <v>8193</v>
      </c>
      <c r="E1072" s="517" t="s">
        <v>5603</v>
      </c>
      <c r="F1072" s="518" t="s">
        <v>29</v>
      </c>
      <c r="G1072" s="519">
        <v>532</v>
      </c>
      <c r="H1072" s="517" t="s">
        <v>6425</v>
      </c>
    </row>
    <row r="1073" spans="2:8" ht="15" x14ac:dyDescent="0.35">
      <c r="B1073" s="544" t="s">
        <v>6263</v>
      </c>
      <c r="C1073" s="517" t="s">
        <v>6390</v>
      </c>
      <c r="D1073" s="518">
        <v>8195</v>
      </c>
      <c r="E1073" s="517" t="s">
        <v>3818</v>
      </c>
      <c r="F1073" s="518" t="s">
        <v>26</v>
      </c>
      <c r="G1073" s="519">
        <v>22062</v>
      </c>
      <c r="H1073" s="517" t="s">
        <v>6915</v>
      </c>
    </row>
    <row r="1074" spans="2:8" ht="15" x14ac:dyDescent="0.35">
      <c r="B1074" s="544" t="s">
        <v>6263</v>
      </c>
      <c r="C1074" s="517" t="s">
        <v>6390</v>
      </c>
      <c r="D1074" s="518">
        <v>8199</v>
      </c>
      <c r="E1074" s="517" t="s">
        <v>3819</v>
      </c>
      <c r="F1074" s="518" t="s">
        <v>26</v>
      </c>
      <c r="G1074" s="519">
        <v>14624</v>
      </c>
      <c r="H1074" s="517" t="s">
        <v>6915</v>
      </c>
    </row>
    <row r="1075" spans="2:8" ht="15" x14ac:dyDescent="0.35">
      <c r="B1075" s="544" t="s">
        <v>6263</v>
      </c>
      <c r="C1075" s="517" t="s">
        <v>6390</v>
      </c>
      <c r="D1075" s="518">
        <v>8202</v>
      </c>
      <c r="E1075" s="517" t="s">
        <v>3820</v>
      </c>
      <c r="F1075" s="518" t="s">
        <v>29</v>
      </c>
      <c r="G1075" s="519">
        <v>259015</v>
      </c>
      <c r="H1075" s="517" t="s">
        <v>6915</v>
      </c>
    </row>
    <row r="1076" spans="2:8" ht="15" x14ac:dyDescent="0.35">
      <c r="B1076" s="544" t="s">
        <v>6263</v>
      </c>
      <c r="C1076" s="517" t="s">
        <v>6390</v>
      </c>
      <c r="D1076" s="518">
        <v>8203</v>
      </c>
      <c r="E1076" s="517" t="s">
        <v>3821</v>
      </c>
      <c r="F1076" s="518" t="s">
        <v>29</v>
      </c>
      <c r="G1076" s="519">
        <v>15900</v>
      </c>
      <c r="H1076" s="517" t="s">
        <v>6915</v>
      </c>
    </row>
    <row r="1077" spans="2:8" ht="15" x14ac:dyDescent="0.35">
      <c r="B1077" s="544" t="s">
        <v>6263</v>
      </c>
      <c r="C1077" s="517" t="s">
        <v>6390</v>
      </c>
      <c r="D1077" s="518">
        <v>8204</v>
      </c>
      <c r="E1077" s="517" t="s">
        <v>3822</v>
      </c>
      <c r="F1077" s="518" t="s">
        <v>29</v>
      </c>
      <c r="G1077" s="519">
        <v>38900</v>
      </c>
      <c r="H1077" s="517" t="s">
        <v>6915</v>
      </c>
    </row>
    <row r="1078" spans="2:8" ht="15" x14ac:dyDescent="0.35">
      <c r="B1078" s="544" t="s">
        <v>6263</v>
      </c>
      <c r="C1078" s="517" t="s">
        <v>6366</v>
      </c>
      <c r="D1078" s="518">
        <v>8205</v>
      </c>
      <c r="E1078" s="517" t="s">
        <v>3823</v>
      </c>
      <c r="F1078" s="518" t="s">
        <v>3824</v>
      </c>
      <c r="G1078" s="519">
        <v>167</v>
      </c>
      <c r="H1078" s="517" t="s">
        <v>6915</v>
      </c>
    </row>
    <row r="1079" spans="2:8" ht="15" x14ac:dyDescent="0.35">
      <c r="B1079" s="544" t="s">
        <v>6263</v>
      </c>
      <c r="C1079" s="517" t="s">
        <v>6390</v>
      </c>
      <c r="D1079" s="518">
        <v>8206</v>
      </c>
      <c r="E1079" s="517" t="s">
        <v>3825</v>
      </c>
      <c r="F1079" s="518" t="s">
        <v>26</v>
      </c>
      <c r="G1079" s="519">
        <v>38900</v>
      </c>
      <c r="H1079" s="517" t="s">
        <v>6915</v>
      </c>
    </row>
    <row r="1080" spans="2:8" ht="15" x14ac:dyDescent="0.35">
      <c r="B1080" s="544" t="s">
        <v>6263</v>
      </c>
      <c r="C1080" s="517" t="s">
        <v>6390</v>
      </c>
      <c r="D1080" s="518">
        <v>8207</v>
      </c>
      <c r="E1080" s="517" t="s">
        <v>3826</v>
      </c>
      <c r="F1080" s="518" t="s">
        <v>26</v>
      </c>
      <c r="G1080" s="519">
        <v>22062</v>
      </c>
      <c r="H1080" s="517" t="s">
        <v>6915</v>
      </c>
    </row>
    <row r="1081" spans="2:8" ht="15" x14ac:dyDescent="0.35">
      <c r="B1081" s="544" t="s">
        <v>6263</v>
      </c>
      <c r="C1081" s="517" t="s">
        <v>6348</v>
      </c>
      <c r="D1081" s="518">
        <v>8208</v>
      </c>
      <c r="E1081" s="517" t="s">
        <v>3827</v>
      </c>
      <c r="F1081" s="518" t="s">
        <v>26</v>
      </c>
      <c r="G1081" s="519">
        <v>50073</v>
      </c>
      <c r="H1081" s="517" t="s">
        <v>6915</v>
      </c>
    </row>
    <row r="1082" spans="2:8" ht="15" x14ac:dyDescent="0.35">
      <c r="B1082" s="544" t="s">
        <v>6263</v>
      </c>
      <c r="C1082" s="517" t="s">
        <v>6390</v>
      </c>
      <c r="D1082" s="518">
        <v>8209</v>
      </c>
      <c r="E1082" s="517" t="s">
        <v>3828</v>
      </c>
      <c r="F1082" s="518" t="s">
        <v>29</v>
      </c>
      <c r="G1082" s="519">
        <v>1394</v>
      </c>
      <c r="H1082" s="517" t="s">
        <v>6915</v>
      </c>
    </row>
    <row r="1083" spans="2:8" ht="15" x14ac:dyDescent="0.35">
      <c r="B1083" s="544" t="s">
        <v>6263</v>
      </c>
      <c r="C1083" s="517" t="s">
        <v>6390</v>
      </c>
      <c r="D1083" s="518">
        <v>8210</v>
      </c>
      <c r="E1083" s="517" t="s">
        <v>3829</v>
      </c>
      <c r="F1083" s="518" t="s">
        <v>26</v>
      </c>
      <c r="G1083" s="519">
        <v>10350</v>
      </c>
      <c r="H1083" s="517" t="s">
        <v>6915</v>
      </c>
    </row>
    <row r="1084" spans="2:8" ht="15" x14ac:dyDescent="0.35">
      <c r="B1084" s="544" t="s">
        <v>6263</v>
      </c>
      <c r="C1084" s="517" t="s">
        <v>6390</v>
      </c>
      <c r="D1084" s="518">
        <v>8211</v>
      </c>
      <c r="E1084" s="517" t="s">
        <v>3830</v>
      </c>
      <c r="F1084" s="518" t="s">
        <v>26</v>
      </c>
      <c r="G1084" s="519">
        <v>6089</v>
      </c>
      <c r="H1084" s="517" t="s">
        <v>6915</v>
      </c>
    </row>
    <row r="1085" spans="2:8" ht="15" x14ac:dyDescent="0.35">
      <c r="B1085" s="544" t="s">
        <v>6263</v>
      </c>
      <c r="C1085" s="517" t="s">
        <v>6348</v>
      </c>
      <c r="D1085" s="518">
        <v>8212</v>
      </c>
      <c r="E1085" s="517" t="s">
        <v>3831</v>
      </c>
      <c r="F1085" s="518" t="s">
        <v>26</v>
      </c>
      <c r="G1085" s="519">
        <v>17732</v>
      </c>
      <c r="H1085" s="517" t="s">
        <v>6915</v>
      </c>
    </row>
    <row r="1086" spans="2:8" ht="15" x14ac:dyDescent="0.35">
      <c r="B1086" s="544" t="s">
        <v>6263</v>
      </c>
      <c r="C1086" s="517" t="s">
        <v>6390</v>
      </c>
      <c r="D1086" s="518">
        <v>8213</v>
      </c>
      <c r="E1086" s="517" t="s">
        <v>3832</v>
      </c>
      <c r="F1086" s="518" t="s">
        <v>29</v>
      </c>
      <c r="G1086" s="519">
        <v>484</v>
      </c>
      <c r="H1086" s="517" t="s">
        <v>6915</v>
      </c>
    </row>
    <row r="1087" spans="2:8" ht="15" x14ac:dyDescent="0.35">
      <c r="B1087" s="544" t="s">
        <v>6263</v>
      </c>
      <c r="C1087" s="517" t="s">
        <v>6390</v>
      </c>
      <c r="D1087" s="518">
        <v>8216</v>
      </c>
      <c r="E1087" s="517" t="s">
        <v>3833</v>
      </c>
      <c r="F1087" s="518" t="s">
        <v>29</v>
      </c>
      <c r="G1087" s="519">
        <v>11250</v>
      </c>
      <c r="H1087" s="517" t="s">
        <v>6915</v>
      </c>
    </row>
    <row r="1088" spans="2:8" ht="15" x14ac:dyDescent="0.35">
      <c r="B1088" s="544" t="s">
        <v>6263</v>
      </c>
      <c r="C1088" s="517" t="s">
        <v>6390</v>
      </c>
      <c r="D1088" s="518">
        <v>8217</v>
      </c>
      <c r="E1088" s="517" t="s">
        <v>3834</v>
      </c>
      <c r="F1088" s="518" t="s">
        <v>29</v>
      </c>
      <c r="G1088" s="519">
        <v>1428</v>
      </c>
      <c r="H1088" s="517" t="s">
        <v>6915</v>
      </c>
    </row>
    <row r="1089" spans="2:8" ht="15" x14ac:dyDescent="0.35">
      <c r="B1089" s="544" t="s">
        <v>6263</v>
      </c>
      <c r="C1089" s="517" t="s">
        <v>6390</v>
      </c>
      <c r="D1089" s="518">
        <v>8218</v>
      </c>
      <c r="E1089" s="517" t="s">
        <v>3835</v>
      </c>
      <c r="F1089" s="518" t="s">
        <v>26</v>
      </c>
      <c r="G1089" s="519">
        <v>1583</v>
      </c>
      <c r="H1089" s="517" t="s">
        <v>6915</v>
      </c>
    </row>
    <row r="1090" spans="2:8" ht="15" x14ac:dyDescent="0.35">
      <c r="B1090" s="544" t="s">
        <v>6263</v>
      </c>
      <c r="C1090" s="517" t="s">
        <v>6390</v>
      </c>
      <c r="D1090" s="518">
        <v>8219</v>
      </c>
      <c r="E1090" s="517" t="s">
        <v>3836</v>
      </c>
      <c r="F1090" s="518" t="s">
        <v>29</v>
      </c>
      <c r="G1090" s="519">
        <v>28875</v>
      </c>
      <c r="H1090" s="517" t="s">
        <v>6915</v>
      </c>
    </row>
    <row r="1091" spans="2:8" ht="15" x14ac:dyDescent="0.35">
      <c r="B1091" s="544" t="s">
        <v>6263</v>
      </c>
      <c r="C1091" s="517" t="s">
        <v>6390</v>
      </c>
      <c r="D1091" s="518">
        <v>8221</v>
      </c>
      <c r="E1091" s="517" t="s">
        <v>3837</v>
      </c>
      <c r="F1091" s="518" t="s">
        <v>26</v>
      </c>
      <c r="G1091" s="519">
        <v>2816</v>
      </c>
      <c r="H1091" s="517" t="s">
        <v>6915</v>
      </c>
    </row>
    <row r="1092" spans="2:8" ht="15" x14ac:dyDescent="0.35">
      <c r="B1092" s="544" t="s">
        <v>6263</v>
      </c>
      <c r="C1092" s="517" t="s">
        <v>6390</v>
      </c>
      <c r="D1092" s="518">
        <v>8222</v>
      </c>
      <c r="E1092" s="517" t="s">
        <v>3838</v>
      </c>
      <c r="F1092" s="518" t="s">
        <v>29</v>
      </c>
      <c r="G1092" s="519">
        <v>42007</v>
      </c>
      <c r="H1092" s="517" t="s">
        <v>6915</v>
      </c>
    </row>
    <row r="1093" spans="2:8" ht="15" x14ac:dyDescent="0.35">
      <c r="B1093" s="544" t="s">
        <v>6263</v>
      </c>
      <c r="C1093" s="517" t="s">
        <v>6390</v>
      </c>
      <c r="D1093" s="518">
        <v>8223</v>
      </c>
      <c r="E1093" s="517" t="s">
        <v>3839</v>
      </c>
      <c r="F1093" s="518" t="s">
        <v>29</v>
      </c>
      <c r="G1093" s="519">
        <v>19900</v>
      </c>
      <c r="H1093" s="517" t="s">
        <v>6915</v>
      </c>
    </row>
    <row r="1094" spans="2:8" ht="15" x14ac:dyDescent="0.35">
      <c r="B1094" s="544" t="s">
        <v>6263</v>
      </c>
      <c r="C1094" s="517" t="s">
        <v>6390</v>
      </c>
      <c r="D1094" s="518">
        <v>8224</v>
      </c>
      <c r="E1094" s="517" t="s">
        <v>3840</v>
      </c>
      <c r="F1094" s="518" t="s">
        <v>29</v>
      </c>
      <c r="G1094" s="519">
        <v>10800</v>
      </c>
      <c r="H1094" s="517" t="s">
        <v>6915</v>
      </c>
    </row>
    <row r="1095" spans="2:8" ht="15" x14ac:dyDescent="0.35">
      <c r="B1095" s="544" t="s">
        <v>6263</v>
      </c>
      <c r="C1095" s="517" t="s">
        <v>6390</v>
      </c>
      <c r="D1095" s="518">
        <v>8225</v>
      </c>
      <c r="E1095" s="517" t="s">
        <v>3841</v>
      </c>
      <c r="F1095" s="518" t="s">
        <v>29</v>
      </c>
      <c r="G1095" s="519">
        <v>7700</v>
      </c>
      <c r="H1095" s="517" t="s">
        <v>6915</v>
      </c>
    </row>
    <row r="1096" spans="2:8" ht="15" x14ac:dyDescent="0.35">
      <c r="B1096" s="544" t="s">
        <v>6263</v>
      </c>
      <c r="C1096" s="517" t="s">
        <v>6390</v>
      </c>
      <c r="D1096" s="518">
        <v>8227</v>
      </c>
      <c r="E1096" s="517" t="s">
        <v>3842</v>
      </c>
      <c r="F1096" s="518" t="s">
        <v>29</v>
      </c>
      <c r="G1096" s="519">
        <v>1290</v>
      </c>
      <c r="H1096" s="517" t="s">
        <v>6915</v>
      </c>
    </row>
    <row r="1097" spans="2:8" ht="15" x14ac:dyDescent="0.35">
      <c r="B1097" s="544" t="s">
        <v>6263</v>
      </c>
      <c r="C1097" s="517" t="s">
        <v>6386</v>
      </c>
      <c r="D1097" s="518">
        <v>8228</v>
      </c>
      <c r="E1097" s="517" t="s">
        <v>5849</v>
      </c>
      <c r="F1097" s="518" t="s">
        <v>26</v>
      </c>
      <c r="G1097" s="519">
        <v>61285</v>
      </c>
      <c r="H1097" s="517" t="s">
        <v>6915</v>
      </c>
    </row>
    <row r="1098" spans="2:8" ht="15" x14ac:dyDescent="0.35">
      <c r="B1098" s="544" t="s">
        <v>6263</v>
      </c>
      <c r="C1098" s="517" t="s">
        <v>6390</v>
      </c>
      <c r="D1098" s="518">
        <v>8229</v>
      </c>
      <c r="E1098" s="517" t="s">
        <v>3843</v>
      </c>
      <c r="F1098" s="518" t="s">
        <v>29</v>
      </c>
      <c r="G1098" s="519">
        <v>400</v>
      </c>
      <c r="H1098" s="517" t="s">
        <v>6915</v>
      </c>
    </row>
    <row r="1099" spans="2:8" ht="15" x14ac:dyDescent="0.35">
      <c r="B1099" s="544" t="s">
        <v>6263</v>
      </c>
      <c r="C1099" s="517" t="s">
        <v>6386</v>
      </c>
      <c r="D1099" s="518">
        <v>8230</v>
      </c>
      <c r="E1099" s="517" t="s">
        <v>5850</v>
      </c>
      <c r="F1099" s="518" t="s">
        <v>26</v>
      </c>
      <c r="G1099" s="519">
        <v>18056</v>
      </c>
      <c r="H1099" s="517" t="s">
        <v>6915</v>
      </c>
    </row>
    <row r="1100" spans="2:8" ht="15" x14ac:dyDescent="0.35">
      <c r="B1100" s="544" t="s">
        <v>6263</v>
      </c>
      <c r="C1100" s="517" t="s">
        <v>6390</v>
      </c>
      <c r="D1100" s="518">
        <v>8231</v>
      </c>
      <c r="E1100" s="517" t="s">
        <v>3844</v>
      </c>
      <c r="F1100" s="518" t="s">
        <v>29</v>
      </c>
      <c r="G1100" s="519">
        <v>3689</v>
      </c>
      <c r="H1100" s="517" t="s">
        <v>6915</v>
      </c>
    </row>
    <row r="1101" spans="2:8" ht="15" x14ac:dyDescent="0.35">
      <c r="B1101" s="544" t="s">
        <v>6263</v>
      </c>
      <c r="C1101" s="517" t="s">
        <v>6348</v>
      </c>
      <c r="D1101" s="518">
        <v>8232</v>
      </c>
      <c r="E1101" s="517" t="s">
        <v>3845</v>
      </c>
      <c r="F1101" s="518" t="s">
        <v>26</v>
      </c>
      <c r="G1101" s="519">
        <v>12530</v>
      </c>
      <c r="H1101" s="517" t="s">
        <v>6915</v>
      </c>
    </row>
    <row r="1102" spans="2:8" ht="15" x14ac:dyDescent="0.35">
      <c r="B1102" s="544" t="s">
        <v>6263</v>
      </c>
      <c r="C1102" s="517" t="s">
        <v>6390</v>
      </c>
      <c r="D1102" s="518">
        <v>8233</v>
      </c>
      <c r="E1102" s="517" t="s">
        <v>3846</v>
      </c>
      <c r="F1102" s="518" t="s">
        <v>29</v>
      </c>
      <c r="G1102" s="519">
        <v>13000</v>
      </c>
      <c r="H1102" s="517" t="s">
        <v>6915</v>
      </c>
    </row>
    <row r="1103" spans="2:8" ht="15" x14ac:dyDescent="0.35">
      <c r="B1103" s="544" t="s">
        <v>6263</v>
      </c>
      <c r="C1103" s="517" t="s">
        <v>6390</v>
      </c>
      <c r="D1103" s="518">
        <v>8235</v>
      </c>
      <c r="E1103" s="517" t="s">
        <v>3847</v>
      </c>
      <c r="F1103" s="518" t="s">
        <v>29</v>
      </c>
      <c r="G1103" s="519">
        <v>12000</v>
      </c>
      <c r="H1103" s="517" t="s">
        <v>6915</v>
      </c>
    </row>
    <row r="1104" spans="2:8" ht="15" x14ac:dyDescent="0.35">
      <c r="B1104" s="544" t="s">
        <v>6263</v>
      </c>
      <c r="C1104" s="517" t="s">
        <v>6367</v>
      </c>
      <c r="D1104" s="518">
        <v>8244</v>
      </c>
      <c r="E1104" s="517" t="s">
        <v>3848</v>
      </c>
      <c r="F1104" s="518" t="s">
        <v>29</v>
      </c>
      <c r="G1104" s="519">
        <v>449793</v>
      </c>
      <c r="H1104" s="517" t="s">
        <v>6915</v>
      </c>
    </row>
    <row r="1105" spans="2:8" ht="15" x14ac:dyDescent="0.35">
      <c r="B1105" s="544" t="s">
        <v>6263</v>
      </c>
      <c r="C1105" s="517" t="s">
        <v>6367</v>
      </c>
      <c r="D1105" s="518">
        <v>8245</v>
      </c>
      <c r="E1105" s="517" t="s">
        <v>3849</v>
      </c>
      <c r="F1105" s="518" t="s">
        <v>29</v>
      </c>
      <c r="G1105" s="519">
        <v>1144852</v>
      </c>
      <c r="H1105" s="517" t="s">
        <v>6915</v>
      </c>
    </row>
    <row r="1106" spans="2:8" ht="15" x14ac:dyDescent="0.35">
      <c r="B1106" s="544" t="s">
        <v>6263</v>
      </c>
      <c r="C1106" s="517" t="s">
        <v>6367</v>
      </c>
      <c r="D1106" s="518">
        <v>8246</v>
      </c>
      <c r="E1106" s="517" t="s">
        <v>3850</v>
      </c>
      <c r="F1106" s="518" t="s">
        <v>29</v>
      </c>
      <c r="G1106" s="519">
        <v>376152</v>
      </c>
      <c r="H1106" s="517" t="s">
        <v>6915</v>
      </c>
    </row>
    <row r="1107" spans="2:8" ht="15" x14ac:dyDescent="0.35">
      <c r="B1107" s="544" t="s">
        <v>6263</v>
      </c>
      <c r="C1107" s="517" t="s">
        <v>6367</v>
      </c>
      <c r="D1107" s="518">
        <v>8247</v>
      </c>
      <c r="E1107" s="517" t="s">
        <v>3851</v>
      </c>
      <c r="F1107" s="518" t="s">
        <v>29</v>
      </c>
      <c r="G1107" s="519">
        <v>85557</v>
      </c>
      <c r="H1107" s="517" t="s">
        <v>6915</v>
      </c>
    </row>
    <row r="1108" spans="2:8" ht="15" x14ac:dyDescent="0.35">
      <c r="B1108" s="544" t="s">
        <v>6263</v>
      </c>
      <c r="C1108" s="517" t="s">
        <v>6367</v>
      </c>
      <c r="D1108" s="518">
        <v>8248</v>
      </c>
      <c r="E1108" s="517" t="s">
        <v>3852</v>
      </c>
      <c r="F1108" s="518" t="s">
        <v>29</v>
      </c>
      <c r="G1108" s="519">
        <v>294016</v>
      </c>
      <c r="H1108" s="517" t="s">
        <v>6915</v>
      </c>
    </row>
    <row r="1109" spans="2:8" ht="15" x14ac:dyDescent="0.35">
      <c r="B1109" s="544" t="s">
        <v>6263</v>
      </c>
      <c r="C1109" s="517" t="s">
        <v>6367</v>
      </c>
      <c r="D1109" s="518">
        <v>8249</v>
      </c>
      <c r="E1109" s="517" t="s">
        <v>3853</v>
      </c>
      <c r="F1109" s="518" t="s">
        <v>29</v>
      </c>
      <c r="G1109" s="519">
        <v>582793</v>
      </c>
      <c r="H1109" s="517" t="s">
        <v>6915</v>
      </c>
    </row>
    <row r="1110" spans="2:8" ht="15" x14ac:dyDescent="0.35">
      <c r="B1110" s="544" t="s">
        <v>6263</v>
      </c>
      <c r="C1110" s="517" t="s">
        <v>6367</v>
      </c>
      <c r="D1110" s="518">
        <v>8250</v>
      </c>
      <c r="E1110" s="517" t="s">
        <v>3854</v>
      </c>
      <c r="F1110" s="518" t="s">
        <v>29</v>
      </c>
      <c r="G1110" s="519">
        <v>470492</v>
      </c>
      <c r="H1110" s="517" t="s">
        <v>6915</v>
      </c>
    </row>
    <row r="1111" spans="2:8" ht="15" x14ac:dyDescent="0.35">
      <c r="B1111" s="544" t="s">
        <v>6263</v>
      </c>
      <c r="C1111" s="517" t="s">
        <v>6354</v>
      </c>
      <c r="D1111" s="518">
        <v>8253</v>
      </c>
      <c r="E1111" s="517" t="s">
        <v>3855</v>
      </c>
      <c r="F1111" s="518" t="s">
        <v>3172</v>
      </c>
      <c r="G1111" s="519">
        <v>206900</v>
      </c>
      <c r="H1111" s="517" t="s">
        <v>6915</v>
      </c>
    </row>
    <row r="1112" spans="2:8" ht="15" x14ac:dyDescent="0.35">
      <c r="B1112" s="544" t="s">
        <v>6263</v>
      </c>
      <c r="C1112" s="517" t="s">
        <v>6366</v>
      </c>
      <c r="D1112" s="518">
        <v>8254</v>
      </c>
      <c r="E1112" s="517" t="s">
        <v>3856</v>
      </c>
      <c r="F1112" s="518" t="s">
        <v>367</v>
      </c>
      <c r="G1112" s="519">
        <v>21200</v>
      </c>
      <c r="H1112" s="517" t="s">
        <v>6915</v>
      </c>
    </row>
    <row r="1113" spans="2:8" ht="15" x14ac:dyDescent="0.35">
      <c r="B1113" s="544" t="s">
        <v>6263</v>
      </c>
      <c r="C1113" s="517" t="s">
        <v>6351</v>
      </c>
      <c r="D1113" s="518">
        <v>8256</v>
      </c>
      <c r="E1113" s="517" t="s">
        <v>3857</v>
      </c>
      <c r="F1113" s="518" t="s">
        <v>389</v>
      </c>
      <c r="G1113" s="519">
        <v>121212</v>
      </c>
      <c r="H1113" s="517" t="s">
        <v>5686</v>
      </c>
    </row>
    <row r="1114" spans="2:8" ht="15" x14ac:dyDescent="0.35">
      <c r="B1114" s="544" t="s">
        <v>6263</v>
      </c>
      <c r="C1114" s="517" t="s">
        <v>6350</v>
      </c>
      <c r="D1114" s="518">
        <v>8258</v>
      </c>
      <c r="E1114" s="517" t="s">
        <v>3858</v>
      </c>
      <c r="F1114" s="518" t="s">
        <v>3175</v>
      </c>
      <c r="G1114" s="519">
        <v>61404</v>
      </c>
      <c r="H1114" s="517" t="s">
        <v>6425</v>
      </c>
    </row>
    <row r="1115" spans="2:8" ht="15" x14ac:dyDescent="0.35">
      <c r="B1115" s="544" t="s">
        <v>6263</v>
      </c>
      <c r="C1115" s="517" t="s">
        <v>6275</v>
      </c>
      <c r="D1115" s="518">
        <v>8259</v>
      </c>
      <c r="E1115" s="517" t="s">
        <v>3859</v>
      </c>
      <c r="F1115" s="518" t="s">
        <v>26</v>
      </c>
      <c r="G1115" s="519">
        <v>19203</v>
      </c>
      <c r="H1115" s="517" t="s">
        <v>6425</v>
      </c>
    </row>
    <row r="1116" spans="2:8" ht="15" x14ac:dyDescent="0.35">
      <c r="B1116" s="544" t="s">
        <v>6263</v>
      </c>
      <c r="C1116" s="517" t="s">
        <v>6275</v>
      </c>
      <c r="D1116" s="518">
        <v>8260</v>
      </c>
      <c r="E1116" s="517" t="s">
        <v>3860</v>
      </c>
      <c r="F1116" s="518" t="s">
        <v>26</v>
      </c>
      <c r="G1116" s="519">
        <v>5474</v>
      </c>
      <c r="H1116" s="517" t="s">
        <v>6425</v>
      </c>
    </row>
    <row r="1117" spans="2:8" ht="15" x14ac:dyDescent="0.35">
      <c r="B1117" s="544" t="s">
        <v>6263</v>
      </c>
      <c r="C1117" s="517" t="s">
        <v>6354</v>
      </c>
      <c r="D1117" s="518">
        <v>8262</v>
      </c>
      <c r="E1117" s="517" t="s">
        <v>3861</v>
      </c>
      <c r="F1117" s="518" t="s">
        <v>3172</v>
      </c>
      <c r="G1117" s="519">
        <v>116996</v>
      </c>
      <c r="H1117" s="517" t="s">
        <v>6915</v>
      </c>
    </row>
    <row r="1118" spans="2:8" ht="15" x14ac:dyDescent="0.35">
      <c r="B1118" s="544" t="s">
        <v>6263</v>
      </c>
      <c r="C1118" s="517" t="s">
        <v>6359</v>
      </c>
      <c r="D1118" s="518">
        <v>8270</v>
      </c>
      <c r="E1118" s="517" t="s">
        <v>3862</v>
      </c>
      <c r="F1118" s="518" t="s">
        <v>26</v>
      </c>
      <c r="G1118" s="519">
        <v>8629</v>
      </c>
      <c r="H1118" s="517" t="s">
        <v>6915</v>
      </c>
    </row>
    <row r="1119" spans="2:8" ht="15" x14ac:dyDescent="0.35">
      <c r="B1119" s="544" t="s">
        <v>6263</v>
      </c>
      <c r="C1119" s="517" t="s">
        <v>6359</v>
      </c>
      <c r="D1119" s="518">
        <v>8271</v>
      </c>
      <c r="E1119" s="517" t="s">
        <v>3863</v>
      </c>
      <c r="F1119" s="518" t="s">
        <v>21</v>
      </c>
      <c r="G1119" s="519">
        <v>12018</v>
      </c>
      <c r="H1119" s="517" t="s">
        <v>6915</v>
      </c>
    </row>
    <row r="1120" spans="2:8" ht="15" x14ac:dyDescent="0.35">
      <c r="B1120" s="544" t="s">
        <v>6263</v>
      </c>
      <c r="C1120" s="517" t="s">
        <v>6388</v>
      </c>
      <c r="D1120" s="518">
        <v>8276</v>
      </c>
      <c r="E1120" s="517" t="s">
        <v>3864</v>
      </c>
      <c r="F1120" s="518" t="s">
        <v>29</v>
      </c>
      <c r="G1120" s="519">
        <v>92974</v>
      </c>
      <c r="H1120" s="517" t="s">
        <v>6915</v>
      </c>
    </row>
    <row r="1121" spans="2:8" ht="15" x14ac:dyDescent="0.35">
      <c r="B1121" s="544" t="s">
        <v>6263</v>
      </c>
      <c r="C1121" s="517" t="s">
        <v>6388</v>
      </c>
      <c r="D1121" s="518">
        <v>8277</v>
      </c>
      <c r="E1121" s="517" t="s">
        <v>3865</v>
      </c>
      <c r="F1121" s="518" t="s">
        <v>29</v>
      </c>
      <c r="G1121" s="519">
        <v>26761</v>
      </c>
      <c r="H1121" s="517" t="s">
        <v>6915</v>
      </c>
    </row>
    <row r="1122" spans="2:8" ht="15" x14ac:dyDescent="0.35">
      <c r="B1122" s="544" t="s">
        <v>6263</v>
      </c>
      <c r="C1122" s="517" t="s">
        <v>6388</v>
      </c>
      <c r="D1122" s="518">
        <v>8278</v>
      </c>
      <c r="E1122" s="517" t="s">
        <v>5851</v>
      </c>
      <c r="F1122" s="518" t="s">
        <v>29</v>
      </c>
      <c r="G1122" s="519">
        <v>21456</v>
      </c>
      <c r="H1122" s="517" t="s">
        <v>6915</v>
      </c>
    </row>
    <row r="1123" spans="2:8" ht="15" x14ac:dyDescent="0.35">
      <c r="B1123" s="544" t="s">
        <v>6263</v>
      </c>
      <c r="C1123" s="517" t="s">
        <v>6346</v>
      </c>
      <c r="D1123" s="518">
        <v>8294</v>
      </c>
      <c r="E1123" s="517" t="s">
        <v>3866</v>
      </c>
      <c r="F1123" s="518" t="s">
        <v>29</v>
      </c>
      <c r="G1123" s="519">
        <v>29884</v>
      </c>
      <c r="H1123" s="517" t="s">
        <v>6425</v>
      </c>
    </row>
    <row r="1124" spans="2:8" ht="15" x14ac:dyDescent="0.35">
      <c r="B1124" s="544" t="s">
        <v>6263</v>
      </c>
      <c r="C1124" s="517" t="s">
        <v>6346</v>
      </c>
      <c r="D1124" s="518">
        <v>8295</v>
      </c>
      <c r="E1124" s="517" t="s">
        <v>3867</v>
      </c>
      <c r="F1124" s="518" t="s">
        <v>29</v>
      </c>
      <c r="G1124" s="519">
        <v>37988</v>
      </c>
      <c r="H1124" s="517" t="s">
        <v>6425</v>
      </c>
    </row>
    <row r="1125" spans="2:8" ht="15" x14ac:dyDescent="0.35">
      <c r="B1125" s="544" t="s">
        <v>6263</v>
      </c>
      <c r="C1125" s="517" t="s">
        <v>6387</v>
      </c>
      <c r="D1125" s="518">
        <v>8297</v>
      </c>
      <c r="E1125" s="517" t="s">
        <v>5852</v>
      </c>
      <c r="F1125" s="518" t="s">
        <v>3175</v>
      </c>
      <c r="G1125" s="519">
        <v>292000</v>
      </c>
      <c r="H1125" s="517" t="s">
        <v>5686</v>
      </c>
    </row>
    <row r="1126" spans="2:8" ht="15" x14ac:dyDescent="0.35">
      <c r="B1126" s="544" t="s">
        <v>6263</v>
      </c>
      <c r="C1126" s="517" t="s">
        <v>6338</v>
      </c>
      <c r="D1126" s="518">
        <v>8298</v>
      </c>
      <c r="E1126" s="517" t="s">
        <v>3868</v>
      </c>
      <c r="F1126" s="518" t="s">
        <v>676</v>
      </c>
      <c r="G1126" s="519">
        <v>116236</v>
      </c>
      <c r="H1126" s="517" t="s">
        <v>6425</v>
      </c>
    </row>
    <row r="1127" spans="2:8" ht="15" x14ac:dyDescent="0.35">
      <c r="B1127" s="544" t="s">
        <v>6263</v>
      </c>
      <c r="C1127" s="517" t="s">
        <v>6351</v>
      </c>
      <c r="D1127" s="518">
        <v>8299</v>
      </c>
      <c r="E1127" s="517" t="s">
        <v>3869</v>
      </c>
      <c r="F1127" s="518" t="s">
        <v>389</v>
      </c>
      <c r="G1127" s="519">
        <v>131508</v>
      </c>
      <c r="H1127" s="517" t="s">
        <v>5686</v>
      </c>
    </row>
    <row r="1128" spans="2:8" ht="15" x14ac:dyDescent="0.35">
      <c r="B1128" s="544" t="s">
        <v>6263</v>
      </c>
      <c r="C1128" s="517" t="s">
        <v>6351</v>
      </c>
      <c r="D1128" s="518">
        <v>8300</v>
      </c>
      <c r="E1128" s="517" t="s">
        <v>3870</v>
      </c>
      <c r="F1128" s="518" t="s">
        <v>389</v>
      </c>
      <c r="G1128" s="519">
        <v>163636</v>
      </c>
      <c r="H1128" s="517" t="s">
        <v>5686</v>
      </c>
    </row>
    <row r="1129" spans="2:8" ht="15" x14ac:dyDescent="0.35">
      <c r="B1129" s="544" t="s">
        <v>6263</v>
      </c>
      <c r="C1129" s="517" t="s">
        <v>6359</v>
      </c>
      <c r="D1129" s="518">
        <v>8302</v>
      </c>
      <c r="E1129" s="517" t="s">
        <v>3871</v>
      </c>
      <c r="F1129" s="518" t="s">
        <v>29</v>
      </c>
      <c r="G1129" s="519">
        <v>26165</v>
      </c>
      <c r="H1129" s="517" t="s">
        <v>6915</v>
      </c>
    </row>
    <row r="1130" spans="2:8" ht="15" x14ac:dyDescent="0.35">
      <c r="B1130" s="544" t="s">
        <v>6263</v>
      </c>
      <c r="C1130" s="517" t="s">
        <v>6359</v>
      </c>
      <c r="D1130" s="518">
        <v>8303</v>
      </c>
      <c r="E1130" s="517" t="s">
        <v>3872</v>
      </c>
      <c r="F1130" s="518" t="s">
        <v>29</v>
      </c>
      <c r="G1130" s="519">
        <v>52920</v>
      </c>
      <c r="H1130" s="517" t="s">
        <v>6915</v>
      </c>
    </row>
    <row r="1131" spans="2:8" ht="15" x14ac:dyDescent="0.35">
      <c r="B1131" s="544" t="s">
        <v>6263</v>
      </c>
      <c r="C1131" s="517" t="s">
        <v>6350</v>
      </c>
      <c r="D1131" s="518">
        <v>8304</v>
      </c>
      <c r="E1131" s="517" t="s">
        <v>3873</v>
      </c>
      <c r="F1131" s="518" t="s">
        <v>1628</v>
      </c>
      <c r="G1131" s="519">
        <v>2356200</v>
      </c>
      <c r="H1131" s="517" t="s">
        <v>6425</v>
      </c>
    </row>
    <row r="1132" spans="2:8" ht="15" x14ac:dyDescent="0.35">
      <c r="B1132" s="544" t="s">
        <v>6263</v>
      </c>
      <c r="C1132" s="517" t="s">
        <v>6363</v>
      </c>
      <c r="D1132" s="518">
        <v>8306</v>
      </c>
      <c r="E1132" s="517" t="s">
        <v>3874</v>
      </c>
      <c r="F1132" s="518" t="s">
        <v>29</v>
      </c>
      <c r="G1132" s="519">
        <v>163625</v>
      </c>
      <c r="H1132" s="517" t="s">
        <v>6915</v>
      </c>
    </row>
    <row r="1133" spans="2:8" ht="15" x14ac:dyDescent="0.35">
      <c r="B1133" s="544" t="s">
        <v>6263</v>
      </c>
      <c r="C1133" s="517" t="s">
        <v>6363</v>
      </c>
      <c r="D1133" s="518">
        <v>8313</v>
      </c>
      <c r="E1133" s="517" t="s">
        <v>3875</v>
      </c>
      <c r="F1133" s="518" t="s">
        <v>367</v>
      </c>
      <c r="G1133" s="519">
        <v>8335</v>
      </c>
      <c r="H1133" s="517" t="s">
        <v>6915</v>
      </c>
    </row>
    <row r="1134" spans="2:8" ht="15" x14ac:dyDescent="0.35">
      <c r="B1134" s="544" t="s">
        <v>6263</v>
      </c>
      <c r="C1134" s="517" t="s">
        <v>6363</v>
      </c>
      <c r="D1134" s="518">
        <v>8314</v>
      </c>
      <c r="E1134" s="517" t="s">
        <v>3876</v>
      </c>
      <c r="F1134" s="518" t="s">
        <v>367</v>
      </c>
      <c r="G1134" s="519">
        <v>29460</v>
      </c>
      <c r="H1134" s="517" t="s">
        <v>6915</v>
      </c>
    </row>
    <row r="1135" spans="2:8" ht="15" x14ac:dyDescent="0.35">
      <c r="B1135" s="544" t="s">
        <v>6263</v>
      </c>
      <c r="C1135" s="517" t="s">
        <v>6359</v>
      </c>
      <c r="D1135" s="518">
        <v>8319</v>
      </c>
      <c r="E1135" s="517" t="s">
        <v>3877</v>
      </c>
      <c r="F1135" s="518" t="s">
        <v>26</v>
      </c>
      <c r="G1135" s="519">
        <v>2711</v>
      </c>
      <c r="H1135" s="517" t="s">
        <v>6915</v>
      </c>
    </row>
    <row r="1136" spans="2:8" ht="15" x14ac:dyDescent="0.35">
      <c r="B1136" s="544" t="s">
        <v>6263</v>
      </c>
      <c r="C1136" s="517" t="s">
        <v>6351</v>
      </c>
      <c r="D1136" s="518">
        <v>8320</v>
      </c>
      <c r="E1136" s="517" t="s">
        <v>3878</v>
      </c>
      <c r="F1136" s="518" t="s">
        <v>1628</v>
      </c>
      <c r="G1136" s="519">
        <v>3636357</v>
      </c>
      <c r="H1136" s="517" t="s">
        <v>5686</v>
      </c>
    </row>
    <row r="1137" spans="2:8" ht="15" x14ac:dyDescent="0.35">
      <c r="B1137" s="544" t="s">
        <v>6263</v>
      </c>
      <c r="C1137" s="517" t="s">
        <v>6351</v>
      </c>
      <c r="D1137" s="518">
        <v>8321</v>
      </c>
      <c r="E1137" s="517" t="s">
        <v>3879</v>
      </c>
      <c r="F1137" s="518" t="s">
        <v>389</v>
      </c>
      <c r="G1137" s="519">
        <v>121212</v>
      </c>
      <c r="H1137" s="517" t="s">
        <v>5686</v>
      </c>
    </row>
    <row r="1138" spans="2:8" ht="15" x14ac:dyDescent="0.35">
      <c r="B1138" s="544" t="s">
        <v>6263</v>
      </c>
      <c r="C1138" s="517" t="s">
        <v>6359</v>
      </c>
      <c r="D1138" s="518">
        <v>8322</v>
      </c>
      <c r="E1138" s="517" t="s">
        <v>3880</v>
      </c>
      <c r="F1138" s="518" t="s">
        <v>26</v>
      </c>
      <c r="G1138" s="519">
        <v>2579</v>
      </c>
      <c r="H1138" s="517" t="s">
        <v>6915</v>
      </c>
    </row>
    <row r="1139" spans="2:8" ht="15" x14ac:dyDescent="0.35">
      <c r="B1139" s="544" t="s">
        <v>6263</v>
      </c>
      <c r="C1139" s="517" t="s">
        <v>6387</v>
      </c>
      <c r="D1139" s="518">
        <v>8324</v>
      </c>
      <c r="E1139" s="517" t="s">
        <v>5853</v>
      </c>
      <c r="F1139" s="518" t="s">
        <v>3175</v>
      </c>
      <c r="G1139" s="519">
        <v>426525</v>
      </c>
      <c r="H1139" s="517" t="s">
        <v>5686</v>
      </c>
    </row>
    <row r="1140" spans="2:8" ht="15" x14ac:dyDescent="0.35">
      <c r="B1140" s="544" t="s">
        <v>6263</v>
      </c>
      <c r="C1140" s="517" t="s">
        <v>6367</v>
      </c>
      <c r="D1140" s="518">
        <v>8328</v>
      </c>
      <c r="E1140" s="517" t="s">
        <v>3881</v>
      </c>
      <c r="F1140" s="518" t="s">
        <v>3186</v>
      </c>
      <c r="G1140" s="519">
        <v>1034</v>
      </c>
      <c r="H1140" s="517" t="s">
        <v>3187</v>
      </c>
    </row>
    <row r="1141" spans="2:8" ht="15" x14ac:dyDescent="0.35">
      <c r="B1141" s="544" t="s">
        <v>6263</v>
      </c>
      <c r="C1141" s="517" t="s">
        <v>6359</v>
      </c>
      <c r="D1141" s="518">
        <v>8329</v>
      </c>
      <c r="E1141" s="517" t="s">
        <v>3882</v>
      </c>
      <c r="F1141" s="518" t="s">
        <v>26</v>
      </c>
      <c r="G1141" s="519">
        <v>8000</v>
      </c>
      <c r="H1141" s="517" t="s">
        <v>6915</v>
      </c>
    </row>
    <row r="1142" spans="2:8" ht="15" x14ac:dyDescent="0.35">
      <c r="B1142" s="544" t="s">
        <v>6263</v>
      </c>
      <c r="C1142" s="517" t="s">
        <v>6354</v>
      </c>
      <c r="D1142" s="518">
        <v>8330</v>
      </c>
      <c r="E1142" s="517" t="s">
        <v>3883</v>
      </c>
      <c r="F1142" s="518" t="s">
        <v>3172</v>
      </c>
      <c r="G1142" s="519">
        <v>248263</v>
      </c>
      <c r="H1142" s="517" t="s">
        <v>6915</v>
      </c>
    </row>
    <row r="1143" spans="2:8" ht="15" x14ac:dyDescent="0.35">
      <c r="B1143" s="544" t="s">
        <v>6263</v>
      </c>
      <c r="C1143" s="517" t="s">
        <v>6359</v>
      </c>
      <c r="D1143" s="518">
        <v>8331</v>
      </c>
      <c r="E1143" s="517" t="s">
        <v>3884</v>
      </c>
      <c r="F1143" s="518" t="s">
        <v>21</v>
      </c>
      <c r="G1143" s="519">
        <v>49465</v>
      </c>
      <c r="H1143" s="517" t="s">
        <v>6915</v>
      </c>
    </row>
    <row r="1144" spans="2:8" ht="15" x14ac:dyDescent="0.35">
      <c r="B1144" s="544" t="s">
        <v>6263</v>
      </c>
      <c r="C1144" s="517" t="s">
        <v>6359</v>
      </c>
      <c r="D1144" s="518">
        <v>8334</v>
      </c>
      <c r="E1144" s="517" t="s">
        <v>3885</v>
      </c>
      <c r="F1144" s="518" t="s">
        <v>26</v>
      </c>
      <c r="G1144" s="519">
        <v>10434</v>
      </c>
      <c r="H1144" s="517" t="s">
        <v>6915</v>
      </c>
    </row>
    <row r="1145" spans="2:8" ht="15" x14ac:dyDescent="0.35">
      <c r="B1145" s="544" t="s">
        <v>6263</v>
      </c>
      <c r="C1145" s="517" t="s">
        <v>6275</v>
      </c>
      <c r="D1145" s="518">
        <v>8340</v>
      </c>
      <c r="E1145" s="517" t="s">
        <v>3886</v>
      </c>
      <c r="F1145" s="518" t="s">
        <v>367</v>
      </c>
      <c r="G1145" s="519">
        <v>11614</v>
      </c>
      <c r="H1145" s="517" t="s">
        <v>6425</v>
      </c>
    </row>
    <row r="1146" spans="2:8" ht="15" x14ac:dyDescent="0.35">
      <c r="B1146" s="544" t="s">
        <v>6263</v>
      </c>
      <c r="C1146" s="517" t="s">
        <v>6359</v>
      </c>
      <c r="D1146" s="518">
        <v>8357</v>
      </c>
      <c r="E1146" s="517" t="s">
        <v>3887</v>
      </c>
      <c r="F1146" s="518" t="s">
        <v>29</v>
      </c>
      <c r="G1146" s="519">
        <v>9230</v>
      </c>
      <c r="H1146" s="517" t="s">
        <v>6915</v>
      </c>
    </row>
    <row r="1147" spans="2:8" ht="15" x14ac:dyDescent="0.35">
      <c r="B1147" s="544" t="s">
        <v>6263</v>
      </c>
      <c r="C1147" s="517" t="s">
        <v>6359</v>
      </c>
      <c r="D1147" s="518">
        <v>8358</v>
      </c>
      <c r="E1147" s="517" t="s">
        <v>3888</v>
      </c>
      <c r="F1147" s="518" t="s">
        <v>29</v>
      </c>
      <c r="G1147" s="519">
        <v>221495</v>
      </c>
      <c r="H1147" s="517" t="s">
        <v>6915</v>
      </c>
    </row>
    <row r="1148" spans="2:8" ht="15" x14ac:dyDescent="0.35">
      <c r="B1148" s="544" t="s">
        <v>6263</v>
      </c>
      <c r="C1148" s="517" t="s">
        <v>6345</v>
      </c>
      <c r="D1148" s="518">
        <v>8359</v>
      </c>
      <c r="E1148" s="517" t="s">
        <v>3889</v>
      </c>
      <c r="F1148" s="518" t="s">
        <v>26</v>
      </c>
      <c r="G1148" s="519">
        <v>3069</v>
      </c>
      <c r="H1148" s="517" t="s">
        <v>6425</v>
      </c>
    </row>
    <row r="1149" spans="2:8" ht="15" x14ac:dyDescent="0.35">
      <c r="B1149" s="544" t="s">
        <v>6263</v>
      </c>
      <c r="C1149" s="517" t="s">
        <v>6355</v>
      </c>
      <c r="D1149" s="518">
        <v>8362</v>
      </c>
      <c r="E1149" s="517" t="s">
        <v>3890</v>
      </c>
      <c r="F1149" s="518" t="s">
        <v>26</v>
      </c>
      <c r="G1149" s="519">
        <v>2015147</v>
      </c>
      <c r="H1149" s="517" t="s">
        <v>6425</v>
      </c>
    </row>
    <row r="1150" spans="2:8" ht="15" x14ac:dyDescent="0.35">
      <c r="B1150" s="544" t="s">
        <v>6263</v>
      </c>
      <c r="C1150" s="517" t="s">
        <v>6380</v>
      </c>
      <c r="D1150" s="518">
        <v>8364</v>
      </c>
      <c r="E1150" s="517" t="s">
        <v>3891</v>
      </c>
      <c r="F1150" s="518" t="s">
        <v>3892</v>
      </c>
      <c r="G1150" s="519">
        <v>26906</v>
      </c>
      <c r="H1150" s="517" t="s">
        <v>6915</v>
      </c>
    </row>
    <row r="1151" spans="2:8" ht="15" x14ac:dyDescent="0.35">
      <c r="B1151" s="544" t="s">
        <v>6263</v>
      </c>
      <c r="C1151" s="517" t="s">
        <v>6380</v>
      </c>
      <c r="D1151" s="518">
        <v>8365</v>
      </c>
      <c r="E1151" s="517" t="s">
        <v>3893</v>
      </c>
      <c r="F1151" s="518" t="s">
        <v>3892</v>
      </c>
      <c r="G1151" s="519">
        <v>31924</v>
      </c>
      <c r="H1151" s="517" t="s">
        <v>6915</v>
      </c>
    </row>
    <row r="1152" spans="2:8" ht="15" x14ac:dyDescent="0.35">
      <c r="B1152" s="544" t="s">
        <v>6263</v>
      </c>
      <c r="C1152" s="517" t="s">
        <v>6380</v>
      </c>
      <c r="D1152" s="518">
        <v>8366</v>
      </c>
      <c r="E1152" s="517" t="s">
        <v>3894</v>
      </c>
      <c r="F1152" s="518" t="s">
        <v>3892</v>
      </c>
      <c r="G1152" s="519">
        <v>34674</v>
      </c>
      <c r="H1152" s="517" t="s">
        <v>6915</v>
      </c>
    </row>
    <row r="1153" spans="2:8" ht="15" x14ac:dyDescent="0.35">
      <c r="B1153" s="544" t="s">
        <v>6263</v>
      </c>
      <c r="C1153" s="517" t="s">
        <v>6380</v>
      </c>
      <c r="D1153" s="518">
        <v>8367</v>
      </c>
      <c r="E1153" s="517" t="s">
        <v>3895</v>
      </c>
      <c r="F1153" s="518" t="s">
        <v>3892</v>
      </c>
      <c r="G1153" s="519">
        <v>35700</v>
      </c>
      <c r="H1153" s="517" t="s">
        <v>6915</v>
      </c>
    </row>
    <row r="1154" spans="2:8" ht="15" x14ac:dyDescent="0.35">
      <c r="B1154" s="544" t="s">
        <v>6263</v>
      </c>
      <c r="C1154" s="517" t="s">
        <v>6380</v>
      </c>
      <c r="D1154" s="518">
        <v>8369</v>
      </c>
      <c r="E1154" s="517" t="s">
        <v>3896</v>
      </c>
      <c r="F1154" s="518" t="s">
        <v>3892</v>
      </c>
      <c r="G1154" s="519">
        <v>39270</v>
      </c>
      <c r="H1154" s="517" t="s">
        <v>6915</v>
      </c>
    </row>
    <row r="1155" spans="2:8" ht="15" x14ac:dyDescent="0.35">
      <c r="B1155" s="544" t="s">
        <v>6263</v>
      </c>
      <c r="C1155" s="517" t="s">
        <v>6380</v>
      </c>
      <c r="D1155" s="518">
        <v>8370</v>
      </c>
      <c r="E1155" s="517" t="s">
        <v>3897</v>
      </c>
      <c r="F1155" s="518" t="s">
        <v>3892</v>
      </c>
      <c r="G1155" s="519">
        <v>39270</v>
      </c>
      <c r="H1155" s="517" t="s">
        <v>6915</v>
      </c>
    </row>
    <row r="1156" spans="2:8" ht="15" x14ac:dyDescent="0.35">
      <c r="B1156" s="544" t="s">
        <v>6263</v>
      </c>
      <c r="C1156" s="517" t="s">
        <v>6354</v>
      </c>
      <c r="D1156" s="518">
        <v>8404</v>
      </c>
      <c r="E1156" s="517" t="s">
        <v>3898</v>
      </c>
      <c r="F1156" s="518" t="s">
        <v>3172</v>
      </c>
      <c r="G1156" s="519">
        <v>74333</v>
      </c>
      <c r="H1156" s="517" t="s">
        <v>6915</v>
      </c>
    </row>
    <row r="1157" spans="2:8" ht="15" x14ac:dyDescent="0.35">
      <c r="B1157" s="544" t="s">
        <v>6263</v>
      </c>
      <c r="C1157" s="517" t="s">
        <v>6378</v>
      </c>
      <c r="D1157" s="518">
        <v>8430</v>
      </c>
      <c r="E1157" s="517" t="s">
        <v>3899</v>
      </c>
      <c r="F1157" s="518" t="s">
        <v>29</v>
      </c>
      <c r="G1157" s="519">
        <v>101621427</v>
      </c>
      <c r="H1157" s="517" t="s">
        <v>6425</v>
      </c>
    </row>
    <row r="1158" spans="2:8" ht="15" x14ac:dyDescent="0.35">
      <c r="B1158" s="544" t="s">
        <v>6263</v>
      </c>
      <c r="C1158" s="517" t="s">
        <v>6378</v>
      </c>
      <c r="D1158" s="518">
        <v>8431</v>
      </c>
      <c r="E1158" s="517" t="s">
        <v>3900</v>
      </c>
      <c r="F1158" s="518" t="s">
        <v>29</v>
      </c>
      <c r="G1158" s="519">
        <v>108258786</v>
      </c>
      <c r="H1158" s="517" t="s">
        <v>6425</v>
      </c>
    </row>
    <row r="1159" spans="2:8" ht="15" x14ac:dyDescent="0.35">
      <c r="B1159" s="544" t="s">
        <v>6263</v>
      </c>
      <c r="C1159" s="517" t="s">
        <v>6378</v>
      </c>
      <c r="D1159" s="518">
        <v>8432</v>
      </c>
      <c r="E1159" s="517" t="s">
        <v>3901</v>
      </c>
      <c r="F1159" s="518" t="s">
        <v>26</v>
      </c>
      <c r="G1159" s="519">
        <v>456027</v>
      </c>
      <c r="H1159" s="517" t="s">
        <v>6425</v>
      </c>
    </row>
    <row r="1160" spans="2:8" ht="15" x14ac:dyDescent="0.35">
      <c r="B1160" s="544" t="s">
        <v>6263</v>
      </c>
      <c r="C1160" s="517" t="s">
        <v>6378</v>
      </c>
      <c r="D1160" s="518">
        <v>8434</v>
      </c>
      <c r="E1160" s="517" t="s">
        <v>3902</v>
      </c>
      <c r="F1160" s="518" t="s">
        <v>26</v>
      </c>
      <c r="G1160" s="519">
        <v>552175</v>
      </c>
      <c r="H1160" s="517" t="s">
        <v>6425</v>
      </c>
    </row>
    <row r="1161" spans="2:8" ht="15" x14ac:dyDescent="0.35">
      <c r="B1161" s="544" t="s">
        <v>6263</v>
      </c>
      <c r="C1161" s="517" t="s">
        <v>6378</v>
      </c>
      <c r="D1161" s="518">
        <v>8435</v>
      </c>
      <c r="E1161" s="517" t="s">
        <v>3903</v>
      </c>
      <c r="F1161" s="518" t="s">
        <v>29</v>
      </c>
      <c r="G1161" s="519">
        <v>602197</v>
      </c>
      <c r="H1161" s="517" t="s">
        <v>6425</v>
      </c>
    </row>
    <row r="1162" spans="2:8" ht="15" x14ac:dyDescent="0.35">
      <c r="B1162" s="544" t="s">
        <v>6263</v>
      </c>
      <c r="C1162" s="517" t="s">
        <v>6378</v>
      </c>
      <c r="D1162" s="518">
        <v>8436</v>
      </c>
      <c r="E1162" s="517" t="s">
        <v>3904</v>
      </c>
      <c r="F1162" s="518" t="s">
        <v>26</v>
      </c>
      <c r="G1162" s="519">
        <v>686862</v>
      </c>
      <c r="H1162" s="517" t="s">
        <v>6425</v>
      </c>
    </row>
    <row r="1163" spans="2:8" ht="15" x14ac:dyDescent="0.35">
      <c r="B1163" s="544" t="s">
        <v>6263</v>
      </c>
      <c r="C1163" s="517" t="s">
        <v>6378</v>
      </c>
      <c r="D1163" s="518">
        <v>8437</v>
      </c>
      <c r="E1163" s="517" t="s">
        <v>3905</v>
      </c>
      <c r="F1163" s="518" t="s">
        <v>29</v>
      </c>
      <c r="G1163" s="519">
        <v>637620</v>
      </c>
      <c r="H1163" s="517" t="s">
        <v>6425</v>
      </c>
    </row>
    <row r="1164" spans="2:8" ht="15" x14ac:dyDescent="0.35">
      <c r="B1164" s="544" t="s">
        <v>6263</v>
      </c>
      <c r="C1164" s="517" t="s">
        <v>6378</v>
      </c>
      <c r="D1164" s="518">
        <v>8438</v>
      </c>
      <c r="E1164" s="517" t="s">
        <v>3906</v>
      </c>
      <c r="F1164" s="518" t="s">
        <v>26</v>
      </c>
      <c r="G1164" s="519">
        <v>801014</v>
      </c>
      <c r="H1164" s="517" t="s">
        <v>6425</v>
      </c>
    </row>
    <row r="1165" spans="2:8" ht="15" x14ac:dyDescent="0.35">
      <c r="B1165" s="544" t="s">
        <v>6263</v>
      </c>
      <c r="C1165" s="517" t="s">
        <v>6378</v>
      </c>
      <c r="D1165" s="518">
        <v>8440</v>
      </c>
      <c r="E1165" s="517" t="s">
        <v>3907</v>
      </c>
      <c r="F1165" s="518" t="s">
        <v>26</v>
      </c>
      <c r="G1165" s="519">
        <v>953119</v>
      </c>
      <c r="H1165" s="517" t="s">
        <v>6425</v>
      </c>
    </row>
    <row r="1166" spans="2:8" ht="15" x14ac:dyDescent="0.35">
      <c r="B1166" s="544" t="s">
        <v>6263</v>
      </c>
      <c r="C1166" s="517" t="s">
        <v>6378</v>
      </c>
      <c r="D1166" s="518">
        <v>8441</v>
      </c>
      <c r="E1166" s="517" t="s">
        <v>3908</v>
      </c>
      <c r="F1166" s="518" t="s">
        <v>29</v>
      </c>
      <c r="G1166" s="519">
        <v>721119</v>
      </c>
      <c r="H1166" s="517" t="s">
        <v>6425</v>
      </c>
    </row>
    <row r="1167" spans="2:8" ht="15" x14ac:dyDescent="0.35">
      <c r="B1167" s="544" t="s">
        <v>6263</v>
      </c>
      <c r="C1167" s="517" t="s">
        <v>6378</v>
      </c>
      <c r="D1167" s="518">
        <v>8442</v>
      </c>
      <c r="E1167" s="517" t="s">
        <v>3909</v>
      </c>
      <c r="F1167" s="518" t="s">
        <v>26</v>
      </c>
      <c r="G1167" s="519">
        <v>1161765</v>
      </c>
      <c r="H1167" s="517" t="s">
        <v>6425</v>
      </c>
    </row>
    <row r="1168" spans="2:8" ht="15" x14ac:dyDescent="0.35">
      <c r="B1168" s="544" t="s">
        <v>6263</v>
      </c>
      <c r="C1168" s="517" t="s">
        <v>6378</v>
      </c>
      <c r="D1168" s="518">
        <v>8443</v>
      </c>
      <c r="E1168" s="517" t="s">
        <v>3910</v>
      </c>
      <c r="F1168" s="518" t="s">
        <v>29</v>
      </c>
      <c r="G1168" s="519">
        <v>853212</v>
      </c>
      <c r="H1168" s="517" t="s">
        <v>6425</v>
      </c>
    </row>
    <row r="1169" spans="2:8" ht="15" x14ac:dyDescent="0.35">
      <c r="B1169" s="544" t="s">
        <v>6263</v>
      </c>
      <c r="C1169" s="517" t="s">
        <v>6378</v>
      </c>
      <c r="D1169" s="518">
        <v>8444</v>
      </c>
      <c r="E1169" s="517" t="s">
        <v>3911</v>
      </c>
      <c r="F1169" s="518" t="s">
        <v>26</v>
      </c>
      <c r="G1169" s="519">
        <v>7038518</v>
      </c>
      <c r="H1169" s="517" t="s">
        <v>6425</v>
      </c>
    </row>
    <row r="1170" spans="2:8" ht="15" x14ac:dyDescent="0.35">
      <c r="B1170" s="544" t="s">
        <v>6263</v>
      </c>
      <c r="C1170" s="517" t="s">
        <v>6378</v>
      </c>
      <c r="D1170" s="518">
        <v>8445</v>
      </c>
      <c r="E1170" s="517" t="s">
        <v>3912</v>
      </c>
      <c r="F1170" s="518" t="s">
        <v>29</v>
      </c>
      <c r="G1170" s="519">
        <v>2494815</v>
      </c>
      <c r="H1170" s="517" t="s">
        <v>6425</v>
      </c>
    </row>
    <row r="1171" spans="2:8" ht="15" x14ac:dyDescent="0.35">
      <c r="B1171" s="544" t="s">
        <v>6263</v>
      </c>
      <c r="C1171" s="517" t="s">
        <v>6378</v>
      </c>
      <c r="D1171" s="518">
        <v>8447</v>
      </c>
      <c r="E1171" s="517" t="s">
        <v>3913</v>
      </c>
      <c r="F1171" s="518" t="s">
        <v>26</v>
      </c>
      <c r="G1171" s="519">
        <v>7488900</v>
      </c>
      <c r="H1171" s="517" t="s">
        <v>6425</v>
      </c>
    </row>
    <row r="1172" spans="2:8" ht="15" x14ac:dyDescent="0.35">
      <c r="B1172" s="544" t="s">
        <v>6263</v>
      </c>
      <c r="C1172" s="517" t="s">
        <v>6378</v>
      </c>
      <c r="D1172" s="518">
        <v>8448</v>
      </c>
      <c r="E1172" s="517" t="s">
        <v>3914</v>
      </c>
      <c r="F1172" s="518" t="s">
        <v>29</v>
      </c>
      <c r="G1172" s="519">
        <v>3274149</v>
      </c>
      <c r="H1172" s="517" t="s">
        <v>6425</v>
      </c>
    </row>
    <row r="1173" spans="2:8" ht="15" x14ac:dyDescent="0.35">
      <c r="B1173" s="544" t="s">
        <v>6263</v>
      </c>
      <c r="C1173" s="517" t="s">
        <v>6378</v>
      </c>
      <c r="D1173" s="518">
        <v>8449</v>
      </c>
      <c r="E1173" s="517" t="s">
        <v>3915</v>
      </c>
      <c r="F1173" s="518" t="s">
        <v>29</v>
      </c>
      <c r="G1173" s="519">
        <v>28531707</v>
      </c>
      <c r="H1173" s="517" t="s">
        <v>6425</v>
      </c>
    </row>
    <row r="1174" spans="2:8" ht="15" x14ac:dyDescent="0.35">
      <c r="B1174" s="544" t="s">
        <v>6263</v>
      </c>
      <c r="C1174" s="517" t="s">
        <v>6378</v>
      </c>
      <c r="D1174" s="518">
        <v>8450</v>
      </c>
      <c r="E1174" s="517" t="s">
        <v>3916</v>
      </c>
      <c r="F1174" s="518" t="s">
        <v>29</v>
      </c>
      <c r="G1174" s="519">
        <v>28531707</v>
      </c>
      <c r="H1174" s="517" t="s">
        <v>6425</v>
      </c>
    </row>
    <row r="1175" spans="2:8" ht="15" x14ac:dyDescent="0.35">
      <c r="B1175" s="544" t="s">
        <v>6263</v>
      </c>
      <c r="C1175" s="517" t="s">
        <v>6378</v>
      </c>
      <c r="D1175" s="518">
        <v>8451</v>
      </c>
      <c r="E1175" s="517" t="s">
        <v>3917</v>
      </c>
      <c r="F1175" s="518" t="s">
        <v>29</v>
      </c>
      <c r="G1175" s="519">
        <v>30414331</v>
      </c>
      <c r="H1175" s="517" t="s">
        <v>6425</v>
      </c>
    </row>
    <row r="1176" spans="2:8" ht="15" x14ac:dyDescent="0.35">
      <c r="B1176" s="544" t="s">
        <v>6263</v>
      </c>
      <c r="C1176" s="517" t="s">
        <v>6378</v>
      </c>
      <c r="D1176" s="518">
        <v>8452</v>
      </c>
      <c r="E1176" s="517" t="s">
        <v>3918</v>
      </c>
      <c r="F1176" s="518" t="s">
        <v>29</v>
      </c>
      <c r="G1176" s="519">
        <v>33362773</v>
      </c>
      <c r="H1176" s="517" t="s">
        <v>6425</v>
      </c>
    </row>
    <row r="1177" spans="2:8" ht="15" x14ac:dyDescent="0.35">
      <c r="B1177" s="544" t="s">
        <v>6263</v>
      </c>
      <c r="C1177" s="517" t="s">
        <v>6378</v>
      </c>
      <c r="D1177" s="518">
        <v>8453</v>
      </c>
      <c r="E1177" s="517" t="s">
        <v>3919</v>
      </c>
      <c r="F1177" s="518" t="s">
        <v>29</v>
      </c>
      <c r="G1177" s="519">
        <v>40552745</v>
      </c>
      <c r="H1177" s="517" t="s">
        <v>6425</v>
      </c>
    </row>
    <row r="1178" spans="2:8" ht="15" x14ac:dyDescent="0.35">
      <c r="B1178" s="544" t="s">
        <v>6263</v>
      </c>
      <c r="C1178" s="517" t="s">
        <v>6378</v>
      </c>
      <c r="D1178" s="518">
        <v>8454</v>
      </c>
      <c r="E1178" s="517" t="s">
        <v>3920</v>
      </c>
      <c r="F1178" s="518" t="s">
        <v>29</v>
      </c>
      <c r="G1178" s="519">
        <v>49066688</v>
      </c>
      <c r="H1178" s="517" t="s">
        <v>6425</v>
      </c>
    </row>
    <row r="1179" spans="2:8" ht="15" x14ac:dyDescent="0.35">
      <c r="B1179" s="544" t="s">
        <v>6263</v>
      </c>
      <c r="C1179" s="517" t="s">
        <v>6378</v>
      </c>
      <c r="D1179" s="518">
        <v>8455</v>
      </c>
      <c r="E1179" s="517" t="s">
        <v>3921</v>
      </c>
      <c r="F1179" s="518" t="s">
        <v>29</v>
      </c>
      <c r="G1179" s="519">
        <v>58272464</v>
      </c>
      <c r="H1179" s="517" t="s">
        <v>6425</v>
      </c>
    </row>
    <row r="1180" spans="2:8" ht="15" x14ac:dyDescent="0.35">
      <c r="B1180" s="544" t="s">
        <v>6263</v>
      </c>
      <c r="C1180" s="517" t="s">
        <v>6378</v>
      </c>
      <c r="D1180" s="518">
        <v>8456</v>
      </c>
      <c r="E1180" s="517" t="s">
        <v>3922</v>
      </c>
      <c r="F1180" s="518" t="s">
        <v>29</v>
      </c>
      <c r="G1180" s="519">
        <v>64775754</v>
      </c>
      <c r="H1180" s="517" t="s">
        <v>6425</v>
      </c>
    </row>
    <row r="1181" spans="2:8" ht="15" x14ac:dyDescent="0.35">
      <c r="B1181" s="544" t="s">
        <v>6263</v>
      </c>
      <c r="C1181" s="517" t="s">
        <v>6378</v>
      </c>
      <c r="D1181" s="518">
        <v>8457</v>
      </c>
      <c r="E1181" s="517" t="s">
        <v>3923</v>
      </c>
      <c r="F1181" s="518" t="s">
        <v>29</v>
      </c>
      <c r="G1181" s="519">
        <v>72129149</v>
      </c>
      <c r="H1181" s="517" t="s">
        <v>6425</v>
      </c>
    </row>
    <row r="1182" spans="2:8" ht="15" x14ac:dyDescent="0.35">
      <c r="B1182" s="544" t="s">
        <v>6263</v>
      </c>
      <c r="C1182" s="517" t="s">
        <v>6390</v>
      </c>
      <c r="D1182" s="518">
        <v>8460</v>
      </c>
      <c r="E1182" s="517" t="s">
        <v>3924</v>
      </c>
      <c r="F1182" s="518" t="s">
        <v>29</v>
      </c>
      <c r="G1182" s="519">
        <v>8850</v>
      </c>
      <c r="H1182" s="517" t="s">
        <v>6915</v>
      </c>
    </row>
    <row r="1183" spans="2:8" ht="15" x14ac:dyDescent="0.35">
      <c r="B1183" s="544" t="s">
        <v>6263</v>
      </c>
      <c r="C1183" s="517" t="s">
        <v>6390</v>
      </c>
      <c r="D1183" s="518">
        <v>8461</v>
      </c>
      <c r="E1183" s="517" t="s">
        <v>3925</v>
      </c>
      <c r="F1183" s="518" t="s">
        <v>26</v>
      </c>
      <c r="G1183" s="519">
        <v>16850</v>
      </c>
      <c r="H1183" s="517" t="s">
        <v>6915</v>
      </c>
    </row>
    <row r="1184" spans="2:8" ht="15" x14ac:dyDescent="0.35">
      <c r="B1184" s="544" t="s">
        <v>6263</v>
      </c>
      <c r="C1184" s="517" t="s">
        <v>6389</v>
      </c>
      <c r="D1184" s="518">
        <v>8462</v>
      </c>
      <c r="E1184" s="517" t="s">
        <v>3926</v>
      </c>
      <c r="F1184" s="518" t="s">
        <v>29</v>
      </c>
      <c r="G1184" s="519">
        <v>370764</v>
      </c>
      <c r="H1184" s="517" t="s">
        <v>6425</v>
      </c>
    </row>
    <row r="1185" spans="2:8" ht="15" x14ac:dyDescent="0.35">
      <c r="B1185" s="544" t="s">
        <v>6263</v>
      </c>
      <c r="C1185" s="517" t="s">
        <v>6389</v>
      </c>
      <c r="D1185" s="518">
        <v>8463</v>
      </c>
      <c r="E1185" s="517" t="s">
        <v>3927</v>
      </c>
      <c r="F1185" s="518" t="s">
        <v>29</v>
      </c>
      <c r="G1185" s="519">
        <v>763205</v>
      </c>
      <c r="H1185" s="517" t="s">
        <v>6425</v>
      </c>
    </row>
    <row r="1186" spans="2:8" ht="15" x14ac:dyDescent="0.35">
      <c r="B1186" s="544" t="s">
        <v>6263</v>
      </c>
      <c r="C1186" s="517" t="s">
        <v>6367</v>
      </c>
      <c r="D1186" s="518">
        <v>8473</v>
      </c>
      <c r="E1186" s="517" t="s">
        <v>3928</v>
      </c>
      <c r="F1186" s="518" t="s">
        <v>21</v>
      </c>
      <c r="G1186" s="519">
        <v>1635</v>
      </c>
      <c r="H1186" s="517" t="s">
        <v>6915</v>
      </c>
    </row>
    <row r="1187" spans="2:8" ht="15" x14ac:dyDescent="0.35">
      <c r="B1187" s="544" t="s">
        <v>6263</v>
      </c>
      <c r="C1187" s="517" t="s">
        <v>6275</v>
      </c>
      <c r="D1187" s="518">
        <v>8474</v>
      </c>
      <c r="E1187" s="517" t="s">
        <v>3929</v>
      </c>
      <c r="F1187" s="518" t="s">
        <v>367</v>
      </c>
      <c r="G1187" s="519">
        <v>6844</v>
      </c>
      <c r="H1187" s="517" t="s">
        <v>6425</v>
      </c>
    </row>
    <row r="1188" spans="2:8" ht="15" x14ac:dyDescent="0.35">
      <c r="B1188" s="544" t="s">
        <v>6263</v>
      </c>
      <c r="C1188" s="517" t="s">
        <v>6275</v>
      </c>
      <c r="D1188" s="518">
        <v>8475</v>
      </c>
      <c r="E1188" s="517" t="s">
        <v>3930</v>
      </c>
      <c r="F1188" s="518" t="s">
        <v>367</v>
      </c>
      <c r="G1188" s="519">
        <v>6418</v>
      </c>
      <c r="H1188" s="517" t="s">
        <v>6425</v>
      </c>
    </row>
    <row r="1189" spans="2:8" ht="15" x14ac:dyDescent="0.35">
      <c r="B1189" s="544" t="s">
        <v>6263</v>
      </c>
      <c r="C1189" s="517" t="s">
        <v>6275</v>
      </c>
      <c r="D1189" s="518">
        <v>8476</v>
      </c>
      <c r="E1189" s="517" t="s">
        <v>3931</v>
      </c>
      <c r="F1189" s="518" t="s">
        <v>21</v>
      </c>
      <c r="G1189" s="519">
        <v>29155</v>
      </c>
      <c r="H1189" s="517" t="s">
        <v>6425</v>
      </c>
    </row>
    <row r="1190" spans="2:8" ht="15" x14ac:dyDescent="0.35">
      <c r="B1190" s="544" t="s">
        <v>6263</v>
      </c>
      <c r="C1190" s="517" t="s">
        <v>6367</v>
      </c>
      <c r="D1190" s="518">
        <v>8478</v>
      </c>
      <c r="E1190" s="517" t="s">
        <v>3932</v>
      </c>
      <c r="F1190" s="518" t="s">
        <v>29</v>
      </c>
      <c r="G1190" s="519">
        <v>26036</v>
      </c>
      <c r="H1190" s="517" t="s">
        <v>6915</v>
      </c>
    </row>
    <row r="1191" spans="2:8" ht="15" x14ac:dyDescent="0.35">
      <c r="B1191" s="544" t="s">
        <v>6263</v>
      </c>
      <c r="C1191" s="517" t="s">
        <v>6367</v>
      </c>
      <c r="D1191" s="518">
        <v>8479</v>
      </c>
      <c r="E1191" s="517" t="s">
        <v>3933</v>
      </c>
      <c r="F1191" s="518" t="s">
        <v>29</v>
      </c>
      <c r="G1191" s="519">
        <v>136</v>
      </c>
      <c r="H1191" s="517" t="s">
        <v>6915</v>
      </c>
    </row>
    <row r="1192" spans="2:8" ht="15" x14ac:dyDescent="0.35">
      <c r="B1192" s="544" t="s">
        <v>6263</v>
      </c>
      <c r="C1192" s="517" t="s">
        <v>6367</v>
      </c>
      <c r="D1192" s="518">
        <v>8480</v>
      </c>
      <c r="E1192" s="517" t="s">
        <v>3934</v>
      </c>
      <c r="F1192" s="518" t="s">
        <v>29</v>
      </c>
      <c r="G1192" s="519">
        <v>1341</v>
      </c>
      <c r="H1192" s="517" t="s">
        <v>6915</v>
      </c>
    </row>
    <row r="1193" spans="2:8" ht="15" x14ac:dyDescent="0.35">
      <c r="B1193" s="544" t="s">
        <v>6263</v>
      </c>
      <c r="C1193" s="517" t="s">
        <v>6354</v>
      </c>
      <c r="D1193" s="518">
        <v>8481</v>
      </c>
      <c r="E1193" s="517" t="s">
        <v>3935</v>
      </c>
      <c r="F1193" s="518" t="s">
        <v>3172</v>
      </c>
      <c r="G1193" s="519">
        <v>99960</v>
      </c>
      <c r="H1193" s="517" t="s">
        <v>6915</v>
      </c>
    </row>
    <row r="1194" spans="2:8" ht="15" x14ac:dyDescent="0.35">
      <c r="B1194" s="544" t="s">
        <v>6263</v>
      </c>
      <c r="C1194" s="517" t="s">
        <v>6354</v>
      </c>
      <c r="D1194" s="518">
        <v>8482</v>
      </c>
      <c r="E1194" s="517" t="s">
        <v>3936</v>
      </c>
      <c r="F1194" s="518" t="s">
        <v>3172</v>
      </c>
      <c r="G1194" s="519">
        <v>74333</v>
      </c>
      <c r="H1194" s="517" t="s">
        <v>6915</v>
      </c>
    </row>
    <row r="1195" spans="2:8" ht="15" x14ac:dyDescent="0.35">
      <c r="B1195" s="544" t="s">
        <v>6263</v>
      </c>
      <c r="C1195" s="517" t="s">
        <v>6367</v>
      </c>
      <c r="D1195" s="518">
        <v>8483</v>
      </c>
      <c r="E1195" s="517" t="s">
        <v>3937</v>
      </c>
      <c r="F1195" s="518" t="s">
        <v>29</v>
      </c>
      <c r="G1195" s="519">
        <v>208938</v>
      </c>
      <c r="H1195" s="517" t="s">
        <v>6915</v>
      </c>
    </row>
    <row r="1196" spans="2:8" ht="15" x14ac:dyDescent="0.35">
      <c r="B1196" s="544" t="s">
        <v>6263</v>
      </c>
      <c r="C1196" s="517" t="s">
        <v>6348</v>
      </c>
      <c r="D1196" s="518">
        <v>8500</v>
      </c>
      <c r="E1196" s="517" t="s">
        <v>3938</v>
      </c>
      <c r="F1196" s="518" t="s">
        <v>26</v>
      </c>
      <c r="G1196" s="519">
        <v>121094</v>
      </c>
      <c r="H1196" s="517" t="s">
        <v>6915</v>
      </c>
    </row>
    <row r="1197" spans="2:8" ht="15" x14ac:dyDescent="0.35">
      <c r="B1197" s="544" t="s">
        <v>6263</v>
      </c>
      <c r="C1197" s="517" t="s">
        <v>6369</v>
      </c>
      <c r="D1197" s="518">
        <v>8501</v>
      </c>
      <c r="E1197" s="517" t="s">
        <v>5854</v>
      </c>
      <c r="F1197" s="518" t="s">
        <v>29</v>
      </c>
      <c r="G1197" s="519">
        <v>1516027</v>
      </c>
      <c r="H1197" s="517" t="s">
        <v>6915</v>
      </c>
    </row>
    <row r="1198" spans="2:8" ht="15" x14ac:dyDescent="0.35">
      <c r="B1198" s="544" t="s">
        <v>6263</v>
      </c>
      <c r="C1198" s="517" t="s">
        <v>6341</v>
      </c>
      <c r="D1198" s="518">
        <v>8502</v>
      </c>
      <c r="E1198" s="517" t="s">
        <v>3939</v>
      </c>
      <c r="F1198" s="518" t="s">
        <v>367</v>
      </c>
      <c r="G1198" s="519">
        <v>9758</v>
      </c>
      <c r="H1198" s="517" t="s">
        <v>6425</v>
      </c>
    </row>
    <row r="1199" spans="2:8" ht="15" x14ac:dyDescent="0.35">
      <c r="B1199" s="544" t="s">
        <v>6263</v>
      </c>
      <c r="C1199" s="517" t="s">
        <v>6354</v>
      </c>
      <c r="D1199" s="518">
        <v>8506</v>
      </c>
      <c r="E1199" s="517" t="s">
        <v>3940</v>
      </c>
      <c r="F1199" s="518" t="s">
        <v>3172</v>
      </c>
      <c r="G1199" s="519">
        <v>114400</v>
      </c>
      <c r="H1199" s="517" t="s">
        <v>6915</v>
      </c>
    </row>
    <row r="1200" spans="2:8" ht="15" x14ac:dyDescent="0.35">
      <c r="B1200" s="544" t="s">
        <v>6263</v>
      </c>
      <c r="C1200" s="517" t="s">
        <v>6354</v>
      </c>
      <c r="D1200" s="518">
        <v>8508</v>
      </c>
      <c r="E1200" s="517" t="s">
        <v>3941</v>
      </c>
      <c r="F1200" s="518" t="s">
        <v>3172</v>
      </c>
      <c r="G1200" s="519">
        <v>119900</v>
      </c>
      <c r="H1200" s="517" t="s">
        <v>6915</v>
      </c>
    </row>
    <row r="1201" spans="2:8" ht="15" x14ac:dyDescent="0.35">
      <c r="B1201" s="544" t="s">
        <v>6263</v>
      </c>
      <c r="C1201" s="517" t="s">
        <v>6354</v>
      </c>
      <c r="D1201" s="518">
        <v>8509</v>
      </c>
      <c r="E1201" s="517" t="s">
        <v>3942</v>
      </c>
      <c r="F1201" s="518" t="s">
        <v>3172</v>
      </c>
      <c r="G1201" s="519">
        <v>131040</v>
      </c>
      <c r="H1201" s="517" t="s">
        <v>6915</v>
      </c>
    </row>
    <row r="1202" spans="2:8" ht="15" x14ac:dyDescent="0.35">
      <c r="B1202" s="544" t="s">
        <v>6263</v>
      </c>
      <c r="C1202" s="517" t="s">
        <v>6354</v>
      </c>
      <c r="D1202" s="518">
        <v>8511</v>
      </c>
      <c r="E1202" s="517" t="s">
        <v>3943</v>
      </c>
      <c r="F1202" s="518" t="s">
        <v>3172</v>
      </c>
      <c r="G1202" s="519">
        <v>144990</v>
      </c>
      <c r="H1202" s="517" t="s">
        <v>6915</v>
      </c>
    </row>
    <row r="1203" spans="2:8" ht="15" x14ac:dyDescent="0.35">
      <c r="B1203" s="544" t="s">
        <v>6263</v>
      </c>
      <c r="C1203" s="517" t="s">
        <v>6363</v>
      </c>
      <c r="D1203" s="518">
        <v>8515</v>
      </c>
      <c r="E1203" s="517" t="s">
        <v>3944</v>
      </c>
      <c r="F1203" s="518" t="s">
        <v>367</v>
      </c>
      <c r="G1203" s="519">
        <v>18652</v>
      </c>
      <c r="H1203" s="517" t="s">
        <v>6915</v>
      </c>
    </row>
    <row r="1204" spans="2:8" ht="15" x14ac:dyDescent="0.35">
      <c r="B1204" s="544" t="s">
        <v>6263</v>
      </c>
      <c r="C1204" s="517" t="s">
        <v>6340</v>
      </c>
      <c r="D1204" s="518">
        <v>8516</v>
      </c>
      <c r="E1204" s="517" t="s">
        <v>3945</v>
      </c>
      <c r="F1204" s="518" t="s">
        <v>21</v>
      </c>
      <c r="G1204" s="519">
        <v>42011</v>
      </c>
      <c r="H1204" s="517" t="s">
        <v>6425</v>
      </c>
    </row>
    <row r="1205" spans="2:8" ht="15" x14ac:dyDescent="0.35">
      <c r="B1205" s="544" t="s">
        <v>6263</v>
      </c>
      <c r="C1205" s="517" t="s">
        <v>6340</v>
      </c>
      <c r="D1205" s="518">
        <v>8520</v>
      </c>
      <c r="E1205" s="517" t="s">
        <v>3946</v>
      </c>
      <c r="F1205" s="518" t="s">
        <v>3947</v>
      </c>
      <c r="G1205" s="519">
        <v>1724</v>
      </c>
      <c r="H1205" s="517" t="s">
        <v>6425</v>
      </c>
    </row>
    <row r="1206" spans="2:8" ht="15" x14ac:dyDescent="0.35">
      <c r="B1206" s="544" t="s">
        <v>6263</v>
      </c>
      <c r="C1206" s="517" t="s">
        <v>6367</v>
      </c>
      <c r="D1206" s="518">
        <v>8522</v>
      </c>
      <c r="E1206" s="517" t="s">
        <v>3948</v>
      </c>
      <c r="F1206" s="518" t="s">
        <v>21</v>
      </c>
      <c r="G1206" s="519">
        <v>9194</v>
      </c>
      <c r="H1206" s="517" t="s">
        <v>6915</v>
      </c>
    </row>
    <row r="1207" spans="2:8" ht="15" x14ac:dyDescent="0.35">
      <c r="B1207" s="544" t="s">
        <v>6263</v>
      </c>
      <c r="C1207" s="517" t="s">
        <v>6363</v>
      </c>
      <c r="D1207" s="518">
        <v>8524</v>
      </c>
      <c r="E1207" s="517" t="s">
        <v>5604</v>
      </c>
      <c r="F1207" s="518" t="s">
        <v>29</v>
      </c>
      <c r="G1207" s="519">
        <v>51200</v>
      </c>
      <c r="H1207" s="517" t="s">
        <v>6915</v>
      </c>
    </row>
    <row r="1208" spans="2:8" ht="15" x14ac:dyDescent="0.35">
      <c r="B1208" s="544" t="s">
        <v>6263</v>
      </c>
      <c r="C1208" s="517" t="s">
        <v>6258</v>
      </c>
      <c r="D1208" s="518">
        <v>8525</v>
      </c>
      <c r="E1208" s="517" t="s">
        <v>3949</v>
      </c>
      <c r="F1208" s="518" t="s">
        <v>21</v>
      </c>
      <c r="G1208" s="519">
        <v>20254</v>
      </c>
      <c r="H1208" s="517" t="s">
        <v>6915</v>
      </c>
    </row>
    <row r="1209" spans="2:8" ht="15" x14ac:dyDescent="0.35">
      <c r="B1209" s="544" t="s">
        <v>6263</v>
      </c>
      <c r="C1209" s="517" t="s">
        <v>6354</v>
      </c>
      <c r="D1209" s="518">
        <v>8529</v>
      </c>
      <c r="E1209" s="517" t="s">
        <v>3950</v>
      </c>
      <c r="F1209" s="518" t="s">
        <v>3172</v>
      </c>
      <c r="G1209" s="519">
        <v>86282</v>
      </c>
      <c r="H1209" s="517" t="s">
        <v>6915</v>
      </c>
    </row>
    <row r="1210" spans="2:8" ht="15" x14ac:dyDescent="0.35">
      <c r="B1210" s="544" t="s">
        <v>6263</v>
      </c>
      <c r="C1210" s="517" t="s">
        <v>6366</v>
      </c>
      <c r="D1210" s="518">
        <v>8530</v>
      </c>
      <c r="E1210" s="517" t="s">
        <v>3951</v>
      </c>
      <c r="F1210" s="518" t="s">
        <v>29</v>
      </c>
      <c r="G1210" s="519">
        <v>12000</v>
      </c>
      <c r="H1210" s="517" t="s">
        <v>6915</v>
      </c>
    </row>
    <row r="1211" spans="2:8" ht="15" x14ac:dyDescent="0.35">
      <c r="B1211" s="544" t="s">
        <v>6263</v>
      </c>
      <c r="C1211" s="517" t="s">
        <v>6354</v>
      </c>
      <c r="D1211" s="518">
        <v>8531</v>
      </c>
      <c r="E1211" s="517" t="s">
        <v>3952</v>
      </c>
      <c r="F1211" s="518" t="s">
        <v>3172</v>
      </c>
      <c r="G1211" s="519">
        <v>32538</v>
      </c>
      <c r="H1211" s="517" t="s">
        <v>6915</v>
      </c>
    </row>
    <row r="1212" spans="2:8" ht="15" x14ac:dyDescent="0.35">
      <c r="B1212" s="544" t="s">
        <v>6263</v>
      </c>
      <c r="C1212" s="517" t="s">
        <v>6342</v>
      </c>
      <c r="D1212" s="518">
        <v>8539</v>
      </c>
      <c r="E1212" s="517" t="s">
        <v>3953</v>
      </c>
      <c r="F1212" s="518" t="s">
        <v>29</v>
      </c>
      <c r="G1212" s="519">
        <v>4998</v>
      </c>
      <c r="H1212" s="517" t="s">
        <v>6425</v>
      </c>
    </row>
    <row r="1213" spans="2:8" ht="15" x14ac:dyDescent="0.35">
      <c r="B1213" s="544" t="s">
        <v>6263</v>
      </c>
      <c r="C1213" s="517" t="s">
        <v>6367</v>
      </c>
      <c r="D1213" s="518">
        <v>8555</v>
      </c>
      <c r="E1213" s="517" t="s">
        <v>3954</v>
      </c>
      <c r="F1213" s="518" t="s">
        <v>29</v>
      </c>
      <c r="G1213" s="519">
        <v>1580</v>
      </c>
      <c r="H1213" s="517" t="s">
        <v>6915</v>
      </c>
    </row>
    <row r="1214" spans="2:8" ht="15" x14ac:dyDescent="0.35">
      <c r="B1214" s="544" t="s">
        <v>6263</v>
      </c>
      <c r="C1214" s="517" t="s">
        <v>6348</v>
      </c>
      <c r="D1214" s="518">
        <v>8560</v>
      </c>
      <c r="E1214" s="517" t="s">
        <v>3955</v>
      </c>
      <c r="F1214" s="518" t="s">
        <v>29</v>
      </c>
      <c r="G1214" s="519">
        <v>9802</v>
      </c>
      <c r="H1214" s="517" t="s">
        <v>6915</v>
      </c>
    </row>
    <row r="1215" spans="2:8" ht="15" x14ac:dyDescent="0.35">
      <c r="B1215" s="544" t="s">
        <v>6263</v>
      </c>
      <c r="C1215" s="517" t="s">
        <v>6367</v>
      </c>
      <c r="D1215" s="518">
        <v>8565</v>
      </c>
      <c r="E1215" s="517" t="s">
        <v>3956</v>
      </c>
      <c r="F1215" s="518" t="s">
        <v>367</v>
      </c>
      <c r="G1215" s="519">
        <v>6612</v>
      </c>
      <c r="H1215" s="517" t="s">
        <v>6915</v>
      </c>
    </row>
    <row r="1216" spans="2:8" ht="15" x14ac:dyDescent="0.35">
      <c r="B1216" s="544" t="s">
        <v>6263</v>
      </c>
      <c r="C1216" s="517" t="s">
        <v>6367</v>
      </c>
      <c r="D1216" s="518">
        <v>8566</v>
      </c>
      <c r="E1216" s="517" t="s">
        <v>3957</v>
      </c>
      <c r="F1216" s="518" t="s">
        <v>26</v>
      </c>
      <c r="G1216" s="519">
        <v>1883</v>
      </c>
      <c r="H1216" s="517" t="s">
        <v>6915</v>
      </c>
    </row>
    <row r="1217" spans="2:8" ht="15" x14ac:dyDescent="0.35">
      <c r="B1217" s="544" t="s">
        <v>6263</v>
      </c>
      <c r="C1217" s="517" t="s">
        <v>6392</v>
      </c>
      <c r="D1217" s="518">
        <v>8567</v>
      </c>
      <c r="E1217" s="517" t="s">
        <v>3958</v>
      </c>
      <c r="F1217" s="518" t="s">
        <v>21</v>
      </c>
      <c r="G1217" s="519">
        <v>87500</v>
      </c>
      <c r="H1217" s="517" t="s">
        <v>6915</v>
      </c>
    </row>
    <row r="1218" spans="2:8" ht="15" x14ac:dyDescent="0.35">
      <c r="B1218" s="544" t="s">
        <v>6263</v>
      </c>
      <c r="C1218" s="517" t="s">
        <v>6392</v>
      </c>
      <c r="D1218" s="518">
        <v>8570</v>
      </c>
      <c r="E1218" s="517" t="s">
        <v>3959</v>
      </c>
      <c r="F1218" s="518" t="s">
        <v>3960</v>
      </c>
      <c r="G1218" s="519">
        <v>22868</v>
      </c>
      <c r="H1218" s="517" t="s">
        <v>6915</v>
      </c>
    </row>
    <row r="1219" spans="2:8" ht="15" x14ac:dyDescent="0.35">
      <c r="B1219" s="544" t="s">
        <v>6263</v>
      </c>
      <c r="C1219" s="517" t="s">
        <v>6366</v>
      </c>
      <c r="D1219" s="518">
        <v>8576</v>
      </c>
      <c r="E1219" s="517" t="s">
        <v>3961</v>
      </c>
      <c r="F1219" s="518" t="s">
        <v>3172</v>
      </c>
      <c r="G1219" s="519">
        <v>112000</v>
      </c>
      <c r="H1219" s="517" t="s">
        <v>6915</v>
      </c>
    </row>
    <row r="1220" spans="2:8" ht="15" x14ac:dyDescent="0.35">
      <c r="B1220" s="544" t="s">
        <v>6263</v>
      </c>
      <c r="C1220" s="517" t="s">
        <v>6353</v>
      </c>
      <c r="D1220" s="518">
        <v>8577</v>
      </c>
      <c r="E1220" s="517" t="s">
        <v>5605</v>
      </c>
      <c r="F1220" s="518" t="s">
        <v>26</v>
      </c>
      <c r="G1220" s="519">
        <v>27330</v>
      </c>
      <c r="H1220" s="517" t="s">
        <v>6425</v>
      </c>
    </row>
    <row r="1221" spans="2:8" ht="15" x14ac:dyDescent="0.35">
      <c r="B1221" s="544" t="s">
        <v>6263</v>
      </c>
      <c r="C1221" s="517" t="s">
        <v>6353</v>
      </c>
      <c r="D1221" s="518">
        <v>8578</v>
      </c>
      <c r="E1221" s="517" t="s">
        <v>5606</v>
      </c>
      <c r="F1221" s="518" t="s">
        <v>29</v>
      </c>
      <c r="G1221" s="519">
        <v>4877</v>
      </c>
      <c r="H1221" s="517" t="s">
        <v>6425</v>
      </c>
    </row>
    <row r="1222" spans="2:8" ht="15" x14ac:dyDescent="0.35">
      <c r="B1222" s="544" t="s">
        <v>6263</v>
      </c>
      <c r="C1222" s="517" t="s">
        <v>6353</v>
      </c>
      <c r="D1222" s="518">
        <v>8579</v>
      </c>
      <c r="E1222" s="517" t="s">
        <v>5607</v>
      </c>
      <c r="F1222" s="518" t="s">
        <v>29</v>
      </c>
      <c r="G1222" s="519">
        <v>19645</v>
      </c>
      <c r="H1222" s="517" t="s">
        <v>6425</v>
      </c>
    </row>
    <row r="1223" spans="2:8" ht="15" x14ac:dyDescent="0.35">
      <c r="B1223" s="544" t="s">
        <v>6263</v>
      </c>
      <c r="C1223" s="517" t="s">
        <v>6353</v>
      </c>
      <c r="D1223" s="518">
        <v>8584</v>
      </c>
      <c r="E1223" s="517" t="s">
        <v>5608</v>
      </c>
      <c r="F1223" s="518" t="s">
        <v>26</v>
      </c>
      <c r="G1223" s="519">
        <v>145094</v>
      </c>
      <c r="H1223" s="517" t="s">
        <v>6425</v>
      </c>
    </row>
    <row r="1224" spans="2:8" ht="15" x14ac:dyDescent="0.35">
      <c r="B1224" s="544" t="s">
        <v>6263</v>
      </c>
      <c r="C1224" s="517" t="s">
        <v>6345</v>
      </c>
      <c r="D1224" s="518">
        <v>8586</v>
      </c>
      <c r="E1224" s="517" t="s">
        <v>5609</v>
      </c>
      <c r="F1224" s="518" t="s">
        <v>26</v>
      </c>
      <c r="G1224" s="519">
        <v>17160</v>
      </c>
      <c r="H1224" s="517" t="s">
        <v>6425</v>
      </c>
    </row>
    <row r="1225" spans="2:8" ht="15" x14ac:dyDescent="0.35">
      <c r="B1225" s="544" t="s">
        <v>6263</v>
      </c>
      <c r="C1225" s="517" t="s">
        <v>6346</v>
      </c>
      <c r="D1225" s="518">
        <v>8588</v>
      </c>
      <c r="E1225" s="517" t="s">
        <v>5610</v>
      </c>
      <c r="F1225" s="518" t="s">
        <v>26</v>
      </c>
      <c r="G1225" s="519">
        <v>7101</v>
      </c>
      <c r="H1225" s="517" t="s">
        <v>6425</v>
      </c>
    </row>
    <row r="1226" spans="2:8" ht="15" x14ac:dyDescent="0.35">
      <c r="B1226" s="544" t="s">
        <v>6263</v>
      </c>
      <c r="C1226" s="517" t="s">
        <v>6367</v>
      </c>
      <c r="D1226" s="518">
        <v>8634</v>
      </c>
      <c r="E1226" s="517" t="s">
        <v>3962</v>
      </c>
      <c r="F1226" s="518" t="s">
        <v>29</v>
      </c>
      <c r="G1226" s="519">
        <v>187556</v>
      </c>
      <c r="H1226" s="517" t="s">
        <v>6915</v>
      </c>
    </row>
    <row r="1227" spans="2:8" ht="15" x14ac:dyDescent="0.35">
      <c r="B1227" s="544" t="s">
        <v>6263</v>
      </c>
      <c r="C1227" s="517" t="s">
        <v>6346</v>
      </c>
      <c r="D1227" s="518">
        <v>8635</v>
      </c>
      <c r="E1227" s="517" t="s">
        <v>5611</v>
      </c>
      <c r="F1227" s="518" t="s">
        <v>29</v>
      </c>
      <c r="G1227" s="519">
        <v>3113</v>
      </c>
      <c r="H1227" s="517" t="s">
        <v>6425</v>
      </c>
    </row>
    <row r="1228" spans="2:8" ht="15" x14ac:dyDescent="0.35">
      <c r="B1228" s="544" t="s">
        <v>6263</v>
      </c>
      <c r="C1228" s="517" t="s">
        <v>6347</v>
      </c>
      <c r="D1228" s="518">
        <v>8636</v>
      </c>
      <c r="E1228" s="517" t="s">
        <v>3963</v>
      </c>
      <c r="F1228" s="518" t="s">
        <v>367</v>
      </c>
      <c r="G1228" s="519">
        <v>1988</v>
      </c>
      <c r="H1228" s="517" t="s">
        <v>6425</v>
      </c>
    </row>
    <row r="1229" spans="2:8" ht="15" x14ac:dyDescent="0.35">
      <c r="B1229" s="544" t="s">
        <v>6263</v>
      </c>
      <c r="C1229" s="517" t="s">
        <v>6367</v>
      </c>
      <c r="D1229" s="518">
        <v>8644</v>
      </c>
      <c r="E1229" s="517" t="s">
        <v>3964</v>
      </c>
      <c r="F1229" s="518" t="s">
        <v>29</v>
      </c>
      <c r="G1229" s="519">
        <v>206869</v>
      </c>
      <c r="H1229" s="517" t="s">
        <v>6915</v>
      </c>
    </row>
    <row r="1230" spans="2:8" ht="15" x14ac:dyDescent="0.35">
      <c r="B1230" s="544" t="s">
        <v>6263</v>
      </c>
      <c r="C1230" s="517" t="s">
        <v>6367</v>
      </c>
      <c r="D1230" s="518">
        <v>8645</v>
      </c>
      <c r="E1230" s="517" t="s">
        <v>3965</v>
      </c>
      <c r="F1230" s="518" t="s">
        <v>29</v>
      </c>
      <c r="G1230" s="519">
        <v>520070</v>
      </c>
      <c r="H1230" s="517" t="s">
        <v>6915</v>
      </c>
    </row>
    <row r="1231" spans="2:8" ht="15" x14ac:dyDescent="0.35">
      <c r="B1231" s="544" t="s">
        <v>6263</v>
      </c>
      <c r="C1231" s="517" t="s">
        <v>6341</v>
      </c>
      <c r="D1231" s="518">
        <v>8654</v>
      </c>
      <c r="E1231" s="517" t="s">
        <v>3966</v>
      </c>
      <c r="F1231" s="518" t="s">
        <v>367</v>
      </c>
      <c r="G1231" s="519">
        <v>5569</v>
      </c>
      <c r="H1231" s="517" t="s">
        <v>6425</v>
      </c>
    </row>
    <row r="1232" spans="2:8" ht="15" x14ac:dyDescent="0.35">
      <c r="B1232" s="544" t="s">
        <v>6263</v>
      </c>
      <c r="C1232" s="517" t="s">
        <v>6390</v>
      </c>
      <c r="D1232" s="518">
        <v>8666</v>
      </c>
      <c r="E1232" s="517" t="s">
        <v>3967</v>
      </c>
      <c r="F1232" s="518" t="s">
        <v>26</v>
      </c>
      <c r="G1232" s="519">
        <v>4750</v>
      </c>
      <c r="H1232" s="517" t="s">
        <v>6915</v>
      </c>
    </row>
    <row r="1233" spans="2:8" ht="15" x14ac:dyDescent="0.35">
      <c r="B1233" s="544" t="s">
        <v>6263</v>
      </c>
      <c r="C1233" s="517" t="s">
        <v>6390</v>
      </c>
      <c r="D1233" s="518">
        <v>8672</v>
      </c>
      <c r="E1233" s="517" t="s">
        <v>3968</v>
      </c>
      <c r="F1233" s="518" t="s">
        <v>29</v>
      </c>
      <c r="G1233" s="519">
        <v>3800</v>
      </c>
      <c r="H1233" s="517" t="s">
        <v>6915</v>
      </c>
    </row>
    <row r="1234" spans="2:8" ht="15" x14ac:dyDescent="0.35">
      <c r="B1234" s="544" t="s">
        <v>6263</v>
      </c>
      <c r="C1234" s="517" t="s">
        <v>6390</v>
      </c>
      <c r="D1234" s="518">
        <v>8674</v>
      </c>
      <c r="E1234" s="517" t="s">
        <v>3969</v>
      </c>
      <c r="F1234" s="518" t="s">
        <v>29</v>
      </c>
      <c r="G1234" s="519">
        <v>4600</v>
      </c>
      <c r="H1234" s="517" t="s">
        <v>6915</v>
      </c>
    </row>
    <row r="1235" spans="2:8" ht="15" x14ac:dyDescent="0.35">
      <c r="B1235" s="544" t="s">
        <v>6263</v>
      </c>
      <c r="C1235" s="517" t="s">
        <v>6390</v>
      </c>
      <c r="D1235" s="518">
        <v>8675</v>
      </c>
      <c r="E1235" s="517" t="s">
        <v>3970</v>
      </c>
      <c r="F1235" s="518" t="s">
        <v>29</v>
      </c>
      <c r="G1235" s="519">
        <v>39900</v>
      </c>
      <c r="H1235" s="517" t="s">
        <v>6915</v>
      </c>
    </row>
    <row r="1236" spans="2:8" ht="15" x14ac:dyDescent="0.35">
      <c r="B1236" s="544" t="s">
        <v>6263</v>
      </c>
      <c r="C1236" s="517" t="s">
        <v>6390</v>
      </c>
      <c r="D1236" s="518">
        <v>8676</v>
      </c>
      <c r="E1236" s="517" t="s">
        <v>3971</v>
      </c>
      <c r="F1236" s="518" t="s">
        <v>29</v>
      </c>
      <c r="G1236" s="519">
        <v>13008</v>
      </c>
      <c r="H1236" s="517" t="s">
        <v>6915</v>
      </c>
    </row>
    <row r="1237" spans="2:8" ht="15" x14ac:dyDescent="0.35">
      <c r="B1237" s="544" t="s">
        <v>6263</v>
      </c>
      <c r="C1237" s="517" t="s">
        <v>6367</v>
      </c>
      <c r="D1237" s="518">
        <v>8688</v>
      </c>
      <c r="E1237" s="517" t="s">
        <v>3972</v>
      </c>
      <c r="F1237" s="518" t="s">
        <v>3186</v>
      </c>
      <c r="G1237" s="519">
        <v>1034</v>
      </c>
      <c r="H1237" s="517" t="s">
        <v>3187</v>
      </c>
    </row>
    <row r="1238" spans="2:8" ht="15" x14ac:dyDescent="0.35">
      <c r="B1238" s="544" t="s">
        <v>6263</v>
      </c>
      <c r="C1238" s="517" t="s">
        <v>6351</v>
      </c>
      <c r="D1238" s="518">
        <v>8689</v>
      </c>
      <c r="E1238" s="517" t="s">
        <v>3973</v>
      </c>
      <c r="F1238" s="518" t="s">
        <v>389</v>
      </c>
      <c r="G1238" s="519">
        <v>139262</v>
      </c>
      <c r="H1238" s="517" t="s">
        <v>5686</v>
      </c>
    </row>
    <row r="1239" spans="2:8" ht="15" x14ac:dyDescent="0.35">
      <c r="B1239" s="544" t="s">
        <v>6263</v>
      </c>
      <c r="C1239" s="517" t="s">
        <v>6351</v>
      </c>
      <c r="D1239" s="518">
        <v>8690</v>
      </c>
      <c r="E1239" s="517" t="s">
        <v>3974</v>
      </c>
      <c r="F1239" s="518" t="s">
        <v>389</v>
      </c>
      <c r="G1239" s="519">
        <v>139262</v>
      </c>
      <c r="H1239" s="517" t="s">
        <v>5686</v>
      </c>
    </row>
    <row r="1240" spans="2:8" ht="15" x14ac:dyDescent="0.35">
      <c r="B1240" s="544" t="s">
        <v>6263</v>
      </c>
      <c r="C1240" s="517" t="s">
        <v>6390</v>
      </c>
      <c r="D1240" s="518">
        <v>8694</v>
      </c>
      <c r="E1240" s="517" t="s">
        <v>3975</v>
      </c>
      <c r="F1240" s="518" t="s">
        <v>26</v>
      </c>
      <c r="G1240" s="519">
        <v>4019</v>
      </c>
      <c r="H1240" s="517" t="s">
        <v>6915</v>
      </c>
    </row>
    <row r="1241" spans="2:8" ht="15" x14ac:dyDescent="0.35">
      <c r="B1241" s="544" t="s">
        <v>6263</v>
      </c>
      <c r="C1241" s="517" t="s">
        <v>6390</v>
      </c>
      <c r="D1241" s="518">
        <v>8695</v>
      </c>
      <c r="E1241" s="517" t="s">
        <v>3976</v>
      </c>
      <c r="F1241" s="518" t="s">
        <v>26</v>
      </c>
      <c r="G1241" s="519">
        <v>6590</v>
      </c>
      <c r="H1241" s="517" t="s">
        <v>6915</v>
      </c>
    </row>
    <row r="1242" spans="2:8" ht="15" x14ac:dyDescent="0.35">
      <c r="B1242" s="544" t="s">
        <v>6263</v>
      </c>
      <c r="C1242" s="517" t="s">
        <v>6390</v>
      </c>
      <c r="D1242" s="518">
        <v>8696</v>
      </c>
      <c r="E1242" s="517" t="s">
        <v>3977</v>
      </c>
      <c r="F1242" s="518" t="s">
        <v>26</v>
      </c>
      <c r="G1242" s="519">
        <v>11050</v>
      </c>
      <c r="H1242" s="517" t="s">
        <v>6915</v>
      </c>
    </row>
    <row r="1243" spans="2:8" ht="15" x14ac:dyDescent="0.35">
      <c r="B1243" s="544" t="s">
        <v>6263</v>
      </c>
      <c r="C1243" s="517" t="s">
        <v>6390</v>
      </c>
      <c r="D1243" s="518">
        <v>8698</v>
      </c>
      <c r="E1243" s="517" t="s">
        <v>3978</v>
      </c>
      <c r="F1243" s="518" t="s">
        <v>26</v>
      </c>
      <c r="G1243" s="519">
        <v>18500</v>
      </c>
      <c r="H1243" s="517" t="s">
        <v>6915</v>
      </c>
    </row>
    <row r="1244" spans="2:8" ht="15" x14ac:dyDescent="0.35">
      <c r="B1244" s="544" t="s">
        <v>6263</v>
      </c>
      <c r="C1244" s="517" t="s">
        <v>6390</v>
      </c>
      <c r="D1244" s="518">
        <v>8699</v>
      </c>
      <c r="E1244" s="517" t="s">
        <v>3979</v>
      </c>
      <c r="F1244" s="518" t="s">
        <v>26</v>
      </c>
      <c r="G1244" s="519">
        <v>24090</v>
      </c>
      <c r="H1244" s="517" t="s">
        <v>6915</v>
      </c>
    </row>
    <row r="1245" spans="2:8" ht="15" x14ac:dyDescent="0.35">
      <c r="B1245" s="544" t="s">
        <v>6263</v>
      </c>
      <c r="C1245" s="517" t="s">
        <v>6390</v>
      </c>
      <c r="D1245" s="518">
        <v>8700</v>
      </c>
      <c r="E1245" s="517" t="s">
        <v>3980</v>
      </c>
      <c r="F1245" s="518" t="s">
        <v>26</v>
      </c>
      <c r="G1245" s="519">
        <v>45454</v>
      </c>
      <c r="H1245" s="517" t="s">
        <v>6915</v>
      </c>
    </row>
    <row r="1246" spans="2:8" ht="15" x14ac:dyDescent="0.35">
      <c r="B1246" s="544" t="s">
        <v>6263</v>
      </c>
      <c r="C1246" s="517" t="s">
        <v>6390</v>
      </c>
      <c r="D1246" s="518">
        <v>8706</v>
      </c>
      <c r="E1246" s="517" t="s">
        <v>3981</v>
      </c>
      <c r="F1246" s="518" t="s">
        <v>29</v>
      </c>
      <c r="G1246" s="519">
        <v>6550</v>
      </c>
      <c r="H1246" s="517" t="s">
        <v>6915</v>
      </c>
    </row>
    <row r="1247" spans="2:8" ht="15" x14ac:dyDescent="0.35">
      <c r="B1247" s="544" t="s">
        <v>6263</v>
      </c>
      <c r="C1247" s="517" t="s">
        <v>6390</v>
      </c>
      <c r="D1247" s="518">
        <v>8708</v>
      </c>
      <c r="E1247" s="517" t="s">
        <v>3982</v>
      </c>
      <c r="F1247" s="518" t="s">
        <v>29</v>
      </c>
      <c r="G1247" s="519">
        <v>34213</v>
      </c>
      <c r="H1247" s="517" t="s">
        <v>6915</v>
      </c>
    </row>
    <row r="1248" spans="2:8" ht="15" x14ac:dyDescent="0.35">
      <c r="B1248" s="544" t="s">
        <v>6263</v>
      </c>
      <c r="C1248" s="517" t="s">
        <v>6348</v>
      </c>
      <c r="D1248" s="518">
        <v>8710</v>
      </c>
      <c r="E1248" s="517" t="s">
        <v>3983</v>
      </c>
      <c r="F1248" s="518" t="s">
        <v>29</v>
      </c>
      <c r="G1248" s="519">
        <v>65142</v>
      </c>
      <c r="H1248" s="517" t="s">
        <v>6915</v>
      </c>
    </row>
    <row r="1249" spans="2:8" ht="15" x14ac:dyDescent="0.35">
      <c r="B1249" s="544" t="s">
        <v>6263</v>
      </c>
      <c r="C1249" s="517" t="s">
        <v>6348</v>
      </c>
      <c r="D1249" s="518">
        <v>8712</v>
      </c>
      <c r="E1249" s="517" t="s">
        <v>3984</v>
      </c>
      <c r="F1249" s="518" t="s">
        <v>29</v>
      </c>
      <c r="G1249" s="519">
        <v>24731</v>
      </c>
      <c r="H1249" s="517" t="s">
        <v>6915</v>
      </c>
    </row>
    <row r="1250" spans="2:8" ht="15" x14ac:dyDescent="0.35">
      <c r="B1250" s="544" t="s">
        <v>6263</v>
      </c>
      <c r="C1250" s="517" t="s">
        <v>6390</v>
      </c>
      <c r="D1250" s="518">
        <v>8721</v>
      </c>
      <c r="E1250" s="517" t="s">
        <v>3985</v>
      </c>
      <c r="F1250" s="518" t="s">
        <v>26</v>
      </c>
      <c r="G1250" s="519">
        <v>90200</v>
      </c>
      <c r="H1250" s="517" t="s">
        <v>6915</v>
      </c>
    </row>
    <row r="1251" spans="2:8" ht="15" x14ac:dyDescent="0.35">
      <c r="B1251" s="544" t="s">
        <v>6263</v>
      </c>
      <c r="C1251" s="517" t="s">
        <v>6390</v>
      </c>
      <c r="D1251" s="518">
        <v>8722</v>
      </c>
      <c r="E1251" s="517" t="s">
        <v>3986</v>
      </c>
      <c r="F1251" s="518" t="s">
        <v>26</v>
      </c>
      <c r="G1251" s="519">
        <v>6900</v>
      </c>
      <c r="H1251" s="517" t="s">
        <v>6915</v>
      </c>
    </row>
    <row r="1252" spans="2:8" ht="15" x14ac:dyDescent="0.35">
      <c r="B1252" s="544" t="s">
        <v>6263</v>
      </c>
      <c r="C1252" s="517" t="s">
        <v>6348</v>
      </c>
      <c r="D1252" s="518">
        <v>8729</v>
      </c>
      <c r="E1252" s="517" t="s">
        <v>3987</v>
      </c>
      <c r="F1252" s="518" t="s">
        <v>29</v>
      </c>
      <c r="G1252" s="519">
        <v>9400</v>
      </c>
      <c r="H1252" s="517" t="s">
        <v>6915</v>
      </c>
    </row>
    <row r="1253" spans="2:8" ht="15" x14ac:dyDescent="0.35">
      <c r="B1253" s="544" t="s">
        <v>6263</v>
      </c>
      <c r="C1253" s="517" t="s">
        <v>6348</v>
      </c>
      <c r="D1253" s="518">
        <v>8731</v>
      </c>
      <c r="E1253" s="517" t="s">
        <v>3988</v>
      </c>
      <c r="F1253" s="518" t="s">
        <v>29</v>
      </c>
      <c r="G1253" s="519">
        <v>3800</v>
      </c>
      <c r="H1253" s="517" t="s">
        <v>6915</v>
      </c>
    </row>
    <row r="1254" spans="2:8" ht="15" x14ac:dyDescent="0.35">
      <c r="B1254" s="544" t="s">
        <v>6263</v>
      </c>
      <c r="C1254" s="517" t="s">
        <v>6348</v>
      </c>
      <c r="D1254" s="518">
        <v>8732</v>
      </c>
      <c r="E1254" s="517" t="s">
        <v>3989</v>
      </c>
      <c r="F1254" s="518" t="s">
        <v>29</v>
      </c>
      <c r="G1254" s="519">
        <v>14840</v>
      </c>
      <c r="H1254" s="517" t="s">
        <v>6915</v>
      </c>
    </row>
    <row r="1255" spans="2:8" ht="15" x14ac:dyDescent="0.35">
      <c r="B1255" s="544" t="s">
        <v>6263</v>
      </c>
      <c r="C1255" s="517" t="s">
        <v>6348</v>
      </c>
      <c r="D1255" s="518">
        <v>8734</v>
      </c>
      <c r="E1255" s="517" t="s">
        <v>3990</v>
      </c>
      <c r="F1255" s="518" t="s">
        <v>29</v>
      </c>
      <c r="G1255" s="519">
        <v>6300</v>
      </c>
      <c r="H1255" s="517" t="s">
        <v>6915</v>
      </c>
    </row>
    <row r="1256" spans="2:8" ht="15" x14ac:dyDescent="0.35">
      <c r="B1256" s="544" t="s">
        <v>6263</v>
      </c>
      <c r="C1256" s="517" t="s">
        <v>6390</v>
      </c>
      <c r="D1256" s="518">
        <v>8737</v>
      </c>
      <c r="E1256" s="517" t="s">
        <v>3991</v>
      </c>
      <c r="F1256" s="518" t="s">
        <v>26</v>
      </c>
      <c r="G1256" s="519">
        <v>67983</v>
      </c>
      <c r="H1256" s="517" t="s">
        <v>6915</v>
      </c>
    </row>
    <row r="1257" spans="2:8" ht="15" x14ac:dyDescent="0.35">
      <c r="B1257" s="544" t="s">
        <v>6263</v>
      </c>
      <c r="C1257" s="517" t="s">
        <v>6390</v>
      </c>
      <c r="D1257" s="518">
        <v>8738</v>
      </c>
      <c r="E1257" s="517" t="s">
        <v>3992</v>
      </c>
      <c r="F1257" s="518" t="s">
        <v>26</v>
      </c>
      <c r="G1257" s="519">
        <v>22500</v>
      </c>
      <c r="H1257" s="517" t="s">
        <v>6915</v>
      </c>
    </row>
    <row r="1258" spans="2:8" ht="15" x14ac:dyDescent="0.35">
      <c r="B1258" s="544" t="s">
        <v>6263</v>
      </c>
      <c r="C1258" s="517" t="s">
        <v>6390</v>
      </c>
      <c r="D1258" s="518">
        <v>8743</v>
      </c>
      <c r="E1258" s="517" t="s">
        <v>3993</v>
      </c>
      <c r="F1258" s="518" t="s">
        <v>29</v>
      </c>
      <c r="G1258" s="519">
        <v>25350</v>
      </c>
      <c r="H1258" s="517" t="s">
        <v>6915</v>
      </c>
    </row>
    <row r="1259" spans="2:8" ht="15" x14ac:dyDescent="0.35">
      <c r="B1259" s="544" t="s">
        <v>6263</v>
      </c>
      <c r="C1259" s="517" t="s">
        <v>6390</v>
      </c>
      <c r="D1259" s="518">
        <v>8746</v>
      </c>
      <c r="E1259" s="517" t="s">
        <v>3994</v>
      </c>
      <c r="F1259" s="518" t="s">
        <v>26</v>
      </c>
      <c r="G1259" s="519">
        <v>71343</v>
      </c>
      <c r="H1259" s="517" t="s">
        <v>6915</v>
      </c>
    </row>
    <row r="1260" spans="2:8" ht="15" x14ac:dyDescent="0.35">
      <c r="B1260" s="544" t="s">
        <v>6263</v>
      </c>
      <c r="C1260" s="517" t="s">
        <v>6390</v>
      </c>
      <c r="D1260" s="518">
        <v>8749</v>
      </c>
      <c r="E1260" s="517" t="s">
        <v>3995</v>
      </c>
      <c r="F1260" s="518" t="s">
        <v>26</v>
      </c>
      <c r="G1260" s="519">
        <v>191800</v>
      </c>
      <c r="H1260" s="517" t="s">
        <v>6915</v>
      </c>
    </row>
    <row r="1261" spans="2:8" ht="15" x14ac:dyDescent="0.35">
      <c r="B1261" s="544" t="s">
        <v>6263</v>
      </c>
      <c r="C1261" s="517" t="s">
        <v>6390</v>
      </c>
      <c r="D1261" s="518">
        <v>8760</v>
      </c>
      <c r="E1261" s="517" t="s">
        <v>3996</v>
      </c>
      <c r="F1261" s="518" t="s">
        <v>26</v>
      </c>
      <c r="G1261" s="519">
        <v>9100</v>
      </c>
      <c r="H1261" s="517" t="s">
        <v>6915</v>
      </c>
    </row>
    <row r="1262" spans="2:8" ht="15" x14ac:dyDescent="0.35">
      <c r="B1262" s="544" t="s">
        <v>6263</v>
      </c>
      <c r="C1262" s="517" t="s">
        <v>6390</v>
      </c>
      <c r="D1262" s="518">
        <v>8768</v>
      </c>
      <c r="E1262" s="517" t="s">
        <v>3997</v>
      </c>
      <c r="F1262" s="518" t="s">
        <v>26</v>
      </c>
      <c r="G1262" s="519">
        <v>43900</v>
      </c>
      <c r="H1262" s="517" t="s">
        <v>6915</v>
      </c>
    </row>
    <row r="1263" spans="2:8" ht="15" x14ac:dyDescent="0.35">
      <c r="B1263" s="544" t="s">
        <v>6263</v>
      </c>
      <c r="C1263" s="517" t="s">
        <v>6390</v>
      </c>
      <c r="D1263" s="518">
        <v>8771</v>
      </c>
      <c r="E1263" s="517" t="s">
        <v>3998</v>
      </c>
      <c r="F1263" s="518" t="s">
        <v>29</v>
      </c>
      <c r="G1263" s="519">
        <v>5421</v>
      </c>
      <c r="H1263" s="517" t="s">
        <v>6915</v>
      </c>
    </row>
    <row r="1264" spans="2:8" ht="15" x14ac:dyDescent="0.35">
      <c r="B1264" s="544" t="s">
        <v>6263</v>
      </c>
      <c r="C1264" s="517" t="s">
        <v>6390</v>
      </c>
      <c r="D1264" s="518">
        <v>8774</v>
      </c>
      <c r="E1264" s="517" t="s">
        <v>3999</v>
      </c>
      <c r="F1264" s="518" t="s">
        <v>29</v>
      </c>
      <c r="G1264" s="519">
        <v>250</v>
      </c>
      <c r="H1264" s="517" t="s">
        <v>6915</v>
      </c>
    </row>
    <row r="1265" spans="2:8" ht="15" x14ac:dyDescent="0.35">
      <c r="B1265" s="544" t="s">
        <v>6263</v>
      </c>
      <c r="C1265" s="517" t="s">
        <v>6390</v>
      </c>
      <c r="D1265" s="518">
        <v>8777</v>
      </c>
      <c r="E1265" s="517" t="s">
        <v>4000</v>
      </c>
      <c r="F1265" s="518" t="s">
        <v>26</v>
      </c>
      <c r="G1265" s="519">
        <v>4125</v>
      </c>
      <c r="H1265" s="517" t="s">
        <v>6915</v>
      </c>
    </row>
    <row r="1266" spans="2:8" ht="15" x14ac:dyDescent="0.35">
      <c r="B1266" s="544" t="s">
        <v>6263</v>
      </c>
      <c r="C1266" s="517" t="s">
        <v>6390</v>
      </c>
      <c r="D1266" s="518">
        <v>8779</v>
      </c>
      <c r="E1266" s="517" t="s">
        <v>4001</v>
      </c>
      <c r="F1266" s="518" t="s">
        <v>29</v>
      </c>
      <c r="G1266" s="519">
        <v>3550</v>
      </c>
      <c r="H1266" s="517" t="s">
        <v>6915</v>
      </c>
    </row>
    <row r="1267" spans="2:8" ht="15" x14ac:dyDescent="0.35">
      <c r="B1267" s="544" t="s">
        <v>6263</v>
      </c>
      <c r="C1267" s="517" t="s">
        <v>6367</v>
      </c>
      <c r="D1267" s="518">
        <v>8789</v>
      </c>
      <c r="E1267" s="517" t="s">
        <v>4002</v>
      </c>
      <c r="F1267" s="518" t="s">
        <v>3172</v>
      </c>
      <c r="G1267" s="519">
        <v>17060</v>
      </c>
      <c r="H1267" s="517" t="s">
        <v>6915</v>
      </c>
    </row>
    <row r="1268" spans="2:8" ht="15" x14ac:dyDescent="0.35">
      <c r="B1268" s="544" t="s">
        <v>6263</v>
      </c>
      <c r="C1268" s="517" t="s">
        <v>6367</v>
      </c>
      <c r="D1268" s="518">
        <v>8790</v>
      </c>
      <c r="E1268" s="517" t="s">
        <v>4003</v>
      </c>
      <c r="F1268" s="518" t="s">
        <v>21</v>
      </c>
      <c r="G1268" s="519">
        <v>204466</v>
      </c>
      <c r="H1268" s="517" t="s">
        <v>6915</v>
      </c>
    </row>
    <row r="1269" spans="2:8" ht="15" x14ac:dyDescent="0.35">
      <c r="B1269" s="544" t="s">
        <v>6263</v>
      </c>
      <c r="C1269" s="517" t="s">
        <v>6367</v>
      </c>
      <c r="D1269" s="518">
        <v>8794</v>
      </c>
      <c r="E1269" s="517" t="s">
        <v>4004</v>
      </c>
      <c r="F1269" s="518" t="s">
        <v>21</v>
      </c>
      <c r="G1269" s="519">
        <v>110189</v>
      </c>
      <c r="H1269" s="517" t="s">
        <v>6915</v>
      </c>
    </row>
    <row r="1270" spans="2:8" ht="15" x14ac:dyDescent="0.35">
      <c r="B1270" s="544" t="s">
        <v>6263</v>
      </c>
      <c r="C1270" s="517" t="s">
        <v>6350</v>
      </c>
      <c r="D1270" s="518">
        <v>8844</v>
      </c>
      <c r="E1270" s="517" t="s">
        <v>4005</v>
      </c>
      <c r="F1270" s="518" t="s">
        <v>676</v>
      </c>
      <c r="G1270" s="519">
        <v>5950</v>
      </c>
      <c r="H1270" s="517" t="s">
        <v>6425</v>
      </c>
    </row>
    <row r="1271" spans="2:8" ht="15" x14ac:dyDescent="0.35">
      <c r="B1271" s="544" t="s">
        <v>6263</v>
      </c>
      <c r="C1271" s="517" t="s">
        <v>6351</v>
      </c>
      <c r="D1271" s="518">
        <v>8845</v>
      </c>
      <c r="E1271" s="517" t="s">
        <v>4006</v>
      </c>
      <c r="F1271" s="518" t="s">
        <v>389</v>
      </c>
      <c r="G1271" s="519">
        <v>139262</v>
      </c>
      <c r="H1271" s="517" t="s">
        <v>5686</v>
      </c>
    </row>
    <row r="1272" spans="2:8" ht="15" x14ac:dyDescent="0.35">
      <c r="B1272" s="544" t="s">
        <v>6263</v>
      </c>
      <c r="C1272" s="517" t="s">
        <v>6359</v>
      </c>
      <c r="D1272" s="518">
        <v>8846</v>
      </c>
      <c r="E1272" s="517" t="s">
        <v>4007</v>
      </c>
      <c r="F1272" s="518" t="s">
        <v>29</v>
      </c>
      <c r="G1272" s="519">
        <v>159221</v>
      </c>
      <c r="H1272" s="517" t="s">
        <v>6915</v>
      </c>
    </row>
    <row r="1273" spans="2:8" ht="15" x14ac:dyDescent="0.35">
      <c r="B1273" s="544" t="s">
        <v>6263</v>
      </c>
      <c r="C1273" s="517" t="s">
        <v>6389</v>
      </c>
      <c r="D1273" s="518">
        <v>8854</v>
      </c>
      <c r="E1273" s="517" t="s">
        <v>4008</v>
      </c>
      <c r="F1273" s="518" t="s">
        <v>29</v>
      </c>
      <c r="G1273" s="519">
        <v>4084232</v>
      </c>
      <c r="H1273" s="517" t="s">
        <v>6425</v>
      </c>
    </row>
    <row r="1274" spans="2:8" ht="15" x14ac:dyDescent="0.35">
      <c r="B1274" s="544" t="s">
        <v>6263</v>
      </c>
      <c r="C1274" s="517" t="s">
        <v>6390</v>
      </c>
      <c r="D1274" s="518">
        <v>8855</v>
      </c>
      <c r="E1274" s="517" t="s">
        <v>4009</v>
      </c>
      <c r="F1274" s="518" t="s">
        <v>29</v>
      </c>
      <c r="G1274" s="519">
        <v>2499</v>
      </c>
      <c r="H1274" s="517" t="s">
        <v>6915</v>
      </c>
    </row>
    <row r="1275" spans="2:8" ht="15" x14ac:dyDescent="0.35">
      <c r="B1275" s="544" t="s">
        <v>6263</v>
      </c>
      <c r="C1275" s="517" t="s">
        <v>6390</v>
      </c>
      <c r="D1275" s="518">
        <v>8856</v>
      </c>
      <c r="E1275" s="517" t="s">
        <v>4010</v>
      </c>
      <c r="F1275" s="518" t="s">
        <v>29</v>
      </c>
      <c r="G1275" s="519">
        <v>1545</v>
      </c>
      <c r="H1275" s="517" t="s">
        <v>6915</v>
      </c>
    </row>
    <row r="1276" spans="2:8" ht="15" x14ac:dyDescent="0.35">
      <c r="B1276" s="544" t="s">
        <v>6263</v>
      </c>
      <c r="C1276" s="517" t="s">
        <v>6390</v>
      </c>
      <c r="D1276" s="518">
        <v>8858</v>
      </c>
      <c r="E1276" s="517" t="s">
        <v>4011</v>
      </c>
      <c r="F1276" s="518" t="s">
        <v>26</v>
      </c>
      <c r="G1276" s="519">
        <v>1379</v>
      </c>
      <c r="H1276" s="517" t="s">
        <v>6915</v>
      </c>
    </row>
    <row r="1277" spans="2:8" ht="15" x14ac:dyDescent="0.35">
      <c r="B1277" s="544" t="s">
        <v>6263</v>
      </c>
      <c r="C1277" s="517" t="s">
        <v>6390</v>
      </c>
      <c r="D1277" s="518">
        <v>8859</v>
      </c>
      <c r="E1277" s="517" t="s">
        <v>4012</v>
      </c>
      <c r="F1277" s="518" t="s">
        <v>26</v>
      </c>
      <c r="G1277" s="519">
        <v>14900</v>
      </c>
      <c r="H1277" s="517" t="s">
        <v>6915</v>
      </c>
    </row>
    <row r="1278" spans="2:8" ht="15" x14ac:dyDescent="0.35">
      <c r="B1278" s="544" t="s">
        <v>6263</v>
      </c>
      <c r="C1278" s="517" t="s">
        <v>6390</v>
      </c>
      <c r="D1278" s="518">
        <v>8860</v>
      </c>
      <c r="E1278" s="517" t="s">
        <v>4013</v>
      </c>
      <c r="F1278" s="518" t="s">
        <v>26</v>
      </c>
      <c r="G1278" s="519">
        <v>2900</v>
      </c>
      <c r="H1278" s="517" t="s">
        <v>6915</v>
      </c>
    </row>
    <row r="1279" spans="2:8" ht="15" x14ac:dyDescent="0.35">
      <c r="B1279" s="544" t="s">
        <v>6263</v>
      </c>
      <c r="C1279" s="517" t="s">
        <v>6390</v>
      </c>
      <c r="D1279" s="518">
        <v>8861</v>
      </c>
      <c r="E1279" s="517" t="s">
        <v>4014</v>
      </c>
      <c r="F1279" s="518" t="s">
        <v>26</v>
      </c>
      <c r="G1279" s="519">
        <v>2960</v>
      </c>
      <c r="H1279" s="517" t="s">
        <v>6915</v>
      </c>
    </row>
    <row r="1280" spans="2:8" ht="15" x14ac:dyDescent="0.35">
      <c r="B1280" s="544" t="s">
        <v>6263</v>
      </c>
      <c r="C1280" s="517" t="s">
        <v>6390</v>
      </c>
      <c r="D1280" s="518">
        <v>8862</v>
      </c>
      <c r="E1280" s="517" t="s">
        <v>4015</v>
      </c>
      <c r="F1280" s="518" t="s">
        <v>26</v>
      </c>
      <c r="G1280" s="519">
        <v>2857</v>
      </c>
      <c r="H1280" s="517" t="s">
        <v>6915</v>
      </c>
    </row>
    <row r="1281" spans="2:8" ht="15" x14ac:dyDescent="0.35">
      <c r="B1281" s="544" t="s">
        <v>6263</v>
      </c>
      <c r="C1281" s="517" t="s">
        <v>6390</v>
      </c>
      <c r="D1281" s="518">
        <v>8865</v>
      </c>
      <c r="E1281" s="517" t="s">
        <v>4016</v>
      </c>
      <c r="F1281" s="518" t="s">
        <v>29</v>
      </c>
      <c r="G1281" s="519">
        <v>559993</v>
      </c>
      <c r="H1281" s="517" t="s">
        <v>6915</v>
      </c>
    </row>
    <row r="1282" spans="2:8" ht="15" x14ac:dyDescent="0.35">
      <c r="B1282" s="544" t="s">
        <v>6263</v>
      </c>
      <c r="C1282" s="517" t="s">
        <v>6390</v>
      </c>
      <c r="D1282" s="518">
        <v>8866</v>
      </c>
      <c r="E1282" s="517" t="s">
        <v>4017</v>
      </c>
      <c r="F1282" s="518" t="s">
        <v>29</v>
      </c>
      <c r="G1282" s="519">
        <v>17541</v>
      </c>
      <c r="H1282" s="517" t="s">
        <v>6915</v>
      </c>
    </row>
    <row r="1283" spans="2:8" ht="15" x14ac:dyDescent="0.35">
      <c r="B1283" s="544" t="s">
        <v>6263</v>
      </c>
      <c r="C1283" s="517" t="s">
        <v>6390</v>
      </c>
      <c r="D1283" s="518">
        <v>8867</v>
      </c>
      <c r="E1283" s="517" t="s">
        <v>4018</v>
      </c>
      <c r="F1283" s="518" t="s">
        <v>29</v>
      </c>
      <c r="G1283" s="519">
        <v>57450</v>
      </c>
      <c r="H1283" s="517" t="s">
        <v>6915</v>
      </c>
    </row>
    <row r="1284" spans="2:8" ht="15" x14ac:dyDescent="0.35">
      <c r="B1284" s="544" t="s">
        <v>6263</v>
      </c>
      <c r="C1284" s="517" t="s">
        <v>6390</v>
      </c>
      <c r="D1284" s="518">
        <v>8868</v>
      </c>
      <c r="E1284" s="517" t="s">
        <v>4019</v>
      </c>
      <c r="F1284" s="518" t="s">
        <v>26</v>
      </c>
      <c r="G1284" s="519">
        <v>42250</v>
      </c>
      <c r="H1284" s="517" t="s">
        <v>6915</v>
      </c>
    </row>
    <row r="1285" spans="2:8" ht="15" x14ac:dyDescent="0.35">
      <c r="B1285" s="544" t="s">
        <v>6263</v>
      </c>
      <c r="C1285" s="517" t="s">
        <v>6390</v>
      </c>
      <c r="D1285" s="518">
        <v>8869</v>
      </c>
      <c r="E1285" s="517" t="s">
        <v>4020</v>
      </c>
      <c r="F1285" s="518" t="s">
        <v>26</v>
      </c>
      <c r="G1285" s="519">
        <v>27278</v>
      </c>
      <c r="H1285" s="517" t="s">
        <v>6915</v>
      </c>
    </row>
    <row r="1286" spans="2:8" ht="15" x14ac:dyDescent="0.35">
      <c r="B1286" s="544" t="s">
        <v>6263</v>
      </c>
      <c r="C1286" s="517" t="s">
        <v>6390</v>
      </c>
      <c r="D1286" s="518">
        <v>8870</v>
      </c>
      <c r="E1286" s="517" t="s">
        <v>4021</v>
      </c>
      <c r="F1286" s="518" t="s">
        <v>29</v>
      </c>
      <c r="G1286" s="519">
        <v>3300</v>
      </c>
      <c r="H1286" s="517" t="s">
        <v>6915</v>
      </c>
    </row>
    <row r="1287" spans="2:8" ht="15" x14ac:dyDescent="0.35">
      <c r="B1287" s="544" t="s">
        <v>6263</v>
      </c>
      <c r="C1287" s="517" t="s">
        <v>6390</v>
      </c>
      <c r="D1287" s="518">
        <v>8871</v>
      </c>
      <c r="E1287" s="517" t="s">
        <v>4022</v>
      </c>
      <c r="F1287" s="518" t="s">
        <v>29</v>
      </c>
      <c r="G1287" s="519">
        <v>2475</v>
      </c>
      <c r="H1287" s="517" t="s">
        <v>6915</v>
      </c>
    </row>
    <row r="1288" spans="2:8" ht="15" x14ac:dyDescent="0.35">
      <c r="B1288" s="544" t="s">
        <v>6263</v>
      </c>
      <c r="C1288" s="517" t="s">
        <v>6345</v>
      </c>
      <c r="D1288" s="518">
        <v>8872</v>
      </c>
      <c r="E1288" s="517" t="s">
        <v>4023</v>
      </c>
      <c r="F1288" s="518" t="s">
        <v>29</v>
      </c>
      <c r="G1288" s="519">
        <v>47900</v>
      </c>
      <c r="H1288" s="517" t="s">
        <v>6425</v>
      </c>
    </row>
    <row r="1289" spans="2:8" ht="15" x14ac:dyDescent="0.35">
      <c r="B1289" s="544" t="s">
        <v>6263</v>
      </c>
      <c r="C1289" s="517" t="s">
        <v>6390</v>
      </c>
      <c r="D1289" s="518">
        <v>8873</v>
      </c>
      <c r="E1289" s="517" t="s">
        <v>4024</v>
      </c>
      <c r="F1289" s="518" t="s">
        <v>367</v>
      </c>
      <c r="G1289" s="519">
        <v>6912</v>
      </c>
      <c r="H1289" s="517" t="s">
        <v>6915</v>
      </c>
    </row>
    <row r="1290" spans="2:8" ht="15" x14ac:dyDescent="0.35">
      <c r="B1290" s="544" t="s">
        <v>6263</v>
      </c>
      <c r="C1290" s="517" t="s">
        <v>6390</v>
      </c>
      <c r="D1290" s="518">
        <v>8874</v>
      </c>
      <c r="E1290" s="517" t="s">
        <v>4025</v>
      </c>
      <c r="F1290" s="518" t="s">
        <v>29</v>
      </c>
      <c r="G1290" s="519">
        <v>68650</v>
      </c>
      <c r="H1290" s="517" t="s">
        <v>6915</v>
      </c>
    </row>
    <row r="1291" spans="2:8" ht="15" x14ac:dyDescent="0.35">
      <c r="B1291" s="544" t="s">
        <v>6263</v>
      </c>
      <c r="C1291" s="517" t="s">
        <v>6390</v>
      </c>
      <c r="D1291" s="518">
        <v>8875</v>
      </c>
      <c r="E1291" s="517" t="s">
        <v>4026</v>
      </c>
      <c r="F1291" s="518" t="s">
        <v>29</v>
      </c>
      <c r="G1291" s="519">
        <v>249900</v>
      </c>
      <c r="H1291" s="517" t="s">
        <v>6915</v>
      </c>
    </row>
    <row r="1292" spans="2:8" ht="15" x14ac:dyDescent="0.35">
      <c r="B1292" s="544" t="s">
        <v>6263</v>
      </c>
      <c r="C1292" s="517" t="s">
        <v>6366</v>
      </c>
      <c r="D1292" s="518">
        <v>8876</v>
      </c>
      <c r="E1292" s="517" t="s">
        <v>4027</v>
      </c>
      <c r="F1292" s="518" t="s">
        <v>29</v>
      </c>
      <c r="G1292" s="519">
        <v>19100</v>
      </c>
      <c r="H1292" s="517" t="s">
        <v>6915</v>
      </c>
    </row>
    <row r="1293" spans="2:8" ht="15" x14ac:dyDescent="0.35">
      <c r="B1293" s="544" t="s">
        <v>6263</v>
      </c>
      <c r="C1293" s="517" t="s">
        <v>6390</v>
      </c>
      <c r="D1293" s="518">
        <v>8877</v>
      </c>
      <c r="E1293" s="517" t="s">
        <v>4028</v>
      </c>
      <c r="F1293" s="518" t="s">
        <v>29</v>
      </c>
      <c r="G1293" s="519">
        <v>36295</v>
      </c>
      <c r="H1293" s="517" t="s">
        <v>6915</v>
      </c>
    </row>
    <row r="1294" spans="2:8" ht="15" x14ac:dyDescent="0.35">
      <c r="B1294" s="544" t="s">
        <v>6263</v>
      </c>
      <c r="C1294" s="517" t="s">
        <v>6348</v>
      </c>
      <c r="D1294" s="518">
        <v>8880</v>
      </c>
      <c r="E1294" s="517" t="s">
        <v>4029</v>
      </c>
      <c r="F1294" s="518" t="s">
        <v>26</v>
      </c>
      <c r="G1294" s="519">
        <v>155139</v>
      </c>
      <c r="H1294" s="517" t="s">
        <v>6915</v>
      </c>
    </row>
    <row r="1295" spans="2:8" ht="15" x14ac:dyDescent="0.35">
      <c r="B1295" s="544" t="s">
        <v>6263</v>
      </c>
      <c r="C1295" s="517" t="s">
        <v>6390</v>
      </c>
      <c r="D1295" s="518">
        <v>8883</v>
      </c>
      <c r="E1295" s="517" t="s">
        <v>4030</v>
      </c>
      <c r="F1295" s="518" t="s">
        <v>29</v>
      </c>
      <c r="G1295" s="519">
        <v>1902</v>
      </c>
      <c r="H1295" s="517" t="s">
        <v>6915</v>
      </c>
    </row>
    <row r="1296" spans="2:8" ht="15" x14ac:dyDescent="0.35">
      <c r="B1296" s="544" t="s">
        <v>6263</v>
      </c>
      <c r="C1296" s="517" t="s">
        <v>6390</v>
      </c>
      <c r="D1296" s="518">
        <v>8884</v>
      </c>
      <c r="E1296" s="517" t="s">
        <v>4031</v>
      </c>
      <c r="F1296" s="518" t="s">
        <v>29</v>
      </c>
      <c r="G1296" s="519">
        <v>1200</v>
      </c>
      <c r="H1296" s="517" t="s">
        <v>6915</v>
      </c>
    </row>
    <row r="1297" spans="2:8" ht="15" x14ac:dyDescent="0.35">
      <c r="B1297" s="544" t="s">
        <v>6263</v>
      </c>
      <c r="C1297" s="517" t="s">
        <v>6366</v>
      </c>
      <c r="D1297" s="518">
        <v>8885</v>
      </c>
      <c r="E1297" s="517" t="s">
        <v>5855</v>
      </c>
      <c r="F1297" s="518" t="s">
        <v>29</v>
      </c>
      <c r="G1297" s="519">
        <v>15254</v>
      </c>
      <c r="H1297" s="517" t="s">
        <v>6915</v>
      </c>
    </row>
    <row r="1298" spans="2:8" ht="15" x14ac:dyDescent="0.35">
      <c r="B1298" s="544" t="s">
        <v>6263</v>
      </c>
      <c r="C1298" s="517" t="s">
        <v>6258</v>
      </c>
      <c r="D1298" s="518">
        <v>8907</v>
      </c>
      <c r="E1298" s="517" t="s">
        <v>4032</v>
      </c>
      <c r="F1298" s="518" t="s">
        <v>26</v>
      </c>
      <c r="G1298" s="519">
        <v>134406</v>
      </c>
      <c r="H1298" s="517" t="s">
        <v>6915</v>
      </c>
    </row>
    <row r="1299" spans="2:8" ht="15" x14ac:dyDescent="0.35">
      <c r="B1299" s="544" t="s">
        <v>6263</v>
      </c>
      <c r="C1299" s="517" t="s">
        <v>6258</v>
      </c>
      <c r="D1299" s="518">
        <v>8908</v>
      </c>
      <c r="E1299" s="517" t="s">
        <v>4033</v>
      </c>
      <c r="F1299" s="518" t="s">
        <v>26</v>
      </c>
      <c r="G1299" s="519">
        <v>158386</v>
      </c>
      <c r="H1299" s="517" t="s">
        <v>6915</v>
      </c>
    </row>
    <row r="1300" spans="2:8" ht="15" x14ac:dyDescent="0.35">
      <c r="B1300" s="544" t="s">
        <v>6263</v>
      </c>
      <c r="C1300" s="517" t="s">
        <v>6351</v>
      </c>
      <c r="D1300" s="518">
        <v>8911</v>
      </c>
      <c r="E1300" s="517" t="s">
        <v>4034</v>
      </c>
      <c r="F1300" s="518" t="s">
        <v>389</v>
      </c>
      <c r="G1300" s="519">
        <v>163636</v>
      </c>
      <c r="H1300" s="517" t="s">
        <v>5686</v>
      </c>
    </row>
    <row r="1301" spans="2:8" ht="15" x14ac:dyDescent="0.35">
      <c r="B1301" s="544" t="s">
        <v>6263</v>
      </c>
      <c r="C1301" s="517" t="s">
        <v>6258</v>
      </c>
      <c r="D1301" s="518">
        <v>8913</v>
      </c>
      <c r="E1301" s="517" t="s">
        <v>4035</v>
      </c>
      <c r="F1301" s="518" t="s">
        <v>29</v>
      </c>
      <c r="G1301" s="519">
        <v>42821</v>
      </c>
      <c r="H1301" s="517" t="s">
        <v>6915</v>
      </c>
    </row>
    <row r="1302" spans="2:8" ht="15" x14ac:dyDescent="0.35">
      <c r="B1302" s="544" t="s">
        <v>6263</v>
      </c>
      <c r="C1302" s="517" t="s">
        <v>6346</v>
      </c>
      <c r="D1302" s="518">
        <v>8928</v>
      </c>
      <c r="E1302" s="517" t="s">
        <v>5612</v>
      </c>
      <c r="F1302" s="518" t="s">
        <v>26</v>
      </c>
      <c r="G1302" s="519">
        <v>617699</v>
      </c>
      <c r="H1302" s="517" t="s">
        <v>6425</v>
      </c>
    </row>
    <row r="1303" spans="2:8" ht="15" x14ac:dyDescent="0.35">
      <c r="B1303" s="544" t="s">
        <v>6263</v>
      </c>
      <c r="C1303" s="517" t="s">
        <v>6358</v>
      </c>
      <c r="D1303" s="518">
        <v>8929</v>
      </c>
      <c r="E1303" s="517" t="s">
        <v>4036</v>
      </c>
      <c r="F1303" s="518" t="s">
        <v>29</v>
      </c>
      <c r="G1303" s="519">
        <v>1269337</v>
      </c>
      <c r="H1303" s="517" t="s">
        <v>6915</v>
      </c>
    </row>
    <row r="1304" spans="2:8" ht="15" x14ac:dyDescent="0.35">
      <c r="B1304" s="544" t="s">
        <v>6263</v>
      </c>
      <c r="C1304" s="517" t="s">
        <v>6358</v>
      </c>
      <c r="D1304" s="518">
        <v>8931</v>
      </c>
      <c r="E1304" s="517" t="s">
        <v>4037</v>
      </c>
      <c r="F1304" s="518" t="s">
        <v>29</v>
      </c>
      <c r="G1304" s="519">
        <v>4683206</v>
      </c>
      <c r="H1304" s="517" t="s">
        <v>6915</v>
      </c>
    </row>
    <row r="1305" spans="2:8" ht="15" x14ac:dyDescent="0.35">
      <c r="B1305" s="544" t="s">
        <v>6263</v>
      </c>
      <c r="C1305" s="517" t="s">
        <v>6358</v>
      </c>
      <c r="D1305" s="518">
        <v>8932</v>
      </c>
      <c r="E1305" s="517" t="s">
        <v>5856</v>
      </c>
      <c r="F1305" s="518" t="s">
        <v>29</v>
      </c>
      <c r="G1305" s="519">
        <v>182070</v>
      </c>
      <c r="H1305" s="517" t="s">
        <v>6915</v>
      </c>
    </row>
    <row r="1306" spans="2:8" ht="15" x14ac:dyDescent="0.35">
      <c r="B1306" s="544" t="s">
        <v>6263</v>
      </c>
      <c r="C1306" s="517" t="s">
        <v>6358</v>
      </c>
      <c r="D1306" s="518">
        <v>8933</v>
      </c>
      <c r="E1306" s="517" t="s">
        <v>5857</v>
      </c>
      <c r="F1306" s="518" t="s">
        <v>29</v>
      </c>
      <c r="G1306" s="519">
        <v>2222095</v>
      </c>
      <c r="H1306" s="517" t="s">
        <v>6915</v>
      </c>
    </row>
    <row r="1307" spans="2:8" ht="15" x14ac:dyDescent="0.35">
      <c r="B1307" s="544" t="s">
        <v>6263</v>
      </c>
      <c r="C1307" s="517" t="s">
        <v>6390</v>
      </c>
      <c r="D1307" s="518">
        <v>8938</v>
      </c>
      <c r="E1307" s="517" t="s">
        <v>4038</v>
      </c>
      <c r="F1307" s="518" t="s">
        <v>29</v>
      </c>
      <c r="G1307" s="519">
        <v>2700</v>
      </c>
      <c r="H1307" s="517" t="s">
        <v>6915</v>
      </c>
    </row>
    <row r="1308" spans="2:8" ht="15" x14ac:dyDescent="0.35">
      <c r="B1308" s="544" t="s">
        <v>6263</v>
      </c>
      <c r="C1308" s="517" t="s">
        <v>6390</v>
      </c>
      <c r="D1308" s="518">
        <v>8939</v>
      </c>
      <c r="E1308" s="517" t="s">
        <v>4039</v>
      </c>
      <c r="F1308" s="518" t="s">
        <v>26</v>
      </c>
      <c r="G1308" s="519">
        <v>3284</v>
      </c>
      <c r="H1308" s="517" t="s">
        <v>6915</v>
      </c>
    </row>
    <row r="1309" spans="2:8" ht="15" x14ac:dyDescent="0.35">
      <c r="B1309" s="544" t="s">
        <v>6263</v>
      </c>
      <c r="C1309" s="517" t="s">
        <v>6390</v>
      </c>
      <c r="D1309" s="518">
        <v>8941</v>
      </c>
      <c r="E1309" s="517" t="s">
        <v>4040</v>
      </c>
      <c r="F1309" s="518" t="s">
        <v>29</v>
      </c>
      <c r="G1309" s="519">
        <v>194550</v>
      </c>
      <c r="H1309" s="517" t="s">
        <v>6915</v>
      </c>
    </row>
    <row r="1310" spans="2:8" ht="15" x14ac:dyDescent="0.35">
      <c r="B1310" s="544" t="s">
        <v>6263</v>
      </c>
      <c r="C1310" s="517" t="s">
        <v>6390</v>
      </c>
      <c r="D1310" s="518">
        <v>8942</v>
      </c>
      <c r="E1310" s="517" t="s">
        <v>4041</v>
      </c>
      <c r="F1310" s="518" t="s">
        <v>26</v>
      </c>
      <c r="G1310" s="519">
        <v>52326</v>
      </c>
      <c r="H1310" s="517" t="s">
        <v>6915</v>
      </c>
    </row>
    <row r="1311" spans="2:8" ht="15" x14ac:dyDescent="0.35">
      <c r="B1311" s="544" t="s">
        <v>6263</v>
      </c>
      <c r="C1311" s="517" t="s">
        <v>6360</v>
      </c>
      <c r="D1311" s="518">
        <v>8968</v>
      </c>
      <c r="E1311" s="517" t="s">
        <v>4042</v>
      </c>
      <c r="F1311" s="518" t="s">
        <v>3186</v>
      </c>
      <c r="G1311" s="519">
        <v>1037</v>
      </c>
      <c r="H1311" s="517" t="s">
        <v>6425</v>
      </c>
    </row>
    <row r="1312" spans="2:8" ht="15" x14ac:dyDescent="0.35">
      <c r="B1312" s="544" t="s">
        <v>6263</v>
      </c>
      <c r="C1312" s="517" t="s">
        <v>6360</v>
      </c>
      <c r="D1312" s="518">
        <v>8969</v>
      </c>
      <c r="E1312" s="517" t="s">
        <v>4043</v>
      </c>
      <c r="F1312" s="518" t="s">
        <v>3186</v>
      </c>
      <c r="G1312" s="519">
        <v>1037</v>
      </c>
      <c r="H1312" s="517" t="s">
        <v>6425</v>
      </c>
    </row>
    <row r="1313" spans="2:8" ht="15" x14ac:dyDescent="0.35">
      <c r="B1313" s="544" t="s">
        <v>6263</v>
      </c>
      <c r="C1313" s="517" t="s">
        <v>6337</v>
      </c>
      <c r="D1313" s="518">
        <v>8972</v>
      </c>
      <c r="E1313" s="517" t="s">
        <v>4044</v>
      </c>
      <c r="F1313" s="518" t="s">
        <v>23</v>
      </c>
      <c r="G1313" s="519">
        <v>669561</v>
      </c>
      <c r="H1313" s="517" t="s">
        <v>6425</v>
      </c>
    </row>
    <row r="1314" spans="2:8" ht="15" x14ac:dyDescent="0.35">
      <c r="B1314" s="544" t="s">
        <v>6263</v>
      </c>
      <c r="C1314" s="517" t="s">
        <v>6366</v>
      </c>
      <c r="D1314" s="518">
        <v>8973</v>
      </c>
      <c r="E1314" s="517" t="s">
        <v>4045</v>
      </c>
      <c r="F1314" s="518" t="s">
        <v>367</v>
      </c>
      <c r="G1314" s="519">
        <v>23789</v>
      </c>
      <c r="H1314" s="517" t="s">
        <v>6915</v>
      </c>
    </row>
    <row r="1315" spans="2:8" ht="15" x14ac:dyDescent="0.35">
      <c r="B1315" s="544" t="s">
        <v>6263</v>
      </c>
      <c r="C1315" s="517" t="s">
        <v>6275</v>
      </c>
      <c r="D1315" s="518">
        <v>8975</v>
      </c>
      <c r="E1315" s="517" t="s">
        <v>4046</v>
      </c>
      <c r="F1315" s="518" t="s">
        <v>26</v>
      </c>
      <c r="G1315" s="519">
        <v>8502</v>
      </c>
      <c r="H1315" s="517" t="s">
        <v>6425</v>
      </c>
    </row>
    <row r="1316" spans="2:8" ht="15" x14ac:dyDescent="0.35">
      <c r="B1316" s="544" t="s">
        <v>6263</v>
      </c>
      <c r="C1316" s="517" t="s">
        <v>6275</v>
      </c>
      <c r="D1316" s="518">
        <v>8978</v>
      </c>
      <c r="E1316" s="517" t="s">
        <v>4047</v>
      </c>
      <c r="F1316" s="518" t="s">
        <v>367</v>
      </c>
      <c r="G1316" s="519">
        <v>2885</v>
      </c>
      <c r="H1316" s="517" t="s">
        <v>6425</v>
      </c>
    </row>
    <row r="1317" spans="2:8" ht="15" x14ac:dyDescent="0.35">
      <c r="B1317" s="544" t="s">
        <v>6263</v>
      </c>
      <c r="C1317" s="517" t="s">
        <v>6275</v>
      </c>
      <c r="D1317" s="518">
        <v>8979</v>
      </c>
      <c r="E1317" s="517" t="s">
        <v>4048</v>
      </c>
      <c r="F1317" s="518" t="s">
        <v>23</v>
      </c>
      <c r="G1317" s="519">
        <v>16348</v>
      </c>
      <c r="H1317" s="517" t="s">
        <v>6425</v>
      </c>
    </row>
    <row r="1318" spans="2:8" ht="15" x14ac:dyDescent="0.35">
      <c r="B1318" s="544" t="s">
        <v>6263</v>
      </c>
      <c r="C1318" s="517" t="s">
        <v>6275</v>
      </c>
      <c r="D1318" s="518">
        <v>8981</v>
      </c>
      <c r="E1318" s="517" t="s">
        <v>4049</v>
      </c>
      <c r="F1318" s="518" t="s">
        <v>367</v>
      </c>
      <c r="G1318" s="519">
        <v>5831</v>
      </c>
      <c r="H1318" s="517" t="s">
        <v>6425</v>
      </c>
    </row>
    <row r="1319" spans="2:8" ht="15" x14ac:dyDescent="0.35">
      <c r="B1319" s="544" t="s">
        <v>6263</v>
      </c>
      <c r="C1319" s="517" t="s">
        <v>6275</v>
      </c>
      <c r="D1319" s="518">
        <v>8983</v>
      </c>
      <c r="E1319" s="517" t="s">
        <v>4050</v>
      </c>
      <c r="F1319" s="518" t="s">
        <v>367</v>
      </c>
      <c r="G1319" s="519">
        <v>7854</v>
      </c>
      <c r="H1319" s="517" t="s">
        <v>6425</v>
      </c>
    </row>
    <row r="1320" spans="2:8" ht="15" x14ac:dyDescent="0.35">
      <c r="B1320" s="544" t="s">
        <v>6263</v>
      </c>
      <c r="C1320" s="517" t="s">
        <v>6275</v>
      </c>
      <c r="D1320" s="518">
        <v>8984</v>
      </c>
      <c r="E1320" s="517" t="s">
        <v>4051</v>
      </c>
      <c r="F1320" s="518" t="s">
        <v>367</v>
      </c>
      <c r="G1320" s="519">
        <v>6069</v>
      </c>
      <c r="H1320" s="517" t="s">
        <v>6425</v>
      </c>
    </row>
    <row r="1321" spans="2:8" ht="15" x14ac:dyDescent="0.35">
      <c r="B1321" s="544" t="s">
        <v>6263</v>
      </c>
      <c r="C1321" s="517" t="s">
        <v>6390</v>
      </c>
      <c r="D1321" s="518">
        <v>8985</v>
      </c>
      <c r="E1321" s="517" t="s">
        <v>4052</v>
      </c>
      <c r="F1321" s="518" t="s">
        <v>29</v>
      </c>
      <c r="G1321" s="519">
        <v>15605</v>
      </c>
      <c r="H1321" s="517" t="s">
        <v>6915</v>
      </c>
    </row>
    <row r="1322" spans="2:8" ht="15" x14ac:dyDescent="0.35">
      <c r="B1322" s="544" t="s">
        <v>6263</v>
      </c>
      <c r="C1322" s="517" t="s">
        <v>6390</v>
      </c>
      <c r="D1322" s="518">
        <v>8986</v>
      </c>
      <c r="E1322" s="517" t="s">
        <v>4053</v>
      </c>
      <c r="F1322" s="518" t="s">
        <v>29</v>
      </c>
      <c r="G1322" s="519">
        <v>13000</v>
      </c>
      <c r="H1322" s="517" t="s">
        <v>6915</v>
      </c>
    </row>
    <row r="1323" spans="2:8" ht="15" x14ac:dyDescent="0.35">
      <c r="B1323" s="544" t="s">
        <v>6263</v>
      </c>
      <c r="C1323" s="517" t="s">
        <v>6390</v>
      </c>
      <c r="D1323" s="518">
        <v>8987</v>
      </c>
      <c r="E1323" s="517" t="s">
        <v>4054</v>
      </c>
      <c r="F1323" s="518" t="s">
        <v>29</v>
      </c>
      <c r="G1323" s="519">
        <v>36000</v>
      </c>
      <c r="H1323" s="517" t="s">
        <v>6915</v>
      </c>
    </row>
    <row r="1324" spans="2:8" ht="15" x14ac:dyDescent="0.35">
      <c r="B1324" s="544" t="s">
        <v>6263</v>
      </c>
      <c r="C1324" s="517" t="s">
        <v>6390</v>
      </c>
      <c r="D1324" s="518">
        <v>8988</v>
      </c>
      <c r="E1324" s="517" t="s">
        <v>4055</v>
      </c>
      <c r="F1324" s="518" t="s">
        <v>29</v>
      </c>
      <c r="G1324" s="519">
        <v>13550</v>
      </c>
      <c r="H1324" s="517" t="s">
        <v>6915</v>
      </c>
    </row>
    <row r="1325" spans="2:8" ht="15" x14ac:dyDescent="0.35">
      <c r="B1325" s="544" t="s">
        <v>6263</v>
      </c>
      <c r="C1325" s="517" t="s">
        <v>6390</v>
      </c>
      <c r="D1325" s="518">
        <v>8990</v>
      </c>
      <c r="E1325" s="517" t="s">
        <v>4056</v>
      </c>
      <c r="F1325" s="518" t="s">
        <v>29</v>
      </c>
      <c r="G1325" s="519">
        <v>109143</v>
      </c>
      <c r="H1325" s="517" t="s">
        <v>6915</v>
      </c>
    </row>
    <row r="1326" spans="2:8" ht="15" x14ac:dyDescent="0.35">
      <c r="B1326" s="544" t="s">
        <v>6263</v>
      </c>
      <c r="C1326" s="517" t="s">
        <v>6390</v>
      </c>
      <c r="D1326" s="518">
        <v>8993</v>
      </c>
      <c r="E1326" s="517" t="s">
        <v>4057</v>
      </c>
      <c r="F1326" s="518" t="s">
        <v>29</v>
      </c>
      <c r="G1326" s="519">
        <v>535000</v>
      </c>
      <c r="H1326" s="517" t="s">
        <v>6915</v>
      </c>
    </row>
    <row r="1327" spans="2:8" ht="15" x14ac:dyDescent="0.35">
      <c r="B1327" s="544" t="s">
        <v>6263</v>
      </c>
      <c r="C1327" s="517" t="s">
        <v>6390</v>
      </c>
      <c r="D1327" s="518">
        <v>8994</v>
      </c>
      <c r="E1327" s="517" t="s">
        <v>4058</v>
      </c>
      <c r="F1327" s="518" t="s">
        <v>29</v>
      </c>
      <c r="G1327" s="519">
        <v>2100</v>
      </c>
      <c r="H1327" s="517" t="s">
        <v>6915</v>
      </c>
    </row>
    <row r="1328" spans="2:8" ht="15" x14ac:dyDescent="0.35">
      <c r="B1328" s="544" t="s">
        <v>6263</v>
      </c>
      <c r="C1328" s="517" t="s">
        <v>6390</v>
      </c>
      <c r="D1328" s="518">
        <v>8995</v>
      </c>
      <c r="E1328" s="517" t="s">
        <v>4059</v>
      </c>
      <c r="F1328" s="518" t="s">
        <v>29</v>
      </c>
      <c r="G1328" s="519">
        <v>10650</v>
      </c>
      <c r="H1328" s="517" t="s">
        <v>6915</v>
      </c>
    </row>
    <row r="1329" spans="2:8" ht="15" x14ac:dyDescent="0.35">
      <c r="B1329" s="544" t="s">
        <v>6263</v>
      </c>
      <c r="C1329" s="517" t="s">
        <v>6390</v>
      </c>
      <c r="D1329" s="518">
        <v>8996</v>
      </c>
      <c r="E1329" s="517" t="s">
        <v>4060</v>
      </c>
      <c r="F1329" s="518" t="s">
        <v>29</v>
      </c>
      <c r="G1329" s="519">
        <v>425500</v>
      </c>
      <c r="H1329" s="517" t="s">
        <v>6915</v>
      </c>
    </row>
    <row r="1330" spans="2:8" ht="15" x14ac:dyDescent="0.35">
      <c r="B1330" s="544" t="s">
        <v>6263</v>
      </c>
      <c r="C1330" s="517" t="s">
        <v>6390</v>
      </c>
      <c r="D1330" s="518">
        <v>8997</v>
      </c>
      <c r="E1330" s="517" t="s">
        <v>4061</v>
      </c>
      <c r="F1330" s="518" t="s">
        <v>29</v>
      </c>
      <c r="G1330" s="519">
        <v>49980</v>
      </c>
      <c r="H1330" s="517" t="s">
        <v>6915</v>
      </c>
    </row>
    <row r="1331" spans="2:8" ht="15" x14ac:dyDescent="0.35">
      <c r="B1331" s="544" t="s">
        <v>6263</v>
      </c>
      <c r="C1331" s="517" t="s">
        <v>6390</v>
      </c>
      <c r="D1331" s="518">
        <v>9000</v>
      </c>
      <c r="E1331" s="517" t="s">
        <v>4062</v>
      </c>
      <c r="F1331" s="518" t="s">
        <v>29</v>
      </c>
      <c r="G1331" s="519">
        <v>219350</v>
      </c>
      <c r="H1331" s="517" t="s">
        <v>6915</v>
      </c>
    </row>
    <row r="1332" spans="2:8" ht="15" x14ac:dyDescent="0.35">
      <c r="B1332" s="544" t="s">
        <v>6263</v>
      </c>
      <c r="C1332" s="517" t="s">
        <v>6390</v>
      </c>
      <c r="D1332" s="518">
        <v>9001</v>
      </c>
      <c r="E1332" s="517" t="s">
        <v>4063</v>
      </c>
      <c r="F1332" s="518" t="s">
        <v>29</v>
      </c>
      <c r="G1332" s="519">
        <v>211820</v>
      </c>
      <c r="H1332" s="517" t="s">
        <v>6915</v>
      </c>
    </row>
    <row r="1333" spans="2:8" ht="15" x14ac:dyDescent="0.35">
      <c r="B1333" s="544" t="s">
        <v>6263</v>
      </c>
      <c r="C1333" s="517" t="s">
        <v>6390</v>
      </c>
      <c r="D1333" s="518">
        <v>9003</v>
      </c>
      <c r="E1333" s="517" t="s">
        <v>4064</v>
      </c>
      <c r="F1333" s="518" t="s">
        <v>29</v>
      </c>
      <c r="G1333" s="519">
        <v>4850</v>
      </c>
      <c r="H1333" s="517" t="s">
        <v>6915</v>
      </c>
    </row>
    <row r="1334" spans="2:8" ht="15" x14ac:dyDescent="0.35">
      <c r="B1334" s="544" t="s">
        <v>6263</v>
      </c>
      <c r="C1334" s="517" t="s">
        <v>6355</v>
      </c>
      <c r="D1334" s="518">
        <v>9004</v>
      </c>
      <c r="E1334" s="517" t="s">
        <v>4065</v>
      </c>
      <c r="F1334" s="518" t="s">
        <v>26</v>
      </c>
      <c r="G1334" s="519">
        <v>278060</v>
      </c>
      <c r="H1334" s="517" t="s">
        <v>6425</v>
      </c>
    </row>
    <row r="1335" spans="2:8" ht="15" x14ac:dyDescent="0.35">
      <c r="B1335" s="544" t="s">
        <v>6263</v>
      </c>
      <c r="C1335" s="517" t="s">
        <v>6355</v>
      </c>
      <c r="D1335" s="518">
        <v>9005</v>
      </c>
      <c r="E1335" s="517" t="s">
        <v>4066</v>
      </c>
      <c r="F1335" s="518" t="s">
        <v>26</v>
      </c>
      <c r="G1335" s="519">
        <v>595027</v>
      </c>
      <c r="H1335" s="517" t="s">
        <v>6425</v>
      </c>
    </row>
    <row r="1336" spans="2:8" ht="15" x14ac:dyDescent="0.35">
      <c r="B1336" s="544" t="s">
        <v>6263</v>
      </c>
      <c r="C1336" s="517" t="s">
        <v>6355</v>
      </c>
      <c r="D1336" s="518">
        <v>9006</v>
      </c>
      <c r="E1336" s="517" t="s">
        <v>4067</v>
      </c>
      <c r="F1336" s="518" t="s">
        <v>26</v>
      </c>
      <c r="G1336" s="519">
        <v>738870</v>
      </c>
      <c r="H1336" s="517" t="s">
        <v>6425</v>
      </c>
    </row>
    <row r="1337" spans="2:8" ht="15" x14ac:dyDescent="0.35">
      <c r="B1337" s="544" t="s">
        <v>6263</v>
      </c>
      <c r="C1337" s="517" t="s">
        <v>6355</v>
      </c>
      <c r="D1337" s="518">
        <v>9007</v>
      </c>
      <c r="E1337" s="517" t="s">
        <v>4068</v>
      </c>
      <c r="F1337" s="518" t="s">
        <v>26</v>
      </c>
      <c r="G1337" s="519">
        <v>870950</v>
      </c>
      <c r="H1337" s="517" t="s">
        <v>6425</v>
      </c>
    </row>
    <row r="1338" spans="2:8" ht="15" x14ac:dyDescent="0.35">
      <c r="B1338" s="544" t="s">
        <v>6263</v>
      </c>
      <c r="C1338" s="517" t="s">
        <v>6359</v>
      </c>
      <c r="D1338" s="518">
        <v>9034</v>
      </c>
      <c r="E1338" s="517" t="s">
        <v>4069</v>
      </c>
      <c r="F1338" s="518" t="s">
        <v>29</v>
      </c>
      <c r="G1338" s="519">
        <v>207510</v>
      </c>
      <c r="H1338" s="517" t="s">
        <v>6915</v>
      </c>
    </row>
    <row r="1339" spans="2:8" ht="15" x14ac:dyDescent="0.35">
      <c r="B1339" s="544" t="s">
        <v>6263</v>
      </c>
      <c r="C1339" s="517" t="s">
        <v>6359</v>
      </c>
      <c r="D1339" s="518">
        <v>9035</v>
      </c>
      <c r="E1339" s="517" t="s">
        <v>4070</v>
      </c>
      <c r="F1339" s="518" t="s">
        <v>29</v>
      </c>
      <c r="G1339" s="519">
        <v>224602</v>
      </c>
      <c r="H1339" s="517" t="s">
        <v>6915</v>
      </c>
    </row>
    <row r="1340" spans="2:8" ht="15" x14ac:dyDescent="0.35">
      <c r="B1340" s="544" t="s">
        <v>6263</v>
      </c>
      <c r="C1340" s="517" t="s">
        <v>6359</v>
      </c>
      <c r="D1340" s="518">
        <v>9036</v>
      </c>
      <c r="E1340" s="517" t="s">
        <v>4071</v>
      </c>
      <c r="F1340" s="518" t="s">
        <v>29</v>
      </c>
      <c r="G1340" s="519">
        <v>61289</v>
      </c>
      <c r="H1340" s="517" t="s">
        <v>6915</v>
      </c>
    </row>
    <row r="1341" spans="2:8" ht="15" x14ac:dyDescent="0.35">
      <c r="B1341" s="544" t="s">
        <v>6263</v>
      </c>
      <c r="C1341" s="517" t="s">
        <v>6345</v>
      </c>
      <c r="D1341" s="518">
        <v>9037</v>
      </c>
      <c r="E1341" s="517" t="s">
        <v>4072</v>
      </c>
      <c r="F1341" s="518" t="s">
        <v>29</v>
      </c>
      <c r="G1341" s="519">
        <v>25055</v>
      </c>
      <c r="H1341" s="517" t="s">
        <v>6425</v>
      </c>
    </row>
    <row r="1342" spans="2:8" ht="15" x14ac:dyDescent="0.35">
      <c r="B1342" s="544" t="s">
        <v>6263</v>
      </c>
      <c r="C1342" s="517" t="s">
        <v>6389</v>
      </c>
      <c r="D1342" s="518">
        <v>9038</v>
      </c>
      <c r="E1342" s="517" t="s">
        <v>4073</v>
      </c>
      <c r="F1342" s="518" t="s">
        <v>29</v>
      </c>
      <c r="G1342" s="519">
        <v>4331775</v>
      </c>
      <c r="H1342" s="517" t="s">
        <v>6425</v>
      </c>
    </row>
    <row r="1343" spans="2:8" ht="15" x14ac:dyDescent="0.35">
      <c r="B1343" s="544" t="s">
        <v>6263</v>
      </c>
      <c r="C1343" s="517" t="s">
        <v>6258</v>
      </c>
      <c r="D1343" s="518">
        <v>9043</v>
      </c>
      <c r="E1343" s="517" t="s">
        <v>4074</v>
      </c>
      <c r="F1343" s="518" t="s">
        <v>21</v>
      </c>
      <c r="G1343" s="519">
        <v>19493</v>
      </c>
      <c r="H1343" s="517" t="s">
        <v>6915</v>
      </c>
    </row>
    <row r="1344" spans="2:8" ht="15" x14ac:dyDescent="0.35">
      <c r="B1344" s="544" t="s">
        <v>6263</v>
      </c>
      <c r="C1344" s="517" t="s">
        <v>6258</v>
      </c>
      <c r="D1344" s="518">
        <v>9044</v>
      </c>
      <c r="E1344" s="517" t="s">
        <v>4075</v>
      </c>
      <c r="F1344" s="518" t="s">
        <v>21</v>
      </c>
      <c r="G1344" s="519">
        <v>23991</v>
      </c>
      <c r="H1344" s="517" t="s">
        <v>6915</v>
      </c>
    </row>
    <row r="1345" spans="2:8" ht="15" x14ac:dyDescent="0.35">
      <c r="B1345" s="544" t="s">
        <v>6263</v>
      </c>
      <c r="C1345" s="517" t="s">
        <v>6359</v>
      </c>
      <c r="D1345" s="518">
        <v>9048</v>
      </c>
      <c r="E1345" s="517" t="s">
        <v>4076</v>
      </c>
      <c r="F1345" s="518" t="s">
        <v>29</v>
      </c>
      <c r="G1345" s="519">
        <v>568502</v>
      </c>
      <c r="H1345" s="517" t="s">
        <v>6915</v>
      </c>
    </row>
    <row r="1346" spans="2:8" ht="15" x14ac:dyDescent="0.35">
      <c r="B1346" s="544" t="s">
        <v>6263</v>
      </c>
      <c r="C1346" s="517" t="s">
        <v>6381</v>
      </c>
      <c r="D1346" s="518">
        <v>9050</v>
      </c>
      <c r="E1346" s="517" t="s">
        <v>4077</v>
      </c>
      <c r="F1346" s="518" t="s">
        <v>29</v>
      </c>
      <c r="G1346" s="519">
        <v>573861</v>
      </c>
      <c r="H1346" s="517" t="s">
        <v>6915</v>
      </c>
    </row>
    <row r="1347" spans="2:8" ht="15" x14ac:dyDescent="0.35">
      <c r="B1347" s="544" t="s">
        <v>6263</v>
      </c>
      <c r="C1347" s="517" t="s">
        <v>6393</v>
      </c>
      <c r="D1347" s="518">
        <v>9054</v>
      </c>
      <c r="E1347" s="517" t="s">
        <v>4078</v>
      </c>
      <c r="F1347" s="518" t="s">
        <v>21</v>
      </c>
      <c r="G1347" s="519">
        <v>360963</v>
      </c>
      <c r="H1347" s="517" t="s">
        <v>6915</v>
      </c>
    </row>
    <row r="1348" spans="2:8" ht="15" x14ac:dyDescent="0.35">
      <c r="B1348" s="544" t="s">
        <v>6263</v>
      </c>
      <c r="C1348" s="517" t="s">
        <v>6393</v>
      </c>
      <c r="D1348" s="518">
        <v>9056</v>
      </c>
      <c r="E1348" s="517" t="s">
        <v>4079</v>
      </c>
      <c r="F1348" s="518" t="s">
        <v>21</v>
      </c>
      <c r="G1348" s="519">
        <v>606900</v>
      </c>
      <c r="H1348" s="517" t="s">
        <v>6915</v>
      </c>
    </row>
    <row r="1349" spans="2:8" ht="15" x14ac:dyDescent="0.35">
      <c r="B1349" s="544" t="s">
        <v>6263</v>
      </c>
      <c r="C1349" s="517" t="s">
        <v>6393</v>
      </c>
      <c r="D1349" s="518">
        <v>9057</v>
      </c>
      <c r="E1349" s="517" t="s">
        <v>4080</v>
      </c>
      <c r="F1349" s="518" t="s">
        <v>21</v>
      </c>
      <c r="G1349" s="519">
        <v>284410</v>
      </c>
      <c r="H1349" s="517" t="s">
        <v>6915</v>
      </c>
    </row>
    <row r="1350" spans="2:8" ht="15" x14ac:dyDescent="0.35">
      <c r="B1350" s="544" t="s">
        <v>6263</v>
      </c>
      <c r="C1350" s="517" t="s">
        <v>6275</v>
      </c>
      <c r="D1350" s="518">
        <v>9061</v>
      </c>
      <c r="E1350" s="517" t="s">
        <v>4081</v>
      </c>
      <c r="F1350" s="518" t="s">
        <v>21</v>
      </c>
      <c r="G1350" s="519">
        <v>460104</v>
      </c>
      <c r="H1350" s="517" t="s">
        <v>6425</v>
      </c>
    </row>
    <row r="1351" spans="2:8" ht="15" x14ac:dyDescent="0.35">
      <c r="B1351" s="544" t="s">
        <v>6263</v>
      </c>
      <c r="C1351" s="517" t="s">
        <v>6359</v>
      </c>
      <c r="D1351" s="518">
        <v>9062</v>
      </c>
      <c r="E1351" s="517" t="s">
        <v>4082</v>
      </c>
      <c r="F1351" s="518" t="s">
        <v>29</v>
      </c>
      <c r="G1351" s="519">
        <v>435667</v>
      </c>
      <c r="H1351" s="517" t="s">
        <v>6915</v>
      </c>
    </row>
    <row r="1352" spans="2:8" ht="15" x14ac:dyDescent="0.35">
      <c r="B1352" s="544" t="s">
        <v>6263</v>
      </c>
      <c r="C1352" s="517" t="s">
        <v>6351</v>
      </c>
      <c r="D1352" s="518">
        <v>9084</v>
      </c>
      <c r="E1352" s="517" t="s">
        <v>4083</v>
      </c>
      <c r="F1352" s="518" t="s">
        <v>1628</v>
      </c>
      <c r="G1352" s="519">
        <v>3584000</v>
      </c>
      <c r="H1352" s="517" t="s">
        <v>5686</v>
      </c>
    </row>
    <row r="1353" spans="2:8" ht="15" x14ac:dyDescent="0.35">
      <c r="B1353" s="544" t="s">
        <v>6263</v>
      </c>
      <c r="C1353" s="517" t="s">
        <v>6351</v>
      </c>
      <c r="D1353" s="518">
        <v>9085</v>
      </c>
      <c r="E1353" s="517" t="s">
        <v>4084</v>
      </c>
      <c r="F1353" s="518" t="s">
        <v>1628</v>
      </c>
      <c r="G1353" s="519">
        <v>3150000</v>
      </c>
      <c r="H1353" s="517" t="s">
        <v>5686</v>
      </c>
    </row>
    <row r="1354" spans="2:8" ht="15" x14ac:dyDescent="0.35">
      <c r="B1354" s="544" t="s">
        <v>6263</v>
      </c>
      <c r="C1354" s="517" t="s">
        <v>6351</v>
      </c>
      <c r="D1354" s="518">
        <v>9086</v>
      </c>
      <c r="E1354" s="517" t="s">
        <v>4085</v>
      </c>
      <c r="F1354" s="518" t="s">
        <v>1628</v>
      </c>
      <c r="G1354" s="519">
        <v>3303000</v>
      </c>
      <c r="H1354" s="517" t="s">
        <v>5686</v>
      </c>
    </row>
    <row r="1355" spans="2:8" ht="15" x14ac:dyDescent="0.35">
      <c r="B1355" s="544" t="s">
        <v>6263</v>
      </c>
      <c r="C1355" s="517" t="s">
        <v>6351</v>
      </c>
      <c r="D1355" s="518">
        <v>9087</v>
      </c>
      <c r="E1355" s="517" t="s">
        <v>4086</v>
      </c>
      <c r="F1355" s="518" t="s">
        <v>1628</v>
      </c>
      <c r="G1355" s="519">
        <v>2670000</v>
      </c>
      <c r="H1355" s="517" t="s">
        <v>5686</v>
      </c>
    </row>
    <row r="1356" spans="2:8" ht="15" x14ac:dyDescent="0.35">
      <c r="B1356" s="544" t="s">
        <v>6263</v>
      </c>
      <c r="C1356" s="517" t="s">
        <v>6351</v>
      </c>
      <c r="D1356" s="518">
        <v>9088</v>
      </c>
      <c r="E1356" s="517" t="s">
        <v>4087</v>
      </c>
      <c r="F1356" s="518" t="s">
        <v>1628</v>
      </c>
      <c r="G1356" s="519">
        <v>3736000</v>
      </c>
      <c r="H1356" s="517" t="s">
        <v>5686</v>
      </c>
    </row>
    <row r="1357" spans="2:8" ht="15" x14ac:dyDescent="0.35">
      <c r="B1357" s="544" t="s">
        <v>6263</v>
      </c>
      <c r="C1357" s="517" t="s">
        <v>6351</v>
      </c>
      <c r="D1357" s="518">
        <v>9089</v>
      </c>
      <c r="E1357" s="517" t="s">
        <v>4088</v>
      </c>
      <c r="F1357" s="518" t="s">
        <v>1628</v>
      </c>
      <c r="G1357" s="519">
        <v>3310000</v>
      </c>
      <c r="H1357" s="517" t="s">
        <v>5686</v>
      </c>
    </row>
    <row r="1358" spans="2:8" ht="15" x14ac:dyDescent="0.35">
      <c r="B1358" s="544" t="s">
        <v>6263</v>
      </c>
      <c r="C1358" s="517" t="s">
        <v>6351</v>
      </c>
      <c r="D1358" s="518">
        <v>9090</v>
      </c>
      <c r="E1358" s="517" t="s">
        <v>4089</v>
      </c>
      <c r="F1358" s="518" t="s">
        <v>1628</v>
      </c>
      <c r="G1358" s="519">
        <v>2316000</v>
      </c>
      <c r="H1358" s="517" t="s">
        <v>5686</v>
      </c>
    </row>
    <row r="1359" spans="2:8" ht="15" x14ac:dyDescent="0.35">
      <c r="B1359" s="544" t="s">
        <v>6263</v>
      </c>
      <c r="C1359" s="517" t="s">
        <v>6351</v>
      </c>
      <c r="D1359" s="518">
        <v>9091</v>
      </c>
      <c r="E1359" s="517" t="s">
        <v>4090</v>
      </c>
      <c r="F1359" s="518" t="s">
        <v>1628</v>
      </c>
      <c r="G1359" s="519">
        <v>4690453</v>
      </c>
      <c r="H1359" s="517" t="s">
        <v>5686</v>
      </c>
    </row>
    <row r="1360" spans="2:8" ht="15" x14ac:dyDescent="0.35">
      <c r="B1360" s="544" t="s">
        <v>6263</v>
      </c>
      <c r="C1360" s="517" t="s">
        <v>6351</v>
      </c>
      <c r="D1360" s="518">
        <v>9092</v>
      </c>
      <c r="E1360" s="517" t="s">
        <v>4091</v>
      </c>
      <c r="F1360" s="518" t="s">
        <v>1628</v>
      </c>
      <c r="G1360" s="519">
        <v>3264239</v>
      </c>
      <c r="H1360" s="517" t="s">
        <v>5686</v>
      </c>
    </row>
    <row r="1361" spans="2:8" ht="15" x14ac:dyDescent="0.35">
      <c r="B1361" s="544" t="s">
        <v>6263</v>
      </c>
      <c r="C1361" s="517" t="s">
        <v>6351</v>
      </c>
      <c r="D1361" s="518">
        <v>9093</v>
      </c>
      <c r="E1361" s="517" t="s">
        <v>4092</v>
      </c>
      <c r="F1361" s="518" t="s">
        <v>1628</v>
      </c>
      <c r="G1361" s="519">
        <v>2718000</v>
      </c>
      <c r="H1361" s="517" t="s">
        <v>5686</v>
      </c>
    </row>
    <row r="1362" spans="2:8" ht="15" x14ac:dyDescent="0.35">
      <c r="B1362" s="544" t="s">
        <v>6263</v>
      </c>
      <c r="C1362" s="517" t="s">
        <v>6351</v>
      </c>
      <c r="D1362" s="518">
        <v>9094</v>
      </c>
      <c r="E1362" s="517" t="s">
        <v>4093</v>
      </c>
      <c r="F1362" s="518" t="s">
        <v>1628</v>
      </c>
      <c r="G1362" s="519">
        <v>2447000</v>
      </c>
      <c r="H1362" s="517" t="s">
        <v>5686</v>
      </c>
    </row>
    <row r="1363" spans="2:8" ht="15" x14ac:dyDescent="0.35">
      <c r="B1363" s="544" t="s">
        <v>6263</v>
      </c>
      <c r="C1363" s="517" t="s">
        <v>6351</v>
      </c>
      <c r="D1363" s="518">
        <v>9095</v>
      </c>
      <c r="E1363" s="517" t="s">
        <v>4094</v>
      </c>
      <c r="F1363" s="518" t="s">
        <v>1628</v>
      </c>
      <c r="G1363" s="519">
        <v>3064000</v>
      </c>
      <c r="H1363" s="517" t="s">
        <v>5686</v>
      </c>
    </row>
    <row r="1364" spans="2:8" ht="15" x14ac:dyDescent="0.35">
      <c r="B1364" s="544" t="s">
        <v>6263</v>
      </c>
      <c r="C1364" s="517" t="s">
        <v>6351</v>
      </c>
      <c r="D1364" s="518">
        <v>9096</v>
      </c>
      <c r="E1364" s="517" t="s">
        <v>4095</v>
      </c>
      <c r="F1364" s="518" t="s">
        <v>1628</v>
      </c>
      <c r="G1364" s="519">
        <v>3736000</v>
      </c>
      <c r="H1364" s="517" t="s">
        <v>5686</v>
      </c>
    </row>
    <row r="1365" spans="2:8" ht="15" x14ac:dyDescent="0.35">
      <c r="B1365" s="544" t="s">
        <v>6263</v>
      </c>
      <c r="C1365" s="517" t="s">
        <v>6351</v>
      </c>
      <c r="D1365" s="518">
        <v>9097</v>
      </c>
      <c r="E1365" s="517" t="s">
        <v>4096</v>
      </c>
      <c r="F1365" s="518" t="s">
        <v>1628</v>
      </c>
      <c r="G1365" s="519">
        <v>3064000</v>
      </c>
      <c r="H1365" s="517" t="s">
        <v>5686</v>
      </c>
    </row>
    <row r="1366" spans="2:8" ht="15" x14ac:dyDescent="0.35">
      <c r="B1366" s="544" t="s">
        <v>6263</v>
      </c>
      <c r="C1366" s="517" t="s">
        <v>6351</v>
      </c>
      <c r="D1366" s="518">
        <v>9098</v>
      </c>
      <c r="E1366" s="517" t="s">
        <v>4097</v>
      </c>
      <c r="F1366" s="518" t="s">
        <v>1628</v>
      </c>
      <c r="G1366" s="519">
        <v>2316000</v>
      </c>
      <c r="H1366" s="517" t="s">
        <v>5686</v>
      </c>
    </row>
    <row r="1367" spans="2:8" ht="15" x14ac:dyDescent="0.35">
      <c r="B1367" s="544" t="s">
        <v>6263</v>
      </c>
      <c r="C1367" s="517" t="s">
        <v>6351</v>
      </c>
      <c r="D1367" s="518">
        <v>9099</v>
      </c>
      <c r="E1367" s="517" t="s">
        <v>4098</v>
      </c>
      <c r="F1367" s="518" t="s">
        <v>1628</v>
      </c>
      <c r="G1367" s="519">
        <v>2018000</v>
      </c>
      <c r="H1367" s="517" t="s">
        <v>5686</v>
      </c>
    </row>
    <row r="1368" spans="2:8" ht="15" x14ac:dyDescent="0.35">
      <c r="B1368" s="544" t="s">
        <v>6263</v>
      </c>
      <c r="C1368" s="517" t="s">
        <v>6351</v>
      </c>
      <c r="D1368" s="518">
        <v>9100</v>
      </c>
      <c r="E1368" s="517" t="s">
        <v>4099</v>
      </c>
      <c r="F1368" s="518" t="s">
        <v>1628</v>
      </c>
      <c r="G1368" s="519">
        <v>1750905</v>
      </c>
      <c r="H1368" s="517" t="s">
        <v>5686</v>
      </c>
    </row>
    <row r="1369" spans="2:8" ht="15" x14ac:dyDescent="0.35">
      <c r="B1369" s="544" t="s">
        <v>6263</v>
      </c>
      <c r="C1369" s="517" t="s">
        <v>6351</v>
      </c>
      <c r="D1369" s="518">
        <v>9101</v>
      </c>
      <c r="E1369" s="517" t="s">
        <v>4100</v>
      </c>
      <c r="F1369" s="518" t="s">
        <v>1628</v>
      </c>
      <c r="G1369" s="519">
        <v>4488000</v>
      </c>
      <c r="H1369" s="517" t="s">
        <v>5686</v>
      </c>
    </row>
    <row r="1370" spans="2:8" ht="15" x14ac:dyDescent="0.35">
      <c r="B1370" s="544" t="s">
        <v>6263</v>
      </c>
      <c r="C1370" s="517" t="s">
        <v>6351</v>
      </c>
      <c r="D1370" s="518">
        <v>9102</v>
      </c>
      <c r="E1370" s="517" t="s">
        <v>4101</v>
      </c>
      <c r="F1370" s="518" t="s">
        <v>1628</v>
      </c>
      <c r="G1370" s="519">
        <v>3479000</v>
      </c>
      <c r="H1370" s="517" t="s">
        <v>5686</v>
      </c>
    </row>
    <row r="1371" spans="2:8" ht="15" x14ac:dyDescent="0.35">
      <c r="B1371" s="544" t="s">
        <v>6263</v>
      </c>
      <c r="C1371" s="517" t="s">
        <v>6351</v>
      </c>
      <c r="D1371" s="518">
        <v>9103</v>
      </c>
      <c r="E1371" s="517" t="s">
        <v>4102</v>
      </c>
      <c r="F1371" s="518" t="s">
        <v>1628</v>
      </c>
      <c r="G1371" s="519">
        <v>2481000</v>
      </c>
      <c r="H1371" s="517" t="s">
        <v>5686</v>
      </c>
    </row>
    <row r="1372" spans="2:8" ht="15" x14ac:dyDescent="0.35">
      <c r="B1372" s="544" t="s">
        <v>6263</v>
      </c>
      <c r="C1372" s="517" t="s">
        <v>6351</v>
      </c>
      <c r="D1372" s="518">
        <v>9104</v>
      </c>
      <c r="E1372" s="517" t="s">
        <v>4103</v>
      </c>
      <c r="F1372" s="518" t="s">
        <v>1628</v>
      </c>
      <c r="G1372" s="519">
        <v>2018000</v>
      </c>
      <c r="H1372" s="517" t="s">
        <v>5686</v>
      </c>
    </row>
    <row r="1373" spans="2:8" ht="15" x14ac:dyDescent="0.35">
      <c r="B1373" s="544" t="s">
        <v>6263</v>
      </c>
      <c r="C1373" s="517" t="s">
        <v>6351</v>
      </c>
      <c r="D1373" s="518">
        <v>9105</v>
      </c>
      <c r="E1373" s="517" t="s">
        <v>4104</v>
      </c>
      <c r="F1373" s="518" t="s">
        <v>1628</v>
      </c>
      <c r="G1373" s="519">
        <v>1750905</v>
      </c>
      <c r="H1373" s="517" t="s">
        <v>5686</v>
      </c>
    </row>
    <row r="1374" spans="2:8" ht="15" x14ac:dyDescent="0.35">
      <c r="B1374" s="544" t="s">
        <v>6263</v>
      </c>
      <c r="C1374" s="517" t="s">
        <v>6351</v>
      </c>
      <c r="D1374" s="518">
        <v>9107</v>
      </c>
      <c r="E1374" s="517" t="s">
        <v>4105</v>
      </c>
      <c r="F1374" s="518" t="s">
        <v>1628</v>
      </c>
      <c r="G1374" s="519">
        <v>17387000</v>
      </c>
      <c r="H1374" s="517" t="s">
        <v>5686</v>
      </c>
    </row>
    <row r="1375" spans="2:8" ht="15" x14ac:dyDescent="0.35">
      <c r="B1375" s="544" t="s">
        <v>6263</v>
      </c>
      <c r="C1375" s="517" t="s">
        <v>6351</v>
      </c>
      <c r="D1375" s="518">
        <v>9108</v>
      </c>
      <c r="E1375" s="517" t="s">
        <v>4106</v>
      </c>
      <c r="F1375" s="518" t="s">
        <v>1628</v>
      </c>
      <c r="G1375" s="519">
        <v>13251000</v>
      </c>
      <c r="H1375" s="517" t="s">
        <v>5686</v>
      </c>
    </row>
    <row r="1376" spans="2:8" ht="15" x14ac:dyDescent="0.35">
      <c r="B1376" s="544" t="s">
        <v>6263</v>
      </c>
      <c r="C1376" s="517" t="s">
        <v>6351</v>
      </c>
      <c r="D1376" s="518">
        <v>9109</v>
      </c>
      <c r="E1376" s="517" t="s">
        <v>4107</v>
      </c>
      <c r="F1376" s="518" t="s">
        <v>1628</v>
      </c>
      <c r="G1376" s="519">
        <v>11183000</v>
      </c>
      <c r="H1376" s="517" t="s">
        <v>5686</v>
      </c>
    </row>
    <row r="1377" spans="2:8" ht="15" x14ac:dyDescent="0.35">
      <c r="B1377" s="544" t="s">
        <v>6263</v>
      </c>
      <c r="C1377" s="517" t="s">
        <v>6351</v>
      </c>
      <c r="D1377" s="518">
        <v>9110</v>
      </c>
      <c r="E1377" s="517" t="s">
        <v>4108</v>
      </c>
      <c r="F1377" s="518" t="s">
        <v>1628</v>
      </c>
      <c r="G1377" s="519">
        <v>9522000</v>
      </c>
      <c r="H1377" s="517" t="s">
        <v>5686</v>
      </c>
    </row>
    <row r="1378" spans="2:8" ht="15" x14ac:dyDescent="0.35">
      <c r="B1378" s="544" t="s">
        <v>6263</v>
      </c>
      <c r="C1378" s="517" t="s">
        <v>6351</v>
      </c>
      <c r="D1378" s="518">
        <v>9111</v>
      </c>
      <c r="E1378" s="517" t="s">
        <v>4109</v>
      </c>
      <c r="F1378" s="518" t="s">
        <v>1628</v>
      </c>
      <c r="G1378" s="519">
        <v>8589000</v>
      </c>
      <c r="H1378" s="517" t="s">
        <v>5686</v>
      </c>
    </row>
    <row r="1379" spans="2:8" ht="15" x14ac:dyDescent="0.35">
      <c r="B1379" s="544" t="s">
        <v>6263</v>
      </c>
      <c r="C1379" s="517" t="s">
        <v>6351</v>
      </c>
      <c r="D1379" s="518">
        <v>9112</v>
      </c>
      <c r="E1379" s="517" t="s">
        <v>4110</v>
      </c>
      <c r="F1379" s="518" t="s">
        <v>1628</v>
      </c>
      <c r="G1379" s="519">
        <v>7659000</v>
      </c>
      <c r="H1379" s="517" t="s">
        <v>5686</v>
      </c>
    </row>
    <row r="1380" spans="2:8" ht="15" x14ac:dyDescent="0.35">
      <c r="B1380" s="544" t="s">
        <v>6263</v>
      </c>
      <c r="C1380" s="517" t="s">
        <v>6351</v>
      </c>
      <c r="D1380" s="518">
        <v>9113</v>
      </c>
      <c r="E1380" s="517" t="s">
        <v>4111</v>
      </c>
      <c r="F1380" s="518" t="s">
        <v>1628</v>
      </c>
      <c r="G1380" s="519">
        <v>5791000</v>
      </c>
      <c r="H1380" s="517" t="s">
        <v>5686</v>
      </c>
    </row>
    <row r="1381" spans="2:8" ht="15" x14ac:dyDescent="0.35">
      <c r="B1381" s="544" t="s">
        <v>6263</v>
      </c>
      <c r="C1381" s="517" t="s">
        <v>6394</v>
      </c>
      <c r="D1381" s="518">
        <v>9116</v>
      </c>
      <c r="E1381" s="517" t="s">
        <v>4112</v>
      </c>
      <c r="F1381" s="518" t="s">
        <v>3175</v>
      </c>
      <c r="G1381" s="519">
        <v>268000</v>
      </c>
      <c r="H1381" s="517" t="s">
        <v>5686</v>
      </c>
    </row>
    <row r="1382" spans="2:8" ht="15" x14ac:dyDescent="0.35">
      <c r="B1382" s="544" t="s">
        <v>6263</v>
      </c>
      <c r="C1382" s="517" t="s">
        <v>6394</v>
      </c>
      <c r="D1382" s="518">
        <v>9117</v>
      </c>
      <c r="E1382" s="517" t="s">
        <v>4113</v>
      </c>
      <c r="F1382" s="518" t="s">
        <v>1628</v>
      </c>
      <c r="G1382" s="519">
        <v>7732000</v>
      </c>
      <c r="H1382" s="517" t="s">
        <v>5686</v>
      </c>
    </row>
    <row r="1383" spans="2:8" ht="15" x14ac:dyDescent="0.35">
      <c r="B1383" s="544" t="s">
        <v>6263</v>
      </c>
      <c r="C1383" s="517" t="s">
        <v>6394</v>
      </c>
      <c r="D1383" s="518">
        <v>9118</v>
      </c>
      <c r="E1383" s="517" t="s">
        <v>4114</v>
      </c>
      <c r="F1383" s="518" t="s">
        <v>3175</v>
      </c>
      <c r="G1383" s="519">
        <v>461000</v>
      </c>
      <c r="H1383" s="517" t="s">
        <v>5686</v>
      </c>
    </row>
    <row r="1384" spans="2:8" ht="15" x14ac:dyDescent="0.35">
      <c r="B1384" s="544" t="s">
        <v>6263</v>
      </c>
      <c r="C1384" s="517" t="s">
        <v>6394</v>
      </c>
      <c r="D1384" s="518">
        <v>9119</v>
      </c>
      <c r="E1384" s="517" t="s">
        <v>4115</v>
      </c>
      <c r="F1384" s="518" t="s">
        <v>1628</v>
      </c>
      <c r="G1384" s="519">
        <v>13668000</v>
      </c>
      <c r="H1384" s="517" t="s">
        <v>5686</v>
      </c>
    </row>
    <row r="1385" spans="2:8" ht="15" x14ac:dyDescent="0.35">
      <c r="B1385" s="544" t="s">
        <v>6263</v>
      </c>
      <c r="C1385" s="517" t="s">
        <v>6394</v>
      </c>
      <c r="D1385" s="518">
        <v>9120</v>
      </c>
      <c r="E1385" s="517" t="s">
        <v>4116</v>
      </c>
      <c r="F1385" s="518" t="s">
        <v>3175</v>
      </c>
      <c r="G1385" s="519">
        <v>329000</v>
      </c>
      <c r="H1385" s="517" t="s">
        <v>5686</v>
      </c>
    </row>
    <row r="1386" spans="2:8" ht="15" x14ac:dyDescent="0.35">
      <c r="B1386" s="544" t="s">
        <v>6263</v>
      </c>
      <c r="C1386" s="517" t="s">
        <v>6394</v>
      </c>
      <c r="D1386" s="518">
        <v>9121</v>
      </c>
      <c r="E1386" s="517" t="s">
        <v>4117</v>
      </c>
      <c r="F1386" s="518" t="s">
        <v>1628</v>
      </c>
      <c r="G1386" s="519">
        <v>9921000</v>
      </c>
      <c r="H1386" s="517" t="s">
        <v>5686</v>
      </c>
    </row>
    <row r="1387" spans="2:8" ht="15" x14ac:dyDescent="0.35">
      <c r="B1387" s="544" t="s">
        <v>6263</v>
      </c>
      <c r="C1387" s="517" t="s">
        <v>6394</v>
      </c>
      <c r="D1387" s="518">
        <v>9122</v>
      </c>
      <c r="E1387" s="517" t="s">
        <v>4118</v>
      </c>
      <c r="F1387" s="518" t="s">
        <v>3175</v>
      </c>
      <c r="G1387" s="519">
        <v>50353</v>
      </c>
      <c r="H1387" s="517" t="s">
        <v>5686</v>
      </c>
    </row>
    <row r="1388" spans="2:8" ht="15" x14ac:dyDescent="0.35">
      <c r="B1388" s="544" t="s">
        <v>6263</v>
      </c>
      <c r="C1388" s="517" t="s">
        <v>6394</v>
      </c>
      <c r="D1388" s="518">
        <v>9123</v>
      </c>
      <c r="E1388" s="517" t="s">
        <v>4119</v>
      </c>
      <c r="F1388" s="518" t="s">
        <v>1628</v>
      </c>
      <c r="G1388" s="519">
        <v>1516361</v>
      </c>
      <c r="H1388" s="517" t="s">
        <v>5686</v>
      </c>
    </row>
    <row r="1389" spans="2:8" ht="15" x14ac:dyDescent="0.35">
      <c r="B1389" s="544" t="s">
        <v>6263</v>
      </c>
      <c r="C1389" s="517" t="s">
        <v>6358</v>
      </c>
      <c r="D1389" s="518">
        <v>9143</v>
      </c>
      <c r="E1389" s="517" t="s">
        <v>5858</v>
      </c>
      <c r="F1389" s="518" t="s">
        <v>29</v>
      </c>
      <c r="G1389" s="519">
        <v>153510</v>
      </c>
      <c r="H1389" s="517" t="s">
        <v>6915</v>
      </c>
    </row>
    <row r="1390" spans="2:8" ht="15" x14ac:dyDescent="0.35">
      <c r="B1390" s="544" t="s">
        <v>6263</v>
      </c>
      <c r="C1390" s="517" t="s">
        <v>6382</v>
      </c>
      <c r="D1390" s="518">
        <v>9144</v>
      </c>
      <c r="E1390" s="517" t="s">
        <v>4120</v>
      </c>
      <c r="F1390" s="518" t="s">
        <v>29</v>
      </c>
      <c r="G1390" s="519">
        <v>833980</v>
      </c>
      <c r="H1390" s="517" t="s">
        <v>6915</v>
      </c>
    </row>
    <row r="1391" spans="2:8" ht="15" x14ac:dyDescent="0.35">
      <c r="B1391" s="544" t="s">
        <v>6263</v>
      </c>
      <c r="C1391" s="517" t="s">
        <v>6382</v>
      </c>
      <c r="D1391" s="518">
        <v>9145</v>
      </c>
      <c r="E1391" s="517" t="s">
        <v>4121</v>
      </c>
      <c r="F1391" s="518" t="s">
        <v>29</v>
      </c>
      <c r="G1391" s="519">
        <v>833980</v>
      </c>
      <c r="H1391" s="517" t="s">
        <v>6915</v>
      </c>
    </row>
    <row r="1392" spans="2:8" ht="15" x14ac:dyDescent="0.35">
      <c r="B1392" s="544" t="s">
        <v>6263</v>
      </c>
      <c r="C1392" s="517" t="s">
        <v>6389</v>
      </c>
      <c r="D1392" s="518">
        <v>9146</v>
      </c>
      <c r="E1392" s="517" t="s">
        <v>4122</v>
      </c>
      <c r="F1392" s="518" t="s">
        <v>29</v>
      </c>
      <c r="G1392" s="519">
        <v>18350267</v>
      </c>
      <c r="H1392" s="517" t="s">
        <v>6425</v>
      </c>
    </row>
    <row r="1393" spans="2:8" ht="15" x14ac:dyDescent="0.35">
      <c r="B1393" s="544" t="s">
        <v>6263</v>
      </c>
      <c r="C1393" s="517" t="s">
        <v>6389</v>
      </c>
      <c r="D1393" s="518">
        <v>9147</v>
      </c>
      <c r="E1393" s="517" t="s">
        <v>4123</v>
      </c>
      <c r="F1393" s="518" t="s">
        <v>29</v>
      </c>
      <c r="G1393" s="519">
        <v>2058175</v>
      </c>
      <c r="H1393" s="517" t="s">
        <v>6425</v>
      </c>
    </row>
    <row r="1394" spans="2:8" ht="15" x14ac:dyDescent="0.35">
      <c r="B1394" s="544" t="s">
        <v>6263</v>
      </c>
      <c r="C1394" s="517" t="s">
        <v>6338</v>
      </c>
      <c r="D1394" s="518">
        <v>9148</v>
      </c>
      <c r="E1394" s="517" t="s">
        <v>4124</v>
      </c>
      <c r="F1394" s="518" t="s">
        <v>1628</v>
      </c>
      <c r="G1394" s="519">
        <v>4350413</v>
      </c>
      <c r="H1394" s="517" t="s">
        <v>6425</v>
      </c>
    </row>
    <row r="1395" spans="2:8" ht="15" x14ac:dyDescent="0.35">
      <c r="B1395" s="544" t="s">
        <v>6263</v>
      </c>
      <c r="C1395" s="517" t="s">
        <v>6395</v>
      </c>
      <c r="D1395" s="518">
        <v>9159</v>
      </c>
      <c r="E1395" s="517" t="s">
        <v>4125</v>
      </c>
      <c r="F1395" s="518" t="s">
        <v>3158</v>
      </c>
      <c r="G1395" s="519">
        <v>236715</v>
      </c>
      <c r="H1395" s="517" t="s">
        <v>6915</v>
      </c>
    </row>
    <row r="1396" spans="2:8" ht="15" x14ac:dyDescent="0.35">
      <c r="B1396" s="544" t="s">
        <v>6263</v>
      </c>
      <c r="C1396" s="517" t="s">
        <v>6387</v>
      </c>
      <c r="D1396" s="518">
        <v>9164</v>
      </c>
      <c r="E1396" s="517" t="s">
        <v>5859</v>
      </c>
      <c r="F1396" s="518" t="s">
        <v>3175</v>
      </c>
      <c r="G1396" s="519">
        <v>416000</v>
      </c>
      <c r="H1396" s="517" t="s">
        <v>5686</v>
      </c>
    </row>
    <row r="1397" spans="2:8" ht="15" x14ac:dyDescent="0.35">
      <c r="B1397" s="544" t="s">
        <v>6263</v>
      </c>
      <c r="C1397" s="517" t="s">
        <v>6387</v>
      </c>
      <c r="D1397" s="518">
        <v>9165</v>
      </c>
      <c r="E1397" s="517" t="s">
        <v>5860</v>
      </c>
      <c r="F1397" s="518" t="s">
        <v>1628</v>
      </c>
      <c r="G1397" s="519">
        <v>8778000</v>
      </c>
      <c r="H1397" s="517" t="s">
        <v>5686</v>
      </c>
    </row>
    <row r="1398" spans="2:8" ht="15" x14ac:dyDescent="0.35">
      <c r="B1398" s="544" t="s">
        <v>6263</v>
      </c>
      <c r="C1398" s="517" t="s">
        <v>6387</v>
      </c>
      <c r="D1398" s="518">
        <v>9166</v>
      </c>
      <c r="E1398" s="517" t="s">
        <v>5861</v>
      </c>
      <c r="F1398" s="518" t="s">
        <v>1628</v>
      </c>
      <c r="G1398" s="519">
        <v>12539000</v>
      </c>
      <c r="H1398" s="517" t="s">
        <v>5686</v>
      </c>
    </row>
    <row r="1399" spans="2:8" ht="15" x14ac:dyDescent="0.35">
      <c r="B1399" s="544" t="s">
        <v>6263</v>
      </c>
      <c r="C1399" s="517" t="s">
        <v>6387</v>
      </c>
      <c r="D1399" s="518">
        <v>9167</v>
      </c>
      <c r="E1399" s="517" t="s">
        <v>5862</v>
      </c>
      <c r="F1399" s="518" t="s">
        <v>3175</v>
      </c>
      <c r="G1399" s="519">
        <v>570000</v>
      </c>
      <c r="H1399" s="517" t="s">
        <v>5686</v>
      </c>
    </row>
    <row r="1400" spans="2:8" ht="15" x14ac:dyDescent="0.35">
      <c r="B1400" s="544" t="s">
        <v>6263</v>
      </c>
      <c r="C1400" s="517" t="s">
        <v>6387</v>
      </c>
      <c r="D1400" s="518">
        <v>9168</v>
      </c>
      <c r="E1400" s="517" t="s">
        <v>5863</v>
      </c>
      <c r="F1400" s="518" t="s">
        <v>1628</v>
      </c>
      <c r="G1400" s="519">
        <v>17061000</v>
      </c>
      <c r="H1400" s="517" t="s">
        <v>5686</v>
      </c>
    </row>
    <row r="1401" spans="2:8" ht="15" x14ac:dyDescent="0.35">
      <c r="B1401" s="544" t="s">
        <v>6263</v>
      </c>
      <c r="C1401" s="517" t="s">
        <v>6359</v>
      </c>
      <c r="D1401" s="518">
        <v>9169</v>
      </c>
      <c r="E1401" s="517" t="s">
        <v>4126</v>
      </c>
      <c r="F1401" s="518" t="s">
        <v>29</v>
      </c>
      <c r="G1401" s="519">
        <v>34014</v>
      </c>
      <c r="H1401" s="517" t="s">
        <v>6915</v>
      </c>
    </row>
    <row r="1402" spans="2:8" ht="15" x14ac:dyDescent="0.35">
      <c r="B1402" s="544" t="s">
        <v>6263</v>
      </c>
      <c r="C1402" s="517" t="s">
        <v>6275</v>
      </c>
      <c r="D1402" s="518">
        <v>9170</v>
      </c>
      <c r="E1402" s="517" t="s">
        <v>4127</v>
      </c>
      <c r="F1402" s="518" t="s">
        <v>367</v>
      </c>
      <c r="G1402" s="519">
        <v>11087</v>
      </c>
      <c r="H1402" s="517" t="s">
        <v>6425</v>
      </c>
    </row>
    <row r="1403" spans="2:8" ht="15" x14ac:dyDescent="0.35">
      <c r="B1403" s="544" t="s">
        <v>6263</v>
      </c>
      <c r="C1403" s="517" t="s">
        <v>6275</v>
      </c>
      <c r="D1403" s="518">
        <v>9171</v>
      </c>
      <c r="E1403" s="517" t="s">
        <v>4128</v>
      </c>
      <c r="F1403" s="518" t="s">
        <v>367</v>
      </c>
      <c r="G1403" s="519">
        <v>13593</v>
      </c>
      <c r="H1403" s="517" t="s">
        <v>6425</v>
      </c>
    </row>
    <row r="1404" spans="2:8" ht="15" x14ac:dyDescent="0.35">
      <c r="B1404" s="544" t="s">
        <v>6263</v>
      </c>
      <c r="C1404" s="517" t="s">
        <v>6360</v>
      </c>
      <c r="D1404" s="518">
        <v>9172</v>
      </c>
      <c r="E1404" s="517" t="s">
        <v>5864</v>
      </c>
      <c r="F1404" s="518" t="s">
        <v>1147</v>
      </c>
      <c r="G1404" s="519">
        <v>720000</v>
      </c>
      <c r="H1404" s="517" t="s">
        <v>6425</v>
      </c>
    </row>
    <row r="1405" spans="2:8" ht="15" x14ac:dyDescent="0.35">
      <c r="B1405" s="544" t="s">
        <v>6263</v>
      </c>
      <c r="C1405" s="517" t="s">
        <v>6350</v>
      </c>
      <c r="D1405" s="518">
        <v>9176</v>
      </c>
      <c r="E1405" s="517" t="s">
        <v>4129</v>
      </c>
      <c r="F1405" s="518" t="s">
        <v>1628</v>
      </c>
      <c r="G1405" s="519">
        <v>928200</v>
      </c>
      <c r="H1405" s="517" t="s">
        <v>6425</v>
      </c>
    </row>
    <row r="1406" spans="2:8" ht="15" x14ac:dyDescent="0.35">
      <c r="B1406" s="544" t="s">
        <v>6263</v>
      </c>
      <c r="C1406" s="517" t="s">
        <v>6359</v>
      </c>
      <c r="D1406" s="518">
        <v>9184</v>
      </c>
      <c r="E1406" s="517" t="s">
        <v>4130</v>
      </c>
      <c r="F1406" s="518" t="s">
        <v>29</v>
      </c>
      <c r="G1406" s="519">
        <v>435667</v>
      </c>
      <c r="H1406" s="517" t="s">
        <v>6915</v>
      </c>
    </row>
    <row r="1407" spans="2:8" ht="15" x14ac:dyDescent="0.35">
      <c r="B1407" s="544" t="s">
        <v>6263</v>
      </c>
      <c r="C1407" s="517" t="s">
        <v>6389</v>
      </c>
      <c r="D1407" s="518">
        <v>9185</v>
      </c>
      <c r="E1407" s="517" t="s">
        <v>4131</v>
      </c>
      <c r="F1407" s="518" t="s">
        <v>29</v>
      </c>
      <c r="G1407" s="519">
        <v>6158292</v>
      </c>
      <c r="H1407" s="517" t="s">
        <v>6425</v>
      </c>
    </row>
    <row r="1408" spans="2:8" ht="15" x14ac:dyDescent="0.35">
      <c r="B1408" s="544" t="s">
        <v>6263</v>
      </c>
      <c r="C1408" s="517" t="s">
        <v>6390</v>
      </c>
      <c r="D1408" s="518">
        <v>9186</v>
      </c>
      <c r="E1408" s="517" t="s">
        <v>4132</v>
      </c>
      <c r="F1408" s="518" t="s">
        <v>29</v>
      </c>
      <c r="G1408" s="519">
        <v>8033015</v>
      </c>
      <c r="H1408" s="517" t="s">
        <v>6915</v>
      </c>
    </row>
    <row r="1409" spans="2:8" ht="15" x14ac:dyDescent="0.35">
      <c r="B1409" s="544" t="s">
        <v>6263</v>
      </c>
      <c r="C1409" s="517" t="s">
        <v>6389</v>
      </c>
      <c r="D1409" s="518">
        <v>9187</v>
      </c>
      <c r="E1409" s="517" t="s">
        <v>4133</v>
      </c>
      <c r="F1409" s="518" t="s">
        <v>29</v>
      </c>
      <c r="G1409" s="519">
        <v>5697434</v>
      </c>
      <c r="H1409" s="517" t="s">
        <v>6425</v>
      </c>
    </row>
    <row r="1410" spans="2:8" ht="15" x14ac:dyDescent="0.35">
      <c r="B1410" s="544" t="s">
        <v>6263</v>
      </c>
      <c r="C1410" s="517" t="s">
        <v>6389</v>
      </c>
      <c r="D1410" s="518">
        <v>9188</v>
      </c>
      <c r="E1410" s="517" t="s">
        <v>4134</v>
      </c>
      <c r="F1410" s="518" t="s">
        <v>29</v>
      </c>
      <c r="G1410" s="519">
        <v>7128933</v>
      </c>
      <c r="H1410" s="517" t="s">
        <v>6425</v>
      </c>
    </row>
    <row r="1411" spans="2:8" ht="15" x14ac:dyDescent="0.35">
      <c r="B1411" s="544" t="s">
        <v>6263</v>
      </c>
      <c r="C1411" s="517" t="s">
        <v>6389</v>
      </c>
      <c r="D1411" s="518">
        <v>9189</v>
      </c>
      <c r="E1411" s="517" t="s">
        <v>4135</v>
      </c>
      <c r="F1411" s="518" t="s">
        <v>29</v>
      </c>
      <c r="G1411" s="519">
        <v>9861228</v>
      </c>
      <c r="H1411" s="517" t="s">
        <v>6425</v>
      </c>
    </row>
    <row r="1412" spans="2:8" ht="15" x14ac:dyDescent="0.35">
      <c r="B1412" s="544" t="s">
        <v>6263</v>
      </c>
      <c r="C1412" s="517" t="s">
        <v>6389</v>
      </c>
      <c r="D1412" s="518">
        <v>9190</v>
      </c>
      <c r="E1412" s="517" t="s">
        <v>4136</v>
      </c>
      <c r="F1412" s="518" t="s">
        <v>29</v>
      </c>
      <c r="G1412" s="519">
        <v>18376698</v>
      </c>
      <c r="H1412" s="517" t="s">
        <v>6425</v>
      </c>
    </row>
    <row r="1413" spans="2:8" ht="15" x14ac:dyDescent="0.35">
      <c r="B1413" s="544" t="s">
        <v>6263</v>
      </c>
      <c r="C1413" s="517" t="s">
        <v>6389</v>
      </c>
      <c r="D1413" s="518">
        <v>9191</v>
      </c>
      <c r="E1413" s="517" t="s">
        <v>4137</v>
      </c>
      <c r="F1413" s="518" t="s">
        <v>29</v>
      </c>
      <c r="G1413" s="519">
        <v>4815390</v>
      </c>
      <c r="H1413" s="517" t="s">
        <v>6425</v>
      </c>
    </row>
    <row r="1414" spans="2:8" ht="15" x14ac:dyDescent="0.35">
      <c r="B1414" s="544" t="s">
        <v>6263</v>
      </c>
      <c r="C1414" s="517" t="s">
        <v>6389</v>
      </c>
      <c r="D1414" s="518">
        <v>9192</v>
      </c>
      <c r="E1414" s="517" t="s">
        <v>4138</v>
      </c>
      <c r="F1414" s="518" t="s">
        <v>29</v>
      </c>
      <c r="G1414" s="519">
        <v>4690716</v>
      </c>
      <c r="H1414" s="517" t="s">
        <v>6425</v>
      </c>
    </row>
    <row r="1415" spans="2:8" ht="15" x14ac:dyDescent="0.35">
      <c r="B1415" s="544" t="s">
        <v>6263</v>
      </c>
      <c r="C1415" s="517" t="s">
        <v>6389</v>
      </c>
      <c r="D1415" s="518">
        <v>9193</v>
      </c>
      <c r="E1415" s="517" t="s">
        <v>4139</v>
      </c>
      <c r="F1415" s="518" t="s">
        <v>29</v>
      </c>
      <c r="G1415" s="519">
        <v>4345084</v>
      </c>
      <c r="H1415" s="517" t="s">
        <v>6425</v>
      </c>
    </row>
    <row r="1416" spans="2:8" ht="15" x14ac:dyDescent="0.35">
      <c r="B1416" s="544" t="s">
        <v>6263</v>
      </c>
      <c r="C1416" s="517" t="s">
        <v>6389</v>
      </c>
      <c r="D1416" s="518">
        <v>9194</v>
      </c>
      <c r="E1416" s="517" t="s">
        <v>4140</v>
      </c>
      <c r="F1416" s="518" t="s">
        <v>29</v>
      </c>
      <c r="G1416" s="519">
        <v>4295709</v>
      </c>
      <c r="H1416" s="517" t="s">
        <v>6425</v>
      </c>
    </row>
    <row r="1417" spans="2:8" ht="15" x14ac:dyDescent="0.35">
      <c r="B1417" s="544" t="s">
        <v>6263</v>
      </c>
      <c r="C1417" s="517" t="s">
        <v>6337</v>
      </c>
      <c r="D1417" s="518">
        <v>9197</v>
      </c>
      <c r="E1417" s="517" t="s">
        <v>4141</v>
      </c>
      <c r="F1417" s="518" t="s">
        <v>23</v>
      </c>
      <c r="G1417" s="519">
        <v>1239028</v>
      </c>
      <c r="H1417" s="517" t="s">
        <v>6425</v>
      </c>
    </row>
    <row r="1418" spans="2:8" ht="15" x14ac:dyDescent="0.35">
      <c r="B1418" s="544" t="s">
        <v>6263</v>
      </c>
      <c r="C1418" s="517" t="s">
        <v>6337</v>
      </c>
      <c r="D1418" s="518">
        <v>9199</v>
      </c>
      <c r="E1418" s="517" t="s">
        <v>4142</v>
      </c>
      <c r="F1418" s="518" t="s">
        <v>23</v>
      </c>
      <c r="G1418" s="519">
        <v>737184</v>
      </c>
      <c r="H1418" s="517" t="s">
        <v>6425</v>
      </c>
    </row>
    <row r="1419" spans="2:8" ht="15" x14ac:dyDescent="0.35">
      <c r="B1419" s="544" t="s">
        <v>6263</v>
      </c>
      <c r="C1419" s="517" t="s">
        <v>6359</v>
      </c>
      <c r="D1419" s="518">
        <v>9200</v>
      </c>
      <c r="E1419" s="517" t="s">
        <v>4143</v>
      </c>
      <c r="F1419" s="518" t="s">
        <v>29</v>
      </c>
      <c r="G1419" s="519">
        <v>530431</v>
      </c>
      <c r="H1419" s="517" t="s">
        <v>6915</v>
      </c>
    </row>
    <row r="1420" spans="2:8" ht="15" x14ac:dyDescent="0.35">
      <c r="B1420" s="544" t="s">
        <v>6263</v>
      </c>
      <c r="C1420" s="517" t="s">
        <v>6359</v>
      </c>
      <c r="D1420" s="518">
        <v>9201</v>
      </c>
      <c r="E1420" s="517" t="s">
        <v>4144</v>
      </c>
      <c r="F1420" s="518" t="s">
        <v>29</v>
      </c>
      <c r="G1420" s="519">
        <v>509217</v>
      </c>
      <c r="H1420" s="517" t="s">
        <v>6915</v>
      </c>
    </row>
    <row r="1421" spans="2:8" ht="15" x14ac:dyDescent="0.35">
      <c r="B1421" s="544" t="s">
        <v>6263</v>
      </c>
      <c r="C1421" s="517" t="s">
        <v>6359</v>
      </c>
      <c r="D1421" s="518">
        <v>9202</v>
      </c>
      <c r="E1421" s="517" t="s">
        <v>4145</v>
      </c>
      <c r="F1421" s="518" t="s">
        <v>29</v>
      </c>
      <c r="G1421" s="519">
        <v>520664</v>
      </c>
      <c r="H1421" s="517" t="s">
        <v>6915</v>
      </c>
    </row>
    <row r="1422" spans="2:8" ht="15" x14ac:dyDescent="0.35">
      <c r="B1422" s="544" t="s">
        <v>6263</v>
      </c>
      <c r="C1422" s="517" t="s">
        <v>6359</v>
      </c>
      <c r="D1422" s="518">
        <v>9203</v>
      </c>
      <c r="E1422" s="517" t="s">
        <v>4146</v>
      </c>
      <c r="F1422" s="518" t="s">
        <v>29</v>
      </c>
      <c r="G1422" s="519">
        <v>520664</v>
      </c>
      <c r="H1422" s="517" t="s">
        <v>6915</v>
      </c>
    </row>
    <row r="1423" spans="2:8" ht="15" x14ac:dyDescent="0.35">
      <c r="B1423" s="544" t="s">
        <v>6263</v>
      </c>
      <c r="C1423" s="517" t="s">
        <v>6359</v>
      </c>
      <c r="D1423" s="518">
        <v>9204</v>
      </c>
      <c r="E1423" s="517" t="s">
        <v>4147</v>
      </c>
      <c r="F1423" s="518" t="s">
        <v>29</v>
      </c>
      <c r="G1423" s="519">
        <v>520664</v>
      </c>
      <c r="H1423" s="517" t="s">
        <v>6915</v>
      </c>
    </row>
    <row r="1424" spans="2:8" ht="15" x14ac:dyDescent="0.35">
      <c r="B1424" s="544" t="s">
        <v>6263</v>
      </c>
      <c r="C1424" s="517" t="s">
        <v>6359</v>
      </c>
      <c r="D1424" s="518">
        <v>9209</v>
      </c>
      <c r="E1424" s="517" t="s">
        <v>4148</v>
      </c>
      <c r="F1424" s="518" t="s">
        <v>29</v>
      </c>
      <c r="G1424" s="519">
        <v>421236</v>
      </c>
      <c r="H1424" s="517" t="s">
        <v>6915</v>
      </c>
    </row>
    <row r="1425" spans="2:8" ht="15" x14ac:dyDescent="0.35">
      <c r="B1425" s="544" t="s">
        <v>6263</v>
      </c>
      <c r="C1425" s="517" t="s">
        <v>6391</v>
      </c>
      <c r="D1425" s="518">
        <v>9216</v>
      </c>
      <c r="E1425" s="517" t="s">
        <v>5865</v>
      </c>
      <c r="F1425" s="518" t="s">
        <v>29</v>
      </c>
      <c r="G1425" s="519">
        <v>118643</v>
      </c>
      <c r="H1425" s="517" t="s">
        <v>6915</v>
      </c>
    </row>
    <row r="1426" spans="2:8" ht="15" x14ac:dyDescent="0.35">
      <c r="B1426" s="544" t="s">
        <v>6263</v>
      </c>
      <c r="C1426" s="517" t="s">
        <v>6391</v>
      </c>
      <c r="D1426" s="518">
        <v>9217</v>
      </c>
      <c r="E1426" s="517" t="s">
        <v>4149</v>
      </c>
      <c r="F1426" s="518" t="s">
        <v>29</v>
      </c>
      <c r="G1426" s="519">
        <v>271320</v>
      </c>
      <c r="H1426" s="517" t="s">
        <v>6915</v>
      </c>
    </row>
    <row r="1427" spans="2:8" ht="15" x14ac:dyDescent="0.35">
      <c r="B1427" s="544" t="s">
        <v>6263</v>
      </c>
      <c r="C1427" s="517" t="s">
        <v>6391</v>
      </c>
      <c r="D1427" s="518">
        <v>9219</v>
      </c>
      <c r="E1427" s="517" t="s">
        <v>4150</v>
      </c>
      <c r="F1427" s="518" t="s">
        <v>29</v>
      </c>
      <c r="G1427" s="519">
        <v>130900</v>
      </c>
      <c r="H1427" s="517" t="s">
        <v>6915</v>
      </c>
    </row>
    <row r="1428" spans="2:8" ht="15" x14ac:dyDescent="0.35">
      <c r="B1428" s="544" t="s">
        <v>6263</v>
      </c>
      <c r="C1428" s="517" t="s">
        <v>6344</v>
      </c>
      <c r="D1428" s="518">
        <v>9229</v>
      </c>
      <c r="E1428" s="517" t="s">
        <v>4151</v>
      </c>
      <c r="F1428" s="518" t="s">
        <v>4152</v>
      </c>
      <c r="G1428" s="519">
        <v>571200</v>
      </c>
      <c r="H1428" s="517" t="s">
        <v>6425</v>
      </c>
    </row>
    <row r="1429" spans="2:8" ht="15" x14ac:dyDescent="0.35">
      <c r="B1429" s="544" t="s">
        <v>6263</v>
      </c>
      <c r="C1429" s="517" t="s">
        <v>6393</v>
      </c>
      <c r="D1429" s="518">
        <v>9247</v>
      </c>
      <c r="E1429" s="517" t="s">
        <v>4153</v>
      </c>
      <c r="F1429" s="518" t="s">
        <v>21</v>
      </c>
      <c r="G1429" s="519">
        <v>60529</v>
      </c>
      <c r="H1429" s="517" t="s">
        <v>6915</v>
      </c>
    </row>
    <row r="1430" spans="2:8" ht="15" x14ac:dyDescent="0.35">
      <c r="B1430" s="544" t="s">
        <v>6263</v>
      </c>
      <c r="C1430" s="517" t="s">
        <v>6381</v>
      </c>
      <c r="D1430" s="518">
        <v>9253</v>
      </c>
      <c r="E1430" s="517" t="s">
        <v>4154</v>
      </c>
      <c r="F1430" s="518" t="s">
        <v>29</v>
      </c>
      <c r="G1430" s="519">
        <v>244584</v>
      </c>
      <c r="H1430" s="517" t="s">
        <v>6915</v>
      </c>
    </row>
    <row r="1431" spans="2:8" ht="15" x14ac:dyDescent="0.35">
      <c r="B1431" s="544" t="s">
        <v>6263</v>
      </c>
      <c r="C1431" s="517" t="s">
        <v>6351</v>
      </c>
      <c r="D1431" s="518">
        <v>9254</v>
      </c>
      <c r="E1431" s="517" t="s">
        <v>4155</v>
      </c>
      <c r="F1431" s="518" t="s">
        <v>389</v>
      </c>
      <c r="G1431" s="519">
        <v>255300</v>
      </c>
      <c r="H1431" s="517" t="s">
        <v>5686</v>
      </c>
    </row>
    <row r="1432" spans="2:8" ht="15" x14ac:dyDescent="0.35">
      <c r="B1432" s="544" t="s">
        <v>6263</v>
      </c>
      <c r="C1432" s="517" t="s">
        <v>6337</v>
      </c>
      <c r="D1432" s="518">
        <v>9255</v>
      </c>
      <c r="E1432" s="517" t="s">
        <v>4156</v>
      </c>
      <c r="F1432" s="518" t="s">
        <v>23</v>
      </c>
      <c r="G1432" s="519">
        <v>825329</v>
      </c>
      <c r="H1432" s="517" t="s">
        <v>6425</v>
      </c>
    </row>
    <row r="1433" spans="2:8" ht="15" x14ac:dyDescent="0.35">
      <c r="B1433" s="544" t="s">
        <v>6263</v>
      </c>
      <c r="C1433" s="517" t="s">
        <v>6355</v>
      </c>
      <c r="D1433" s="518">
        <v>9256</v>
      </c>
      <c r="E1433" s="517" t="s">
        <v>4157</v>
      </c>
      <c r="F1433" s="518" t="s">
        <v>26</v>
      </c>
      <c r="G1433" s="519">
        <v>960952</v>
      </c>
      <c r="H1433" s="517" t="s">
        <v>6425</v>
      </c>
    </row>
    <row r="1434" spans="2:8" ht="15" x14ac:dyDescent="0.35">
      <c r="B1434" s="544" t="s">
        <v>6263</v>
      </c>
      <c r="C1434" s="517" t="s">
        <v>6355</v>
      </c>
      <c r="D1434" s="518">
        <v>9257</v>
      </c>
      <c r="E1434" s="517" t="s">
        <v>4158</v>
      </c>
      <c r="F1434" s="518" t="s">
        <v>26</v>
      </c>
      <c r="G1434" s="519">
        <v>1282658</v>
      </c>
      <c r="H1434" s="517" t="s">
        <v>6425</v>
      </c>
    </row>
    <row r="1435" spans="2:8" ht="15" x14ac:dyDescent="0.35">
      <c r="B1435" s="544" t="s">
        <v>6263</v>
      </c>
      <c r="C1435" s="517" t="s">
        <v>6355</v>
      </c>
      <c r="D1435" s="518">
        <v>9259</v>
      </c>
      <c r="E1435" s="517" t="s">
        <v>4159</v>
      </c>
      <c r="F1435" s="518" t="s">
        <v>26</v>
      </c>
      <c r="G1435" s="519">
        <v>2522488</v>
      </c>
      <c r="H1435" s="517" t="s">
        <v>6425</v>
      </c>
    </row>
    <row r="1436" spans="2:8" ht="15" x14ac:dyDescent="0.35">
      <c r="B1436" s="544" t="s">
        <v>6263</v>
      </c>
      <c r="C1436" s="517" t="s">
        <v>6358</v>
      </c>
      <c r="D1436" s="518">
        <v>9260</v>
      </c>
      <c r="E1436" s="517" t="s">
        <v>5866</v>
      </c>
      <c r="F1436" s="518" t="s">
        <v>29</v>
      </c>
      <c r="G1436" s="519">
        <v>2759366</v>
      </c>
      <c r="H1436" s="517" t="s">
        <v>6915</v>
      </c>
    </row>
    <row r="1437" spans="2:8" ht="15" x14ac:dyDescent="0.35">
      <c r="B1437" s="544" t="s">
        <v>6263</v>
      </c>
      <c r="C1437" s="517" t="s">
        <v>6369</v>
      </c>
      <c r="D1437" s="518">
        <v>9275</v>
      </c>
      <c r="E1437" s="517" t="s">
        <v>4160</v>
      </c>
      <c r="F1437" s="518" t="s">
        <v>29</v>
      </c>
      <c r="G1437" s="519">
        <v>463029</v>
      </c>
      <c r="H1437" s="517" t="s">
        <v>6915</v>
      </c>
    </row>
    <row r="1438" spans="2:8" ht="15" x14ac:dyDescent="0.35">
      <c r="B1438" s="544" t="s">
        <v>6263</v>
      </c>
      <c r="C1438" s="517" t="s">
        <v>6369</v>
      </c>
      <c r="D1438" s="518">
        <v>9276</v>
      </c>
      <c r="E1438" s="517" t="s">
        <v>5867</v>
      </c>
      <c r="F1438" s="518" t="s">
        <v>29</v>
      </c>
      <c r="G1438" s="519">
        <v>586495</v>
      </c>
      <c r="H1438" s="517" t="s">
        <v>6915</v>
      </c>
    </row>
    <row r="1439" spans="2:8" ht="15" x14ac:dyDescent="0.35">
      <c r="B1439" s="544" t="s">
        <v>6263</v>
      </c>
      <c r="C1439" s="517" t="s">
        <v>6369</v>
      </c>
      <c r="D1439" s="518">
        <v>9277</v>
      </c>
      <c r="E1439" s="517" t="s">
        <v>5868</v>
      </c>
      <c r="F1439" s="518" t="s">
        <v>29</v>
      </c>
      <c r="G1439" s="519">
        <v>654500</v>
      </c>
      <c r="H1439" s="517" t="s">
        <v>6915</v>
      </c>
    </row>
    <row r="1440" spans="2:8" ht="15" x14ac:dyDescent="0.35">
      <c r="B1440" s="544" t="s">
        <v>6263</v>
      </c>
      <c r="C1440" s="517" t="s">
        <v>6369</v>
      </c>
      <c r="D1440" s="518">
        <v>9278</v>
      </c>
      <c r="E1440" s="517" t="s">
        <v>4161</v>
      </c>
      <c r="F1440" s="518" t="s">
        <v>29</v>
      </c>
      <c r="G1440" s="519">
        <v>950177</v>
      </c>
      <c r="H1440" s="517" t="s">
        <v>6915</v>
      </c>
    </row>
    <row r="1441" spans="2:8" ht="15" x14ac:dyDescent="0.35">
      <c r="B1441" s="544" t="s">
        <v>6263</v>
      </c>
      <c r="C1441" s="517" t="s">
        <v>6369</v>
      </c>
      <c r="D1441" s="518">
        <v>9279</v>
      </c>
      <c r="E1441" s="517" t="s">
        <v>5869</v>
      </c>
      <c r="F1441" s="518" t="s">
        <v>29</v>
      </c>
      <c r="G1441" s="519">
        <v>78659</v>
      </c>
      <c r="H1441" s="517" t="s">
        <v>6915</v>
      </c>
    </row>
    <row r="1442" spans="2:8" ht="15" x14ac:dyDescent="0.35">
      <c r="B1442" s="544" t="s">
        <v>6263</v>
      </c>
      <c r="C1442" s="517" t="s">
        <v>6367</v>
      </c>
      <c r="D1442" s="518">
        <v>9280</v>
      </c>
      <c r="E1442" s="517" t="s">
        <v>4162</v>
      </c>
      <c r="F1442" s="518" t="s">
        <v>29</v>
      </c>
      <c r="G1442" s="519">
        <v>14053</v>
      </c>
      <c r="H1442" s="517" t="s">
        <v>6915</v>
      </c>
    </row>
    <row r="1443" spans="2:8" ht="15" x14ac:dyDescent="0.35">
      <c r="B1443" s="544" t="s">
        <v>6263</v>
      </c>
      <c r="C1443" s="517" t="s">
        <v>6377</v>
      </c>
      <c r="D1443" s="518">
        <v>9283</v>
      </c>
      <c r="E1443" s="517" t="s">
        <v>4163</v>
      </c>
      <c r="F1443" s="518" t="s">
        <v>3707</v>
      </c>
      <c r="G1443" s="519">
        <v>8600</v>
      </c>
      <c r="H1443" s="517" t="s">
        <v>6425</v>
      </c>
    </row>
    <row r="1444" spans="2:8" ht="15" x14ac:dyDescent="0.35">
      <c r="B1444" s="544" t="s">
        <v>6263</v>
      </c>
      <c r="C1444" s="517" t="s">
        <v>6377</v>
      </c>
      <c r="D1444" s="518">
        <v>9286</v>
      </c>
      <c r="E1444" s="517" t="s">
        <v>4164</v>
      </c>
      <c r="F1444" s="518" t="s">
        <v>29</v>
      </c>
      <c r="G1444" s="519">
        <v>73071</v>
      </c>
      <c r="H1444" s="517" t="s">
        <v>6425</v>
      </c>
    </row>
    <row r="1445" spans="2:8" ht="15" x14ac:dyDescent="0.35">
      <c r="B1445" s="544" t="s">
        <v>6263</v>
      </c>
      <c r="C1445" s="517" t="s">
        <v>6367</v>
      </c>
      <c r="D1445" s="518">
        <v>9287</v>
      </c>
      <c r="E1445" s="517" t="s">
        <v>4165</v>
      </c>
      <c r="F1445" s="518" t="s">
        <v>29</v>
      </c>
      <c r="G1445" s="519">
        <v>22992</v>
      </c>
      <c r="H1445" s="517" t="s">
        <v>6915</v>
      </c>
    </row>
    <row r="1446" spans="2:8" ht="15" x14ac:dyDescent="0.35">
      <c r="B1446" s="544" t="s">
        <v>6263</v>
      </c>
      <c r="C1446" s="517" t="s">
        <v>6377</v>
      </c>
      <c r="D1446" s="518">
        <v>9289</v>
      </c>
      <c r="E1446" s="517" t="s">
        <v>6450</v>
      </c>
      <c r="F1446" s="518" t="s">
        <v>29</v>
      </c>
      <c r="G1446" s="519">
        <v>12350</v>
      </c>
      <c r="H1446" s="517" t="s">
        <v>6425</v>
      </c>
    </row>
    <row r="1447" spans="2:8" ht="15" x14ac:dyDescent="0.35">
      <c r="B1447" s="544" t="s">
        <v>6263</v>
      </c>
      <c r="C1447" s="517" t="s">
        <v>6367</v>
      </c>
      <c r="D1447" s="518">
        <v>9290</v>
      </c>
      <c r="E1447" s="517" t="s">
        <v>4166</v>
      </c>
      <c r="F1447" s="518" t="s">
        <v>29</v>
      </c>
      <c r="G1447" s="519">
        <v>148609</v>
      </c>
      <c r="H1447" s="517" t="s">
        <v>6915</v>
      </c>
    </row>
    <row r="1448" spans="2:8" ht="15" x14ac:dyDescent="0.35">
      <c r="B1448" s="544" t="s">
        <v>6263</v>
      </c>
      <c r="C1448" s="517" t="s">
        <v>6337</v>
      </c>
      <c r="D1448" s="518">
        <v>9302</v>
      </c>
      <c r="E1448" s="517" t="s">
        <v>4167</v>
      </c>
      <c r="F1448" s="518" t="s">
        <v>23</v>
      </c>
      <c r="G1448" s="519">
        <v>724355</v>
      </c>
      <c r="H1448" s="517" t="s">
        <v>6425</v>
      </c>
    </row>
    <row r="1449" spans="2:8" ht="15" x14ac:dyDescent="0.35">
      <c r="B1449" s="544" t="s">
        <v>6263</v>
      </c>
      <c r="C1449" s="517" t="s">
        <v>6357</v>
      </c>
      <c r="D1449" s="518">
        <v>9303</v>
      </c>
      <c r="E1449" s="517" t="s">
        <v>4168</v>
      </c>
      <c r="F1449" s="518" t="s">
        <v>29</v>
      </c>
      <c r="G1449" s="519">
        <v>214200</v>
      </c>
      <c r="H1449" s="517" t="s">
        <v>6915</v>
      </c>
    </row>
    <row r="1450" spans="2:8" ht="15" x14ac:dyDescent="0.35">
      <c r="B1450" s="544" t="s">
        <v>6263</v>
      </c>
      <c r="C1450" s="517" t="s">
        <v>6367</v>
      </c>
      <c r="D1450" s="518">
        <v>9306</v>
      </c>
      <c r="E1450" s="517" t="s">
        <v>4169</v>
      </c>
      <c r="F1450" s="518" t="s">
        <v>3719</v>
      </c>
      <c r="G1450" s="519">
        <v>189513</v>
      </c>
      <c r="H1450" s="517" t="s">
        <v>6915</v>
      </c>
    </row>
    <row r="1451" spans="2:8" ht="15" x14ac:dyDescent="0.35">
      <c r="B1451" s="544" t="s">
        <v>6263</v>
      </c>
      <c r="C1451" s="517" t="s">
        <v>6367</v>
      </c>
      <c r="D1451" s="518">
        <v>9307</v>
      </c>
      <c r="E1451" s="517" t="s">
        <v>4170</v>
      </c>
      <c r="F1451" s="518" t="s">
        <v>367</v>
      </c>
      <c r="G1451" s="519">
        <v>9695</v>
      </c>
      <c r="H1451" s="517" t="s">
        <v>6915</v>
      </c>
    </row>
    <row r="1452" spans="2:8" ht="15" x14ac:dyDescent="0.35">
      <c r="B1452" s="544" t="s">
        <v>6263</v>
      </c>
      <c r="C1452" s="517" t="s">
        <v>6350</v>
      </c>
      <c r="D1452" s="518">
        <v>9309</v>
      </c>
      <c r="E1452" s="517" t="s">
        <v>4171</v>
      </c>
      <c r="F1452" s="518" t="s">
        <v>29</v>
      </c>
      <c r="G1452" s="519">
        <v>158157</v>
      </c>
      <c r="H1452" s="517" t="s">
        <v>6425</v>
      </c>
    </row>
    <row r="1453" spans="2:8" ht="15" x14ac:dyDescent="0.35">
      <c r="B1453" s="544" t="s">
        <v>6263</v>
      </c>
      <c r="C1453" s="517" t="s">
        <v>6385</v>
      </c>
      <c r="D1453" s="518">
        <v>9310</v>
      </c>
      <c r="E1453" s="517" t="s">
        <v>4172</v>
      </c>
      <c r="F1453" s="518" t="s">
        <v>3189</v>
      </c>
      <c r="G1453" s="519">
        <v>29800</v>
      </c>
      <c r="H1453" s="517" t="s">
        <v>6915</v>
      </c>
    </row>
    <row r="1454" spans="2:8" ht="15" x14ac:dyDescent="0.35">
      <c r="B1454" s="544" t="s">
        <v>6263</v>
      </c>
      <c r="C1454" s="517" t="s">
        <v>6385</v>
      </c>
      <c r="D1454" s="518">
        <v>9311</v>
      </c>
      <c r="E1454" s="517" t="s">
        <v>4173</v>
      </c>
      <c r="F1454" s="518" t="s">
        <v>3824</v>
      </c>
      <c r="G1454" s="519">
        <v>148</v>
      </c>
      <c r="H1454" s="517" t="s">
        <v>6915</v>
      </c>
    </row>
    <row r="1455" spans="2:8" ht="15" x14ac:dyDescent="0.35">
      <c r="B1455" s="544" t="s">
        <v>6263</v>
      </c>
      <c r="C1455" s="517" t="s">
        <v>6351</v>
      </c>
      <c r="D1455" s="518">
        <v>9314</v>
      </c>
      <c r="E1455" s="517" t="s">
        <v>4174</v>
      </c>
      <c r="F1455" s="518" t="s">
        <v>389</v>
      </c>
      <c r="G1455" s="519">
        <v>139262</v>
      </c>
      <c r="H1455" s="517" t="s">
        <v>5686</v>
      </c>
    </row>
    <row r="1456" spans="2:8" ht="15" x14ac:dyDescent="0.35">
      <c r="B1456" s="544" t="s">
        <v>6263</v>
      </c>
      <c r="C1456" s="517" t="s">
        <v>6351</v>
      </c>
      <c r="D1456" s="518">
        <v>9317</v>
      </c>
      <c r="E1456" s="517" t="s">
        <v>4175</v>
      </c>
      <c r="F1456" s="518" t="s">
        <v>389</v>
      </c>
      <c r="G1456" s="519">
        <v>157314</v>
      </c>
      <c r="H1456" s="517" t="s">
        <v>5686</v>
      </c>
    </row>
    <row r="1457" spans="2:8" ht="15" x14ac:dyDescent="0.35">
      <c r="B1457" s="544" t="s">
        <v>6263</v>
      </c>
      <c r="C1457" s="517" t="s">
        <v>6351</v>
      </c>
      <c r="D1457" s="518">
        <v>9318</v>
      </c>
      <c r="E1457" s="517" t="s">
        <v>4176</v>
      </c>
      <c r="F1457" s="518" t="s">
        <v>676</v>
      </c>
      <c r="G1457" s="519">
        <v>22473</v>
      </c>
      <c r="H1457" s="517" t="s">
        <v>6915</v>
      </c>
    </row>
    <row r="1458" spans="2:8" ht="15" x14ac:dyDescent="0.35">
      <c r="B1458" s="544" t="s">
        <v>6263</v>
      </c>
      <c r="C1458" s="517" t="s">
        <v>6351</v>
      </c>
      <c r="D1458" s="518">
        <v>9319</v>
      </c>
      <c r="E1458" s="517" t="s">
        <v>4177</v>
      </c>
      <c r="F1458" s="518" t="s">
        <v>389</v>
      </c>
      <c r="G1458" s="519">
        <v>214862</v>
      </c>
      <c r="H1458" s="517" t="s">
        <v>5686</v>
      </c>
    </row>
    <row r="1459" spans="2:8" ht="15" x14ac:dyDescent="0.35">
      <c r="B1459" s="544" t="s">
        <v>6263</v>
      </c>
      <c r="C1459" s="517" t="s">
        <v>6351</v>
      </c>
      <c r="D1459" s="518">
        <v>9320</v>
      </c>
      <c r="E1459" s="517" t="s">
        <v>4178</v>
      </c>
      <c r="F1459" s="518" t="s">
        <v>389</v>
      </c>
      <c r="G1459" s="519">
        <v>131010</v>
      </c>
      <c r="H1459" s="517" t="s">
        <v>5686</v>
      </c>
    </row>
    <row r="1460" spans="2:8" ht="15" x14ac:dyDescent="0.35">
      <c r="B1460" s="544" t="s">
        <v>6263</v>
      </c>
      <c r="C1460" s="517" t="s">
        <v>6351</v>
      </c>
      <c r="D1460" s="518">
        <v>9321</v>
      </c>
      <c r="E1460" s="517" t="s">
        <v>4179</v>
      </c>
      <c r="F1460" s="518" t="s">
        <v>389</v>
      </c>
      <c r="G1460" s="519">
        <v>144089</v>
      </c>
      <c r="H1460" s="517" t="s">
        <v>5686</v>
      </c>
    </row>
    <row r="1461" spans="2:8" ht="15" x14ac:dyDescent="0.35">
      <c r="B1461" s="544" t="s">
        <v>6263</v>
      </c>
      <c r="C1461" s="517" t="s">
        <v>6351</v>
      </c>
      <c r="D1461" s="518">
        <v>9323</v>
      </c>
      <c r="E1461" s="517" t="s">
        <v>4180</v>
      </c>
      <c r="F1461" s="518" t="s">
        <v>389</v>
      </c>
      <c r="G1461" s="519">
        <v>181776</v>
      </c>
      <c r="H1461" s="517" t="s">
        <v>5686</v>
      </c>
    </row>
    <row r="1462" spans="2:8" ht="15" x14ac:dyDescent="0.35">
      <c r="B1462" s="544" t="s">
        <v>6263</v>
      </c>
      <c r="C1462" s="517" t="s">
        <v>6351</v>
      </c>
      <c r="D1462" s="518">
        <v>9324</v>
      </c>
      <c r="E1462" s="517" t="s">
        <v>4181</v>
      </c>
      <c r="F1462" s="518" t="s">
        <v>389</v>
      </c>
      <c r="G1462" s="519">
        <v>110304</v>
      </c>
      <c r="H1462" s="517" t="s">
        <v>5686</v>
      </c>
    </row>
    <row r="1463" spans="2:8" ht="15" x14ac:dyDescent="0.35">
      <c r="B1463" s="544" t="s">
        <v>6263</v>
      </c>
      <c r="C1463" s="517" t="s">
        <v>6338</v>
      </c>
      <c r="D1463" s="518">
        <v>9325</v>
      </c>
      <c r="E1463" s="517" t="s">
        <v>4182</v>
      </c>
      <c r="F1463" s="518" t="s">
        <v>1147</v>
      </c>
      <c r="G1463" s="519">
        <v>320460</v>
      </c>
      <c r="H1463" s="517" t="s">
        <v>6425</v>
      </c>
    </row>
    <row r="1464" spans="2:8" ht="15" x14ac:dyDescent="0.35">
      <c r="B1464" s="544" t="s">
        <v>6263</v>
      </c>
      <c r="C1464" s="517" t="s">
        <v>6369</v>
      </c>
      <c r="D1464" s="518">
        <v>9333</v>
      </c>
      <c r="E1464" s="517" t="s">
        <v>5870</v>
      </c>
      <c r="F1464" s="518" t="s">
        <v>29</v>
      </c>
      <c r="G1464" s="519">
        <v>401030</v>
      </c>
      <c r="H1464" s="517" t="s">
        <v>6915</v>
      </c>
    </row>
    <row r="1465" spans="2:8" ht="15" x14ac:dyDescent="0.35">
      <c r="B1465" s="544" t="s">
        <v>6263</v>
      </c>
      <c r="C1465" s="517" t="s">
        <v>6369</v>
      </c>
      <c r="D1465" s="518">
        <v>9334</v>
      </c>
      <c r="E1465" s="517" t="s">
        <v>4183</v>
      </c>
      <c r="F1465" s="518" t="s">
        <v>29</v>
      </c>
      <c r="G1465" s="519">
        <v>160650</v>
      </c>
      <c r="H1465" s="517" t="s">
        <v>6915</v>
      </c>
    </row>
    <row r="1466" spans="2:8" ht="15" x14ac:dyDescent="0.35">
      <c r="B1466" s="544" t="s">
        <v>6263</v>
      </c>
      <c r="C1466" s="517" t="s">
        <v>6369</v>
      </c>
      <c r="D1466" s="518">
        <v>9335</v>
      </c>
      <c r="E1466" s="517" t="s">
        <v>4184</v>
      </c>
      <c r="F1466" s="518" t="s">
        <v>29</v>
      </c>
      <c r="G1466" s="519">
        <v>77469</v>
      </c>
      <c r="H1466" s="517" t="s">
        <v>6915</v>
      </c>
    </row>
    <row r="1467" spans="2:8" ht="15" x14ac:dyDescent="0.35">
      <c r="B1467" s="544" t="s">
        <v>6263</v>
      </c>
      <c r="C1467" s="517" t="s">
        <v>6370</v>
      </c>
      <c r="D1467" s="518">
        <v>9342</v>
      </c>
      <c r="E1467" s="517" t="s">
        <v>5871</v>
      </c>
      <c r="F1467" s="518" t="s">
        <v>29</v>
      </c>
      <c r="G1467" s="519">
        <v>61880</v>
      </c>
      <c r="H1467" s="517" t="s">
        <v>6915</v>
      </c>
    </row>
    <row r="1468" spans="2:8" ht="15" x14ac:dyDescent="0.35">
      <c r="B1468" s="544" t="s">
        <v>6263</v>
      </c>
      <c r="C1468" s="517" t="s">
        <v>6370</v>
      </c>
      <c r="D1468" s="518">
        <v>9343</v>
      </c>
      <c r="E1468" s="517" t="s">
        <v>5872</v>
      </c>
      <c r="F1468" s="518" t="s">
        <v>29</v>
      </c>
      <c r="G1468" s="519">
        <v>40053</v>
      </c>
      <c r="H1468" s="517" t="s">
        <v>6915</v>
      </c>
    </row>
    <row r="1469" spans="2:8" ht="15" x14ac:dyDescent="0.35">
      <c r="B1469" s="544" t="s">
        <v>6263</v>
      </c>
      <c r="C1469" s="517" t="s">
        <v>6370</v>
      </c>
      <c r="D1469" s="518">
        <v>9344</v>
      </c>
      <c r="E1469" s="517" t="s">
        <v>4185</v>
      </c>
      <c r="F1469" s="518" t="s">
        <v>29</v>
      </c>
      <c r="G1469" s="519">
        <v>71400</v>
      </c>
      <c r="H1469" s="517" t="s">
        <v>6915</v>
      </c>
    </row>
    <row r="1470" spans="2:8" ht="15" x14ac:dyDescent="0.35">
      <c r="B1470" s="544" t="s">
        <v>6263</v>
      </c>
      <c r="C1470" s="517" t="s">
        <v>6370</v>
      </c>
      <c r="D1470" s="518">
        <v>9345</v>
      </c>
      <c r="E1470" s="517" t="s">
        <v>5873</v>
      </c>
      <c r="F1470" s="518" t="s">
        <v>29</v>
      </c>
      <c r="G1470" s="519">
        <v>324870</v>
      </c>
      <c r="H1470" s="517" t="s">
        <v>6915</v>
      </c>
    </row>
    <row r="1471" spans="2:8" ht="15" x14ac:dyDescent="0.35">
      <c r="B1471" s="544" t="s">
        <v>6263</v>
      </c>
      <c r="C1471" s="517" t="s">
        <v>6370</v>
      </c>
      <c r="D1471" s="518">
        <v>9346</v>
      </c>
      <c r="E1471" s="517" t="s">
        <v>4186</v>
      </c>
      <c r="F1471" s="518" t="s">
        <v>29</v>
      </c>
      <c r="G1471" s="519">
        <v>160650</v>
      </c>
      <c r="H1471" s="517" t="s">
        <v>6915</v>
      </c>
    </row>
    <row r="1472" spans="2:8" ht="15" x14ac:dyDescent="0.35">
      <c r="B1472" s="544" t="s">
        <v>6263</v>
      </c>
      <c r="C1472" s="517" t="s">
        <v>6370</v>
      </c>
      <c r="D1472" s="518">
        <v>9347</v>
      </c>
      <c r="E1472" s="517" t="s">
        <v>5874</v>
      </c>
      <c r="F1472" s="518" t="s">
        <v>29</v>
      </c>
      <c r="G1472" s="519">
        <v>102459</v>
      </c>
      <c r="H1472" s="517" t="s">
        <v>6915</v>
      </c>
    </row>
    <row r="1473" spans="2:8" ht="15" x14ac:dyDescent="0.35">
      <c r="B1473" s="544" t="s">
        <v>6263</v>
      </c>
      <c r="C1473" s="517" t="s">
        <v>6370</v>
      </c>
      <c r="D1473" s="518">
        <v>9348</v>
      </c>
      <c r="E1473" s="517" t="s">
        <v>5875</v>
      </c>
      <c r="F1473" s="518" t="s">
        <v>29</v>
      </c>
      <c r="G1473" s="519">
        <v>292383</v>
      </c>
      <c r="H1473" s="517" t="s">
        <v>6915</v>
      </c>
    </row>
    <row r="1474" spans="2:8" ht="15" x14ac:dyDescent="0.35">
      <c r="B1474" s="544" t="s">
        <v>6263</v>
      </c>
      <c r="C1474" s="517" t="s">
        <v>6370</v>
      </c>
      <c r="D1474" s="518">
        <v>9350</v>
      </c>
      <c r="E1474" s="517" t="s">
        <v>4187</v>
      </c>
      <c r="F1474" s="518" t="s">
        <v>29</v>
      </c>
      <c r="G1474" s="519">
        <v>347480</v>
      </c>
      <c r="H1474" s="517" t="s">
        <v>6915</v>
      </c>
    </row>
    <row r="1475" spans="2:8" ht="15" x14ac:dyDescent="0.35">
      <c r="B1475" s="544" t="s">
        <v>6263</v>
      </c>
      <c r="C1475" s="517" t="s">
        <v>6373</v>
      </c>
      <c r="D1475" s="518">
        <v>9351</v>
      </c>
      <c r="E1475" s="517" t="s">
        <v>5876</v>
      </c>
      <c r="F1475" s="518" t="s">
        <v>29</v>
      </c>
      <c r="G1475" s="519">
        <v>606781</v>
      </c>
      <c r="H1475" s="517" t="s">
        <v>6915</v>
      </c>
    </row>
    <row r="1476" spans="2:8" ht="15" x14ac:dyDescent="0.35">
      <c r="B1476" s="544" t="s">
        <v>6263</v>
      </c>
      <c r="C1476" s="517" t="s">
        <v>6370</v>
      </c>
      <c r="D1476" s="518">
        <v>9352</v>
      </c>
      <c r="E1476" s="517" t="s">
        <v>4188</v>
      </c>
      <c r="F1476" s="518" t="s">
        <v>29</v>
      </c>
      <c r="G1476" s="519">
        <v>76160</v>
      </c>
      <c r="H1476" s="517" t="s">
        <v>6915</v>
      </c>
    </row>
    <row r="1477" spans="2:8" ht="15" x14ac:dyDescent="0.35">
      <c r="B1477" s="544" t="s">
        <v>6263</v>
      </c>
      <c r="C1477" s="517" t="s">
        <v>6370</v>
      </c>
      <c r="D1477" s="518">
        <v>9353</v>
      </c>
      <c r="E1477" s="517" t="s">
        <v>4189</v>
      </c>
      <c r="F1477" s="518" t="s">
        <v>29</v>
      </c>
      <c r="G1477" s="519">
        <v>262395</v>
      </c>
      <c r="H1477" s="517" t="s">
        <v>6915</v>
      </c>
    </row>
    <row r="1478" spans="2:8" ht="15" x14ac:dyDescent="0.35">
      <c r="B1478" s="544" t="s">
        <v>6263</v>
      </c>
      <c r="C1478" s="517" t="s">
        <v>6370</v>
      </c>
      <c r="D1478" s="518">
        <v>9354</v>
      </c>
      <c r="E1478" s="517" t="s">
        <v>4190</v>
      </c>
      <c r="F1478" s="518" t="s">
        <v>29</v>
      </c>
      <c r="G1478" s="519">
        <v>133994</v>
      </c>
      <c r="H1478" s="517" t="s">
        <v>6915</v>
      </c>
    </row>
    <row r="1479" spans="2:8" ht="15" x14ac:dyDescent="0.35">
      <c r="B1479" s="544" t="s">
        <v>6263</v>
      </c>
      <c r="C1479" s="517" t="s">
        <v>6370</v>
      </c>
      <c r="D1479" s="518">
        <v>9355</v>
      </c>
      <c r="E1479" s="517" t="s">
        <v>5877</v>
      </c>
      <c r="F1479" s="518" t="s">
        <v>29</v>
      </c>
      <c r="G1479" s="519">
        <v>171669</v>
      </c>
      <c r="H1479" s="517" t="s">
        <v>6915</v>
      </c>
    </row>
    <row r="1480" spans="2:8" ht="15" x14ac:dyDescent="0.35">
      <c r="B1480" s="544" t="s">
        <v>6263</v>
      </c>
      <c r="C1480" s="517" t="s">
        <v>6370</v>
      </c>
      <c r="D1480" s="518">
        <v>9356</v>
      </c>
      <c r="E1480" s="517" t="s">
        <v>4191</v>
      </c>
      <c r="F1480" s="518" t="s">
        <v>29</v>
      </c>
      <c r="G1480" s="519">
        <v>1785000</v>
      </c>
      <c r="H1480" s="517" t="s">
        <v>6915</v>
      </c>
    </row>
    <row r="1481" spans="2:8" ht="15" x14ac:dyDescent="0.35">
      <c r="B1481" s="544" t="s">
        <v>6263</v>
      </c>
      <c r="C1481" s="517" t="s">
        <v>6370</v>
      </c>
      <c r="D1481" s="518">
        <v>9357</v>
      </c>
      <c r="E1481" s="517" t="s">
        <v>4192</v>
      </c>
      <c r="F1481" s="518" t="s">
        <v>29</v>
      </c>
      <c r="G1481" s="519">
        <v>2009196</v>
      </c>
      <c r="H1481" s="517" t="s">
        <v>6915</v>
      </c>
    </row>
    <row r="1482" spans="2:8" ht="15" x14ac:dyDescent="0.35">
      <c r="B1482" s="544" t="s">
        <v>6263</v>
      </c>
      <c r="C1482" s="517" t="s">
        <v>6370</v>
      </c>
      <c r="D1482" s="518">
        <v>9358</v>
      </c>
      <c r="E1482" s="517" t="s">
        <v>4193</v>
      </c>
      <c r="F1482" s="518" t="s">
        <v>29</v>
      </c>
      <c r="G1482" s="519">
        <v>2244816</v>
      </c>
      <c r="H1482" s="517" t="s">
        <v>6915</v>
      </c>
    </row>
    <row r="1483" spans="2:8" ht="15" x14ac:dyDescent="0.35">
      <c r="B1483" s="544" t="s">
        <v>6263</v>
      </c>
      <c r="C1483" s="517" t="s">
        <v>6374</v>
      </c>
      <c r="D1483" s="518">
        <v>9359</v>
      </c>
      <c r="E1483" s="517" t="s">
        <v>5878</v>
      </c>
      <c r="F1483" s="518" t="s">
        <v>29</v>
      </c>
      <c r="G1483" s="519">
        <v>269535</v>
      </c>
      <c r="H1483" s="517" t="s">
        <v>6915</v>
      </c>
    </row>
    <row r="1484" spans="2:8" ht="15" x14ac:dyDescent="0.35">
      <c r="B1484" s="544" t="s">
        <v>6263</v>
      </c>
      <c r="C1484" s="517" t="s">
        <v>6374</v>
      </c>
      <c r="D1484" s="518">
        <v>9360</v>
      </c>
      <c r="E1484" s="517" t="s">
        <v>4194</v>
      </c>
      <c r="F1484" s="518" t="s">
        <v>29</v>
      </c>
      <c r="G1484" s="519">
        <v>141253</v>
      </c>
      <c r="H1484" s="517" t="s">
        <v>6915</v>
      </c>
    </row>
    <row r="1485" spans="2:8" ht="15" x14ac:dyDescent="0.35">
      <c r="B1485" s="544" t="s">
        <v>6263</v>
      </c>
      <c r="C1485" s="517" t="s">
        <v>6374</v>
      </c>
      <c r="D1485" s="518">
        <v>9361</v>
      </c>
      <c r="E1485" s="517" t="s">
        <v>4195</v>
      </c>
      <c r="F1485" s="518" t="s">
        <v>29</v>
      </c>
      <c r="G1485" s="519">
        <v>473000</v>
      </c>
      <c r="H1485" s="517" t="s">
        <v>6915</v>
      </c>
    </row>
    <row r="1486" spans="2:8" ht="15" x14ac:dyDescent="0.35">
      <c r="B1486" s="544" t="s">
        <v>6263</v>
      </c>
      <c r="C1486" s="517" t="s">
        <v>6374</v>
      </c>
      <c r="D1486" s="518">
        <v>9363</v>
      </c>
      <c r="E1486" s="517" t="s">
        <v>5879</v>
      </c>
      <c r="F1486" s="518" t="s">
        <v>29</v>
      </c>
      <c r="G1486" s="519">
        <v>287980</v>
      </c>
      <c r="H1486" s="517" t="s">
        <v>6915</v>
      </c>
    </row>
    <row r="1487" spans="2:8" ht="15" x14ac:dyDescent="0.35">
      <c r="B1487" s="544" t="s">
        <v>6263</v>
      </c>
      <c r="C1487" s="517" t="s">
        <v>6374</v>
      </c>
      <c r="D1487" s="518">
        <v>9364</v>
      </c>
      <c r="E1487" s="517" t="s">
        <v>4196</v>
      </c>
      <c r="F1487" s="518" t="s">
        <v>29</v>
      </c>
      <c r="G1487" s="519">
        <v>772310</v>
      </c>
      <c r="H1487" s="517" t="s">
        <v>6915</v>
      </c>
    </row>
    <row r="1488" spans="2:8" ht="15" x14ac:dyDescent="0.35">
      <c r="B1488" s="544" t="s">
        <v>6263</v>
      </c>
      <c r="C1488" s="517" t="s">
        <v>6375</v>
      </c>
      <c r="D1488" s="518">
        <v>9366</v>
      </c>
      <c r="E1488" s="517" t="s">
        <v>4197</v>
      </c>
      <c r="F1488" s="518" t="s">
        <v>29</v>
      </c>
      <c r="G1488" s="519">
        <v>69139</v>
      </c>
      <c r="H1488" s="517" t="s">
        <v>6915</v>
      </c>
    </row>
    <row r="1489" spans="2:8" ht="15" x14ac:dyDescent="0.35">
      <c r="B1489" s="544" t="s">
        <v>6263</v>
      </c>
      <c r="C1489" s="517" t="s">
        <v>6375</v>
      </c>
      <c r="D1489" s="518">
        <v>9367</v>
      </c>
      <c r="E1489" s="517" t="s">
        <v>5880</v>
      </c>
      <c r="F1489" s="518" t="s">
        <v>29</v>
      </c>
      <c r="G1489" s="519">
        <v>146370</v>
      </c>
      <c r="H1489" s="517" t="s">
        <v>6915</v>
      </c>
    </row>
    <row r="1490" spans="2:8" ht="15" x14ac:dyDescent="0.35">
      <c r="B1490" s="544" t="s">
        <v>6263</v>
      </c>
      <c r="C1490" s="517" t="s">
        <v>6375</v>
      </c>
      <c r="D1490" s="518">
        <v>9368</v>
      </c>
      <c r="E1490" s="517" t="s">
        <v>5881</v>
      </c>
      <c r="F1490" s="518" t="s">
        <v>29</v>
      </c>
      <c r="G1490" s="519">
        <v>68663</v>
      </c>
      <c r="H1490" s="517" t="s">
        <v>6915</v>
      </c>
    </row>
    <row r="1491" spans="2:8" ht="15" x14ac:dyDescent="0.35">
      <c r="B1491" s="544" t="s">
        <v>6263</v>
      </c>
      <c r="C1491" s="517" t="s">
        <v>6374</v>
      </c>
      <c r="D1491" s="518">
        <v>9369</v>
      </c>
      <c r="E1491" s="517" t="s">
        <v>5882</v>
      </c>
      <c r="F1491" s="518" t="s">
        <v>29</v>
      </c>
      <c r="G1491" s="519">
        <v>1385279</v>
      </c>
      <c r="H1491" s="517" t="s">
        <v>6915</v>
      </c>
    </row>
    <row r="1492" spans="2:8" ht="15" x14ac:dyDescent="0.35">
      <c r="B1492" s="544" t="s">
        <v>6263</v>
      </c>
      <c r="C1492" s="517" t="s">
        <v>6375</v>
      </c>
      <c r="D1492" s="518">
        <v>9370</v>
      </c>
      <c r="E1492" s="517" t="s">
        <v>4198</v>
      </c>
      <c r="F1492" s="518" t="s">
        <v>29</v>
      </c>
      <c r="G1492" s="519">
        <v>1526770</v>
      </c>
      <c r="H1492" s="517" t="s">
        <v>6915</v>
      </c>
    </row>
    <row r="1493" spans="2:8" ht="15" x14ac:dyDescent="0.35">
      <c r="B1493" s="544" t="s">
        <v>6263</v>
      </c>
      <c r="C1493" s="517" t="s">
        <v>6375</v>
      </c>
      <c r="D1493" s="518">
        <v>9371</v>
      </c>
      <c r="E1493" s="517" t="s">
        <v>4199</v>
      </c>
      <c r="F1493" s="518" t="s">
        <v>29</v>
      </c>
      <c r="G1493" s="519">
        <v>966280</v>
      </c>
      <c r="H1493" s="517" t="s">
        <v>6915</v>
      </c>
    </row>
    <row r="1494" spans="2:8" ht="15" x14ac:dyDescent="0.35">
      <c r="B1494" s="544" t="s">
        <v>6263</v>
      </c>
      <c r="C1494" s="517" t="s">
        <v>6375</v>
      </c>
      <c r="D1494" s="518">
        <v>9373</v>
      </c>
      <c r="E1494" s="517" t="s">
        <v>4200</v>
      </c>
      <c r="F1494" s="518" t="s">
        <v>29</v>
      </c>
      <c r="G1494" s="519">
        <v>276199</v>
      </c>
      <c r="H1494" s="517" t="s">
        <v>6915</v>
      </c>
    </row>
    <row r="1495" spans="2:8" ht="15" x14ac:dyDescent="0.35">
      <c r="B1495" s="544" t="s">
        <v>6263</v>
      </c>
      <c r="C1495" s="517" t="s">
        <v>6375</v>
      </c>
      <c r="D1495" s="518">
        <v>9374</v>
      </c>
      <c r="E1495" s="517" t="s">
        <v>4201</v>
      </c>
      <c r="F1495" s="518" t="s">
        <v>29</v>
      </c>
      <c r="G1495" s="519">
        <v>82467</v>
      </c>
      <c r="H1495" s="517" t="s">
        <v>6915</v>
      </c>
    </row>
    <row r="1496" spans="2:8" ht="15" x14ac:dyDescent="0.35">
      <c r="B1496" s="544" t="s">
        <v>6263</v>
      </c>
      <c r="C1496" s="517" t="s">
        <v>6375</v>
      </c>
      <c r="D1496" s="518">
        <v>9375</v>
      </c>
      <c r="E1496" s="517" t="s">
        <v>4202</v>
      </c>
      <c r="F1496" s="518" t="s">
        <v>29</v>
      </c>
      <c r="G1496" s="519">
        <v>4548000</v>
      </c>
      <c r="H1496" s="517" t="s">
        <v>6915</v>
      </c>
    </row>
    <row r="1497" spans="2:8" ht="15" x14ac:dyDescent="0.35">
      <c r="B1497" s="544" t="s">
        <v>6263</v>
      </c>
      <c r="C1497" s="517" t="s">
        <v>6374</v>
      </c>
      <c r="D1497" s="518">
        <v>9379</v>
      </c>
      <c r="E1497" s="517" t="s">
        <v>5883</v>
      </c>
      <c r="F1497" s="518" t="s">
        <v>29</v>
      </c>
      <c r="G1497" s="519">
        <v>214081</v>
      </c>
      <c r="H1497" s="517" t="s">
        <v>6915</v>
      </c>
    </row>
    <row r="1498" spans="2:8" ht="15" x14ac:dyDescent="0.35">
      <c r="B1498" s="544" t="s">
        <v>6263</v>
      </c>
      <c r="C1498" s="517" t="s">
        <v>6374</v>
      </c>
      <c r="D1498" s="518">
        <v>9381</v>
      </c>
      <c r="E1498" s="517" t="s">
        <v>4203</v>
      </c>
      <c r="F1498" s="518" t="s">
        <v>29</v>
      </c>
      <c r="G1498" s="519">
        <v>90916</v>
      </c>
      <c r="H1498" s="517" t="s">
        <v>6915</v>
      </c>
    </row>
    <row r="1499" spans="2:8" ht="15" x14ac:dyDescent="0.35">
      <c r="B1499" s="544" t="s">
        <v>6263</v>
      </c>
      <c r="C1499" s="517" t="s">
        <v>6374</v>
      </c>
      <c r="D1499" s="518">
        <v>9383</v>
      </c>
      <c r="E1499" s="517" t="s">
        <v>4204</v>
      </c>
      <c r="F1499" s="518" t="s">
        <v>29</v>
      </c>
      <c r="G1499" s="519">
        <v>268464</v>
      </c>
      <c r="H1499" s="517" t="s">
        <v>6915</v>
      </c>
    </row>
    <row r="1500" spans="2:8" ht="15" x14ac:dyDescent="0.35">
      <c r="B1500" s="544" t="s">
        <v>6263</v>
      </c>
      <c r="C1500" s="517" t="s">
        <v>6374</v>
      </c>
      <c r="D1500" s="518">
        <v>9384</v>
      </c>
      <c r="E1500" s="517" t="s">
        <v>5884</v>
      </c>
      <c r="F1500" s="518" t="s">
        <v>29</v>
      </c>
      <c r="G1500" s="519">
        <v>185164</v>
      </c>
      <c r="H1500" s="517" t="s">
        <v>6915</v>
      </c>
    </row>
    <row r="1501" spans="2:8" ht="15" x14ac:dyDescent="0.35">
      <c r="B1501" s="544" t="s">
        <v>6263</v>
      </c>
      <c r="C1501" s="517" t="s">
        <v>6396</v>
      </c>
      <c r="D1501" s="518">
        <v>9385</v>
      </c>
      <c r="E1501" s="517" t="s">
        <v>5885</v>
      </c>
      <c r="F1501" s="518" t="s">
        <v>29</v>
      </c>
      <c r="G1501" s="519">
        <v>53550</v>
      </c>
      <c r="H1501" s="517" t="s">
        <v>6915</v>
      </c>
    </row>
    <row r="1502" spans="2:8" ht="15" x14ac:dyDescent="0.35">
      <c r="B1502" s="544" t="s">
        <v>6263</v>
      </c>
      <c r="C1502" s="517" t="s">
        <v>6396</v>
      </c>
      <c r="D1502" s="518">
        <v>9386</v>
      </c>
      <c r="E1502" s="517" t="s">
        <v>5886</v>
      </c>
      <c r="F1502" s="518" t="s">
        <v>29</v>
      </c>
      <c r="G1502" s="519">
        <v>53550</v>
      </c>
      <c r="H1502" s="517" t="s">
        <v>6915</v>
      </c>
    </row>
    <row r="1503" spans="2:8" ht="15" x14ac:dyDescent="0.35">
      <c r="B1503" s="544" t="s">
        <v>6263</v>
      </c>
      <c r="C1503" s="517" t="s">
        <v>6373</v>
      </c>
      <c r="D1503" s="518">
        <v>9387</v>
      </c>
      <c r="E1503" s="517" t="s">
        <v>4205</v>
      </c>
      <c r="F1503" s="518" t="s">
        <v>29</v>
      </c>
      <c r="G1503" s="519">
        <v>714000</v>
      </c>
      <c r="H1503" s="517" t="s">
        <v>6915</v>
      </c>
    </row>
    <row r="1504" spans="2:8" ht="15" x14ac:dyDescent="0.35">
      <c r="B1504" s="544" t="s">
        <v>6263</v>
      </c>
      <c r="C1504" s="517" t="s">
        <v>6372</v>
      </c>
      <c r="D1504" s="518">
        <v>9388</v>
      </c>
      <c r="E1504" s="517" t="s">
        <v>5887</v>
      </c>
      <c r="F1504" s="518" t="s">
        <v>29</v>
      </c>
      <c r="G1504" s="519">
        <v>101564</v>
      </c>
      <c r="H1504" s="517" t="s">
        <v>6915</v>
      </c>
    </row>
    <row r="1505" spans="2:8" ht="15" x14ac:dyDescent="0.35">
      <c r="B1505" s="544" t="s">
        <v>6263</v>
      </c>
      <c r="C1505" s="517" t="s">
        <v>6397</v>
      </c>
      <c r="D1505" s="518">
        <v>9389</v>
      </c>
      <c r="E1505" s="517" t="s">
        <v>4206</v>
      </c>
      <c r="F1505" s="518" t="s">
        <v>29</v>
      </c>
      <c r="G1505" s="519">
        <v>386750</v>
      </c>
      <c r="H1505" s="517" t="s">
        <v>6915</v>
      </c>
    </row>
    <row r="1506" spans="2:8" ht="15" x14ac:dyDescent="0.35">
      <c r="B1506" s="544" t="s">
        <v>6263</v>
      </c>
      <c r="C1506" s="517" t="s">
        <v>6396</v>
      </c>
      <c r="D1506" s="518">
        <v>9396</v>
      </c>
      <c r="E1506" s="517" t="s">
        <v>5888</v>
      </c>
      <c r="F1506" s="518" t="s">
        <v>29</v>
      </c>
      <c r="G1506" s="519">
        <v>57120</v>
      </c>
      <c r="H1506" s="517" t="s">
        <v>6915</v>
      </c>
    </row>
    <row r="1507" spans="2:8" ht="15" x14ac:dyDescent="0.35">
      <c r="B1507" s="544" t="s">
        <v>6263</v>
      </c>
      <c r="C1507" s="517" t="s">
        <v>6396</v>
      </c>
      <c r="D1507" s="518">
        <v>9397</v>
      </c>
      <c r="E1507" s="517" t="s">
        <v>4207</v>
      </c>
      <c r="F1507" s="518" t="s">
        <v>29</v>
      </c>
      <c r="G1507" s="519">
        <v>50932</v>
      </c>
      <c r="H1507" s="517" t="s">
        <v>6915</v>
      </c>
    </row>
    <row r="1508" spans="2:8" ht="15" x14ac:dyDescent="0.35">
      <c r="B1508" s="544" t="s">
        <v>6263</v>
      </c>
      <c r="C1508" s="517" t="s">
        <v>6396</v>
      </c>
      <c r="D1508" s="518">
        <v>9398</v>
      </c>
      <c r="E1508" s="517" t="s">
        <v>5889</v>
      </c>
      <c r="F1508" s="518" t="s">
        <v>29</v>
      </c>
      <c r="G1508" s="519">
        <v>105375</v>
      </c>
      <c r="H1508" s="517" t="s">
        <v>6915</v>
      </c>
    </row>
    <row r="1509" spans="2:8" ht="15" x14ac:dyDescent="0.35">
      <c r="B1509" s="544" t="s">
        <v>6263</v>
      </c>
      <c r="C1509" s="517" t="s">
        <v>6396</v>
      </c>
      <c r="D1509" s="518">
        <v>9401</v>
      </c>
      <c r="E1509" s="517" t="s">
        <v>5890</v>
      </c>
      <c r="F1509" s="518" t="s">
        <v>29</v>
      </c>
      <c r="G1509" s="519">
        <v>70091</v>
      </c>
      <c r="H1509" s="517" t="s">
        <v>6915</v>
      </c>
    </row>
    <row r="1510" spans="2:8" ht="15" x14ac:dyDescent="0.35">
      <c r="B1510" s="544" t="s">
        <v>6263</v>
      </c>
      <c r="C1510" s="517" t="s">
        <v>6396</v>
      </c>
      <c r="D1510" s="518">
        <v>9402</v>
      </c>
      <c r="E1510" s="517" t="s">
        <v>5891</v>
      </c>
      <c r="F1510" s="518" t="s">
        <v>29</v>
      </c>
      <c r="G1510" s="519">
        <v>47600</v>
      </c>
      <c r="H1510" s="517" t="s">
        <v>6915</v>
      </c>
    </row>
    <row r="1511" spans="2:8" ht="15" x14ac:dyDescent="0.35">
      <c r="B1511" s="544" t="s">
        <v>6263</v>
      </c>
      <c r="C1511" s="517" t="s">
        <v>6396</v>
      </c>
      <c r="D1511" s="518">
        <v>9404</v>
      </c>
      <c r="E1511" s="517" t="s">
        <v>5892</v>
      </c>
      <c r="F1511" s="518" t="s">
        <v>29</v>
      </c>
      <c r="G1511" s="519">
        <v>113050</v>
      </c>
      <c r="H1511" s="517" t="s">
        <v>6915</v>
      </c>
    </row>
    <row r="1512" spans="2:8" ht="15" x14ac:dyDescent="0.35">
      <c r="B1512" s="544" t="s">
        <v>6263</v>
      </c>
      <c r="C1512" s="517" t="s">
        <v>6396</v>
      </c>
      <c r="D1512" s="518">
        <v>9405</v>
      </c>
      <c r="E1512" s="517" t="s">
        <v>5893</v>
      </c>
      <c r="F1512" s="518" t="s">
        <v>29</v>
      </c>
      <c r="G1512" s="519">
        <v>282000</v>
      </c>
      <c r="H1512" s="517" t="s">
        <v>6915</v>
      </c>
    </row>
    <row r="1513" spans="2:8" ht="15" x14ac:dyDescent="0.35">
      <c r="B1513" s="544" t="s">
        <v>6263</v>
      </c>
      <c r="C1513" s="517" t="s">
        <v>6372</v>
      </c>
      <c r="D1513" s="518">
        <v>9407</v>
      </c>
      <c r="E1513" s="517" t="s">
        <v>5894</v>
      </c>
      <c r="F1513" s="518" t="s">
        <v>29</v>
      </c>
      <c r="G1513" s="519">
        <v>327250</v>
      </c>
      <c r="H1513" s="517" t="s">
        <v>6915</v>
      </c>
    </row>
    <row r="1514" spans="2:8" ht="15" x14ac:dyDescent="0.35">
      <c r="B1514" s="544" t="s">
        <v>6263</v>
      </c>
      <c r="C1514" s="517" t="s">
        <v>6381</v>
      </c>
      <c r="D1514" s="518">
        <v>9408</v>
      </c>
      <c r="E1514" s="517" t="s">
        <v>4208</v>
      </c>
      <c r="F1514" s="518" t="s">
        <v>29</v>
      </c>
      <c r="G1514" s="519">
        <v>211607</v>
      </c>
      <c r="H1514" s="517" t="s">
        <v>6915</v>
      </c>
    </row>
    <row r="1515" spans="2:8" ht="15" x14ac:dyDescent="0.35">
      <c r="B1515" s="544" t="s">
        <v>6263</v>
      </c>
      <c r="C1515" s="517" t="s">
        <v>6381</v>
      </c>
      <c r="D1515" s="518">
        <v>9409</v>
      </c>
      <c r="E1515" s="517" t="s">
        <v>4209</v>
      </c>
      <c r="F1515" s="518" t="s">
        <v>29</v>
      </c>
      <c r="G1515" s="519">
        <v>191249</v>
      </c>
      <c r="H1515" s="517" t="s">
        <v>6915</v>
      </c>
    </row>
    <row r="1516" spans="2:8" ht="15" x14ac:dyDescent="0.35">
      <c r="B1516" s="544" t="s">
        <v>6263</v>
      </c>
      <c r="C1516" s="517" t="s">
        <v>6275</v>
      </c>
      <c r="D1516" s="518">
        <v>9413</v>
      </c>
      <c r="E1516" s="517" t="s">
        <v>4210</v>
      </c>
      <c r="F1516" s="518" t="s">
        <v>367</v>
      </c>
      <c r="G1516" s="519">
        <v>6545</v>
      </c>
      <c r="H1516" s="517" t="s">
        <v>6425</v>
      </c>
    </row>
    <row r="1517" spans="2:8" ht="15" x14ac:dyDescent="0.35">
      <c r="B1517" s="544" t="s">
        <v>6263</v>
      </c>
      <c r="C1517" s="517" t="s">
        <v>6381</v>
      </c>
      <c r="D1517" s="518">
        <v>9414</v>
      </c>
      <c r="E1517" s="517" t="s">
        <v>4211</v>
      </c>
      <c r="F1517" s="518" t="s">
        <v>29</v>
      </c>
      <c r="G1517" s="519">
        <v>36607</v>
      </c>
      <c r="H1517" s="517" t="s">
        <v>6915</v>
      </c>
    </row>
    <row r="1518" spans="2:8" ht="15" x14ac:dyDescent="0.35">
      <c r="B1518" s="544" t="s">
        <v>6263</v>
      </c>
      <c r="C1518" s="517" t="s">
        <v>6351</v>
      </c>
      <c r="D1518" s="518">
        <v>9423</v>
      </c>
      <c r="E1518" s="517" t="s">
        <v>4212</v>
      </c>
      <c r="F1518" s="518" t="s">
        <v>1628</v>
      </c>
      <c r="G1518" s="519">
        <v>4177884</v>
      </c>
      <c r="H1518" s="517" t="s">
        <v>5686</v>
      </c>
    </row>
    <row r="1519" spans="2:8" ht="15" x14ac:dyDescent="0.35">
      <c r="B1519" s="544" t="s">
        <v>6263</v>
      </c>
      <c r="C1519" s="517" t="s">
        <v>6351</v>
      </c>
      <c r="D1519" s="518">
        <v>9424</v>
      </c>
      <c r="E1519" s="517" t="s">
        <v>4213</v>
      </c>
      <c r="F1519" s="518" t="s">
        <v>1628</v>
      </c>
      <c r="G1519" s="519">
        <v>2922389</v>
      </c>
      <c r="H1519" s="517" t="s">
        <v>5686</v>
      </c>
    </row>
    <row r="1520" spans="2:8" ht="15" x14ac:dyDescent="0.35">
      <c r="B1520" s="544" t="s">
        <v>6263</v>
      </c>
      <c r="C1520" s="517" t="s">
        <v>6398</v>
      </c>
      <c r="D1520" s="518">
        <v>9427</v>
      </c>
      <c r="E1520" s="517" t="s">
        <v>4214</v>
      </c>
      <c r="F1520" s="518" t="s">
        <v>29</v>
      </c>
      <c r="G1520" s="519">
        <v>13231</v>
      </c>
      <c r="H1520" s="517" t="s">
        <v>5686</v>
      </c>
    </row>
    <row r="1521" spans="2:8" ht="15" x14ac:dyDescent="0.35">
      <c r="B1521" s="544" t="s">
        <v>6263</v>
      </c>
      <c r="C1521" s="517" t="s">
        <v>6399</v>
      </c>
      <c r="D1521" s="518">
        <v>9428</v>
      </c>
      <c r="E1521" s="517" t="s">
        <v>4215</v>
      </c>
      <c r="F1521" s="518" t="s">
        <v>29</v>
      </c>
      <c r="G1521" s="519">
        <v>21900</v>
      </c>
      <c r="H1521" s="517" t="s">
        <v>5686</v>
      </c>
    </row>
    <row r="1522" spans="2:8" ht="15" x14ac:dyDescent="0.35">
      <c r="B1522" s="544" t="s">
        <v>6263</v>
      </c>
      <c r="C1522" s="517" t="s">
        <v>6369</v>
      </c>
      <c r="D1522" s="518">
        <v>9433</v>
      </c>
      <c r="E1522" s="517" t="s">
        <v>5895</v>
      </c>
      <c r="F1522" s="518" t="s">
        <v>29</v>
      </c>
      <c r="G1522" s="519">
        <v>232050</v>
      </c>
      <c r="H1522" s="517" t="s">
        <v>6915</v>
      </c>
    </row>
    <row r="1523" spans="2:8" ht="15" x14ac:dyDescent="0.35">
      <c r="B1523" s="544" t="s">
        <v>6263</v>
      </c>
      <c r="C1523" s="517" t="s">
        <v>6382</v>
      </c>
      <c r="D1523" s="518">
        <v>9434</v>
      </c>
      <c r="E1523" s="517" t="s">
        <v>4216</v>
      </c>
      <c r="F1523" s="518" t="s">
        <v>367</v>
      </c>
      <c r="G1523" s="519">
        <v>453</v>
      </c>
      <c r="H1523" s="517" t="s">
        <v>6915</v>
      </c>
    </row>
    <row r="1524" spans="2:8" ht="15" x14ac:dyDescent="0.35">
      <c r="B1524" s="544" t="s">
        <v>6263</v>
      </c>
      <c r="C1524" s="517" t="s">
        <v>6364</v>
      </c>
      <c r="D1524" s="518">
        <v>9437</v>
      </c>
      <c r="E1524" s="517" t="s">
        <v>4217</v>
      </c>
      <c r="F1524" s="518" t="s">
        <v>29</v>
      </c>
      <c r="G1524" s="519">
        <v>809200</v>
      </c>
      <c r="H1524" s="517" t="s">
        <v>6425</v>
      </c>
    </row>
    <row r="1525" spans="2:8" ht="15" x14ac:dyDescent="0.35">
      <c r="B1525" s="544" t="s">
        <v>6263</v>
      </c>
      <c r="C1525" s="517" t="s">
        <v>6359</v>
      </c>
      <c r="D1525" s="518">
        <v>9441</v>
      </c>
      <c r="E1525" s="517" t="s">
        <v>4218</v>
      </c>
      <c r="F1525" s="518" t="s">
        <v>29</v>
      </c>
      <c r="G1525" s="519">
        <v>1468235</v>
      </c>
      <c r="H1525" s="517" t="s">
        <v>6915</v>
      </c>
    </row>
    <row r="1526" spans="2:8" ht="15" x14ac:dyDescent="0.35">
      <c r="B1526" s="544" t="s">
        <v>6263</v>
      </c>
      <c r="C1526" s="517" t="s">
        <v>6370</v>
      </c>
      <c r="D1526" s="518">
        <v>9443</v>
      </c>
      <c r="E1526" s="517" t="s">
        <v>4219</v>
      </c>
      <c r="F1526" s="518" t="s">
        <v>29</v>
      </c>
      <c r="G1526" s="519">
        <v>1992060</v>
      </c>
      <c r="H1526" s="517" t="s">
        <v>6915</v>
      </c>
    </row>
    <row r="1527" spans="2:8" ht="15" x14ac:dyDescent="0.35">
      <c r="B1527" s="544" t="s">
        <v>6263</v>
      </c>
      <c r="C1527" s="517" t="s">
        <v>6375</v>
      </c>
      <c r="D1527" s="518">
        <v>9444</v>
      </c>
      <c r="E1527" s="517" t="s">
        <v>6919</v>
      </c>
      <c r="F1527" s="518" t="s">
        <v>29</v>
      </c>
      <c r="G1527" s="519">
        <v>47349</v>
      </c>
      <c r="H1527" s="517" t="s">
        <v>6915</v>
      </c>
    </row>
    <row r="1528" spans="2:8" ht="15" x14ac:dyDescent="0.35">
      <c r="B1528" s="544" t="s">
        <v>6263</v>
      </c>
      <c r="C1528" s="517" t="s">
        <v>6375</v>
      </c>
      <c r="D1528" s="518">
        <v>9445</v>
      </c>
      <c r="E1528" s="517" t="s">
        <v>4220</v>
      </c>
      <c r="F1528" s="518" t="s">
        <v>29</v>
      </c>
      <c r="G1528" s="519">
        <v>265370</v>
      </c>
      <c r="H1528" s="517" t="s">
        <v>6915</v>
      </c>
    </row>
    <row r="1529" spans="2:8" ht="15" x14ac:dyDescent="0.35">
      <c r="B1529" s="544" t="s">
        <v>6263</v>
      </c>
      <c r="C1529" s="517" t="s">
        <v>6375</v>
      </c>
      <c r="D1529" s="518">
        <v>9446</v>
      </c>
      <c r="E1529" s="517" t="s">
        <v>4221</v>
      </c>
      <c r="F1529" s="518" t="s">
        <v>29</v>
      </c>
      <c r="G1529" s="519">
        <v>111138</v>
      </c>
      <c r="H1529" s="517" t="s">
        <v>6915</v>
      </c>
    </row>
    <row r="1530" spans="2:8" ht="15" x14ac:dyDescent="0.35">
      <c r="B1530" s="544" t="s">
        <v>6263</v>
      </c>
      <c r="C1530" s="517" t="s">
        <v>6375</v>
      </c>
      <c r="D1530" s="518">
        <v>9447</v>
      </c>
      <c r="E1530" s="517" t="s">
        <v>5896</v>
      </c>
      <c r="F1530" s="518" t="s">
        <v>29</v>
      </c>
      <c r="G1530" s="519">
        <v>2141804</v>
      </c>
      <c r="H1530" s="517" t="s">
        <v>6915</v>
      </c>
    </row>
    <row r="1531" spans="2:8" ht="15" x14ac:dyDescent="0.35">
      <c r="B1531" s="544" t="s">
        <v>6263</v>
      </c>
      <c r="C1531" s="517" t="s">
        <v>6374</v>
      </c>
      <c r="D1531" s="518">
        <v>9448</v>
      </c>
      <c r="E1531" s="517" t="s">
        <v>4222</v>
      </c>
      <c r="F1531" s="518" t="s">
        <v>29</v>
      </c>
      <c r="G1531" s="519">
        <v>289170</v>
      </c>
      <c r="H1531" s="517" t="s">
        <v>6915</v>
      </c>
    </row>
    <row r="1532" spans="2:8" ht="15" x14ac:dyDescent="0.35">
      <c r="B1532" s="544" t="s">
        <v>6263</v>
      </c>
      <c r="C1532" s="517" t="s">
        <v>6374</v>
      </c>
      <c r="D1532" s="518">
        <v>9449</v>
      </c>
      <c r="E1532" s="517" t="s">
        <v>4223</v>
      </c>
      <c r="F1532" s="518" t="s">
        <v>29</v>
      </c>
      <c r="G1532" s="519">
        <v>68068</v>
      </c>
      <c r="H1532" s="517" t="s">
        <v>6915</v>
      </c>
    </row>
    <row r="1533" spans="2:8" ht="15" x14ac:dyDescent="0.35">
      <c r="B1533" s="544" t="s">
        <v>6263</v>
      </c>
      <c r="C1533" s="517" t="s">
        <v>6374</v>
      </c>
      <c r="D1533" s="518">
        <v>9450</v>
      </c>
      <c r="E1533" s="517" t="s">
        <v>4224</v>
      </c>
      <c r="F1533" s="518" t="s">
        <v>29</v>
      </c>
      <c r="G1533" s="519">
        <v>209440</v>
      </c>
      <c r="H1533" s="517" t="s">
        <v>6915</v>
      </c>
    </row>
    <row r="1534" spans="2:8" ht="15" x14ac:dyDescent="0.35">
      <c r="B1534" s="544" t="s">
        <v>6263</v>
      </c>
      <c r="C1534" s="517" t="s">
        <v>6374</v>
      </c>
      <c r="D1534" s="518">
        <v>9451</v>
      </c>
      <c r="E1534" s="517" t="s">
        <v>4225</v>
      </c>
      <c r="F1534" s="518" t="s">
        <v>29</v>
      </c>
      <c r="G1534" s="519">
        <v>93000</v>
      </c>
      <c r="H1534" s="517" t="s">
        <v>6915</v>
      </c>
    </row>
    <row r="1535" spans="2:8" ht="15" x14ac:dyDescent="0.35">
      <c r="B1535" s="544" t="s">
        <v>6263</v>
      </c>
      <c r="C1535" s="517" t="s">
        <v>6374</v>
      </c>
      <c r="D1535" s="518">
        <v>9452</v>
      </c>
      <c r="E1535" s="517" t="s">
        <v>4226</v>
      </c>
      <c r="F1535" s="518" t="s">
        <v>29</v>
      </c>
      <c r="G1535" s="519">
        <v>91749</v>
      </c>
      <c r="H1535" s="517" t="s">
        <v>6915</v>
      </c>
    </row>
    <row r="1536" spans="2:8" ht="15" x14ac:dyDescent="0.35">
      <c r="B1536" s="544" t="s">
        <v>6263</v>
      </c>
      <c r="C1536" s="517" t="s">
        <v>6374</v>
      </c>
      <c r="D1536" s="518">
        <v>9453</v>
      </c>
      <c r="E1536" s="517" t="s">
        <v>4227</v>
      </c>
      <c r="F1536" s="518" t="s">
        <v>29</v>
      </c>
      <c r="G1536" s="519">
        <v>324037</v>
      </c>
      <c r="H1536" s="517" t="s">
        <v>6915</v>
      </c>
    </row>
    <row r="1537" spans="2:8" ht="15" x14ac:dyDescent="0.35">
      <c r="B1537" s="544" t="s">
        <v>6263</v>
      </c>
      <c r="C1537" s="517" t="s">
        <v>6372</v>
      </c>
      <c r="D1537" s="518">
        <v>9454</v>
      </c>
      <c r="E1537" s="517" t="s">
        <v>4228</v>
      </c>
      <c r="F1537" s="518" t="s">
        <v>29</v>
      </c>
      <c r="G1537" s="519">
        <v>110862</v>
      </c>
      <c r="H1537" s="517" t="s">
        <v>6915</v>
      </c>
    </row>
    <row r="1538" spans="2:8" ht="15" x14ac:dyDescent="0.35">
      <c r="B1538" s="544" t="s">
        <v>6263</v>
      </c>
      <c r="C1538" s="517" t="s">
        <v>6351</v>
      </c>
      <c r="D1538" s="518">
        <v>9455</v>
      </c>
      <c r="E1538" s="517" t="s">
        <v>4229</v>
      </c>
      <c r="F1538" s="518" t="s">
        <v>1628</v>
      </c>
      <c r="G1538" s="519">
        <v>1750905</v>
      </c>
      <c r="H1538" s="517" t="s">
        <v>5686</v>
      </c>
    </row>
    <row r="1539" spans="2:8" ht="15" x14ac:dyDescent="0.35">
      <c r="B1539" s="544" t="s">
        <v>6263</v>
      </c>
      <c r="C1539" s="517" t="s">
        <v>6387</v>
      </c>
      <c r="D1539" s="518">
        <v>9456</v>
      </c>
      <c r="E1539" s="517" t="s">
        <v>5897</v>
      </c>
      <c r="F1539" s="518" t="s">
        <v>1628</v>
      </c>
      <c r="G1539" s="519">
        <v>6583500</v>
      </c>
      <c r="H1539" s="517" t="s">
        <v>5686</v>
      </c>
    </row>
    <row r="1540" spans="2:8" ht="15" x14ac:dyDescent="0.35">
      <c r="B1540" s="544" t="s">
        <v>6263</v>
      </c>
      <c r="C1540" s="517" t="s">
        <v>6351</v>
      </c>
      <c r="D1540" s="518">
        <v>9457</v>
      </c>
      <c r="E1540" s="517" t="s">
        <v>4230</v>
      </c>
      <c r="F1540" s="518" t="s">
        <v>1628</v>
      </c>
      <c r="G1540" s="519">
        <v>3669300</v>
      </c>
      <c r="H1540" s="517" t="s">
        <v>5686</v>
      </c>
    </row>
    <row r="1541" spans="2:8" ht="15" x14ac:dyDescent="0.35">
      <c r="B1541" s="544" t="s">
        <v>6263</v>
      </c>
      <c r="C1541" s="517" t="s">
        <v>6351</v>
      </c>
      <c r="D1541" s="518">
        <v>9459</v>
      </c>
      <c r="E1541" s="517" t="s">
        <v>4231</v>
      </c>
      <c r="F1541" s="518" t="s">
        <v>1628</v>
      </c>
      <c r="G1541" s="519">
        <v>2972000</v>
      </c>
      <c r="H1541" s="517" t="s">
        <v>5686</v>
      </c>
    </row>
    <row r="1542" spans="2:8" ht="15" x14ac:dyDescent="0.35">
      <c r="B1542" s="544" t="s">
        <v>6263</v>
      </c>
      <c r="C1542" s="517" t="s">
        <v>6351</v>
      </c>
      <c r="D1542" s="518">
        <v>9460</v>
      </c>
      <c r="E1542" s="517" t="s">
        <v>4232</v>
      </c>
      <c r="F1542" s="518" t="s">
        <v>1628</v>
      </c>
      <c r="G1542" s="519">
        <v>1987000</v>
      </c>
      <c r="H1542" s="517" t="s">
        <v>5686</v>
      </c>
    </row>
    <row r="1543" spans="2:8" ht="15" x14ac:dyDescent="0.35">
      <c r="B1543" s="544" t="s">
        <v>6263</v>
      </c>
      <c r="C1543" s="517" t="s">
        <v>6351</v>
      </c>
      <c r="D1543" s="518">
        <v>9461</v>
      </c>
      <c r="E1543" s="517" t="s">
        <v>4233</v>
      </c>
      <c r="F1543" s="518" t="s">
        <v>1628</v>
      </c>
      <c r="G1543" s="519">
        <v>2244000</v>
      </c>
      <c r="H1543" s="517" t="s">
        <v>5686</v>
      </c>
    </row>
    <row r="1544" spans="2:8" ht="15" x14ac:dyDescent="0.35">
      <c r="B1544" s="544" t="s">
        <v>6263</v>
      </c>
      <c r="C1544" s="517" t="s">
        <v>6351</v>
      </c>
      <c r="D1544" s="518">
        <v>9462</v>
      </c>
      <c r="E1544" s="517" t="s">
        <v>4234</v>
      </c>
      <c r="F1544" s="518" t="s">
        <v>1628</v>
      </c>
      <c r="G1544" s="519">
        <v>2618000</v>
      </c>
      <c r="H1544" s="517" t="s">
        <v>5686</v>
      </c>
    </row>
    <row r="1545" spans="2:8" ht="15" x14ac:dyDescent="0.35">
      <c r="B1545" s="544" t="s">
        <v>6263</v>
      </c>
      <c r="C1545" s="517" t="s">
        <v>6351</v>
      </c>
      <c r="D1545" s="518">
        <v>9463</v>
      </c>
      <c r="E1545" s="517" t="s">
        <v>4235</v>
      </c>
      <c r="F1545" s="518" t="s">
        <v>1628</v>
      </c>
      <c r="G1545" s="519">
        <v>2618000</v>
      </c>
      <c r="H1545" s="517" t="s">
        <v>5686</v>
      </c>
    </row>
    <row r="1546" spans="2:8" ht="15" x14ac:dyDescent="0.35">
      <c r="B1546" s="544" t="s">
        <v>6263</v>
      </c>
      <c r="C1546" s="517" t="s">
        <v>6351</v>
      </c>
      <c r="D1546" s="518">
        <v>9464</v>
      </c>
      <c r="E1546" s="517" t="s">
        <v>4236</v>
      </c>
      <c r="F1546" s="518" t="s">
        <v>1628</v>
      </c>
      <c r="G1546" s="519">
        <v>2992000</v>
      </c>
      <c r="H1546" s="517" t="s">
        <v>5686</v>
      </c>
    </row>
    <row r="1547" spans="2:8" ht="15" x14ac:dyDescent="0.35">
      <c r="B1547" s="544" t="s">
        <v>6263</v>
      </c>
      <c r="C1547" s="517" t="s">
        <v>6351</v>
      </c>
      <c r="D1547" s="518">
        <v>9465</v>
      </c>
      <c r="E1547" s="517" t="s">
        <v>4237</v>
      </c>
      <c r="F1547" s="518" t="s">
        <v>1628</v>
      </c>
      <c r="G1547" s="519">
        <v>25218989</v>
      </c>
      <c r="H1547" s="517" t="s">
        <v>5686</v>
      </c>
    </row>
    <row r="1548" spans="2:8" ht="15" x14ac:dyDescent="0.35">
      <c r="B1548" s="544" t="s">
        <v>6263</v>
      </c>
      <c r="C1548" s="517" t="s">
        <v>6351</v>
      </c>
      <c r="D1548" s="518">
        <v>9466</v>
      </c>
      <c r="E1548" s="517" t="s">
        <v>4238</v>
      </c>
      <c r="F1548" s="518" t="s">
        <v>1628</v>
      </c>
      <c r="G1548" s="519">
        <v>19230337</v>
      </c>
      <c r="H1548" s="517" t="s">
        <v>5686</v>
      </c>
    </row>
    <row r="1549" spans="2:8" ht="15" x14ac:dyDescent="0.35">
      <c r="B1549" s="544" t="s">
        <v>6263</v>
      </c>
      <c r="C1549" s="517" t="s">
        <v>6351</v>
      </c>
      <c r="D1549" s="518">
        <v>9467</v>
      </c>
      <c r="E1549" s="517" t="s">
        <v>4239</v>
      </c>
      <c r="F1549" s="518" t="s">
        <v>1628</v>
      </c>
      <c r="G1549" s="519">
        <v>16236011</v>
      </c>
      <c r="H1549" s="517" t="s">
        <v>5686</v>
      </c>
    </row>
    <row r="1550" spans="2:8" ht="15" x14ac:dyDescent="0.35">
      <c r="B1550" s="544" t="s">
        <v>6263</v>
      </c>
      <c r="C1550" s="517" t="s">
        <v>6351</v>
      </c>
      <c r="D1550" s="518">
        <v>9468</v>
      </c>
      <c r="E1550" s="517" t="s">
        <v>4240</v>
      </c>
      <c r="F1550" s="518" t="s">
        <v>1628</v>
      </c>
      <c r="G1550" s="519">
        <v>13830994</v>
      </c>
      <c r="H1550" s="517" t="s">
        <v>5686</v>
      </c>
    </row>
    <row r="1551" spans="2:8" ht="15" x14ac:dyDescent="0.35">
      <c r="B1551" s="544" t="s">
        <v>6263</v>
      </c>
      <c r="C1551" s="517" t="s">
        <v>6351</v>
      </c>
      <c r="D1551" s="518">
        <v>9469</v>
      </c>
      <c r="E1551" s="517" t="s">
        <v>4241</v>
      </c>
      <c r="F1551" s="518" t="s">
        <v>1628</v>
      </c>
      <c r="G1551" s="519">
        <v>12480071</v>
      </c>
      <c r="H1551" s="517" t="s">
        <v>5686</v>
      </c>
    </row>
    <row r="1552" spans="2:8" ht="15" x14ac:dyDescent="0.35">
      <c r="B1552" s="544" t="s">
        <v>6263</v>
      </c>
      <c r="C1552" s="517" t="s">
        <v>6351</v>
      </c>
      <c r="D1552" s="518">
        <v>9470</v>
      </c>
      <c r="E1552" s="517" t="s">
        <v>4242</v>
      </c>
      <c r="F1552" s="518" t="s">
        <v>1628</v>
      </c>
      <c r="G1552" s="519">
        <v>11133493</v>
      </c>
      <c r="H1552" s="517" t="s">
        <v>5686</v>
      </c>
    </row>
    <row r="1553" spans="2:8" ht="15" x14ac:dyDescent="0.35">
      <c r="B1553" s="544" t="s">
        <v>6263</v>
      </c>
      <c r="C1553" s="517" t="s">
        <v>6351</v>
      </c>
      <c r="D1553" s="518">
        <v>9471</v>
      </c>
      <c r="E1553" s="517" t="s">
        <v>4243</v>
      </c>
      <c r="F1553" s="518" t="s">
        <v>1628</v>
      </c>
      <c r="G1553" s="519">
        <v>8428754</v>
      </c>
      <c r="H1553" s="517" t="s">
        <v>5686</v>
      </c>
    </row>
    <row r="1554" spans="2:8" ht="15" x14ac:dyDescent="0.35">
      <c r="B1554" s="544" t="s">
        <v>6263</v>
      </c>
      <c r="C1554" s="517" t="s">
        <v>6351</v>
      </c>
      <c r="D1554" s="518">
        <v>9473</v>
      </c>
      <c r="E1554" s="517" t="s">
        <v>4244</v>
      </c>
      <c r="F1554" s="518" t="s">
        <v>1628</v>
      </c>
      <c r="G1554" s="519">
        <v>5233165</v>
      </c>
      <c r="H1554" s="517" t="s">
        <v>5686</v>
      </c>
    </row>
    <row r="1555" spans="2:8" ht="15" x14ac:dyDescent="0.35">
      <c r="B1555" s="544" t="s">
        <v>6263</v>
      </c>
      <c r="C1555" s="517" t="s">
        <v>6351</v>
      </c>
      <c r="D1555" s="518">
        <v>9474</v>
      </c>
      <c r="E1555" s="517" t="s">
        <v>4245</v>
      </c>
      <c r="F1555" s="518" t="s">
        <v>1628</v>
      </c>
      <c r="G1555" s="519">
        <v>4948184</v>
      </c>
      <c r="H1555" s="517" t="s">
        <v>5686</v>
      </c>
    </row>
    <row r="1556" spans="2:8" ht="15" x14ac:dyDescent="0.35">
      <c r="B1556" s="544" t="s">
        <v>6263</v>
      </c>
      <c r="C1556" s="517" t="s">
        <v>6351</v>
      </c>
      <c r="D1556" s="518">
        <v>9475</v>
      </c>
      <c r="E1556" s="517" t="s">
        <v>4246</v>
      </c>
      <c r="F1556" s="518" t="s">
        <v>1628</v>
      </c>
      <c r="G1556" s="519">
        <v>5169718</v>
      </c>
      <c r="H1556" s="517" t="s">
        <v>5686</v>
      </c>
    </row>
    <row r="1557" spans="2:8" ht="15" x14ac:dyDescent="0.35">
      <c r="B1557" s="544" t="s">
        <v>6263</v>
      </c>
      <c r="C1557" s="517" t="s">
        <v>6351</v>
      </c>
      <c r="D1557" s="518">
        <v>9476</v>
      </c>
      <c r="E1557" s="517" t="s">
        <v>4247</v>
      </c>
      <c r="F1557" s="518" t="s">
        <v>1628</v>
      </c>
      <c r="G1557" s="519">
        <v>4253177</v>
      </c>
      <c r="H1557" s="517" t="s">
        <v>5686</v>
      </c>
    </row>
    <row r="1558" spans="2:8" ht="15" x14ac:dyDescent="0.35">
      <c r="B1558" s="544" t="s">
        <v>6263</v>
      </c>
      <c r="C1558" s="517" t="s">
        <v>6351</v>
      </c>
      <c r="D1558" s="518">
        <v>9477</v>
      </c>
      <c r="E1558" s="517" t="s">
        <v>4248</v>
      </c>
      <c r="F1558" s="518" t="s">
        <v>1628</v>
      </c>
      <c r="G1558" s="519">
        <v>5453251</v>
      </c>
      <c r="H1558" s="517" t="s">
        <v>5686</v>
      </c>
    </row>
    <row r="1559" spans="2:8" ht="15" x14ac:dyDescent="0.35">
      <c r="B1559" s="544" t="s">
        <v>6263</v>
      </c>
      <c r="C1559" s="517" t="s">
        <v>6351</v>
      </c>
      <c r="D1559" s="518">
        <v>9478</v>
      </c>
      <c r="E1559" s="517" t="s">
        <v>4249</v>
      </c>
      <c r="F1559" s="518" t="s">
        <v>1628</v>
      </c>
      <c r="G1559" s="519">
        <v>4823661</v>
      </c>
      <c r="H1559" s="517" t="s">
        <v>5686</v>
      </c>
    </row>
    <row r="1560" spans="2:8" ht="15" x14ac:dyDescent="0.35">
      <c r="B1560" s="544" t="s">
        <v>6263</v>
      </c>
      <c r="C1560" s="517" t="s">
        <v>6351</v>
      </c>
      <c r="D1560" s="518">
        <v>9479</v>
      </c>
      <c r="E1560" s="517" t="s">
        <v>4250</v>
      </c>
      <c r="F1560" s="518" t="s">
        <v>1628</v>
      </c>
      <c r="G1560" s="519">
        <v>5453251</v>
      </c>
      <c r="H1560" s="517" t="s">
        <v>5686</v>
      </c>
    </row>
    <row r="1561" spans="2:8" ht="15" x14ac:dyDescent="0.35">
      <c r="B1561" s="544" t="s">
        <v>6263</v>
      </c>
      <c r="C1561" s="517" t="s">
        <v>6351</v>
      </c>
      <c r="D1561" s="518">
        <v>9480</v>
      </c>
      <c r="E1561" s="517" t="s">
        <v>4251</v>
      </c>
      <c r="F1561" s="518" t="s">
        <v>1628</v>
      </c>
      <c r="G1561" s="519">
        <v>4823661</v>
      </c>
      <c r="H1561" s="517" t="s">
        <v>5686</v>
      </c>
    </row>
    <row r="1562" spans="2:8" ht="15" x14ac:dyDescent="0.35">
      <c r="B1562" s="544" t="s">
        <v>6263</v>
      </c>
      <c r="C1562" s="517" t="s">
        <v>6351</v>
      </c>
      <c r="D1562" s="518">
        <v>9481</v>
      </c>
      <c r="E1562" s="517" t="s">
        <v>4252</v>
      </c>
      <c r="F1562" s="518" t="s">
        <v>1628</v>
      </c>
      <c r="G1562" s="519">
        <v>5179853</v>
      </c>
      <c r="H1562" s="517" t="s">
        <v>5686</v>
      </c>
    </row>
    <row r="1563" spans="2:8" ht="15" x14ac:dyDescent="0.35">
      <c r="B1563" s="544" t="s">
        <v>6263</v>
      </c>
      <c r="C1563" s="517" t="s">
        <v>6351</v>
      </c>
      <c r="D1563" s="518">
        <v>9482</v>
      </c>
      <c r="E1563" s="517" t="s">
        <v>4253</v>
      </c>
      <c r="F1563" s="518" t="s">
        <v>1628</v>
      </c>
      <c r="G1563" s="519">
        <v>3740609</v>
      </c>
      <c r="H1563" s="517" t="s">
        <v>5686</v>
      </c>
    </row>
    <row r="1564" spans="2:8" ht="15" x14ac:dyDescent="0.35">
      <c r="B1564" s="544" t="s">
        <v>6263</v>
      </c>
      <c r="C1564" s="517" t="s">
        <v>6351</v>
      </c>
      <c r="D1564" s="518">
        <v>9483</v>
      </c>
      <c r="E1564" s="517" t="s">
        <v>4254</v>
      </c>
      <c r="F1564" s="518" t="s">
        <v>1628</v>
      </c>
      <c r="G1564" s="519">
        <v>4322677</v>
      </c>
      <c r="H1564" s="517" t="s">
        <v>5686</v>
      </c>
    </row>
    <row r="1565" spans="2:8" ht="15" x14ac:dyDescent="0.35">
      <c r="B1565" s="544" t="s">
        <v>6263</v>
      </c>
      <c r="C1565" s="517" t="s">
        <v>6351</v>
      </c>
      <c r="D1565" s="518">
        <v>9484</v>
      </c>
      <c r="E1565" s="517" t="s">
        <v>4255</v>
      </c>
      <c r="F1565" s="518" t="s">
        <v>1628</v>
      </c>
      <c r="G1565" s="519">
        <v>3930288</v>
      </c>
      <c r="H1565" s="517" t="s">
        <v>5686</v>
      </c>
    </row>
    <row r="1566" spans="2:8" ht="15" x14ac:dyDescent="0.35">
      <c r="B1566" s="544" t="s">
        <v>6263</v>
      </c>
      <c r="C1566" s="517" t="s">
        <v>6351</v>
      </c>
      <c r="D1566" s="518">
        <v>9485</v>
      </c>
      <c r="E1566" s="517" t="s">
        <v>4256</v>
      </c>
      <c r="F1566" s="518" t="s">
        <v>1628</v>
      </c>
      <c r="G1566" s="519">
        <v>5424555</v>
      </c>
      <c r="H1566" s="517" t="s">
        <v>5686</v>
      </c>
    </row>
    <row r="1567" spans="2:8" ht="15" x14ac:dyDescent="0.35">
      <c r="B1567" s="544" t="s">
        <v>6263</v>
      </c>
      <c r="C1567" s="517" t="s">
        <v>6351</v>
      </c>
      <c r="D1567" s="518">
        <v>9486</v>
      </c>
      <c r="E1567" s="517" t="s">
        <v>4257</v>
      </c>
      <c r="F1567" s="518" t="s">
        <v>1628</v>
      </c>
      <c r="G1567" s="519">
        <v>3979518</v>
      </c>
      <c r="H1567" s="517" t="s">
        <v>5686</v>
      </c>
    </row>
    <row r="1568" spans="2:8" ht="15" x14ac:dyDescent="0.35">
      <c r="B1568" s="544" t="s">
        <v>6263</v>
      </c>
      <c r="C1568" s="517" t="s">
        <v>6351</v>
      </c>
      <c r="D1568" s="518">
        <v>9487</v>
      </c>
      <c r="E1568" s="517" t="s">
        <v>4258</v>
      </c>
      <c r="F1568" s="518" t="s">
        <v>1628</v>
      </c>
      <c r="G1568" s="519">
        <v>3309125</v>
      </c>
      <c r="H1568" s="517" t="s">
        <v>5686</v>
      </c>
    </row>
    <row r="1569" spans="2:8" ht="15" x14ac:dyDescent="0.35">
      <c r="B1569" s="544" t="s">
        <v>6263</v>
      </c>
      <c r="C1569" s="517" t="s">
        <v>6351</v>
      </c>
      <c r="D1569" s="518">
        <v>9488</v>
      </c>
      <c r="E1569" s="517" t="s">
        <v>4259</v>
      </c>
      <c r="F1569" s="518" t="s">
        <v>1628</v>
      </c>
      <c r="G1569" s="519">
        <v>2922389</v>
      </c>
      <c r="H1569" s="517" t="s">
        <v>5686</v>
      </c>
    </row>
    <row r="1570" spans="2:8" ht="15" x14ac:dyDescent="0.35">
      <c r="B1570" s="544" t="s">
        <v>6263</v>
      </c>
      <c r="C1570" s="517" t="s">
        <v>6351</v>
      </c>
      <c r="D1570" s="518">
        <v>9489</v>
      </c>
      <c r="E1570" s="517" t="s">
        <v>4260</v>
      </c>
      <c r="F1570" s="518" t="s">
        <v>1628</v>
      </c>
      <c r="G1570" s="519">
        <v>3740609</v>
      </c>
      <c r="H1570" s="517" t="s">
        <v>5686</v>
      </c>
    </row>
    <row r="1571" spans="2:8" ht="15" x14ac:dyDescent="0.35">
      <c r="B1571" s="544" t="s">
        <v>6263</v>
      </c>
      <c r="C1571" s="517" t="s">
        <v>6351</v>
      </c>
      <c r="D1571" s="518">
        <v>9490</v>
      </c>
      <c r="E1571" s="517" t="s">
        <v>4261</v>
      </c>
      <c r="F1571" s="518" t="s">
        <v>1628</v>
      </c>
      <c r="G1571" s="519">
        <v>3309125</v>
      </c>
      <c r="H1571" s="517" t="s">
        <v>5686</v>
      </c>
    </row>
    <row r="1572" spans="2:8" ht="15" x14ac:dyDescent="0.35">
      <c r="B1572" s="544" t="s">
        <v>6263</v>
      </c>
      <c r="C1572" s="517" t="s">
        <v>6351</v>
      </c>
      <c r="D1572" s="518">
        <v>9491</v>
      </c>
      <c r="E1572" s="517" t="s">
        <v>4262</v>
      </c>
      <c r="F1572" s="518" t="s">
        <v>1628</v>
      </c>
      <c r="G1572" s="519">
        <v>2922389</v>
      </c>
      <c r="H1572" s="517" t="s">
        <v>5686</v>
      </c>
    </row>
    <row r="1573" spans="2:8" ht="15" x14ac:dyDescent="0.35">
      <c r="B1573" s="544" t="s">
        <v>6263</v>
      </c>
      <c r="C1573" s="517" t="s">
        <v>6351</v>
      </c>
      <c r="D1573" s="518">
        <v>9492</v>
      </c>
      <c r="E1573" s="517" t="s">
        <v>4263</v>
      </c>
      <c r="F1573" s="518" t="s">
        <v>1628</v>
      </c>
      <c r="G1573" s="519">
        <v>6542098</v>
      </c>
      <c r="H1573" s="517" t="s">
        <v>5686</v>
      </c>
    </row>
    <row r="1574" spans="2:8" ht="15" x14ac:dyDescent="0.35">
      <c r="B1574" s="544" t="s">
        <v>6263</v>
      </c>
      <c r="C1574" s="517" t="s">
        <v>6351</v>
      </c>
      <c r="D1574" s="518">
        <v>9493</v>
      </c>
      <c r="E1574" s="517" t="s">
        <v>4264</v>
      </c>
      <c r="F1574" s="518" t="s">
        <v>1628</v>
      </c>
      <c r="G1574" s="519">
        <v>3636357</v>
      </c>
      <c r="H1574" s="517" t="s">
        <v>5686</v>
      </c>
    </row>
    <row r="1575" spans="2:8" ht="15" x14ac:dyDescent="0.35">
      <c r="B1575" s="544" t="s">
        <v>6263</v>
      </c>
      <c r="C1575" s="517" t="s">
        <v>6351</v>
      </c>
      <c r="D1575" s="518">
        <v>9494</v>
      </c>
      <c r="E1575" s="517" t="s">
        <v>4265</v>
      </c>
      <c r="F1575" s="518" t="s">
        <v>1628</v>
      </c>
      <c r="G1575" s="519">
        <v>4719411</v>
      </c>
      <c r="H1575" s="517" t="s">
        <v>5686</v>
      </c>
    </row>
    <row r="1576" spans="2:8" ht="15" x14ac:dyDescent="0.35">
      <c r="B1576" s="544" t="s">
        <v>6263</v>
      </c>
      <c r="C1576" s="517" t="s">
        <v>6275</v>
      </c>
      <c r="D1576" s="518">
        <v>9495</v>
      </c>
      <c r="E1576" s="517" t="s">
        <v>4266</v>
      </c>
      <c r="F1576" s="518" t="s">
        <v>367</v>
      </c>
      <c r="G1576" s="519">
        <v>11984</v>
      </c>
      <c r="H1576" s="517" t="s">
        <v>6425</v>
      </c>
    </row>
    <row r="1577" spans="2:8" ht="15" x14ac:dyDescent="0.35">
      <c r="B1577" s="544" t="s">
        <v>6263</v>
      </c>
      <c r="C1577" s="517" t="s">
        <v>6275</v>
      </c>
      <c r="D1577" s="518">
        <v>9496</v>
      </c>
      <c r="E1577" s="517" t="s">
        <v>4267</v>
      </c>
      <c r="F1577" s="518" t="s">
        <v>367</v>
      </c>
      <c r="G1577" s="519">
        <v>16065</v>
      </c>
      <c r="H1577" s="517" t="s">
        <v>6425</v>
      </c>
    </row>
    <row r="1578" spans="2:8" ht="15" x14ac:dyDescent="0.35">
      <c r="B1578" s="544" t="s">
        <v>6263</v>
      </c>
      <c r="C1578" s="517" t="s">
        <v>6351</v>
      </c>
      <c r="D1578" s="518">
        <v>9497</v>
      </c>
      <c r="E1578" s="517" t="s">
        <v>5898</v>
      </c>
      <c r="F1578" s="518" t="s">
        <v>676</v>
      </c>
      <c r="G1578" s="519">
        <v>18787</v>
      </c>
      <c r="H1578" s="517" t="s">
        <v>6915</v>
      </c>
    </row>
    <row r="1579" spans="2:8" ht="15" x14ac:dyDescent="0.35">
      <c r="B1579" s="544" t="s">
        <v>6263</v>
      </c>
      <c r="C1579" s="517" t="s">
        <v>6337</v>
      </c>
      <c r="D1579" s="518">
        <v>9499</v>
      </c>
      <c r="E1579" s="517" t="s">
        <v>4268</v>
      </c>
      <c r="F1579" s="518" t="s">
        <v>23</v>
      </c>
      <c r="G1579" s="519">
        <v>653115</v>
      </c>
      <c r="H1579" s="517" t="s">
        <v>6425</v>
      </c>
    </row>
    <row r="1580" spans="2:8" ht="15" x14ac:dyDescent="0.35">
      <c r="B1580" s="544" t="s">
        <v>6263</v>
      </c>
      <c r="C1580" s="517" t="s">
        <v>6275</v>
      </c>
      <c r="D1580" s="518">
        <v>9500</v>
      </c>
      <c r="E1580" s="517" t="s">
        <v>4269</v>
      </c>
      <c r="F1580" s="518" t="s">
        <v>21</v>
      </c>
      <c r="G1580" s="519">
        <v>106505</v>
      </c>
      <c r="H1580" s="517" t="s">
        <v>6425</v>
      </c>
    </row>
    <row r="1581" spans="2:8" ht="15" x14ac:dyDescent="0.35">
      <c r="B1581" s="544" t="s">
        <v>6263</v>
      </c>
      <c r="C1581" s="517" t="s">
        <v>6275</v>
      </c>
      <c r="D1581" s="518">
        <v>9501</v>
      </c>
      <c r="E1581" s="517" t="s">
        <v>4270</v>
      </c>
      <c r="F1581" s="518" t="s">
        <v>21</v>
      </c>
      <c r="G1581" s="519">
        <v>89250</v>
      </c>
      <c r="H1581" s="517" t="s">
        <v>6425</v>
      </c>
    </row>
    <row r="1582" spans="2:8" ht="15" x14ac:dyDescent="0.35">
      <c r="B1582" s="544" t="s">
        <v>6263</v>
      </c>
      <c r="C1582" s="517" t="s">
        <v>6351</v>
      </c>
      <c r="D1582" s="518">
        <v>9505</v>
      </c>
      <c r="E1582" s="517" t="s">
        <v>4271</v>
      </c>
      <c r="F1582" s="518" t="s">
        <v>389</v>
      </c>
      <c r="G1582" s="519">
        <v>840633</v>
      </c>
      <c r="H1582" s="517" t="s">
        <v>5686</v>
      </c>
    </row>
    <row r="1583" spans="2:8" ht="15" x14ac:dyDescent="0.35">
      <c r="B1583" s="544" t="s">
        <v>6263</v>
      </c>
      <c r="C1583" s="517" t="s">
        <v>6351</v>
      </c>
      <c r="D1583" s="518">
        <v>9506</v>
      </c>
      <c r="E1583" s="517" t="s">
        <v>4272</v>
      </c>
      <c r="F1583" s="518" t="s">
        <v>389</v>
      </c>
      <c r="G1583" s="519">
        <v>641011</v>
      </c>
      <c r="H1583" s="517" t="s">
        <v>5686</v>
      </c>
    </row>
    <row r="1584" spans="2:8" ht="15" x14ac:dyDescent="0.35">
      <c r="B1584" s="544" t="s">
        <v>6263</v>
      </c>
      <c r="C1584" s="517" t="s">
        <v>6351</v>
      </c>
      <c r="D1584" s="518">
        <v>9507</v>
      </c>
      <c r="E1584" s="517" t="s">
        <v>4273</v>
      </c>
      <c r="F1584" s="518" t="s">
        <v>389</v>
      </c>
      <c r="G1584" s="519">
        <v>541201</v>
      </c>
      <c r="H1584" s="517" t="s">
        <v>5686</v>
      </c>
    </row>
    <row r="1585" spans="2:8" ht="15" x14ac:dyDescent="0.35">
      <c r="B1585" s="544" t="s">
        <v>6263</v>
      </c>
      <c r="C1585" s="517" t="s">
        <v>6351</v>
      </c>
      <c r="D1585" s="518">
        <v>9508</v>
      </c>
      <c r="E1585" s="517" t="s">
        <v>4274</v>
      </c>
      <c r="F1585" s="518" t="s">
        <v>389</v>
      </c>
      <c r="G1585" s="519">
        <v>461034</v>
      </c>
      <c r="H1585" s="517" t="s">
        <v>5686</v>
      </c>
    </row>
    <row r="1586" spans="2:8" ht="15" x14ac:dyDescent="0.35">
      <c r="B1586" s="544" t="s">
        <v>6263</v>
      </c>
      <c r="C1586" s="517" t="s">
        <v>6351</v>
      </c>
      <c r="D1586" s="518">
        <v>9509</v>
      </c>
      <c r="E1586" s="517" t="s">
        <v>4275</v>
      </c>
      <c r="F1586" s="518" t="s">
        <v>389</v>
      </c>
      <c r="G1586" s="519">
        <v>416003</v>
      </c>
      <c r="H1586" s="517" t="s">
        <v>5686</v>
      </c>
    </row>
    <row r="1587" spans="2:8" ht="15" x14ac:dyDescent="0.35">
      <c r="B1587" s="544" t="s">
        <v>6263</v>
      </c>
      <c r="C1587" s="517" t="s">
        <v>6351</v>
      </c>
      <c r="D1587" s="518">
        <v>9510</v>
      </c>
      <c r="E1587" s="517" t="s">
        <v>4276</v>
      </c>
      <c r="F1587" s="518" t="s">
        <v>389</v>
      </c>
      <c r="G1587" s="519">
        <v>371117</v>
      </c>
      <c r="H1587" s="517" t="s">
        <v>5686</v>
      </c>
    </row>
    <row r="1588" spans="2:8" ht="15" x14ac:dyDescent="0.35">
      <c r="B1588" s="544" t="s">
        <v>6263</v>
      </c>
      <c r="C1588" s="517" t="s">
        <v>6351</v>
      </c>
      <c r="D1588" s="518">
        <v>9511</v>
      </c>
      <c r="E1588" s="517" t="s">
        <v>4277</v>
      </c>
      <c r="F1588" s="518" t="s">
        <v>389</v>
      </c>
      <c r="G1588" s="519">
        <v>280958</v>
      </c>
      <c r="H1588" s="517" t="s">
        <v>5686</v>
      </c>
    </row>
    <row r="1589" spans="2:8" ht="15" x14ac:dyDescent="0.35">
      <c r="B1589" s="544" t="s">
        <v>6263</v>
      </c>
      <c r="C1589" s="517" t="s">
        <v>6351</v>
      </c>
      <c r="D1589" s="518">
        <v>9512</v>
      </c>
      <c r="E1589" s="517" t="s">
        <v>4278</v>
      </c>
      <c r="F1589" s="518" t="s">
        <v>389</v>
      </c>
      <c r="G1589" s="519">
        <v>174438</v>
      </c>
      <c r="H1589" s="517" t="s">
        <v>5686</v>
      </c>
    </row>
    <row r="1590" spans="2:8" ht="15" x14ac:dyDescent="0.35">
      <c r="B1590" s="544" t="s">
        <v>6263</v>
      </c>
      <c r="C1590" s="517" t="s">
        <v>6351</v>
      </c>
      <c r="D1590" s="518">
        <v>9513</v>
      </c>
      <c r="E1590" s="517" t="s">
        <v>4279</v>
      </c>
      <c r="F1590" s="518" t="s">
        <v>389</v>
      </c>
      <c r="G1590" s="519">
        <v>164940</v>
      </c>
      <c r="H1590" s="517" t="s">
        <v>5686</v>
      </c>
    </row>
    <row r="1591" spans="2:8" ht="15" x14ac:dyDescent="0.35">
      <c r="B1591" s="544" t="s">
        <v>6263</v>
      </c>
      <c r="C1591" s="517" t="s">
        <v>6351</v>
      </c>
      <c r="D1591" s="518">
        <v>9514</v>
      </c>
      <c r="E1591" s="517" t="s">
        <v>4280</v>
      </c>
      <c r="F1591" s="518" t="s">
        <v>389</v>
      </c>
      <c r="G1591" s="519">
        <v>172324</v>
      </c>
      <c r="H1591" s="517" t="s">
        <v>5686</v>
      </c>
    </row>
    <row r="1592" spans="2:8" ht="15" x14ac:dyDescent="0.35">
      <c r="B1592" s="544" t="s">
        <v>6263</v>
      </c>
      <c r="C1592" s="517" t="s">
        <v>6351</v>
      </c>
      <c r="D1592" s="518">
        <v>9515</v>
      </c>
      <c r="E1592" s="517" t="s">
        <v>4281</v>
      </c>
      <c r="F1592" s="518" t="s">
        <v>389</v>
      </c>
      <c r="G1592" s="519">
        <v>141773</v>
      </c>
      <c r="H1592" s="517" t="s">
        <v>5686</v>
      </c>
    </row>
    <row r="1593" spans="2:8" ht="15" x14ac:dyDescent="0.35">
      <c r="B1593" s="544" t="s">
        <v>6263</v>
      </c>
      <c r="C1593" s="517" t="s">
        <v>6351</v>
      </c>
      <c r="D1593" s="518">
        <v>9516</v>
      </c>
      <c r="E1593" s="517" t="s">
        <v>4282</v>
      </c>
      <c r="F1593" s="518" t="s">
        <v>389</v>
      </c>
      <c r="G1593" s="519">
        <v>160788</v>
      </c>
      <c r="H1593" s="517" t="s">
        <v>5686</v>
      </c>
    </row>
    <row r="1594" spans="2:8" ht="15" x14ac:dyDescent="0.35">
      <c r="B1594" s="544" t="s">
        <v>6263</v>
      </c>
      <c r="C1594" s="517" t="s">
        <v>6351</v>
      </c>
      <c r="D1594" s="518">
        <v>9517</v>
      </c>
      <c r="E1594" s="517" t="s">
        <v>4283</v>
      </c>
      <c r="F1594" s="518" t="s">
        <v>389</v>
      </c>
      <c r="G1594" s="519">
        <v>181776</v>
      </c>
      <c r="H1594" s="517" t="s">
        <v>5686</v>
      </c>
    </row>
    <row r="1595" spans="2:8" ht="15" x14ac:dyDescent="0.35">
      <c r="B1595" s="544" t="s">
        <v>6263</v>
      </c>
      <c r="C1595" s="517" t="s">
        <v>6351</v>
      </c>
      <c r="D1595" s="518">
        <v>9518</v>
      </c>
      <c r="E1595" s="517" t="s">
        <v>4284</v>
      </c>
      <c r="F1595" s="518" t="s">
        <v>389</v>
      </c>
      <c r="G1595" s="519">
        <v>160788</v>
      </c>
      <c r="H1595" s="517" t="s">
        <v>5686</v>
      </c>
    </row>
    <row r="1596" spans="2:8" ht="15" x14ac:dyDescent="0.35">
      <c r="B1596" s="544" t="s">
        <v>6263</v>
      </c>
      <c r="C1596" s="517" t="s">
        <v>6351</v>
      </c>
      <c r="D1596" s="518">
        <v>9519</v>
      </c>
      <c r="E1596" s="517" t="s">
        <v>4285</v>
      </c>
      <c r="F1596" s="518" t="s">
        <v>389</v>
      </c>
      <c r="G1596" s="519">
        <v>172662</v>
      </c>
      <c r="H1596" s="517" t="s">
        <v>5686</v>
      </c>
    </row>
    <row r="1597" spans="2:8" ht="15" x14ac:dyDescent="0.35">
      <c r="B1597" s="544" t="s">
        <v>6263</v>
      </c>
      <c r="C1597" s="517" t="s">
        <v>6351</v>
      </c>
      <c r="D1597" s="518">
        <v>9520</v>
      </c>
      <c r="E1597" s="517" t="s">
        <v>4286</v>
      </c>
      <c r="F1597" s="518" t="s">
        <v>389</v>
      </c>
      <c r="G1597" s="519">
        <v>124687</v>
      </c>
      <c r="H1597" s="517" t="s">
        <v>5686</v>
      </c>
    </row>
    <row r="1598" spans="2:8" ht="15" x14ac:dyDescent="0.35">
      <c r="B1598" s="544" t="s">
        <v>6263</v>
      </c>
      <c r="C1598" s="517" t="s">
        <v>6351</v>
      </c>
      <c r="D1598" s="518">
        <v>9521</v>
      </c>
      <c r="E1598" s="517" t="s">
        <v>4287</v>
      </c>
      <c r="F1598" s="518" t="s">
        <v>389</v>
      </c>
      <c r="G1598" s="519">
        <v>156349</v>
      </c>
      <c r="H1598" s="517" t="s">
        <v>5686</v>
      </c>
    </row>
    <row r="1599" spans="2:8" ht="15" x14ac:dyDescent="0.35">
      <c r="B1599" s="544" t="s">
        <v>6263</v>
      </c>
      <c r="C1599" s="517" t="s">
        <v>6351</v>
      </c>
      <c r="D1599" s="518">
        <v>9522</v>
      </c>
      <c r="E1599" s="517" t="s">
        <v>4288</v>
      </c>
      <c r="F1599" s="518" t="s">
        <v>389</v>
      </c>
      <c r="G1599" s="519">
        <v>108808</v>
      </c>
      <c r="H1599" s="517" t="s">
        <v>5686</v>
      </c>
    </row>
    <row r="1600" spans="2:8" ht="15" x14ac:dyDescent="0.35">
      <c r="B1600" s="544" t="s">
        <v>6263</v>
      </c>
      <c r="C1600" s="517" t="s">
        <v>6351</v>
      </c>
      <c r="D1600" s="518">
        <v>9523</v>
      </c>
      <c r="E1600" s="517" t="s">
        <v>4289</v>
      </c>
      <c r="F1600" s="518" t="s">
        <v>389</v>
      </c>
      <c r="G1600" s="519">
        <v>180819</v>
      </c>
      <c r="H1600" s="517" t="s">
        <v>5686</v>
      </c>
    </row>
    <row r="1601" spans="2:8" ht="15" x14ac:dyDescent="0.35">
      <c r="B1601" s="544" t="s">
        <v>6263</v>
      </c>
      <c r="C1601" s="517" t="s">
        <v>6351</v>
      </c>
      <c r="D1601" s="518">
        <v>9524</v>
      </c>
      <c r="E1601" s="517" t="s">
        <v>4290</v>
      </c>
      <c r="F1601" s="518" t="s">
        <v>389</v>
      </c>
      <c r="G1601" s="519">
        <v>132651</v>
      </c>
      <c r="H1601" s="517" t="s">
        <v>5686</v>
      </c>
    </row>
    <row r="1602" spans="2:8" ht="15" x14ac:dyDescent="0.35">
      <c r="B1602" s="544" t="s">
        <v>6263</v>
      </c>
      <c r="C1602" s="517" t="s">
        <v>6351</v>
      </c>
      <c r="D1602" s="518">
        <v>9525</v>
      </c>
      <c r="E1602" s="517" t="s">
        <v>4291</v>
      </c>
      <c r="F1602" s="518" t="s">
        <v>389</v>
      </c>
      <c r="G1602" s="519">
        <v>110304</v>
      </c>
      <c r="H1602" s="517" t="s">
        <v>5686</v>
      </c>
    </row>
    <row r="1603" spans="2:8" ht="15" x14ac:dyDescent="0.35">
      <c r="B1603" s="544" t="s">
        <v>6263</v>
      </c>
      <c r="C1603" s="517" t="s">
        <v>6351</v>
      </c>
      <c r="D1603" s="518">
        <v>9526</v>
      </c>
      <c r="E1603" s="517" t="s">
        <v>4292</v>
      </c>
      <c r="F1603" s="518" t="s">
        <v>389</v>
      </c>
      <c r="G1603" s="519">
        <v>97414</v>
      </c>
      <c r="H1603" s="517" t="s">
        <v>5686</v>
      </c>
    </row>
    <row r="1604" spans="2:8" ht="15" x14ac:dyDescent="0.35">
      <c r="B1604" s="544" t="s">
        <v>6263</v>
      </c>
      <c r="C1604" s="517" t="s">
        <v>6351</v>
      </c>
      <c r="D1604" s="518">
        <v>9527</v>
      </c>
      <c r="E1604" s="517" t="s">
        <v>4293</v>
      </c>
      <c r="F1604" s="518" t="s">
        <v>389</v>
      </c>
      <c r="G1604" s="519">
        <v>124687</v>
      </c>
      <c r="H1604" s="517" t="s">
        <v>5686</v>
      </c>
    </row>
    <row r="1605" spans="2:8" ht="15" x14ac:dyDescent="0.35">
      <c r="B1605" s="544" t="s">
        <v>6263</v>
      </c>
      <c r="C1605" s="517" t="s">
        <v>6351</v>
      </c>
      <c r="D1605" s="518">
        <v>9528</v>
      </c>
      <c r="E1605" s="517" t="s">
        <v>4294</v>
      </c>
      <c r="F1605" s="518" t="s">
        <v>389</v>
      </c>
      <c r="G1605" s="519">
        <v>97414</v>
      </c>
      <c r="H1605" s="517" t="s">
        <v>5686</v>
      </c>
    </row>
    <row r="1606" spans="2:8" ht="15" x14ac:dyDescent="0.35">
      <c r="B1606" s="544" t="s">
        <v>6263</v>
      </c>
      <c r="C1606" s="517" t="s">
        <v>6351</v>
      </c>
      <c r="D1606" s="518">
        <v>9529</v>
      </c>
      <c r="E1606" s="517" t="s">
        <v>4295</v>
      </c>
      <c r="F1606" s="518" t="s">
        <v>389</v>
      </c>
      <c r="G1606" s="519">
        <v>218070</v>
      </c>
      <c r="H1606" s="517" t="s">
        <v>5686</v>
      </c>
    </row>
    <row r="1607" spans="2:8" ht="15" x14ac:dyDescent="0.35">
      <c r="B1607" s="544" t="s">
        <v>6263</v>
      </c>
      <c r="C1607" s="517" t="s">
        <v>6351</v>
      </c>
      <c r="D1607" s="518">
        <v>9530</v>
      </c>
      <c r="E1607" s="517" t="s">
        <v>4296</v>
      </c>
      <c r="F1607" s="518" t="s">
        <v>1628</v>
      </c>
      <c r="G1607" s="519">
        <v>4177884</v>
      </c>
      <c r="H1607" s="517" t="s">
        <v>5686</v>
      </c>
    </row>
    <row r="1608" spans="2:8" ht="15" x14ac:dyDescent="0.35">
      <c r="B1608" s="544" t="s">
        <v>6263</v>
      </c>
      <c r="C1608" s="517" t="s">
        <v>6351</v>
      </c>
      <c r="D1608" s="518">
        <v>9531</v>
      </c>
      <c r="E1608" s="517" t="s">
        <v>4297</v>
      </c>
      <c r="F1608" s="518" t="s">
        <v>676</v>
      </c>
      <c r="G1608" s="519">
        <v>120090</v>
      </c>
      <c r="H1608" s="517" t="s">
        <v>6915</v>
      </c>
    </row>
    <row r="1609" spans="2:8" ht="15" x14ac:dyDescent="0.35">
      <c r="B1609" s="544" t="s">
        <v>6263</v>
      </c>
      <c r="C1609" s="517" t="s">
        <v>6351</v>
      </c>
      <c r="D1609" s="518">
        <v>9532</v>
      </c>
      <c r="E1609" s="517" t="s">
        <v>4298</v>
      </c>
      <c r="F1609" s="518" t="s">
        <v>676</v>
      </c>
      <c r="G1609" s="519">
        <v>91574</v>
      </c>
      <c r="H1609" s="517" t="s">
        <v>6915</v>
      </c>
    </row>
    <row r="1610" spans="2:8" ht="15" x14ac:dyDescent="0.35">
      <c r="B1610" s="544" t="s">
        <v>6263</v>
      </c>
      <c r="C1610" s="517" t="s">
        <v>6351</v>
      </c>
      <c r="D1610" s="518">
        <v>9533</v>
      </c>
      <c r="E1610" s="517" t="s">
        <v>4299</v>
      </c>
      <c r="F1610" s="518" t="s">
        <v>676</v>
      </c>
      <c r="G1610" s="519">
        <v>77314</v>
      </c>
      <c r="H1610" s="517" t="s">
        <v>6915</v>
      </c>
    </row>
    <row r="1611" spans="2:8" ht="15" x14ac:dyDescent="0.35">
      <c r="B1611" s="544" t="s">
        <v>6263</v>
      </c>
      <c r="C1611" s="517" t="s">
        <v>6351</v>
      </c>
      <c r="D1611" s="518">
        <v>9534</v>
      </c>
      <c r="E1611" s="517" t="s">
        <v>4300</v>
      </c>
      <c r="F1611" s="518" t="s">
        <v>676</v>
      </c>
      <c r="G1611" s="519">
        <v>65862</v>
      </c>
      <c r="H1611" s="517" t="s">
        <v>6915</v>
      </c>
    </row>
    <row r="1612" spans="2:8" ht="15" x14ac:dyDescent="0.35">
      <c r="B1612" s="544" t="s">
        <v>6263</v>
      </c>
      <c r="C1612" s="517" t="s">
        <v>6351</v>
      </c>
      <c r="D1612" s="518">
        <v>9535</v>
      </c>
      <c r="E1612" s="517" t="s">
        <v>4301</v>
      </c>
      <c r="F1612" s="518" t="s">
        <v>676</v>
      </c>
      <c r="G1612" s="519">
        <v>59429</v>
      </c>
      <c r="H1612" s="517" t="s">
        <v>6915</v>
      </c>
    </row>
    <row r="1613" spans="2:8" ht="15" x14ac:dyDescent="0.35">
      <c r="B1613" s="544" t="s">
        <v>6263</v>
      </c>
      <c r="C1613" s="517" t="s">
        <v>6351</v>
      </c>
      <c r="D1613" s="518">
        <v>9536</v>
      </c>
      <c r="E1613" s="517" t="s">
        <v>4302</v>
      </c>
      <c r="F1613" s="518" t="s">
        <v>676</v>
      </c>
      <c r="G1613" s="519">
        <v>53017</v>
      </c>
      <c r="H1613" s="517" t="s">
        <v>6915</v>
      </c>
    </row>
    <row r="1614" spans="2:8" ht="15" x14ac:dyDescent="0.35">
      <c r="B1614" s="544" t="s">
        <v>6263</v>
      </c>
      <c r="C1614" s="517" t="s">
        <v>6351</v>
      </c>
      <c r="D1614" s="518">
        <v>9537</v>
      </c>
      <c r="E1614" s="517" t="s">
        <v>4303</v>
      </c>
      <c r="F1614" s="518" t="s">
        <v>676</v>
      </c>
      <c r="G1614" s="519">
        <v>40137</v>
      </c>
      <c r="H1614" s="517" t="s">
        <v>6915</v>
      </c>
    </row>
    <row r="1615" spans="2:8" ht="15" x14ac:dyDescent="0.35">
      <c r="B1615" s="544" t="s">
        <v>6263</v>
      </c>
      <c r="C1615" s="517" t="s">
        <v>6351</v>
      </c>
      <c r="D1615" s="518">
        <v>9539</v>
      </c>
      <c r="E1615" s="517" t="s">
        <v>4304</v>
      </c>
      <c r="F1615" s="518" t="s">
        <v>676</v>
      </c>
      <c r="G1615" s="519">
        <v>24920</v>
      </c>
      <c r="H1615" s="517" t="s">
        <v>6915</v>
      </c>
    </row>
    <row r="1616" spans="2:8" ht="15" x14ac:dyDescent="0.35">
      <c r="B1616" s="544" t="s">
        <v>6263</v>
      </c>
      <c r="C1616" s="517" t="s">
        <v>6351</v>
      </c>
      <c r="D1616" s="518">
        <v>9540</v>
      </c>
      <c r="E1616" s="517" t="s">
        <v>4305</v>
      </c>
      <c r="F1616" s="518" t="s">
        <v>676</v>
      </c>
      <c r="G1616" s="519">
        <v>23564</v>
      </c>
      <c r="H1616" s="517" t="s">
        <v>6915</v>
      </c>
    </row>
    <row r="1617" spans="2:8" ht="15" x14ac:dyDescent="0.35">
      <c r="B1617" s="544" t="s">
        <v>6263</v>
      </c>
      <c r="C1617" s="517" t="s">
        <v>6351</v>
      </c>
      <c r="D1617" s="518">
        <v>9541</v>
      </c>
      <c r="E1617" s="517" t="s">
        <v>4306</v>
      </c>
      <c r="F1617" s="518" t="s">
        <v>676</v>
      </c>
      <c r="G1617" s="519">
        <v>24617</v>
      </c>
      <c r="H1617" s="517" t="s">
        <v>6915</v>
      </c>
    </row>
    <row r="1618" spans="2:8" ht="15" x14ac:dyDescent="0.35">
      <c r="B1618" s="544" t="s">
        <v>6263</v>
      </c>
      <c r="C1618" s="517" t="s">
        <v>6351</v>
      </c>
      <c r="D1618" s="518">
        <v>9542</v>
      </c>
      <c r="E1618" s="517" t="s">
        <v>4307</v>
      </c>
      <c r="F1618" s="518" t="s">
        <v>676</v>
      </c>
      <c r="G1618" s="519">
        <v>20254</v>
      </c>
      <c r="H1618" s="517" t="s">
        <v>6915</v>
      </c>
    </row>
    <row r="1619" spans="2:8" ht="15" x14ac:dyDescent="0.35">
      <c r="B1619" s="544" t="s">
        <v>6263</v>
      </c>
      <c r="C1619" s="517" t="s">
        <v>6351</v>
      </c>
      <c r="D1619" s="518">
        <v>9543</v>
      </c>
      <c r="E1619" s="517" t="s">
        <v>4308</v>
      </c>
      <c r="F1619" s="518" t="s">
        <v>676</v>
      </c>
      <c r="G1619" s="519">
        <v>25968</v>
      </c>
      <c r="H1619" s="517" t="s">
        <v>6915</v>
      </c>
    </row>
    <row r="1620" spans="2:8" ht="15" x14ac:dyDescent="0.35">
      <c r="B1620" s="544" t="s">
        <v>6263</v>
      </c>
      <c r="C1620" s="517" t="s">
        <v>6351</v>
      </c>
      <c r="D1620" s="518">
        <v>9544</v>
      </c>
      <c r="E1620" s="517" t="s">
        <v>4309</v>
      </c>
      <c r="F1620" s="518" t="s">
        <v>676</v>
      </c>
      <c r="G1620" s="519">
        <v>22969</v>
      </c>
      <c r="H1620" s="517" t="s">
        <v>6915</v>
      </c>
    </row>
    <row r="1621" spans="2:8" ht="15" x14ac:dyDescent="0.35">
      <c r="B1621" s="544" t="s">
        <v>6263</v>
      </c>
      <c r="C1621" s="517" t="s">
        <v>6351</v>
      </c>
      <c r="D1621" s="518">
        <v>9545</v>
      </c>
      <c r="E1621" s="517" t="s">
        <v>4310</v>
      </c>
      <c r="F1621" s="518" t="s">
        <v>676</v>
      </c>
      <c r="G1621" s="519">
        <v>25968</v>
      </c>
      <c r="H1621" s="517" t="s">
        <v>6915</v>
      </c>
    </row>
    <row r="1622" spans="2:8" ht="15" x14ac:dyDescent="0.35">
      <c r="B1622" s="544" t="s">
        <v>6263</v>
      </c>
      <c r="C1622" s="517" t="s">
        <v>6351</v>
      </c>
      <c r="D1622" s="518">
        <v>9546</v>
      </c>
      <c r="E1622" s="517" t="s">
        <v>4311</v>
      </c>
      <c r="F1622" s="518" t="s">
        <v>676</v>
      </c>
      <c r="G1622" s="519">
        <v>22969</v>
      </c>
      <c r="H1622" s="517" t="s">
        <v>6915</v>
      </c>
    </row>
    <row r="1623" spans="2:8" ht="15" x14ac:dyDescent="0.35">
      <c r="B1623" s="544" t="s">
        <v>6263</v>
      </c>
      <c r="C1623" s="517" t="s">
        <v>6351</v>
      </c>
      <c r="D1623" s="518">
        <v>9547</v>
      </c>
      <c r="E1623" s="517" t="s">
        <v>4312</v>
      </c>
      <c r="F1623" s="518" t="s">
        <v>676</v>
      </c>
      <c r="G1623" s="519">
        <v>24666</v>
      </c>
      <c r="H1623" s="517" t="s">
        <v>6915</v>
      </c>
    </row>
    <row r="1624" spans="2:8" ht="15" x14ac:dyDescent="0.35">
      <c r="B1624" s="544" t="s">
        <v>6263</v>
      </c>
      <c r="C1624" s="517" t="s">
        <v>6351</v>
      </c>
      <c r="D1624" s="518">
        <v>9548</v>
      </c>
      <c r="E1624" s="517" t="s">
        <v>4313</v>
      </c>
      <c r="F1624" s="518" t="s">
        <v>676</v>
      </c>
      <c r="G1624" s="519">
        <v>17813</v>
      </c>
      <c r="H1624" s="517" t="s">
        <v>6915</v>
      </c>
    </row>
    <row r="1625" spans="2:8" ht="15" x14ac:dyDescent="0.35">
      <c r="B1625" s="544" t="s">
        <v>6263</v>
      </c>
      <c r="C1625" s="517" t="s">
        <v>6351</v>
      </c>
      <c r="D1625" s="518">
        <v>9549</v>
      </c>
      <c r="E1625" s="517" t="s">
        <v>4314</v>
      </c>
      <c r="F1625" s="518" t="s">
        <v>676</v>
      </c>
      <c r="G1625" s="519">
        <v>22336</v>
      </c>
      <c r="H1625" s="517" t="s">
        <v>6915</v>
      </c>
    </row>
    <row r="1626" spans="2:8" ht="15" x14ac:dyDescent="0.35">
      <c r="B1626" s="544" t="s">
        <v>6263</v>
      </c>
      <c r="C1626" s="517" t="s">
        <v>6351</v>
      </c>
      <c r="D1626" s="518">
        <v>9550</v>
      </c>
      <c r="E1626" s="517" t="s">
        <v>4315</v>
      </c>
      <c r="F1626" s="518" t="s">
        <v>676</v>
      </c>
      <c r="G1626" s="519">
        <v>15544</v>
      </c>
      <c r="H1626" s="517" t="s">
        <v>6915</v>
      </c>
    </row>
    <row r="1627" spans="2:8" ht="15" x14ac:dyDescent="0.35">
      <c r="B1627" s="544" t="s">
        <v>6263</v>
      </c>
      <c r="C1627" s="517" t="s">
        <v>6351</v>
      </c>
      <c r="D1627" s="518">
        <v>9551</v>
      </c>
      <c r="E1627" s="517" t="s">
        <v>4316</v>
      </c>
      <c r="F1627" s="518" t="s">
        <v>676</v>
      </c>
      <c r="G1627" s="519">
        <v>20585</v>
      </c>
      <c r="H1627" s="517" t="s">
        <v>6915</v>
      </c>
    </row>
    <row r="1628" spans="2:8" ht="15" x14ac:dyDescent="0.35">
      <c r="B1628" s="544" t="s">
        <v>6263</v>
      </c>
      <c r="C1628" s="517" t="s">
        <v>6351</v>
      </c>
      <c r="D1628" s="518">
        <v>9552</v>
      </c>
      <c r="E1628" s="517" t="s">
        <v>4317</v>
      </c>
      <c r="F1628" s="518" t="s">
        <v>676</v>
      </c>
      <c r="G1628" s="519">
        <v>18715</v>
      </c>
      <c r="H1628" s="517" t="s">
        <v>6915</v>
      </c>
    </row>
    <row r="1629" spans="2:8" ht="15" x14ac:dyDescent="0.35">
      <c r="B1629" s="544" t="s">
        <v>6263</v>
      </c>
      <c r="C1629" s="517" t="s">
        <v>6351</v>
      </c>
      <c r="D1629" s="518">
        <v>9553</v>
      </c>
      <c r="E1629" s="517" t="s">
        <v>4318</v>
      </c>
      <c r="F1629" s="518" t="s">
        <v>676</v>
      </c>
      <c r="G1629" s="519">
        <v>25831</v>
      </c>
      <c r="H1629" s="517" t="s">
        <v>6915</v>
      </c>
    </row>
    <row r="1630" spans="2:8" ht="15" x14ac:dyDescent="0.35">
      <c r="B1630" s="544" t="s">
        <v>6263</v>
      </c>
      <c r="C1630" s="517" t="s">
        <v>6351</v>
      </c>
      <c r="D1630" s="518">
        <v>9554</v>
      </c>
      <c r="E1630" s="517" t="s">
        <v>4319</v>
      </c>
      <c r="F1630" s="518" t="s">
        <v>676</v>
      </c>
      <c r="G1630" s="519">
        <v>18950</v>
      </c>
      <c r="H1630" s="517" t="s">
        <v>6915</v>
      </c>
    </row>
    <row r="1631" spans="2:8" ht="15" x14ac:dyDescent="0.35">
      <c r="B1631" s="544" t="s">
        <v>6263</v>
      </c>
      <c r="C1631" s="517" t="s">
        <v>6351</v>
      </c>
      <c r="D1631" s="518">
        <v>9555</v>
      </c>
      <c r="E1631" s="517" t="s">
        <v>4320</v>
      </c>
      <c r="F1631" s="518" t="s">
        <v>676</v>
      </c>
      <c r="G1631" s="519">
        <v>15758</v>
      </c>
      <c r="H1631" s="517" t="s">
        <v>6915</v>
      </c>
    </row>
    <row r="1632" spans="2:8" ht="15" x14ac:dyDescent="0.35">
      <c r="B1632" s="544" t="s">
        <v>6263</v>
      </c>
      <c r="C1632" s="517" t="s">
        <v>6351</v>
      </c>
      <c r="D1632" s="518">
        <v>9556</v>
      </c>
      <c r="E1632" s="517" t="s">
        <v>4321</v>
      </c>
      <c r="F1632" s="518" t="s">
        <v>676</v>
      </c>
      <c r="G1632" s="519">
        <v>13917</v>
      </c>
      <c r="H1632" s="517" t="s">
        <v>6915</v>
      </c>
    </row>
    <row r="1633" spans="2:8" ht="15" x14ac:dyDescent="0.35">
      <c r="B1633" s="544" t="s">
        <v>6263</v>
      </c>
      <c r="C1633" s="517" t="s">
        <v>6351</v>
      </c>
      <c r="D1633" s="518">
        <v>9557</v>
      </c>
      <c r="E1633" s="517" t="s">
        <v>4322</v>
      </c>
      <c r="F1633" s="518" t="s">
        <v>676</v>
      </c>
      <c r="G1633" s="519">
        <v>17813</v>
      </c>
      <c r="H1633" s="517" t="s">
        <v>6915</v>
      </c>
    </row>
    <row r="1634" spans="2:8" ht="15" x14ac:dyDescent="0.35">
      <c r="B1634" s="544" t="s">
        <v>6263</v>
      </c>
      <c r="C1634" s="517" t="s">
        <v>6351</v>
      </c>
      <c r="D1634" s="518">
        <v>9558</v>
      </c>
      <c r="E1634" s="517" t="s">
        <v>4323</v>
      </c>
      <c r="F1634" s="518" t="s">
        <v>676</v>
      </c>
      <c r="G1634" s="519">
        <v>15758</v>
      </c>
      <c r="H1634" s="517" t="s">
        <v>6915</v>
      </c>
    </row>
    <row r="1635" spans="2:8" ht="15" x14ac:dyDescent="0.35">
      <c r="B1635" s="544" t="s">
        <v>6263</v>
      </c>
      <c r="C1635" s="517" t="s">
        <v>6351</v>
      </c>
      <c r="D1635" s="518">
        <v>9559</v>
      </c>
      <c r="E1635" s="517" t="s">
        <v>4324</v>
      </c>
      <c r="F1635" s="518" t="s">
        <v>676</v>
      </c>
      <c r="G1635" s="519">
        <v>13917</v>
      </c>
      <c r="H1635" s="517" t="s">
        <v>6915</v>
      </c>
    </row>
    <row r="1636" spans="2:8" ht="15" x14ac:dyDescent="0.35">
      <c r="B1636" s="544" t="s">
        <v>6263</v>
      </c>
      <c r="C1636" s="517" t="s">
        <v>6351</v>
      </c>
      <c r="D1636" s="518">
        <v>9560</v>
      </c>
      <c r="E1636" s="517" t="s">
        <v>4325</v>
      </c>
      <c r="F1636" s="518" t="s">
        <v>676</v>
      </c>
      <c r="G1636" s="519">
        <v>31153</v>
      </c>
      <c r="H1636" s="517" t="s">
        <v>6915</v>
      </c>
    </row>
    <row r="1637" spans="2:8" ht="15" x14ac:dyDescent="0.35">
      <c r="B1637" s="544" t="s">
        <v>6263</v>
      </c>
      <c r="C1637" s="517" t="s">
        <v>6367</v>
      </c>
      <c r="D1637" s="518">
        <v>9570</v>
      </c>
      <c r="E1637" s="517" t="s">
        <v>4326</v>
      </c>
      <c r="F1637" s="518" t="s">
        <v>29</v>
      </c>
      <c r="G1637" s="519">
        <v>2301</v>
      </c>
      <c r="H1637" s="517" t="s">
        <v>6915</v>
      </c>
    </row>
    <row r="1638" spans="2:8" ht="15" x14ac:dyDescent="0.35">
      <c r="B1638" s="544" t="s">
        <v>6263</v>
      </c>
      <c r="C1638" s="517" t="s">
        <v>6367</v>
      </c>
      <c r="D1638" s="518">
        <v>9571</v>
      </c>
      <c r="E1638" s="517" t="s">
        <v>4327</v>
      </c>
      <c r="F1638" s="518" t="s">
        <v>29</v>
      </c>
      <c r="G1638" s="519">
        <v>12303</v>
      </c>
      <c r="H1638" s="517" t="s">
        <v>6915</v>
      </c>
    </row>
    <row r="1639" spans="2:8" ht="15" x14ac:dyDescent="0.35">
      <c r="B1639" s="544" t="s">
        <v>6263</v>
      </c>
      <c r="C1639" s="517" t="s">
        <v>6367</v>
      </c>
      <c r="D1639" s="518">
        <v>9572</v>
      </c>
      <c r="E1639" s="517" t="s">
        <v>4328</v>
      </c>
      <c r="F1639" s="518" t="s">
        <v>26</v>
      </c>
      <c r="G1639" s="519">
        <v>5177</v>
      </c>
      <c r="H1639" s="517" t="s">
        <v>6915</v>
      </c>
    </row>
    <row r="1640" spans="2:8" ht="15" x14ac:dyDescent="0.35">
      <c r="B1640" s="544" t="s">
        <v>6263</v>
      </c>
      <c r="C1640" s="517" t="s">
        <v>6367</v>
      </c>
      <c r="D1640" s="518">
        <v>9573</v>
      </c>
      <c r="E1640" s="517" t="s">
        <v>4329</v>
      </c>
      <c r="F1640" s="518" t="s">
        <v>26</v>
      </c>
      <c r="G1640" s="519">
        <v>4824</v>
      </c>
      <c r="H1640" s="517" t="s">
        <v>6915</v>
      </c>
    </row>
    <row r="1641" spans="2:8" ht="15" x14ac:dyDescent="0.35">
      <c r="B1641" s="544" t="s">
        <v>6263</v>
      </c>
      <c r="C1641" s="517" t="s">
        <v>6367</v>
      </c>
      <c r="D1641" s="518">
        <v>9574</v>
      </c>
      <c r="E1641" s="517" t="s">
        <v>4330</v>
      </c>
      <c r="F1641" s="518" t="s">
        <v>29</v>
      </c>
      <c r="G1641" s="519">
        <v>1507</v>
      </c>
      <c r="H1641" s="517" t="s">
        <v>6915</v>
      </c>
    </row>
    <row r="1642" spans="2:8" ht="15" x14ac:dyDescent="0.35">
      <c r="B1642" s="544" t="s">
        <v>6263</v>
      </c>
      <c r="C1642" s="517" t="s">
        <v>6351</v>
      </c>
      <c r="D1642" s="518">
        <v>9575</v>
      </c>
      <c r="E1642" s="517" t="s">
        <v>4331</v>
      </c>
      <c r="F1642" s="518" t="s">
        <v>1628</v>
      </c>
      <c r="G1642" s="519">
        <v>18832062</v>
      </c>
      <c r="H1642" s="517" t="s">
        <v>5686</v>
      </c>
    </row>
    <row r="1643" spans="2:8" ht="15" x14ac:dyDescent="0.35">
      <c r="B1643" s="544" t="s">
        <v>6263</v>
      </c>
      <c r="C1643" s="517" t="s">
        <v>6398</v>
      </c>
      <c r="D1643" s="518">
        <v>9576</v>
      </c>
      <c r="E1643" s="517" t="s">
        <v>4332</v>
      </c>
      <c r="F1643" s="518" t="s">
        <v>3158</v>
      </c>
      <c r="G1643" s="519">
        <v>55270</v>
      </c>
      <c r="H1643" s="517" t="s">
        <v>5686</v>
      </c>
    </row>
    <row r="1644" spans="2:8" ht="15" x14ac:dyDescent="0.35">
      <c r="B1644" s="544" t="s">
        <v>6263</v>
      </c>
      <c r="C1644" s="517" t="s">
        <v>6399</v>
      </c>
      <c r="D1644" s="518">
        <v>9577</v>
      </c>
      <c r="E1644" s="517" t="s">
        <v>4333</v>
      </c>
      <c r="F1644" s="518" t="s">
        <v>3158</v>
      </c>
      <c r="G1644" s="519">
        <v>25982</v>
      </c>
      <c r="H1644" s="517" t="s">
        <v>5686</v>
      </c>
    </row>
    <row r="1645" spans="2:8" ht="15" x14ac:dyDescent="0.35">
      <c r="B1645" s="544" t="s">
        <v>6263</v>
      </c>
      <c r="C1645" s="517" t="s">
        <v>6398</v>
      </c>
      <c r="D1645" s="518">
        <v>9578</v>
      </c>
      <c r="E1645" s="517" t="s">
        <v>4334</v>
      </c>
      <c r="F1645" s="518" t="s">
        <v>4335</v>
      </c>
      <c r="G1645" s="519">
        <v>1260967</v>
      </c>
      <c r="H1645" s="517" t="s">
        <v>5686</v>
      </c>
    </row>
    <row r="1646" spans="2:8" ht="15" x14ac:dyDescent="0.35">
      <c r="B1646" s="544" t="s">
        <v>6263</v>
      </c>
      <c r="C1646" s="517" t="s">
        <v>6363</v>
      </c>
      <c r="D1646" s="518">
        <v>9635</v>
      </c>
      <c r="E1646" s="517" t="s">
        <v>4336</v>
      </c>
      <c r="F1646" s="518" t="s">
        <v>29</v>
      </c>
      <c r="G1646" s="519">
        <v>219579</v>
      </c>
      <c r="H1646" s="517" t="s">
        <v>6915</v>
      </c>
    </row>
    <row r="1647" spans="2:8" ht="15" x14ac:dyDescent="0.35">
      <c r="B1647" s="544" t="s">
        <v>6263</v>
      </c>
      <c r="C1647" s="517" t="s">
        <v>6363</v>
      </c>
      <c r="D1647" s="518">
        <v>9638</v>
      </c>
      <c r="E1647" s="517" t="s">
        <v>4337</v>
      </c>
      <c r="F1647" s="518" t="s">
        <v>367</v>
      </c>
      <c r="G1647" s="519">
        <v>159663</v>
      </c>
      <c r="H1647" s="517" t="s">
        <v>6915</v>
      </c>
    </row>
    <row r="1648" spans="2:8" ht="15" x14ac:dyDescent="0.35">
      <c r="B1648" s="544" t="s">
        <v>6263</v>
      </c>
      <c r="C1648" s="517" t="s">
        <v>6363</v>
      </c>
      <c r="D1648" s="518">
        <v>9639</v>
      </c>
      <c r="E1648" s="517" t="s">
        <v>5613</v>
      </c>
      <c r="F1648" s="518" t="s">
        <v>367</v>
      </c>
      <c r="G1648" s="519">
        <v>5950</v>
      </c>
      <c r="H1648" s="517" t="s">
        <v>6915</v>
      </c>
    </row>
    <row r="1649" spans="2:8" ht="15" x14ac:dyDescent="0.35">
      <c r="B1649" s="544" t="s">
        <v>6263</v>
      </c>
      <c r="C1649" s="517" t="s">
        <v>6363</v>
      </c>
      <c r="D1649" s="518">
        <v>9640</v>
      </c>
      <c r="E1649" s="517" t="s">
        <v>4338</v>
      </c>
      <c r="F1649" s="518" t="s">
        <v>367</v>
      </c>
      <c r="G1649" s="519">
        <v>18626</v>
      </c>
      <c r="H1649" s="517" t="s">
        <v>6915</v>
      </c>
    </row>
    <row r="1650" spans="2:8" ht="15" x14ac:dyDescent="0.35">
      <c r="B1650" s="544" t="s">
        <v>6263</v>
      </c>
      <c r="C1650" s="517" t="s">
        <v>6363</v>
      </c>
      <c r="D1650" s="518">
        <v>9642</v>
      </c>
      <c r="E1650" s="517" t="s">
        <v>4339</v>
      </c>
      <c r="F1650" s="518" t="s">
        <v>367</v>
      </c>
      <c r="G1650" s="519">
        <v>161491</v>
      </c>
      <c r="H1650" s="517" t="s">
        <v>6915</v>
      </c>
    </row>
    <row r="1651" spans="2:8" ht="15" x14ac:dyDescent="0.35">
      <c r="B1651" s="544" t="s">
        <v>6263</v>
      </c>
      <c r="C1651" s="517" t="s">
        <v>6363</v>
      </c>
      <c r="D1651" s="518">
        <v>9643</v>
      </c>
      <c r="E1651" s="517" t="s">
        <v>4340</v>
      </c>
      <c r="F1651" s="518" t="s">
        <v>26</v>
      </c>
      <c r="G1651" s="519">
        <v>820</v>
      </c>
      <c r="H1651" s="517" t="s">
        <v>6915</v>
      </c>
    </row>
    <row r="1652" spans="2:8" ht="15" x14ac:dyDescent="0.35">
      <c r="B1652" s="544" t="s">
        <v>6263</v>
      </c>
      <c r="C1652" s="517" t="s">
        <v>6363</v>
      </c>
      <c r="D1652" s="518">
        <v>9644</v>
      </c>
      <c r="E1652" s="517" t="s">
        <v>4341</v>
      </c>
      <c r="F1652" s="518" t="s">
        <v>26</v>
      </c>
      <c r="G1652" s="519">
        <v>25260</v>
      </c>
      <c r="H1652" s="517" t="s">
        <v>6915</v>
      </c>
    </row>
    <row r="1653" spans="2:8" ht="15" x14ac:dyDescent="0.35">
      <c r="B1653" s="544" t="s">
        <v>6263</v>
      </c>
      <c r="C1653" s="517" t="s">
        <v>6363</v>
      </c>
      <c r="D1653" s="518">
        <v>9645</v>
      </c>
      <c r="E1653" s="517" t="s">
        <v>4342</v>
      </c>
      <c r="F1653" s="518" t="s">
        <v>29</v>
      </c>
      <c r="G1653" s="519">
        <v>81223</v>
      </c>
      <c r="H1653" s="517" t="s">
        <v>6915</v>
      </c>
    </row>
    <row r="1654" spans="2:8" ht="15" x14ac:dyDescent="0.35">
      <c r="B1654" s="544" t="s">
        <v>6263</v>
      </c>
      <c r="C1654" s="517" t="s">
        <v>6371</v>
      </c>
      <c r="D1654" s="518">
        <v>9646</v>
      </c>
      <c r="E1654" s="517" t="s">
        <v>4343</v>
      </c>
      <c r="F1654" s="518" t="s">
        <v>29</v>
      </c>
      <c r="G1654" s="519">
        <v>285600</v>
      </c>
      <c r="H1654" s="517" t="s">
        <v>6915</v>
      </c>
    </row>
    <row r="1655" spans="2:8" ht="15" x14ac:dyDescent="0.35">
      <c r="B1655" s="544" t="s">
        <v>6263</v>
      </c>
      <c r="C1655" s="517" t="s">
        <v>6373</v>
      </c>
      <c r="D1655" s="518">
        <v>9647</v>
      </c>
      <c r="E1655" s="517" t="s">
        <v>4344</v>
      </c>
      <c r="F1655" s="518" t="s">
        <v>29</v>
      </c>
      <c r="G1655" s="519">
        <v>930580</v>
      </c>
      <c r="H1655" s="517" t="s">
        <v>6915</v>
      </c>
    </row>
    <row r="1656" spans="2:8" ht="15" x14ac:dyDescent="0.35">
      <c r="B1656" s="544" t="s">
        <v>6263</v>
      </c>
      <c r="C1656" s="517" t="s">
        <v>6371</v>
      </c>
      <c r="D1656" s="518">
        <v>9648</v>
      </c>
      <c r="E1656" s="517" t="s">
        <v>4345</v>
      </c>
      <c r="F1656" s="518" t="s">
        <v>29</v>
      </c>
      <c r="G1656" s="519">
        <v>29750</v>
      </c>
      <c r="H1656" s="517" t="s">
        <v>6915</v>
      </c>
    </row>
    <row r="1657" spans="2:8" ht="15" x14ac:dyDescent="0.35">
      <c r="B1657" s="544" t="s">
        <v>6263</v>
      </c>
      <c r="C1657" s="517" t="s">
        <v>6339</v>
      </c>
      <c r="D1657" s="518">
        <v>9649</v>
      </c>
      <c r="E1657" s="517" t="s">
        <v>4346</v>
      </c>
      <c r="F1657" s="518" t="s">
        <v>3172</v>
      </c>
      <c r="G1657" s="519">
        <v>442126</v>
      </c>
      <c r="H1657" s="517" t="s">
        <v>6425</v>
      </c>
    </row>
    <row r="1658" spans="2:8" ht="15" x14ac:dyDescent="0.35">
      <c r="B1658" s="544" t="s">
        <v>6263</v>
      </c>
      <c r="C1658" s="517" t="s">
        <v>6275</v>
      </c>
      <c r="D1658" s="518">
        <v>9650</v>
      </c>
      <c r="E1658" s="517" t="s">
        <v>4347</v>
      </c>
      <c r="F1658" s="518" t="s">
        <v>367</v>
      </c>
      <c r="G1658" s="519">
        <v>6545</v>
      </c>
      <c r="H1658" s="517" t="s">
        <v>6425</v>
      </c>
    </row>
    <row r="1659" spans="2:8" ht="15" x14ac:dyDescent="0.35">
      <c r="B1659" s="544" t="s">
        <v>6263</v>
      </c>
      <c r="C1659" s="517" t="s">
        <v>6275</v>
      </c>
      <c r="D1659" s="518">
        <v>9651</v>
      </c>
      <c r="E1659" s="517" t="s">
        <v>5899</v>
      </c>
      <c r="F1659" s="518" t="s">
        <v>367</v>
      </c>
      <c r="G1659" s="519">
        <v>21800</v>
      </c>
      <c r="H1659" s="517" t="s">
        <v>6425</v>
      </c>
    </row>
    <row r="1660" spans="2:8" ht="15" x14ac:dyDescent="0.35">
      <c r="B1660" s="544" t="s">
        <v>6263</v>
      </c>
      <c r="C1660" s="517" t="s">
        <v>6275</v>
      </c>
      <c r="D1660" s="518">
        <v>9652</v>
      </c>
      <c r="E1660" s="517" t="s">
        <v>5900</v>
      </c>
      <c r="F1660" s="518" t="s">
        <v>367</v>
      </c>
      <c r="G1660" s="519">
        <v>20111</v>
      </c>
      <c r="H1660" s="517" t="s">
        <v>6425</v>
      </c>
    </row>
    <row r="1661" spans="2:8" ht="15" x14ac:dyDescent="0.35">
      <c r="B1661" s="544" t="s">
        <v>6263</v>
      </c>
      <c r="C1661" s="517" t="s">
        <v>6275</v>
      </c>
      <c r="D1661" s="518">
        <v>9653</v>
      </c>
      <c r="E1661" s="517" t="s">
        <v>5901</v>
      </c>
      <c r="F1661" s="518" t="s">
        <v>367</v>
      </c>
      <c r="G1661" s="519">
        <v>21150</v>
      </c>
      <c r="H1661" s="517" t="s">
        <v>6425</v>
      </c>
    </row>
    <row r="1662" spans="2:8" ht="15" x14ac:dyDescent="0.35">
      <c r="B1662" s="544" t="s">
        <v>6263</v>
      </c>
      <c r="C1662" s="517" t="s">
        <v>6275</v>
      </c>
      <c r="D1662" s="518">
        <v>9654</v>
      </c>
      <c r="E1662" s="517" t="s">
        <v>5902</v>
      </c>
      <c r="F1662" s="518" t="s">
        <v>367</v>
      </c>
      <c r="G1662" s="519">
        <v>20944</v>
      </c>
      <c r="H1662" s="517" t="s">
        <v>6425</v>
      </c>
    </row>
    <row r="1663" spans="2:8" ht="15" x14ac:dyDescent="0.35">
      <c r="B1663" s="544" t="s">
        <v>6263</v>
      </c>
      <c r="C1663" s="517" t="s">
        <v>6275</v>
      </c>
      <c r="D1663" s="518">
        <v>9655</v>
      </c>
      <c r="E1663" s="517" t="s">
        <v>5903</v>
      </c>
      <c r="F1663" s="518" t="s">
        <v>367</v>
      </c>
      <c r="G1663" s="519">
        <v>20944</v>
      </c>
      <c r="H1663" s="517" t="s">
        <v>6425</v>
      </c>
    </row>
    <row r="1664" spans="2:8" ht="15" x14ac:dyDescent="0.35">
      <c r="B1664" s="544" t="s">
        <v>6263</v>
      </c>
      <c r="C1664" s="517" t="s">
        <v>6258</v>
      </c>
      <c r="D1664" s="518">
        <v>9656</v>
      </c>
      <c r="E1664" s="517" t="s">
        <v>4348</v>
      </c>
      <c r="F1664" s="518" t="s">
        <v>21</v>
      </c>
      <c r="G1664" s="519">
        <v>14827</v>
      </c>
      <c r="H1664" s="517" t="s">
        <v>6915</v>
      </c>
    </row>
    <row r="1665" spans="2:8" ht="15" x14ac:dyDescent="0.35">
      <c r="B1665" s="544" t="s">
        <v>6263</v>
      </c>
      <c r="C1665" s="517" t="s">
        <v>6352</v>
      </c>
      <c r="D1665" s="518">
        <v>9663</v>
      </c>
      <c r="E1665" s="517" t="s">
        <v>4349</v>
      </c>
      <c r="F1665" s="518" t="s">
        <v>21</v>
      </c>
      <c r="G1665" s="519">
        <v>437215</v>
      </c>
      <c r="H1665" s="517" t="s">
        <v>6915</v>
      </c>
    </row>
    <row r="1666" spans="2:8" ht="15" x14ac:dyDescent="0.35">
      <c r="B1666" s="544" t="s">
        <v>6263</v>
      </c>
      <c r="C1666" s="517" t="s">
        <v>6362</v>
      </c>
      <c r="D1666" s="518">
        <v>9671</v>
      </c>
      <c r="E1666" s="517" t="s">
        <v>4350</v>
      </c>
      <c r="F1666" s="518" t="s">
        <v>23</v>
      </c>
      <c r="G1666" s="519">
        <v>998047</v>
      </c>
      <c r="H1666" s="517" t="s">
        <v>6425</v>
      </c>
    </row>
    <row r="1667" spans="2:8" ht="15" x14ac:dyDescent="0.35">
      <c r="B1667" s="544" t="s">
        <v>6263</v>
      </c>
      <c r="C1667" s="517" t="s">
        <v>6362</v>
      </c>
      <c r="D1667" s="518">
        <v>9672</v>
      </c>
      <c r="E1667" s="517" t="s">
        <v>4351</v>
      </c>
      <c r="F1667" s="518" t="s">
        <v>23</v>
      </c>
      <c r="G1667" s="519">
        <v>993250</v>
      </c>
      <c r="H1667" s="517" t="s">
        <v>6425</v>
      </c>
    </row>
    <row r="1668" spans="2:8" ht="15" x14ac:dyDescent="0.35">
      <c r="B1668" s="544" t="s">
        <v>6263</v>
      </c>
      <c r="C1668" s="517" t="s">
        <v>6362</v>
      </c>
      <c r="D1668" s="518">
        <v>9673</v>
      </c>
      <c r="E1668" s="517" t="s">
        <v>4352</v>
      </c>
      <c r="F1668" s="518" t="s">
        <v>23</v>
      </c>
      <c r="G1668" s="519">
        <v>857365</v>
      </c>
      <c r="H1668" s="517" t="s">
        <v>6425</v>
      </c>
    </row>
    <row r="1669" spans="2:8" ht="15" x14ac:dyDescent="0.35">
      <c r="B1669" s="544" t="s">
        <v>6263</v>
      </c>
      <c r="C1669" s="517" t="s">
        <v>6354</v>
      </c>
      <c r="D1669" s="518">
        <v>9682</v>
      </c>
      <c r="E1669" s="517" t="s">
        <v>4353</v>
      </c>
      <c r="F1669" s="518" t="s">
        <v>3172</v>
      </c>
      <c r="G1669" s="519">
        <v>121231</v>
      </c>
      <c r="H1669" s="517" t="s">
        <v>6915</v>
      </c>
    </row>
    <row r="1670" spans="2:8" ht="15" x14ac:dyDescent="0.35">
      <c r="B1670" s="544" t="s">
        <v>6263</v>
      </c>
      <c r="C1670" s="517" t="s">
        <v>6348</v>
      </c>
      <c r="D1670" s="518">
        <v>9685</v>
      </c>
      <c r="E1670" s="517" t="s">
        <v>4354</v>
      </c>
      <c r="F1670" s="518" t="s">
        <v>26</v>
      </c>
      <c r="G1670" s="519">
        <v>74731</v>
      </c>
      <c r="H1670" s="517" t="s">
        <v>6915</v>
      </c>
    </row>
    <row r="1671" spans="2:8" ht="15" x14ac:dyDescent="0.35">
      <c r="B1671" s="544" t="s">
        <v>6263</v>
      </c>
      <c r="C1671" s="517" t="s">
        <v>6348</v>
      </c>
      <c r="D1671" s="518">
        <v>9686</v>
      </c>
      <c r="E1671" s="517" t="s">
        <v>4355</v>
      </c>
      <c r="F1671" s="518" t="s">
        <v>26</v>
      </c>
      <c r="G1671" s="519">
        <v>56923</v>
      </c>
      <c r="H1671" s="517" t="s">
        <v>6915</v>
      </c>
    </row>
    <row r="1672" spans="2:8" ht="15" x14ac:dyDescent="0.35">
      <c r="B1672" s="544" t="s">
        <v>6263</v>
      </c>
      <c r="C1672" s="517" t="s">
        <v>6348</v>
      </c>
      <c r="D1672" s="518">
        <v>9687</v>
      </c>
      <c r="E1672" s="517" t="s">
        <v>5904</v>
      </c>
      <c r="F1672" s="518" t="s">
        <v>29</v>
      </c>
      <c r="G1672" s="519">
        <v>6151</v>
      </c>
      <c r="H1672" s="517" t="s">
        <v>6915</v>
      </c>
    </row>
    <row r="1673" spans="2:8" ht="15" x14ac:dyDescent="0.35">
      <c r="B1673" s="544" t="s">
        <v>6263</v>
      </c>
      <c r="C1673" s="517" t="s">
        <v>6348</v>
      </c>
      <c r="D1673" s="518">
        <v>9688</v>
      </c>
      <c r="E1673" s="517" t="s">
        <v>4356</v>
      </c>
      <c r="F1673" s="518" t="s">
        <v>26</v>
      </c>
      <c r="G1673" s="519">
        <v>20270</v>
      </c>
      <c r="H1673" s="517" t="s">
        <v>6915</v>
      </c>
    </row>
    <row r="1674" spans="2:8" ht="15" x14ac:dyDescent="0.35">
      <c r="B1674" s="544" t="s">
        <v>6263</v>
      </c>
      <c r="C1674" s="517" t="s">
        <v>6348</v>
      </c>
      <c r="D1674" s="518">
        <v>9689</v>
      </c>
      <c r="E1674" s="517" t="s">
        <v>5905</v>
      </c>
      <c r="F1674" s="518" t="s">
        <v>29</v>
      </c>
      <c r="G1674" s="519">
        <v>2788</v>
      </c>
      <c r="H1674" s="517" t="s">
        <v>6915</v>
      </c>
    </row>
    <row r="1675" spans="2:8" ht="15" x14ac:dyDescent="0.35">
      <c r="B1675" s="544" t="s">
        <v>6263</v>
      </c>
      <c r="C1675" s="517" t="s">
        <v>6348</v>
      </c>
      <c r="D1675" s="518">
        <v>9690</v>
      </c>
      <c r="E1675" s="517" t="s">
        <v>4357</v>
      </c>
      <c r="F1675" s="518" t="s">
        <v>26</v>
      </c>
      <c r="G1675" s="519">
        <v>23717</v>
      </c>
      <c r="H1675" s="517" t="s">
        <v>6915</v>
      </c>
    </row>
    <row r="1676" spans="2:8" ht="15" x14ac:dyDescent="0.35">
      <c r="B1676" s="544" t="s">
        <v>6263</v>
      </c>
      <c r="C1676" s="517" t="s">
        <v>6275</v>
      </c>
      <c r="D1676" s="518">
        <v>9695</v>
      </c>
      <c r="E1676" s="517" t="s">
        <v>1912</v>
      </c>
      <c r="F1676" s="518" t="s">
        <v>367</v>
      </c>
      <c r="G1676" s="519">
        <v>714</v>
      </c>
      <c r="H1676" s="517" t="s">
        <v>6425</v>
      </c>
    </row>
    <row r="1677" spans="2:8" ht="15" x14ac:dyDescent="0.35">
      <c r="B1677" s="544" t="s">
        <v>6263</v>
      </c>
      <c r="C1677" s="517" t="s">
        <v>6275</v>
      </c>
      <c r="D1677" s="518">
        <v>9696</v>
      </c>
      <c r="E1677" s="517" t="s">
        <v>1913</v>
      </c>
      <c r="F1677" s="518" t="s">
        <v>367</v>
      </c>
      <c r="G1677" s="519">
        <v>781</v>
      </c>
      <c r="H1677" s="517" t="s">
        <v>6425</v>
      </c>
    </row>
    <row r="1678" spans="2:8" ht="15" x14ac:dyDescent="0.35">
      <c r="B1678" s="544" t="s">
        <v>6263</v>
      </c>
      <c r="C1678" s="517" t="s">
        <v>6275</v>
      </c>
      <c r="D1678" s="518">
        <v>9697</v>
      </c>
      <c r="E1678" s="517" t="s">
        <v>1914</v>
      </c>
      <c r="F1678" s="518" t="s">
        <v>367</v>
      </c>
      <c r="G1678" s="519">
        <v>901</v>
      </c>
      <c r="H1678" s="517" t="s">
        <v>6425</v>
      </c>
    </row>
    <row r="1679" spans="2:8" ht="15" x14ac:dyDescent="0.35">
      <c r="B1679" s="544" t="s">
        <v>6263</v>
      </c>
      <c r="C1679" s="517" t="s">
        <v>6275</v>
      </c>
      <c r="D1679" s="518">
        <v>9698</v>
      </c>
      <c r="E1679" s="517" t="s">
        <v>4358</v>
      </c>
      <c r="F1679" s="518" t="s">
        <v>367</v>
      </c>
      <c r="G1679" s="519">
        <v>1309</v>
      </c>
      <c r="H1679" s="517" t="s">
        <v>6425</v>
      </c>
    </row>
    <row r="1680" spans="2:8" ht="15" x14ac:dyDescent="0.35">
      <c r="B1680" s="544" t="s">
        <v>6263</v>
      </c>
      <c r="C1680" s="517" t="s">
        <v>6275</v>
      </c>
      <c r="D1680" s="518">
        <v>9699</v>
      </c>
      <c r="E1680" s="517" t="s">
        <v>4359</v>
      </c>
      <c r="F1680" s="518" t="s">
        <v>367</v>
      </c>
      <c r="G1680" s="519">
        <v>1488</v>
      </c>
      <c r="H1680" s="517" t="s">
        <v>6425</v>
      </c>
    </row>
    <row r="1681" spans="2:8" ht="15" x14ac:dyDescent="0.35">
      <c r="B1681" s="544" t="s">
        <v>6263</v>
      </c>
      <c r="C1681" s="517" t="s">
        <v>6275</v>
      </c>
      <c r="D1681" s="518">
        <v>9700</v>
      </c>
      <c r="E1681" s="517" t="s">
        <v>4360</v>
      </c>
      <c r="F1681" s="518" t="s">
        <v>367</v>
      </c>
      <c r="G1681" s="519">
        <v>1726</v>
      </c>
      <c r="H1681" s="517" t="s">
        <v>6425</v>
      </c>
    </row>
    <row r="1682" spans="2:8" ht="15" x14ac:dyDescent="0.35">
      <c r="B1682" s="544" t="s">
        <v>6263</v>
      </c>
      <c r="C1682" s="517" t="s">
        <v>6275</v>
      </c>
      <c r="D1682" s="518">
        <v>9701</v>
      </c>
      <c r="E1682" s="517" t="s">
        <v>4361</v>
      </c>
      <c r="F1682" s="518" t="s">
        <v>367</v>
      </c>
      <c r="G1682" s="519">
        <v>1964</v>
      </c>
      <c r="H1682" s="517" t="s">
        <v>6425</v>
      </c>
    </row>
    <row r="1683" spans="2:8" ht="15" x14ac:dyDescent="0.35">
      <c r="B1683" s="544" t="s">
        <v>6263</v>
      </c>
      <c r="C1683" s="517" t="s">
        <v>6360</v>
      </c>
      <c r="D1683" s="518">
        <v>9704</v>
      </c>
      <c r="E1683" s="517" t="s">
        <v>5906</v>
      </c>
      <c r="F1683" s="518" t="s">
        <v>1147</v>
      </c>
      <c r="G1683" s="519">
        <v>250000</v>
      </c>
      <c r="H1683" s="517" t="s">
        <v>6425</v>
      </c>
    </row>
    <row r="1684" spans="2:8" ht="15" x14ac:dyDescent="0.35">
      <c r="B1684" s="544" t="s">
        <v>6263</v>
      </c>
      <c r="C1684" s="517" t="s">
        <v>6360</v>
      </c>
      <c r="D1684" s="518">
        <v>9705</v>
      </c>
      <c r="E1684" s="517" t="s">
        <v>5907</v>
      </c>
      <c r="F1684" s="518" t="s">
        <v>1147</v>
      </c>
      <c r="G1684" s="519">
        <v>600000</v>
      </c>
      <c r="H1684" s="517" t="s">
        <v>6425</v>
      </c>
    </row>
    <row r="1685" spans="2:8" ht="15" x14ac:dyDescent="0.35">
      <c r="B1685" s="544" t="s">
        <v>6263</v>
      </c>
      <c r="C1685" s="517" t="s">
        <v>6360</v>
      </c>
      <c r="D1685" s="518">
        <v>9706</v>
      </c>
      <c r="E1685" s="517" t="s">
        <v>5908</v>
      </c>
      <c r="F1685" s="518" t="s">
        <v>1147</v>
      </c>
      <c r="G1685" s="519">
        <v>1000000</v>
      </c>
      <c r="H1685" s="517" t="s">
        <v>6425</v>
      </c>
    </row>
    <row r="1686" spans="2:8" ht="15" x14ac:dyDescent="0.35">
      <c r="B1686" s="544" t="s">
        <v>6263</v>
      </c>
      <c r="C1686" s="517" t="s">
        <v>6360</v>
      </c>
      <c r="D1686" s="518">
        <v>9707</v>
      </c>
      <c r="E1686" s="517" t="s">
        <v>5909</v>
      </c>
      <c r="F1686" s="518" t="s">
        <v>1147</v>
      </c>
      <c r="G1686" s="519">
        <v>1071000</v>
      </c>
      <c r="H1686" s="517" t="s">
        <v>6425</v>
      </c>
    </row>
    <row r="1687" spans="2:8" ht="15" x14ac:dyDescent="0.35">
      <c r="B1687" s="544" t="s">
        <v>6263</v>
      </c>
      <c r="C1687" s="517" t="s">
        <v>6360</v>
      </c>
      <c r="D1687" s="518">
        <v>9708</v>
      </c>
      <c r="E1687" s="517" t="s">
        <v>5910</v>
      </c>
      <c r="F1687" s="518" t="s">
        <v>1147</v>
      </c>
      <c r="G1687" s="519">
        <v>1428000</v>
      </c>
      <c r="H1687" s="517" t="s">
        <v>6425</v>
      </c>
    </row>
    <row r="1688" spans="2:8" ht="15" x14ac:dyDescent="0.35">
      <c r="B1688" s="544" t="s">
        <v>6263</v>
      </c>
      <c r="C1688" s="517" t="s">
        <v>6351</v>
      </c>
      <c r="D1688" s="518">
        <v>9709</v>
      </c>
      <c r="E1688" s="517" t="s">
        <v>4362</v>
      </c>
      <c r="F1688" s="518" t="s">
        <v>1628</v>
      </c>
      <c r="G1688" s="519">
        <v>5043600</v>
      </c>
      <c r="H1688" s="517" t="s">
        <v>5686</v>
      </c>
    </row>
    <row r="1689" spans="2:8" ht="15" x14ac:dyDescent="0.35">
      <c r="B1689" s="544" t="s">
        <v>6263</v>
      </c>
      <c r="C1689" s="517" t="s">
        <v>6351</v>
      </c>
      <c r="D1689" s="518">
        <v>9710</v>
      </c>
      <c r="E1689" s="517" t="s">
        <v>4363</v>
      </c>
      <c r="F1689" s="518" t="s">
        <v>1628</v>
      </c>
      <c r="G1689" s="519">
        <v>4468500</v>
      </c>
      <c r="H1689" s="517" t="s">
        <v>5686</v>
      </c>
    </row>
    <row r="1690" spans="2:8" ht="15" x14ac:dyDescent="0.35">
      <c r="B1690" s="544" t="s">
        <v>6263</v>
      </c>
      <c r="C1690" s="517" t="s">
        <v>6351</v>
      </c>
      <c r="D1690" s="518">
        <v>9711</v>
      </c>
      <c r="E1690" s="517" t="s">
        <v>4364</v>
      </c>
      <c r="F1690" s="518" t="s">
        <v>1628</v>
      </c>
      <c r="G1690" s="519">
        <v>3303450</v>
      </c>
      <c r="H1690" s="517" t="s">
        <v>5686</v>
      </c>
    </row>
    <row r="1691" spans="2:8" ht="15" x14ac:dyDescent="0.35">
      <c r="B1691" s="544" t="s">
        <v>6263</v>
      </c>
      <c r="C1691" s="517" t="s">
        <v>6351</v>
      </c>
      <c r="D1691" s="518">
        <v>9712</v>
      </c>
      <c r="E1691" s="517" t="s">
        <v>4365</v>
      </c>
      <c r="F1691" s="518" t="s">
        <v>1628</v>
      </c>
      <c r="G1691" s="519">
        <v>3126600</v>
      </c>
      <c r="H1691" s="517" t="s">
        <v>5686</v>
      </c>
    </row>
    <row r="1692" spans="2:8" ht="15" x14ac:dyDescent="0.35">
      <c r="B1692" s="544" t="s">
        <v>6263</v>
      </c>
      <c r="C1692" s="517" t="s">
        <v>6351</v>
      </c>
      <c r="D1692" s="518">
        <v>9713</v>
      </c>
      <c r="E1692" s="517" t="s">
        <v>4366</v>
      </c>
      <c r="F1692" s="518" t="s">
        <v>1628</v>
      </c>
      <c r="G1692" s="519">
        <v>2724300</v>
      </c>
      <c r="H1692" s="517" t="s">
        <v>5686</v>
      </c>
    </row>
    <row r="1693" spans="2:8" ht="15" x14ac:dyDescent="0.35">
      <c r="B1693" s="544" t="s">
        <v>6263</v>
      </c>
      <c r="C1693" s="517" t="s">
        <v>6351</v>
      </c>
      <c r="D1693" s="518">
        <v>9714</v>
      </c>
      <c r="E1693" s="517" t="s">
        <v>4367</v>
      </c>
      <c r="F1693" s="518" t="s">
        <v>1628</v>
      </c>
      <c r="G1693" s="519">
        <v>2363722</v>
      </c>
      <c r="H1693" s="517" t="s">
        <v>5686</v>
      </c>
    </row>
    <row r="1694" spans="2:8" ht="15" x14ac:dyDescent="0.35">
      <c r="B1694" s="544" t="s">
        <v>6263</v>
      </c>
      <c r="C1694" s="517" t="s">
        <v>6351</v>
      </c>
      <c r="D1694" s="518">
        <v>9715</v>
      </c>
      <c r="E1694" s="517" t="s">
        <v>4368</v>
      </c>
      <c r="F1694" s="518" t="s">
        <v>1628</v>
      </c>
      <c r="G1694" s="519">
        <v>6058800</v>
      </c>
      <c r="H1694" s="517" t="s">
        <v>5686</v>
      </c>
    </row>
    <row r="1695" spans="2:8" ht="15" x14ac:dyDescent="0.35">
      <c r="B1695" s="544" t="s">
        <v>6263</v>
      </c>
      <c r="C1695" s="517" t="s">
        <v>6400</v>
      </c>
      <c r="D1695" s="518">
        <v>9720</v>
      </c>
      <c r="E1695" s="517" t="s">
        <v>5911</v>
      </c>
      <c r="F1695" s="518" t="s">
        <v>29</v>
      </c>
      <c r="G1695" s="519">
        <v>19278</v>
      </c>
      <c r="H1695" s="517" t="s">
        <v>6915</v>
      </c>
    </row>
    <row r="1696" spans="2:8" ht="15" x14ac:dyDescent="0.35">
      <c r="B1696" s="544" t="s">
        <v>6263</v>
      </c>
      <c r="C1696" s="517" t="s">
        <v>6337</v>
      </c>
      <c r="D1696" s="518">
        <v>9723</v>
      </c>
      <c r="E1696" s="517" t="s">
        <v>4369</v>
      </c>
      <c r="F1696" s="518" t="s">
        <v>3189</v>
      </c>
      <c r="G1696" s="519">
        <v>31999</v>
      </c>
      <c r="H1696" s="517" t="s">
        <v>6425</v>
      </c>
    </row>
    <row r="1697" spans="2:8" ht="15" x14ac:dyDescent="0.35">
      <c r="B1697" s="544" t="s">
        <v>6263</v>
      </c>
      <c r="C1697" s="517" t="s">
        <v>6381</v>
      </c>
      <c r="D1697" s="518">
        <v>9724</v>
      </c>
      <c r="E1697" s="517" t="s">
        <v>4370</v>
      </c>
      <c r="F1697" s="518" t="s">
        <v>1106</v>
      </c>
      <c r="G1697" s="519">
        <v>124818</v>
      </c>
      <c r="H1697" s="517" t="s">
        <v>6915</v>
      </c>
    </row>
    <row r="1698" spans="2:8" ht="15" x14ac:dyDescent="0.35">
      <c r="B1698" s="544" t="s">
        <v>6263</v>
      </c>
      <c r="C1698" s="517" t="s">
        <v>6381</v>
      </c>
      <c r="D1698" s="518">
        <v>9725</v>
      </c>
      <c r="E1698" s="517" t="s">
        <v>4371</v>
      </c>
      <c r="F1698" s="518" t="s">
        <v>1106</v>
      </c>
      <c r="G1698" s="519">
        <v>97962</v>
      </c>
      <c r="H1698" s="517" t="s">
        <v>6915</v>
      </c>
    </row>
    <row r="1699" spans="2:8" ht="15" x14ac:dyDescent="0.35">
      <c r="B1699" s="544" t="s">
        <v>6263</v>
      </c>
      <c r="C1699" s="517" t="s">
        <v>6385</v>
      </c>
      <c r="D1699" s="518">
        <v>9726</v>
      </c>
      <c r="E1699" s="517" t="s">
        <v>4372</v>
      </c>
      <c r="F1699" s="518" t="s">
        <v>3189</v>
      </c>
      <c r="G1699" s="519">
        <v>35000</v>
      </c>
      <c r="H1699" s="517" t="s">
        <v>6915</v>
      </c>
    </row>
    <row r="1700" spans="2:8" ht="15" x14ac:dyDescent="0.35">
      <c r="B1700" s="544" t="s">
        <v>6263</v>
      </c>
      <c r="C1700" s="517" t="s">
        <v>6381</v>
      </c>
      <c r="D1700" s="518">
        <v>9727</v>
      </c>
      <c r="E1700" s="517" t="s">
        <v>4373</v>
      </c>
      <c r="F1700" s="518" t="s">
        <v>3175</v>
      </c>
      <c r="G1700" s="519">
        <v>126090</v>
      </c>
      <c r="H1700" s="517" t="s">
        <v>6915</v>
      </c>
    </row>
    <row r="1701" spans="2:8" ht="15" x14ac:dyDescent="0.35">
      <c r="B1701" s="544" t="s">
        <v>6263</v>
      </c>
      <c r="C1701" s="517" t="s">
        <v>6356</v>
      </c>
      <c r="D1701" s="518">
        <v>9728</v>
      </c>
      <c r="E1701" s="517" t="s">
        <v>4374</v>
      </c>
      <c r="F1701" s="518" t="s">
        <v>29</v>
      </c>
      <c r="G1701" s="519">
        <v>4821880</v>
      </c>
      <c r="H1701" s="517" t="s">
        <v>6915</v>
      </c>
    </row>
    <row r="1702" spans="2:8" ht="15" x14ac:dyDescent="0.35">
      <c r="B1702" s="544" t="s">
        <v>6263</v>
      </c>
      <c r="C1702" s="517" t="s">
        <v>6275</v>
      </c>
      <c r="D1702" s="518">
        <v>9733</v>
      </c>
      <c r="E1702" s="517" t="s">
        <v>4375</v>
      </c>
      <c r="F1702" s="518" t="s">
        <v>29</v>
      </c>
      <c r="G1702" s="519">
        <v>129710</v>
      </c>
      <c r="H1702" s="517" t="s">
        <v>6425</v>
      </c>
    </row>
    <row r="1703" spans="2:8" ht="15" x14ac:dyDescent="0.35">
      <c r="B1703" s="544" t="s">
        <v>6263</v>
      </c>
      <c r="C1703" s="517" t="s">
        <v>6401</v>
      </c>
      <c r="D1703" s="518">
        <v>9736</v>
      </c>
      <c r="E1703" s="517" t="s">
        <v>4376</v>
      </c>
      <c r="F1703" s="518" t="s">
        <v>26</v>
      </c>
      <c r="G1703" s="519">
        <v>733303</v>
      </c>
      <c r="H1703" s="517" t="s">
        <v>6915</v>
      </c>
    </row>
    <row r="1704" spans="2:8" ht="15" x14ac:dyDescent="0.35">
      <c r="B1704" s="544" t="s">
        <v>6263</v>
      </c>
      <c r="C1704" s="517" t="s">
        <v>6382</v>
      </c>
      <c r="D1704" s="518">
        <v>9743</v>
      </c>
      <c r="E1704" s="517" t="s">
        <v>4377</v>
      </c>
      <c r="F1704" s="518" t="s">
        <v>1856</v>
      </c>
      <c r="G1704" s="519">
        <v>600000</v>
      </c>
      <c r="H1704" s="517" t="s">
        <v>6915</v>
      </c>
    </row>
    <row r="1705" spans="2:8" ht="15" x14ac:dyDescent="0.35">
      <c r="B1705" s="544" t="s">
        <v>6263</v>
      </c>
      <c r="C1705" s="517" t="s">
        <v>6382</v>
      </c>
      <c r="D1705" s="518">
        <v>9744</v>
      </c>
      <c r="E1705" s="517" t="s">
        <v>4378</v>
      </c>
      <c r="F1705" s="518" t="s">
        <v>1856</v>
      </c>
      <c r="G1705" s="519">
        <v>714000</v>
      </c>
      <c r="H1705" s="517" t="s">
        <v>6915</v>
      </c>
    </row>
    <row r="1706" spans="2:8" ht="15" x14ac:dyDescent="0.35">
      <c r="B1706" s="544" t="s">
        <v>6263</v>
      </c>
      <c r="C1706" s="517" t="s">
        <v>6382</v>
      </c>
      <c r="D1706" s="518">
        <v>9745</v>
      </c>
      <c r="E1706" s="517" t="s">
        <v>2551</v>
      </c>
      <c r="F1706" s="518" t="s">
        <v>1856</v>
      </c>
      <c r="G1706" s="519">
        <v>833000</v>
      </c>
      <c r="H1706" s="517" t="s">
        <v>6915</v>
      </c>
    </row>
    <row r="1707" spans="2:8" ht="15" x14ac:dyDescent="0.35">
      <c r="B1707" s="544" t="s">
        <v>6263</v>
      </c>
      <c r="C1707" s="517" t="s">
        <v>6382</v>
      </c>
      <c r="D1707" s="518">
        <v>9746</v>
      </c>
      <c r="E1707" s="517" t="s">
        <v>4379</v>
      </c>
      <c r="F1707" s="518" t="s">
        <v>1856</v>
      </c>
      <c r="G1707" s="519">
        <v>952000</v>
      </c>
      <c r="H1707" s="517" t="s">
        <v>6915</v>
      </c>
    </row>
    <row r="1708" spans="2:8" ht="15" x14ac:dyDescent="0.35">
      <c r="B1708" s="544" t="s">
        <v>6263</v>
      </c>
      <c r="C1708" s="517" t="s">
        <v>6343</v>
      </c>
      <c r="D1708" s="518">
        <v>9747</v>
      </c>
      <c r="E1708" s="517" t="s">
        <v>4380</v>
      </c>
      <c r="F1708" s="518" t="s">
        <v>23</v>
      </c>
      <c r="G1708" s="519">
        <v>72901</v>
      </c>
      <c r="H1708" s="517" t="s">
        <v>6425</v>
      </c>
    </row>
    <row r="1709" spans="2:8" ht="15" x14ac:dyDescent="0.35">
      <c r="B1709" s="544" t="s">
        <v>6263</v>
      </c>
      <c r="C1709" s="517" t="s">
        <v>6350</v>
      </c>
      <c r="D1709" s="518">
        <v>9752</v>
      </c>
      <c r="E1709" s="517" t="s">
        <v>4381</v>
      </c>
      <c r="F1709" s="518" t="s">
        <v>676</v>
      </c>
      <c r="G1709" s="519">
        <v>11037</v>
      </c>
      <c r="H1709" s="517" t="s">
        <v>6425</v>
      </c>
    </row>
    <row r="1710" spans="2:8" ht="15" x14ac:dyDescent="0.35">
      <c r="B1710" s="544" t="s">
        <v>6263</v>
      </c>
      <c r="C1710" s="517" t="s">
        <v>6354</v>
      </c>
      <c r="D1710" s="518">
        <v>9754</v>
      </c>
      <c r="E1710" s="517" t="s">
        <v>4382</v>
      </c>
      <c r="F1710" s="518" t="s">
        <v>3172</v>
      </c>
      <c r="G1710" s="519">
        <v>106590</v>
      </c>
      <c r="H1710" s="517" t="s">
        <v>6915</v>
      </c>
    </row>
    <row r="1711" spans="2:8" ht="15" x14ac:dyDescent="0.35">
      <c r="B1711" s="544" t="s">
        <v>6263</v>
      </c>
      <c r="C1711" s="517" t="s">
        <v>6348</v>
      </c>
      <c r="D1711" s="518">
        <v>9764</v>
      </c>
      <c r="E1711" s="517" t="s">
        <v>4383</v>
      </c>
      <c r="F1711" s="518" t="s">
        <v>26</v>
      </c>
      <c r="G1711" s="519">
        <v>121359</v>
      </c>
      <c r="H1711" s="517" t="s">
        <v>6915</v>
      </c>
    </row>
    <row r="1712" spans="2:8" ht="15" x14ac:dyDescent="0.35">
      <c r="B1712" s="544" t="s">
        <v>6263</v>
      </c>
      <c r="C1712" s="517" t="s">
        <v>6348</v>
      </c>
      <c r="D1712" s="518">
        <v>9765</v>
      </c>
      <c r="E1712" s="517" t="s">
        <v>4384</v>
      </c>
      <c r="F1712" s="518" t="s">
        <v>26</v>
      </c>
      <c r="G1712" s="519">
        <v>526467</v>
      </c>
      <c r="H1712" s="517" t="s">
        <v>6915</v>
      </c>
    </row>
    <row r="1713" spans="2:8" ht="15" x14ac:dyDescent="0.35">
      <c r="B1713" s="544" t="s">
        <v>6263</v>
      </c>
      <c r="C1713" s="517" t="s">
        <v>6348</v>
      </c>
      <c r="D1713" s="518">
        <v>9766</v>
      </c>
      <c r="E1713" s="517" t="s">
        <v>4385</v>
      </c>
      <c r="F1713" s="518" t="s">
        <v>29</v>
      </c>
      <c r="G1713" s="519">
        <v>130305</v>
      </c>
      <c r="H1713" s="517" t="s">
        <v>6915</v>
      </c>
    </row>
    <row r="1714" spans="2:8" ht="15" x14ac:dyDescent="0.35">
      <c r="B1714" s="544" t="s">
        <v>6263</v>
      </c>
      <c r="C1714" s="517" t="s">
        <v>6348</v>
      </c>
      <c r="D1714" s="518">
        <v>9767</v>
      </c>
      <c r="E1714" s="517" t="s">
        <v>4386</v>
      </c>
      <c r="F1714" s="518" t="s">
        <v>29</v>
      </c>
      <c r="G1714" s="519">
        <v>243850</v>
      </c>
      <c r="H1714" s="517" t="s">
        <v>6915</v>
      </c>
    </row>
    <row r="1715" spans="2:8" ht="15" x14ac:dyDescent="0.35">
      <c r="B1715" s="544" t="s">
        <v>6263</v>
      </c>
      <c r="C1715" s="517" t="s">
        <v>6344</v>
      </c>
      <c r="D1715" s="518">
        <v>9768</v>
      </c>
      <c r="E1715" s="517" t="s">
        <v>4387</v>
      </c>
      <c r="F1715" s="518" t="s">
        <v>29</v>
      </c>
      <c r="G1715" s="519">
        <v>105910</v>
      </c>
      <c r="H1715" s="517" t="s">
        <v>6425</v>
      </c>
    </row>
    <row r="1716" spans="2:8" ht="15" x14ac:dyDescent="0.35">
      <c r="B1716" s="544" t="s">
        <v>6263</v>
      </c>
      <c r="C1716" s="517" t="s">
        <v>6401</v>
      </c>
      <c r="D1716" s="518">
        <v>9774</v>
      </c>
      <c r="E1716" s="517" t="s">
        <v>4388</v>
      </c>
      <c r="F1716" s="518" t="s">
        <v>29</v>
      </c>
      <c r="G1716" s="519">
        <v>366020</v>
      </c>
      <c r="H1716" s="517" t="s">
        <v>6915</v>
      </c>
    </row>
    <row r="1717" spans="2:8" ht="15" x14ac:dyDescent="0.35">
      <c r="B1717" s="544" t="s">
        <v>6263</v>
      </c>
      <c r="C1717" s="517" t="s">
        <v>6401</v>
      </c>
      <c r="D1717" s="518">
        <v>9775</v>
      </c>
      <c r="E1717" s="517" t="s">
        <v>4389</v>
      </c>
      <c r="F1717" s="518" t="s">
        <v>29</v>
      </c>
      <c r="G1717" s="519">
        <v>162956</v>
      </c>
      <c r="H1717" s="517" t="s">
        <v>6915</v>
      </c>
    </row>
    <row r="1718" spans="2:8" ht="15" x14ac:dyDescent="0.35">
      <c r="B1718" s="544" t="s">
        <v>6263</v>
      </c>
      <c r="C1718" s="517" t="s">
        <v>6359</v>
      </c>
      <c r="D1718" s="518">
        <v>9789</v>
      </c>
      <c r="E1718" s="517" t="s">
        <v>4390</v>
      </c>
      <c r="F1718" s="518" t="s">
        <v>29</v>
      </c>
      <c r="G1718" s="519">
        <v>8230084</v>
      </c>
      <c r="H1718" s="517" t="s">
        <v>6915</v>
      </c>
    </row>
    <row r="1719" spans="2:8" ht="15" x14ac:dyDescent="0.35">
      <c r="B1719" s="544" t="s">
        <v>6263</v>
      </c>
      <c r="C1719" s="517" t="s">
        <v>6359</v>
      </c>
      <c r="D1719" s="518">
        <v>9790</v>
      </c>
      <c r="E1719" s="517" t="s">
        <v>4391</v>
      </c>
      <c r="F1719" s="518" t="s">
        <v>29</v>
      </c>
      <c r="G1719" s="519">
        <v>1228761</v>
      </c>
      <c r="H1719" s="517" t="s">
        <v>6915</v>
      </c>
    </row>
    <row r="1720" spans="2:8" ht="15" x14ac:dyDescent="0.35">
      <c r="B1720" s="544" t="s">
        <v>6263</v>
      </c>
      <c r="C1720" s="517" t="s">
        <v>6359</v>
      </c>
      <c r="D1720" s="518">
        <v>9791</v>
      </c>
      <c r="E1720" s="517" t="s">
        <v>4392</v>
      </c>
      <c r="F1720" s="518" t="s">
        <v>29</v>
      </c>
      <c r="G1720" s="519">
        <v>798514</v>
      </c>
      <c r="H1720" s="517" t="s">
        <v>6915</v>
      </c>
    </row>
    <row r="1721" spans="2:8" ht="15" x14ac:dyDescent="0.35">
      <c r="B1721" s="544" t="s">
        <v>6263</v>
      </c>
      <c r="C1721" s="517" t="s">
        <v>6359</v>
      </c>
      <c r="D1721" s="518">
        <v>9792</v>
      </c>
      <c r="E1721" s="517" t="s">
        <v>4393</v>
      </c>
      <c r="F1721" s="518" t="s">
        <v>29</v>
      </c>
      <c r="G1721" s="519">
        <v>697596</v>
      </c>
      <c r="H1721" s="517" t="s">
        <v>6915</v>
      </c>
    </row>
    <row r="1722" spans="2:8" ht="15" x14ac:dyDescent="0.35">
      <c r="B1722" s="544" t="s">
        <v>6263</v>
      </c>
      <c r="C1722" s="517" t="s">
        <v>6359</v>
      </c>
      <c r="D1722" s="518">
        <v>9796</v>
      </c>
      <c r="E1722" s="517" t="s">
        <v>4394</v>
      </c>
      <c r="F1722" s="518" t="s">
        <v>29</v>
      </c>
      <c r="G1722" s="519">
        <v>8230084</v>
      </c>
      <c r="H1722" s="517" t="s">
        <v>6915</v>
      </c>
    </row>
    <row r="1723" spans="2:8" ht="15" x14ac:dyDescent="0.35">
      <c r="B1723" s="544" t="s">
        <v>6263</v>
      </c>
      <c r="C1723" s="517" t="s">
        <v>6359</v>
      </c>
      <c r="D1723" s="518">
        <v>9797</v>
      </c>
      <c r="E1723" s="517" t="s">
        <v>4395</v>
      </c>
      <c r="F1723" s="518" t="s">
        <v>29</v>
      </c>
      <c r="G1723" s="519">
        <v>9360420</v>
      </c>
      <c r="H1723" s="517" t="s">
        <v>6915</v>
      </c>
    </row>
    <row r="1724" spans="2:8" ht="15" x14ac:dyDescent="0.35">
      <c r="B1724" s="544" t="s">
        <v>6263</v>
      </c>
      <c r="C1724" s="517" t="s">
        <v>6359</v>
      </c>
      <c r="D1724" s="518">
        <v>9798</v>
      </c>
      <c r="E1724" s="517" t="s">
        <v>4396</v>
      </c>
      <c r="F1724" s="518" t="s">
        <v>29</v>
      </c>
      <c r="G1724" s="519">
        <v>5163569</v>
      </c>
      <c r="H1724" s="517" t="s">
        <v>6915</v>
      </c>
    </row>
    <row r="1725" spans="2:8" ht="15" x14ac:dyDescent="0.35">
      <c r="B1725" s="544" t="s">
        <v>6263</v>
      </c>
      <c r="C1725" s="517" t="s">
        <v>6359</v>
      </c>
      <c r="D1725" s="518">
        <v>9799</v>
      </c>
      <c r="E1725" s="517" t="s">
        <v>4397</v>
      </c>
      <c r="F1725" s="518" t="s">
        <v>29</v>
      </c>
      <c r="G1725" s="519">
        <v>642928</v>
      </c>
      <c r="H1725" s="517" t="s">
        <v>6915</v>
      </c>
    </row>
    <row r="1726" spans="2:8" ht="15" x14ac:dyDescent="0.35">
      <c r="B1726" s="544" t="s">
        <v>6263</v>
      </c>
      <c r="C1726" s="517" t="s">
        <v>6359</v>
      </c>
      <c r="D1726" s="518">
        <v>9800</v>
      </c>
      <c r="E1726" s="517" t="s">
        <v>4398</v>
      </c>
      <c r="F1726" s="518" t="s">
        <v>29</v>
      </c>
      <c r="G1726" s="519">
        <v>753436</v>
      </c>
      <c r="H1726" s="517" t="s">
        <v>6915</v>
      </c>
    </row>
    <row r="1727" spans="2:8" ht="15" x14ac:dyDescent="0.35">
      <c r="B1727" s="544" t="s">
        <v>6263</v>
      </c>
      <c r="C1727" s="517" t="s">
        <v>6359</v>
      </c>
      <c r="D1727" s="518">
        <v>9801</v>
      </c>
      <c r="E1727" s="517" t="s">
        <v>4399</v>
      </c>
      <c r="F1727" s="518" t="s">
        <v>29</v>
      </c>
      <c r="G1727" s="519">
        <v>787852</v>
      </c>
      <c r="H1727" s="517" t="s">
        <v>6915</v>
      </c>
    </row>
    <row r="1728" spans="2:8" ht="15" x14ac:dyDescent="0.35">
      <c r="B1728" s="544" t="s">
        <v>6263</v>
      </c>
      <c r="C1728" s="517" t="s">
        <v>6359</v>
      </c>
      <c r="D1728" s="518">
        <v>9802</v>
      </c>
      <c r="E1728" s="517" t="s">
        <v>4400</v>
      </c>
      <c r="F1728" s="518" t="s">
        <v>29</v>
      </c>
      <c r="G1728" s="519">
        <v>753436</v>
      </c>
      <c r="H1728" s="517" t="s">
        <v>6915</v>
      </c>
    </row>
    <row r="1729" spans="2:8" ht="15" x14ac:dyDescent="0.35">
      <c r="B1729" s="544" t="s">
        <v>6263</v>
      </c>
      <c r="C1729" s="517" t="s">
        <v>6359</v>
      </c>
      <c r="D1729" s="518">
        <v>9804</v>
      </c>
      <c r="E1729" s="517" t="s">
        <v>4401</v>
      </c>
      <c r="F1729" s="518" t="s">
        <v>29</v>
      </c>
      <c r="G1729" s="519">
        <v>723814</v>
      </c>
      <c r="H1729" s="517" t="s">
        <v>6915</v>
      </c>
    </row>
    <row r="1730" spans="2:8" ht="15" x14ac:dyDescent="0.35">
      <c r="B1730" s="544" t="s">
        <v>6263</v>
      </c>
      <c r="C1730" s="517" t="s">
        <v>6393</v>
      </c>
      <c r="D1730" s="518">
        <v>9813</v>
      </c>
      <c r="E1730" s="517" t="s">
        <v>4402</v>
      </c>
      <c r="F1730" s="518" t="s">
        <v>21</v>
      </c>
      <c r="G1730" s="519">
        <v>244664</v>
      </c>
      <c r="H1730" s="517" t="s">
        <v>6915</v>
      </c>
    </row>
    <row r="1731" spans="2:8" ht="15" x14ac:dyDescent="0.35">
      <c r="B1731" s="544" t="s">
        <v>6263</v>
      </c>
      <c r="C1731" s="517" t="s">
        <v>6388</v>
      </c>
      <c r="D1731" s="518">
        <v>9819</v>
      </c>
      <c r="E1731" s="517" t="s">
        <v>4403</v>
      </c>
      <c r="F1731" s="518" t="s">
        <v>29</v>
      </c>
      <c r="G1731" s="519">
        <v>1898705</v>
      </c>
      <c r="H1731" s="517" t="s">
        <v>6915</v>
      </c>
    </row>
    <row r="1732" spans="2:8" ht="15" x14ac:dyDescent="0.35">
      <c r="B1732" s="544" t="s">
        <v>6263</v>
      </c>
      <c r="C1732" s="517" t="s">
        <v>6354</v>
      </c>
      <c r="D1732" s="518">
        <v>9822</v>
      </c>
      <c r="E1732" s="517" t="s">
        <v>4404</v>
      </c>
      <c r="F1732" s="518" t="s">
        <v>3172</v>
      </c>
      <c r="G1732" s="519">
        <v>616988</v>
      </c>
      <c r="H1732" s="517" t="s">
        <v>6915</v>
      </c>
    </row>
    <row r="1733" spans="2:8" ht="15" x14ac:dyDescent="0.35">
      <c r="B1733" s="544" t="s">
        <v>6263</v>
      </c>
      <c r="C1733" s="517" t="s">
        <v>6362</v>
      </c>
      <c r="D1733" s="518">
        <v>9828</v>
      </c>
      <c r="E1733" s="517" t="s">
        <v>4405</v>
      </c>
      <c r="F1733" s="518" t="s">
        <v>23</v>
      </c>
      <c r="G1733" s="519">
        <v>1216517</v>
      </c>
      <c r="H1733" s="517" t="s">
        <v>6425</v>
      </c>
    </row>
    <row r="1734" spans="2:8" ht="15" x14ac:dyDescent="0.35">
      <c r="B1734" s="544" t="s">
        <v>6263</v>
      </c>
      <c r="C1734" s="517" t="s">
        <v>6370</v>
      </c>
      <c r="D1734" s="518">
        <v>9832</v>
      </c>
      <c r="E1734" s="517" t="s">
        <v>4406</v>
      </c>
      <c r="F1734" s="518" t="s">
        <v>29</v>
      </c>
      <c r="G1734" s="519">
        <v>148750</v>
      </c>
      <c r="H1734" s="517" t="s">
        <v>6915</v>
      </c>
    </row>
    <row r="1735" spans="2:8" ht="15" x14ac:dyDescent="0.35">
      <c r="B1735" s="544" t="s">
        <v>6263</v>
      </c>
      <c r="C1735" s="517" t="s">
        <v>6351</v>
      </c>
      <c r="D1735" s="518">
        <v>9833</v>
      </c>
      <c r="E1735" s="517" t="s">
        <v>4407</v>
      </c>
      <c r="F1735" s="518" t="s">
        <v>676</v>
      </c>
      <c r="G1735" s="519">
        <v>23377</v>
      </c>
      <c r="H1735" s="517" t="s">
        <v>6915</v>
      </c>
    </row>
    <row r="1736" spans="2:8" ht="15" x14ac:dyDescent="0.35">
      <c r="B1736" s="544" t="s">
        <v>6263</v>
      </c>
      <c r="C1736" s="517" t="s">
        <v>6398</v>
      </c>
      <c r="D1736" s="518">
        <v>9834</v>
      </c>
      <c r="E1736" s="517" t="s">
        <v>4408</v>
      </c>
      <c r="F1736" s="518" t="s">
        <v>1628</v>
      </c>
      <c r="G1736" s="519">
        <v>131990</v>
      </c>
      <c r="H1736" s="517" t="s">
        <v>5686</v>
      </c>
    </row>
    <row r="1737" spans="2:8" ht="15" x14ac:dyDescent="0.35">
      <c r="B1737" s="544" t="s">
        <v>6263</v>
      </c>
      <c r="C1737" s="517" t="s">
        <v>6398</v>
      </c>
      <c r="D1737" s="518">
        <v>9835</v>
      </c>
      <c r="E1737" s="517" t="s">
        <v>4409</v>
      </c>
      <c r="F1737" s="518" t="s">
        <v>1628</v>
      </c>
      <c r="G1737" s="519">
        <v>131990</v>
      </c>
      <c r="H1737" s="517" t="s">
        <v>5686</v>
      </c>
    </row>
    <row r="1738" spans="2:8" ht="15" x14ac:dyDescent="0.35">
      <c r="B1738" s="544" t="s">
        <v>6263</v>
      </c>
      <c r="C1738" s="517" t="s">
        <v>6398</v>
      </c>
      <c r="D1738" s="518">
        <v>9836</v>
      </c>
      <c r="E1738" s="517" t="s">
        <v>4410</v>
      </c>
      <c r="F1738" s="518" t="s">
        <v>1628</v>
      </c>
      <c r="G1738" s="519">
        <v>131990</v>
      </c>
      <c r="H1738" s="517" t="s">
        <v>5686</v>
      </c>
    </row>
    <row r="1739" spans="2:8" ht="15" x14ac:dyDescent="0.35">
      <c r="B1739" s="544" t="s">
        <v>6263</v>
      </c>
      <c r="C1739" s="517" t="s">
        <v>6398</v>
      </c>
      <c r="D1739" s="518">
        <v>9837</v>
      </c>
      <c r="E1739" s="517" t="s">
        <v>4411</v>
      </c>
      <c r="F1739" s="518" t="s">
        <v>1628</v>
      </c>
      <c r="G1739" s="519">
        <v>131990</v>
      </c>
      <c r="H1739" s="517" t="s">
        <v>5686</v>
      </c>
    </row>
    <row r="1740" spans="2:8" ht="15" x14ac:dyDescent="0.35">
      <c r="B1740" s="544" t="s">
        <v>6263</v>
      </c>
      <c r="C1740" s="517" t="s">
        <v>6398</v>
      </c>
      <c r="D1740" s="518">
        <v>9838</v>
      </c>
      <c r="E1740" s="517" t="s">
        <v>4412</v>
      </c>
      <c r="F1740" s="518" t="s">
        <v>1628</v>
      </c>
      <c r="G1740" s="519">
        <v>131990</v>
      </c>
      <c r="H1740" s="517" t="s">
        <v>5686</v>
      </c>
    </row>
    <row r="1741" spans="2:8" ht="15" x14ac:dyDescent="0.35">
      <c r="B1741" s="544" t="s">
        <v>6263</v>
      </c>
      <c r="C1741" s="517" t="s">
        <v>6399</v>
      </c>
      <c r="D1741" s="518">
        <v>9839</v>
      </c>
      <c r="E1741" s="517" t="s">
        <v>4413</v>
      </c>
      <c r="F1741" s="518" t="s">
        <v>29</v>
      </c>
      <c r="G1741" s="519">
        <v>13531</v>
      </c>
      <c r="H1741" s="517" t="s">
        <v>5686</v>
      </c>
    </row>
    <row r="1742" spans="2:8" ht="15" x14ac:dyDescent="0.35">
      <c r="B1742" s="544" t="s">
        <v>6263</v>
      </c>
      <c r="C1742" s="517" t="s">
        <v>6398</v>
      </c>
      <c r="D1742" s="518">
        <v>9840</v>
      </c>
      <c r="E1742" s="517" t="s">
        <v>4414</v>
      </c>
      <c r="F1742" s="518" t="s">
        <v>1106</v>
      </c>
      <c r="G1742" s="519">
        <v>264000</v>
      </c>
      <c r="H1742" s="517" t="s">
        <v>5686</v>
      </c>
    </row>
    <row r="1743" spans="2:8" ht="15" x14ac:dyDescent="0.35">
      <c r="B1743" s="544" t="s">
        <v>6263</v>
      </c>
      <c r="C1743" s="517" t="s">
        <v>6393</v>
      </c>
      <c r="D1743" s="518">
        <v>9842</v>
      </c>
      <c r="E1743" s="517" t="s">
        <v>4415</v>
      </c>
      <c r="F1743" s="518" t="s">
        <v>21</v>
      </c>
      <c r="G1743" s="519">
        <v>344300</v>
      </c>
      <c r="H1743" s="517" t="s">
        <v>6915</v>
      </c>
    </row>
    <row r="1744" spans="2:8" ht="15" x14ac:dyDescent="0.35">
      <c r="B1744" s="544" t="s">
        <v>6263</v>
      </c>
      <c r="C1744" s="517" t="s">
        <v>6380</v>
      </c>
      <c r="D1744" s="518">
        <v>9845</v>
      </c>
      <c r="E1744" s="517" t="s">
        <v>4416</v>
      </c>
      <c r="F1744" s="518" t="s">
        <v>29</v>
      </c>
      <c r="G1744" s="519">
        <v>202300</v>
      </c>
      <c r="H1744" s="517" t="s">
        <v>6915</v>
      </c>
    </row>
    <row r="1745" spans="2:8" ht="15" x14ac:dyDescent="0.35">
      <c r="B1745" s="544" t="s">
        <v>6263</v>
      </c>
      <c r="C1745" s="517" t="s">
        <v>6380</v>
      </c>
      <c r="D1745" s="518">
        <v>9846</v>
      </c>
      <c r="E1745" s="517" t="s">
        <v>4417</v>
      </c>
      <c r="F1745" s="518" t="s">
        <v>29</v>
      </c>
      <c r="G1745" s="519">
        <v>66283</v>
      </c>
      <c r="H1745" s="517" t="s">
        <v>6915</v>
      </c>
    </row>
    <row r="1746" spans="2:8" ht="15" x14ac:dyDescent="0.35">
      <c r="B1746" s="544" t="s">
        <v>6263</v>
      </c>
      <c r="C1746" s="517" t="s">
        <v>6380</v>
      </c>
      <c r="D1746" s="518">
        <v>9847</v>
      </c>
      <c r="E1746" s="517" t="s">
        <v>4418</v>
      </c>
      <c r="F1746" s="518" t="s">
        <v>29</v>
      </c>
      <c r="G1746" s="519">
        <v>59500</v>
      </c>
      <c r="H1746" s="517" t="s">
        <v>6915</v>
      </c>
    </row>
    <row r="1747" spans="2:8" ht="15" x14ac:dyDescent="0.35">
      <c r="B1747" s="544" t="s">
        <v>6263</v>
      </c>
      <c r="C1747" s="517" t="s">
        <v>6380</v>
      </c>
      <c r="D1747" s="518">
        <v>9848</v>
      </c>
      <c r="E1747" s="517" t="s">
        <v>4419</v>
      </c>
      <c r="F1747" s="518" t="s">
        <v>29</v>
      </c>
      <c r="G1747" s="519">
        <v>60214</v>
      </c>
      <c r="H1747" s="517" t="s">
        <v>6915</v>
      </c>
    </row>
    <row r="1748" spans="2:8" ht="15" x14ac:dyDescent="0.35">
      <c r="B1748" s="544" t="s">
        <v>6263</v>
      </c>
      <c r="C1748" s="517" t="s">
        <v>6380</v>
      </c>
      <c r="D1748" s="518">
        <v>9849</v>
      </c>
      <c r="E1748" s="517" t="s">
        <v>4420</v>
      </c>
      <c r="F1748" s="518" t="s">
        <v>29</v>
      </c>
      <c r="G1748" s="519">
        <v>60214</v>
      </c>
      <c r="H1748" s="517" t="s">
        <v>6915</v>
      </c>
    </row>
    <row r="1749" spans="2:8" ht="15" x14ac:dyDescent="0.35">
      <c r="B1749" s="544" t="s">
        <v>6263</v>
      </c>
      <c r="C1749" s="517" t="s">
        <v>6380</v>
      </c>
      <c r="D1749" s="518">
        <v>9850</v>
      </c>
      <c r="E1749" s="517" t="s">
        <v>4421</v>
      </c>
      <c r="F1749" s="518" t="s">
        <v>29</v>
      </c>
      <c r="G1749" s="519">
        <v>59500</v>
      </c>
      <c r="H1749" s="517" t="s">
        <v>6915</v>
      </c>
    </row>
    <row r="1750" spans="2:8" ht="15" x14ac:dyDescent="0.35">
      <c r="B1750" s="544" t="s">
        <v>6263</v>
      </c>
      <c r="C1750" s="517" t="s">
        <v>6380</v>
      </c>
      <c r="D1750" s="518">
        <v>9851</v>
      </c>
      <c r="E1750" s="517" t="s">
        <v>4422</v>
      </c>
      <c r="F1750" s="518" t="s">
        <v>29</v>
      </c>
      <c r="G1750" s="519">
        <v>66283</v>
      </c>
      <c r="H1750" s="517" t="s">
        <v>6915</v>
      </c>
    </row>
    <row r="1751" spans="2:8" ht="15" x14ac:dyDescent="0.35">
      <c r="B1751" s="544" t="s">
        <v>6263</v>
      </c>
      <c r="C1751" s="517" t="s">
        <v>6380</v>
      </c>
      <c r="D1751" s="518">
        <v>9852</v>
      </c>
      <c r="E1751" s="517" t="s">
        <v>4423</v>
      </c>
      <c r="F1751" s="518" t="s">
        <v>29</v>
      </c>
      <c r="G1751" s="519">
        <v>59500</v>
      </c>
      <c r="H1751" s="517" t="s">
        <v>6915</v>
      </c>
    </row>
    <row r="1752" spans="2:8" ht="15" x14ac:dyDescent="0.35">
      <c r="B1752" s="544" t="s">
        <v>6263</v>
      </c>
      <c r="C1752" s="517" t="s">
        <v>6380</v>
      </c>
      <c r="D1752" s="518">
        <v>9853</v>
      </c>
      <c r="E1752" s="517" t="s">
        <v>4424</v>
      </c>
      <c r="F1752" s="518" t="s">
        <v>29</v>
      </c>
      <c r="G1752" s="519">
        <v>60214</v>
      </c>
      <c r="H1752" s="517" t="s">
        <v>6915</v>
      </c>
    </row>
    <row r="1753" spans="2:8" ht="15" x14ac:dyDescent="0.35">
      <c r="B1753" s="544" t="s">
        <v>6263</v>
      </c>
      <c r="C1753" s="517" t="s">
        <v>6380</v>
      </c>
      <c r="D1753" s="518">
        <v>9854</v>
      </c>
      <c r="E1753" s="517" t="s">
        <v>4425</v>
      </c>
      <c r="F1753" s="518" t="s">
        <v>29</v>
      </c>
      <c r="G1753" s="519">
        <v>70329</v>
      </c>
      <c r="H1753" s="517" t="s">
        <v>6915</v>
      </c>
    </row>
    <row r="1754" spans="2:8" ht="15" x14ac:dyDescent="0.35">
      <c r="B1754" s="544" t="s">
        <v>6263</v>
      </c>
      <c r="C1754" s="517" t="s">
        <v>6380</v>
      </c>
      <c r="D1754" s="518">
        <v>9855</v>
      </c>
      <c r="E1754" s="517" t="s">
        <v>4426</v>
      </c>
      <c r="F1754" s="518" t="s">
        <v>29</v>
      </c>
      <c r="G1754" s="519">
        <v>60214</v>
      </c>
      <c r="H1754" s="517" t="s">
        <v>6915</v>
      </c>
    </row>
    <row r="1755" spans="2:8" ht="15" x14ac:dyDescent="0.35">
      <c r="B1755" s="544" t="s">
        <v>6263</v>
      </c>
      <c r="C1755" s="517" t="s">
        <v>6380</v>
      </c>
      <c r="D1755" s="518">
        <v>9856</v>
      </c>
      <c r="E1755" s="517" t="s">
        <v>4427</v>
      </c>
      <c r="F1755" s="518" t="s">
        <v>29</v>
      </c>
      <c r="G1755" s="519">
        <v>59500</v>
      </c>
      <c r="H1755" s="517" t="s">
        <v>6915</v>
      </c>
    </row>
    <row r="1756" spans="2:8" ht="15" x14ac:dyDescent="0.35">
      <c r="B1756" s="544" t="s">
        <v>6263</v>
      </c>
      <c r="C1756" s="517" t="s">
        <v>6380</v>
      </c>
      <c r="D1756" s="518">
        <v>9857</v>
      </c>
      <c r="E1756" s="517" t="s">
        <v>4428</v>
      </c>
      <c r="F1756" s="518" t="s">
        <v>29</v>
      </c>
      <c r="G1756" s="519">
        <v>71554</v>
      </c>
      <c r="H1756" s="517" t="s">
        <v>6915</v>
      </c>
    </row>
    <row r="1757" spans="2:8" ht="15" x14ac:dyDescent="0.35">
      <c r="B1757" s="544" t="s">
        <v>6263</v>
      </c>
      <c r="C1757" s="517" t="s">
        <v>6359</v>
      </c>
      <c r="D1757" s="518">
        <v>9860</v>
      </c>
      <c r="E1757" s="517" t="s">
        <v>4429</v>
      </c>
      <c r="F1757" s="518" t="s">
        <v>29</v>
      </c>
      <c r="G1757" s="519">
        <v>364030</v>
      </c>
      <c r="H1757" s="517" t="s">
        <v>6915</v>
      </c>
    </row>
    <row r="1758" spans="2:8" ht="15" x14ac:dyDescent="0.35">
      <c r="B1758" s="544" t="s">
        <v>6263</v>
      </c>
      <c r="C1758" s="517" t="s">
        <v>6359</v>
      </c>
      <c r="D1758" s="518">
        <v>9861</v>
      </c>
      <c r="E1758" s="517" t="s">
        <v>4430</v>
      </c>
      <c r="F1758" s="518" t="s">
        <v>29</v>
      </c>
      <c r="G1758" s="519">
        <v>385479</v>
      </c>
      <c r="H1758" s="517" t="s">
        <v>6915</v>
      </c>
    </row>
    <row r="1759" spans="2:8" ht="15" x14ac:dyDescent="0.35">
      <c r="B1759" s="544" t="s">
        <v>6263</v>
      </c>
      <c r="C1759" s="517" t="s">
        <v>6370</v>
      </c>
      <c r="D1759" s="518">
        <v>9862</v>
      </c>
      <c r="E1759" s="517" t="s">
        <v>4431</v>
      </c>
      <c r="F1759" s="518" t="s">
        <v>29</v>
      </c>
      <c r="G1759" s="519">
        <v>443000</v>
      </c>
      <c r="H1759" s="517" t="s">
        <v>6915</v>
      </c>
    </row>
    <row r="1760" spans="2:8" ht="15" x14ac:dyDescent="0.35">
      <c r="B1760" s="544" t="s">
        <v>6263</v>
      </c>
      <c r="C1760" s="517" t="s">
        <v>6373</v>
      </c>
      <c r="D1760" s="518">
        <v>9864</v>
      </c>
      <c r="E1760" s="517" t="s">
        <v>4432</v>
      </c>
      <c r="F1760" s="518" t="s">
        <v>29</v>
      </c>
      <c r="G1760" s="519">
        <v>531000</v>
      </c>
      <c r="H1760" s="517" t="s">
        <v>6915</v>
      </c>
    </row>
    <row r="1761" spans="2:8" ht="15" x14ac:dyDescent="0.35">
      <c r="B1761" s="544" t="s">
        <v>6263</v>
      </c>
      <c r="C1761" s="517" t="s">
        <v>6369</v>
      </c>
      <c r="D1761" s="518">
        <v>9869</v>
      </c>
      <c r="E1761" s="517" t="s">
        <v>4433</v>
      </c>
      <c r="F1761" s="518" t="s">
        <v>29</v>
      </c>
      <c r="G1761" s="519">
        <v>1130500</v>
      </c>
      <c r="H1761" s="517" t="s">
        <v>6915</v>
      </c>
    </row>
    <row r="1762" spans="2:8" ht="15" x14ac:dyDescent="0.35">
      <c r="B1762" s="544" t="s">
        <v>6263</v>
      </c>
      <c r="C1762" s="517" t="s">
        <v>6402</v>
      </c>
      <c r="D1762" s="518">
        <v>9873</v>
      </c>
      <c r="E1762" s="517" t="s">
        <v>4434</v>
      </c>
      <c r="F1762" s="518" t="s">
        <v>29</v>
      </c>
      <c r="G1762" s="519">
        <v>484568</v>
      </c>
      <c r="H1762" s="517" t="s">
        <v>6915</v>
      </c>
    </row>
    <row r="1763" spans="2:8" ht="15" x14ac:dyDescent="0.35">
      <c r="B1763" s="544" t="s">
        <v>6263</v>
      </c>
      <c r="C1763" s="517" t="s">
        <v>6380</v>
      </c>
      <c r="D1763" s="518">
        <v>9879</v>
      </c>
      <c r="E1763" s="517" t="s">
        <v>4435</v>
      </c>
      <c r="F1763" s="518" t="s">
        <v>29</v>
      </c>
      <c r="G1763" s="519">
        <v>9758</v>
      </c>
      <c r="H1763" s="517" t="s">
        <v>6915</v>
      </c>
    </row>
    <row r="1764" spans="2:8" ht="15" x14ac:dyDescent="0.35">
      <c r="B1764" s="544" t="s">
        <v>6263</v>
      </c>
      <c r="C1764" s="517" t="s">
        <v>6380</v>
      </c>
      <c r="D1764" s="518">
        <v>9880</v>
      </c>
      <c r="E1764" s="517" t="s">
        <v>4436</v>
      </c>
      <c r="F1764" s="518" t="s">
        <v>29</v>
      </c>
      <c r="G1764" s="519">
        <v>4760</v>
      </c>
      <c r="H1764" s="517" t="s">
        <v>6915</v>
      </c>
    </row>
    <row r="1765" spans="2:8" ht="15" x14ac:dyDescent="0.35">
      <c r="B1765" s="544" t="s">
        <v>6263</v>
      </c>
      <c r="C1765" s="517" t="s">
        <v>6380</v>
      </c>
      <c r="D1765" s="518">
        <v>9881</v>
      </c>
      <c r="E1765" s="517" t="s">
        <v>4437</v>
      </c>
      <c r="F1765" s="518" t="s">
        <v>29</v>
      </c>
      <c r="G1765" s="519">
        <v>60214</v>
      </c>
      <c r="H1765" s="517" t="s">
        <v>6915</v>
      </c>
    </row>
    <row r="1766" spans="2:8" ht="15" x14ac:dyDescent="0.35">
      <c r="B1766" s="544" t="s">
        <v>6263</v>
      </c>
      <c r="C1766" s="517" t="s">
        <v>6380</v>
      </c>
      <c r="D1766" s="518">
        <v>9882</v>
      </c>
      <c r="E1766" s="517" t="s">
        <v>4438</v>
      </c>
      <c r="F1766" s="518" t="s">
        <v>29</v>
      </c>
      <c r="G1766" s="519">
        <v>60214</v>
      </c>
      <c r="H1766" s="517" t="s">
        <v>6915</v>
      </c>
    </row>
    <row r="1767" spans="2:8" ht="15" x14ac:dyDescent="0.35">
      <c r="B1767" s="544" t="s">
        <v>6263</v>
      </c>
      <c r="C1767" s="517" t="s">
        <v>6380</v>
      </c>
      <c r="D1767" s="518">
        <v>9883</v>
      </c>
      <c r="E1767" s="517" t="s">
        <v>4439</v>
      </c>
      <c r="F1767" s="518" t="s">
        <v>29</v>
      </c>
      <c r="G1767" s="519">
        <v>83221</v>
      </c>
      <c r="H1767" s="517" t="s">
        <v>6915</v>
      </c>
    </row>
    <row r="1768" spans="2:8" ht="15" x14ac:dyDescent="0.35">
      <c r="B1768" s="544" t="s">
        <v>6263</v>
      </c>
      <c r="C1768" s="517" t="s">
        <v>6380</v>
      </c>
      <c r="D1768" s="518">
        <v>9884</v>
      </c>
      <c r="E1768" s="517" t="s">
        <v>4440</v>
      </c>
      <c r="F1768" s="518" t="s">
        <v>29</v>
      </c>
      <c r="G1768" s="519">
        <v>62416</v>
      </c>
      <c r="H1768" s="517" t="s">
        <v>6915</v>
      </c>
    </row>
    <row r="1769" spans="2:8" ht="15" x14ac:dyDescent="0.35">
      <c r="B1769" s="544" t="s">
        <v>6263</v>
      </c>
      <c r="C1769" s="517" t="s">
        <v>6380</v>
      </c>
      <c r="D1769" s="518">
        <v>9885</v>
      </c>
      <c r="E1769" s="517" t="s">
        <v>4441</v>
      </c>
      <c r="F1769" s="518" t="s">
        <v>29</v>
      </c>
      <c r="G1769" s="519">
        <v>64291</v>
      </c>
      <c r="H1769" s="517" t="s">
        <v>6915</v>
      </c>
    </row>
    <row r="1770" spans="2:8" ht="15" x14ac:dyDescent="0.35">
      <c r="B1770" s="544" t="s">
        <v>6263</v>
      </c>
      <c r="C1770" s="517" t="s">
        <v>6380</v>
      </c>
      <c r="D1770" s="518">
        <v>9886</v>
      </c>
      <c r="E1770" s="517" t="s">
        <v>4442</v>
      </c>
      <c r="F1770" s="518" t="s">
        <v>29</v>
      </c>
      <c r="G1770" s="519">
        <v>65586</v>
      </c>
      <c r="H1770" s="517" t="s">
        <v>6915</v>
      </c>
    </row>
    <row r="1771" spans="2:8" ht="15" x14ac:dyDescent="0.35">
      <c r="B1771" s="544" t="s">
        <v>6263</v>
      </c>
      <c r="C1771" s="517" t="s">
        <v>6380</v>
      </c>
      <c r="D1771" s="518">
        <v>9887</v>
      </c>
      <c r="E1771" s="517" t="s">
        <v>4443</v>
      </c>
      <c r="F1771" s="518" t="s">
        <v>29</v>
      </c>
      <c r="G1771" s="519">
        <v>14280</v>
      </c>
      <c r="H1771" s="517" t="s">
        <v>6915</v>
      </c>
    </row>
    <row r="1772" spans="2:8" ht="15" x14ac:dyDescent="0.35">
      <c r="B1772" s="544" t="s">
        <v>6263</v>
      </c>
      <c r="C1772" s="517" t="s">
        <v>6380</v>
      </c>
      <c r="D1772" s="518">
        <v>9888</v>
      </c>
      <c r="E1772" s="517" t="s">
        <v>4444</v>
      </c>
      <c r="F1772" s="518" t="s">
        <v>29</v>
      </c>
      <c r="G1772" s="519">
        <v>30940</v>
      </c>
      <c r="H1772" s="517" t="s">
        <v>6915</v>
      </c>
    </row>
    <row r="1773" spans="2:8" ht="15" x14ac:dyDescent="0.35">
      <c r="B1773" s="544" t="s">
        <v>6263</v>
      </c>
      <c r="C1773" s="517" t="s">
        <v>6356</v>
      </c>
      <c r="D1773" s="518">
        <v>9896</v>
      </c>
      <c r="E1773" s="517" t="s">
        <v>4445</v>
      </c>
      <c r="F1773" s="518" t="s">
        <v>29</v>
      </c>
      <c r="G1773" s="519">
        <v>102966</v>
      </c>
      <c r="H1773" s="517" t="s">
        <v>6915</v>
      </c>
    </row>
    <row r="1774" spans="2:8" ht="15" x14ac:dyDescent="0.35">
      <c r="B1774" s="544" t="s">
        <v>6263</v>
      </c>
      <c r="C1774" s="517" t="s">
        <v>6390</v>
      </c>
      <c r="D1774" s="518">
        <v>9901</v>
      </c>
      <c r="E1774" s="517" t="s">
        <v>4446</v>
      </c>
      <c r="F1774" s="518" t="s">
        <v>26</v>
      </c>
      <c r="G1774" s="519">
        <v>23776</v>
      </c>
      <c r="H1774" s="517" t="s">
        <v>6915</v>
      </c>
    </row>
    <row r="1775" spans="2:8" ht="15" x14ac:dyDescent="0.35">
      <c r="B1775" s="544" t="s">
        <v>6263</v>
      </c>
      <c r="C1775" s="517" t="s">
        <v>6390</v>
      </c>
      <c r="D1775" s="518">
        <v>9902</v>
      </c>
      <c r="E1775" s="517" t="s">
        <v>4447</v>
      </c>
      <c r="F1775" s="518" t="s">
        <v>29</v>
      </c>
      <c r="G1775" s="519">
        <v>26312</v>
      </c>
      <c r="H1775" s="517" t="s">
        <v>6915</v>
      </c>
    </row>
    <row r="1776" spans="2:8" ht="15" x14ac:dyDescent="0.35">
      <c r="B1776" s="544" t="s">
        <v>6263</v>
      </c>
      <c r="C1776" s="517" t="s">
        <v>6390</v>
      </c>
      <c r="D1776" s="518">
        <v>9905</v>
      </c>
      <c r="E1776" s="517" t="s">
        <v>4448</v>
      </c>
      <c r="F1776" s="518" t="s">
        <v>26</v>
      </c>
      <c r="G1776" s="519">
        <v>4213</v>
      </c>
      <c r="H1776" s="517" t="s">
        <v>6915</v>
      </c>
    </row>
    <row r="1777" spans="2:8" ht="15" x14ac:dyDescent="0.35">
      <c r="B1777" s="544" t="s">
        <v>6263</v>
      </c>
      <c r="C1777" s="517" t="s">
        <v>6348</v>
      </c>
      <c r="D1777" s="518">
        <v>9906</v>
      </c>
      <c r="E1777" s="517" t="s">
        <v>4449</v>
      </c>
      <c r="F1777" s="518" t="s">
        <v>29</v>
      </c>
      <c r="G1777" s="519">
        <v>18088</v>
      </c>
      <c r="H1777" s="517" t="s">
        <v>6915</v>
      </c>
    </row>
    <row r="1778" spans="2:8" ht="15" x14ac:dyDescent="0.35">
      <c r="B1778" s="544" t="s">
        <v>6263</v>
      </c>
      <c r="C1778" s="517" t="s">
        <v>6390</v>
      </c>
      <c r="D1778" s="518">
        <v>9907</v>
      </c>
      <c r="E1778" s="517" t="s">
        <v>4450</v>
      </c>
      <c r="F1778" s="518" t="s">
        <v>29</v>
      </c>
      <c r="G1778" s="519">
        <v>59262</v>
      </c>
      <c r="H1778" s="517" t="s">
        <v>6915</v>
      </c>
    </row>
    <row r="1779" spans="2:8" ht="15" x14ac:dyDescent="0.35">
      <c r="B1779" s="544" t="s">
        <v>6263</v>
      </c>
      <c r="C1779" s="517" t="s">
        <v>6348</v>
      </c>
      <c r="D1779" s="518">
        <v>9908</v>
      </c>
      <c r="E1779" s="517" t="s">
        <v>4451</v>
      </c>
      <c r="F1779" s="518" t="s">
        <v>26</v>
      </c>
      <c r="G1779" s="519">
        <v>6850</v>
      </c>
      <c r="H1779" s="517" t="s">
        <v>6915</v>
      </c>
    </row>
    <row r="1780" spans="2:8" ht="15" x14ac:dyDescent="0.35">
      <c r="B1780" s="544" t="s">
        <v>6263</v>
      </c>
      <c r="C1780" s="517" t="s">
        <v>6348</v>
      </c>
      <c r="D1780" s="518">
        <v>9909</v>
      </c>
      <c r="E1780" s="517" t="s">
        <v>4452</v>
      </c>
      <c r="F1780" s="518" t="s">
        <v>26</v>
      </c>
      <c r="G1780" s="519">
        <v>7800</v>
      </c>
      <c r="H1780" s="517" t="s">
        <v>6915</v>
      </c>
    </row>
    <row r="1781" spans="2:8" ht="15" x14ac:dyDescent="0.35">
      <c r="B1781" s="544" t="s">
        <v>6263</v>
      </c>
      <c r="C1781" s="517" t="s">
        <v>6392</v>
      </c>
      <c r="D1781" s="518">
        <v>9922</v>
      </c>
      <c r="E1781" s="517" t="s">
        <v>4453</v>
      </c>
      <c r="F1781" s="518" t="s">
        <v>21</v>
      </c>
      <c r="G1781" s="519">
        <v>188020</v>
      </c>
      <c r="H1781" s="517" t="s">
        <v>6915</v>
      </c>
    </row>
    <row r="1782" spans="2:8" ht="15" x14ac:dyDescent="0.35">
      <c r="B1782" s="544" t="s">
        <v>6263</v>
      </c>
      <c r="C1782" s="517" t="s">
        <v>6367</v>
      </c>
      <c r="D1782" s="518">
        <v>9925</v>
      </c>
      <c r="E1782" s="517" t="s">
        <v>4454</v>
      </c>
      <c r="F1782" s="518" t="s">
        <v>29</v>
      </c>
      <c r="G1782" s="519">
        <v>5436</v>
      </c>
      <c r="H1782" s="517" t="s">
        <v>6915</v>
      </c>
    </row>
    <row r="1783" spans="2:8" ht="15" x14ac:dyDescent="0.35">
      <c r="B1783" s="544" t="s">
        <v>6263</v>
      </c>
      <c r="C1783" s="517" t="s">
        <v>6345</v>
      </c>
      <c r="D1783" s="518">
        <v>9926</v>
      </c>
      <c r="E1783" s="517" t="s">
        <v>4455</v>
      </c>
      <c r="F1783" s="518" t="s">
        <v>26</v>
      </c>
      <c r="G1783" s="519">
        <v>4018</v>
      </c>
      <c r="H1783" s="517" t="s">
        <v>6425</v>
      </c>
    </row>
    <row r="1784" spans="2:8" ht="15" x14ac:dyDescent="0.35">
      <c r="B1784" s="544" t="s">
        <v>6263</v>
      </c>
      <c r="C1784" s="517" t="s">
        <v>6275</v>
      </c>
      <c r="D1784" s="518">
        <v>9928</v>
      </c>
      <c r="E1784" s="517" t="s">
        <v>4456</v>
      </c>
      <c r="F1784" s="518" t="s">
        <v>367</v>
      </c>
      <c r="G1784" s="519">
        <v>11662</v>
      </c>
      <c r="H1784" s="517" t="s">
        <v>6425</v>
      </c>
    </row>
    <row r="1785" spans="2:8" ht="15" x14ac:dyDescent="0.35">
      <c r="B1785" s="544" t="s">
        <v>6263</v>
      </c>
      <c r="C1785" s="517" t="s">
        <v>6367</v>
      </c>
      <c r="D1785" s="518">
        <v>9930</v>
      </c>
      <c r="E1785" s="517" t="s">
        <v>4457</v>
      </c>
      <c r="F1785" s="518" t="s">
        <v>29</v>
      </c>
      <c r="G1785" s="519">
        <v>87834</v>
      </c>
      <c r="H1785" s="517" t="s">
        <v>6915</v>
      </c>
    </row>
    <row r="1786" spans="2:8" ht="15" x14ac:dyDescent="0.35">
      <c r="B1786" s="544" t="s">
        <v>6263</v>
      </c>
      <c r="C1786" s="517" t="s">
        <v>6367</v>
      </c>
      <c r="D1786" s="518">
        <v>9931</v>
      </c>
      <c r="E1786" s="517" t="s">
        <v>4458</v>
      </c>
      <c r="F1786" s="518" t="s">
        <v>29</v>
      </c>
      <c r="G1786" s="519">
        <v>7516</v>
      </c>
      <c r="H1786" s="517" t="s">
        <v>6915</v>
      </c>
    </row>
    <row r="1787" spans="2:8" ht="15" x14ac:dyDescent="0.35">
      <c r="B1787" s="544" t="s">
        <v>6263</v>
      </c>
      <c r="C1787" s="517" t="s">
        <v>6353</v>
      </c>
      <c r="D1787" s="518">
        <v>9933</v>
      </c>
      <c r="E1787" s="517" t="s">
        <v>5614</v>
      </c>
      <c r="F1787" s="518" t="s">
        <v>29</v>
      </c>
      <c r="G1787" s="519">
        <v>166279</v>
      </c>
      <c r="H1787" s="517" t="s">
        <v>6425</v>
      </c>
    </row>
    <row r="1788" spans="2:8" ht="15" x14ac:dyDescent="0.35">
      <c r="B1788" s="544" t="s">
        <v>6263</v>
      </c>
      <c r="C1788" s="517" t="s">
        <v>6353</v>
      </c>
      <c r="D1788" s="518">
        <v>9934</v>
      </c>
      <c r="E1788" s="517" t="s">
        <v>5615</v>
      </c>
      <c r="F1788" s="518" t="s">
        <v>26</v>
      </c>
      <c r="G1788" s="519">
        <v>236133</v>
      </c>
      <c r="H1788" s="517" t="s">
        <v>6425</v>
      </c>
    </row>
    <row r="1789" spans="2:8" ht="15" x14ac:dyDescent="0.35">
      <c r="B1789" s="544" t="s">
        <v>6263</v>
      </c>
      <c r="C1789" s="517" t="s">
        <v>6367</v>
      </c>
      <c r="D1789" s="518">
        <v>9935</v>
      </c>
      <c r="E1789" s="517" t="s">
        <v>4459</v>
      </c>
      <c r="F1789" s="518" t="s">
        <v>29</v>
      </c>
      <c r="G1789" s="519">
        <v>12790</v>
      </c>
      <c r="H1789" s="517" t="s">
        <v>6915</v>
      </c>
    </row>
    <row r="1790" spans="2:8" ht="15" x14ac:dyDescent="0.35">
      <c r="B1790" s="544" t="s">
        <v>6263</v>
      </c>
      <c r="C1790" s="517" t="s">
        <v>6367</v>
      </c>
      <c r="D1790" s="518">
        <v>9936</v>
      </c>
      <c r="E1790" s="517" t="s">
        <v>4460</v>
      </c>
      <c r="F1790" s="518" t="s">
        <v>29</v>
      </c>
      <c r="G1790" s="519">
        <v>25940</v>
      </c>
      <c r="H1790" s="517" t="s">
        <v>6915</v>
      </c>
    </row>
    <row r="1791" spans="2:8" ht="15" x14ac:dyDescent="0.35">
      <c r="B1791" s="544" t="s">
        <v>6263</v>
      </c>
      <c r="C1791" s="517" t="s">
        <v>6346</v>
      </c>
      <c r="D1791" s="518">
        <v>9937</v>
      </c>
      <c r="E1791" s="517" t="s">
        <v>5616</v>
      </c>
      <c r="F1791" s="518" t="s">
        <v>29</v>
      </c>
      <c r="G1791" s="519">
        <v>6170</v>
      </c>
      <c r="H1791" s="517" t="s">
        <v>6425</v>
      </c>
    </row>
    <row r="1792" spans="2:8" ht="15" x14ac:dyDescent="0.35">
      <c r="B1792" s="544" t="s">
        <v>6263</v>
      </c>
      <c r="C1792" s="517" t="s">
        <v>6346</v>
      </c>
      <c r="D1792" s="518">
        <v>9939</v>
      </c>
      <c r="E1792" s="517" t="s">
        <v>5617</v>
      </c>
      <c r="F1792" s="518" t="s">
        <v>29</v>
      </c>
      <c r="G1792" s="519">
        <v>14122</v>
      </c>
      <c r="H1792" s="517" t="s">
        <v>6425</v>
      </c>
    </row>
    <row r="1793" spans="2:8" ht="15" x14ac:dyDescent="0.35">
      <c r="B1793" s="544" t="s">
        <v>6263</v>
      </c>
      <c r="C1793" s="517" t="s">
        <v>6358</v>
      </c>
      <c r="D1793" s="518">
        <v>9940</v>
      </c>
      <c r="E1793" s="517" t="s">
        <v>4461</v>
      </c>
      <c r="F1793" s="518" t="s">
        <v>29</v>
      </c>
      <c r="G1793" s="519">
        <v>62983</v>
      </c>
      <c r="H1793" s="517" t="s">
        <v>6915</v>
      </c>
    </row>
    <row r="1794" spans="2:8" ht="15" x14ac:dyDescent="0.35">
      <c r="B1794" s="544" t="s">
        <v>6263</v>
      </c>
      <c r="C1794" s="517" t="s">
        <v>6358</v>
      </c>
      <c r="D1794" s="518">
        <v>9941</v>
      </c>
      <c r="E1794" s="517" t="s">
        <v>5912</v>
      </c>
      <c r="F1794" s="518" t="s">
        <v>29</v>
      </c>
      <c r="G1794" s="519">
        <v>195900</v>
      </c>
      <c r="H1794" s="517" t="s">
        <v>6915</v>
      </c>
    </row>
    <row r="1795" spans="2:8" ht="15" x14ac:dyDescent="0.35">
      <c r="B1795" s="544" t="s">
        <v>6263</v>
      </c>
      <c r="C1795" s="517" t="s">
        <v>6390</v>
      </c>
      <c r="D1795" s="518">
        <v>9943</v>
      </c>
      <c r="E1795" s="517" t="s">
        <v>4462</v>
      </c>
      <c r="F1795" s="518" t="s">
        <v>29</v>
      </c>
      <c r="G1795" s="519">
        <v>679650</v>
      </c>
      <c r="H1795" s="517" t="s">
        <v>6915</v>
      </c>
    </row>
    <row r="1796" spans="2:8" ht="15" x14ac:dyDescent="0.35">
      <c r="B1796" s="544" t="s">
        <v>6263</v>
      </c>
      <c r="C1796" s="517" t="s">
        <v>6390</v>
      </c>
      <c r="D1796" s="518">
        <v>9944</v>
      </c>
      <c r="E1796" s="517" t="s">
        <v>4463</v>
      </c>
      <c r="F1796" s="518" t="s">
        <v>29</v>
      </c>
      <c r="G1796" s="519">
        <v>97000</v>
      </c>
      <c r="H1796" s="517" t="s">
        <v>6915</v>
      </c>
    </row>
    <row r="1797" spans="2:8" ht="15" x14ac:dyDescent="0.35">
      <c r="B1797" s="544" t="s">
        <v>6263</v>
      </c>
      <c r="C1797" s="517" t="s">
        <v>6390</v>
      </c>
      <c r="D1797" s="518">
        <v>9945</v>
      </c>
      <c r="E1797" s="517" t="s">
        <v>4464</v>
      </c>
      <c r="F1797" s="518" t="s">
        <v>29</v>
      </c>
      <c r="G1797" s="519">
        <v>287750</v>
      </c>
      <c r="H1797" s="517" t="s">
        <v>6915</v>
      </c>
    </row>
    <row r="1798" spans="2:8" ht="15" x14ac:dyDescent="0.35">
      <c r="B1798" s="544" t="s">
        <v>6263</v>
      </c>
      <c r="C1798" s="517" t="s">
        <v>6345</v>
      </c>
      <c r="D1798" s="518">
        <v>9948</v>
      </c>
      <c r="E1798" s="517" t="s">
        <v>4465</v>
      </c>
      <c r="F1798" s="518" t="s">
        <v>29</v>
      </c>
      <c r="G1798" s="519">
        <v>2497</v>
      </c>
      <c r="H1798" s="517" t="s">
        <v>6425</v>
      </c>
    </row>
    <row r="1799" spans="2:8" ht="15" x14ac:dyDescent="0.35">
      <c r="B1799" s="544" t="s">
        <v>6263</v>
      </c>
      <c r="C1799" s="517" t="s">
        <v>6390</v>
      </c>
      <c r="D1799" s="518">
        <v>9949</v>
      </c>
      <c r="E1799" s="517" t="s">
        <v>4466</v>
      </c>
      <c r="F1799" s="518" t="s">
        <v>29</v>
      </c>
      <c r="G1799" s="519">
        <v>1037</v>
      </c>
      <c r="H1799" s="517" t="s">
        <v>6915</v>
      </c>
    </row>
    <row r="1800" spans="2:8" ht="15" x14ac:dyDescent="0.35">
      <c r="B1800" s="544" t="s">
        <v>6263</v>
      </c>
      <c r="C1800" s="517" t="s">
        <v>6392</v>
      </c>
      <c r="D1800" s="518">
        <v>9950</v>
      </c>
      <c r="E1800" s="517" t="s">
        <v>4467</v>
      </c>
      <c r="F1800" s="518" t="s">
        <v>21</v>
      </c>
      <c r="G1800" s="519">
        <v>226457</v>
      </c>
      <c r="H1800" s="517" t="s">
        <v>6915</v>
      </c>
    </row>
    <row r="1801" spans="2:8" ht="15" x14ac:dyDescent="0.35">
      <c r="B1801" s="544" t="s">
        <v>6263</v>
      </c>
      <c r="C1801" s="517" t="s">
        <v>6390</v>
      </c>
      <c r="D1801" s="518">
        <v>9951</v>
      </c>
      <c r="E1801" s="517" t="s">
        <v>4468</v>
      </c>
      <c r="F1801" s="518" t="s">
        <v>29</v>
      </c>
      <c r="G1801" s="519">
        <v>19450</v>
      </c>
      <c r="H1801" s="517" t="s">
        <v>6915</v>
      </c>
    </row>
    <row r="1802" spans="2:8" ht="15" x14ac:dyDescent="0.35">
      <c r="B1802" s="544" t="s">
        <v>6263</v>
      </c>
      <c r="C1802" s="517" t="s">
        <v>6390</v>
      </c>
      <c r="D1802" s="518">
        <v>9952</v>
      </c>
      <c r="E1802" s="517" t="s">
        <v>4469</v>
      </c>
      <c r="F1802" s="518" t="s">
        <v>29</v>
      </c>
      <c r="G1802" s="519">
        <v>222700</v>
      </c>
      <c r="H1802" s="517" t="s">
        <v>6915</v>
      </c>
    </row>
    <row r="1803" spans="2:8" ht="15" x14ac:dyDescent="0.35">
      <c r="B1803" s="544" t="s">
        <v>6263</v>
      </c>
      <c r="C1803" s="517" t="s">
        <v>6367</v>
      </c>
      <c r="D1803" s="518">
        <v>9953</v>
      </c>
      <c r="E1803" s="517" t="s">
        <v>4470</v>
      </c>
      <c r="F1803" s="518" t="s">
        <v>26</v>
      </c>
      <c r="G1803" s="519">
        <v>55427</v>
      </c>
      <c r="H1803" s="517" t="s">
        <v>6915</v>
      </c>
    </row>
    <row r="1804" spans="2:8" ht="15" x14ac:dyDescent="0.35">
      <c r="B1804" s="544" t="s">
        <v>6263</v>
      </c>
      <c r="C1804" s="517" t="s">
        <v>6275</v>
      </c>
      <c r="D1804" s="518">
        <v>9961</v>
      </c>
      <c r="E1804" s="517" t="s">
        <v>4471</v>
      </c>
      <c r="F1804" s="518" t="s">
        <v>21</v>
      </c>
      <c r="G1804" s="519">
        <v>61880</v>
      </c>
      <c r="H1804" s="517" t="s">
        <v>6425</v>
      </c>
    </row>
    <row r="1805" spans="2:8" ht="15" x14ac:dyDescent="0.35">
      <c r="B1805" s="544" t="s">
        <v>6263</v>
      </c>
      <c r="C1805" s="517" t="s">
        <v>6340</v>
      </c>
      <c r="D1805" s="518">
        <v>9962</v>
      </c>
      <c r="E1805" s="517" t="s">
        <v>4472</v>
      </c>
      <c r="F1805" s="518" t="s">
        <v>21</v>
      </c>
      <c r="G1805" s="519">
        <v>18305</v>
      </c>
      <c r="H1805" s="517" t="s">
        <v>6425</v>
      </c>
    </row>
    <row r="1806" spans="2:8" ht="15" x14ac:dyDescent="0.35">
      <c r="B1806" s="544" t="s">
        <v>6263</v>
      </c>
      <c r="C1806" s="517" t="s">
        <v>6353</v>
      </c>
      <c r="D1806" s="518">
        <v>9963</v>
      </c>
      <c r="E1806" s="517" t="s">
        <v>5618</v>
      </c>
      <c r="F1806" s="518" t="s">
        <v>29</v>
      </c>
      <c r="G1806" s="519">
        <v>80364</v>
      </c>
      <c r="H1806" s="517" t="s">
        <v>6425</v>
      </c>
    </row>
    <row r="1807" spans="2:8" ht="15" x14ac:dyDescent="0.35">
      <c r="B1807" s="544" t="s">
        <v>6263</v>
      </c>
      <c r="C1807" s="517" t="s">
        <v>6346</v>
      </c>
      <c r="D1807" s="518">
        <v>9964</v>
      </c>
      <c r="E1807" s="517" t="s">
        <v>5619</v>
      </c>
      <c r="F1807" s="518" t="s">
        <v>29</v>
      </c>
      <c r="G1807" s="519">
        <v>945</v>
      </c>
      <c r="H1807" s="517" t="s">
        <v>6425</v>
      </c>
    </row>
    <row r="1808" spans="2:8" ht="15" x14ac:dyDescent="0.35">
      <c r="B1808" s="544" t="s">
        <v>6263</v>
      </c>
      <c r="C1808" s="517" t="s">
        <v>6390</v>
      </c>
      <c r="D1808" s="518">
        <v>9966</v>
      </c>
      <c r="E1808" s="517" t="s">
        <v>4473</v>
      </c>
      <c r="F1808" s="518" t="s">
        <v>29</v>
      </c>
      <c r="G1808" s="519">
        <v>44349</v>
      </c>
      <c r="H1808" s="517" t="s">
        <v>6915</v>
      </c>
    </row>
    <row r="1809" spans="2:8" ht="15" x14ac:dyDescent="0.35">
      <c r="B1809" s="544" t="s">
        <v>6263</v>
      </c>
      <c r="C1809" s="517" t="s">
        <v>6359</v>
      </c>
      <c r="D1809" s="518">
        <v>9968</v>
      </c>
      <c r="E1809" s="517" t="s">
        <v>4474</v>
      </c>
      <c r="F1809" s="518" t="s">
        <v>29</v>
      </c>
      <c r="G1809" s="519">
        <v>79360</v>
      </c>
      <c r="H1809" s="517" t="s">
        <v>6915</v>
      </c>
    </row>
    <row r="1810" spans="2:8" ht="15" x14ac:dyDescent="0.35">
      <c r="B1810" s="544" t="s">
        <v>6263</v>
      </c>
      <c r="C1810" s="517" t="s">
        <v>6353</v>
      </c>
      <c r="D1810" s="518">
        <v>9975</v>
      </c>
      <c r="E1810" s="517" t="s">
        <v>5620</v>
      </c>
      <c r="F1810" s="518" t="s">
        <v>29</v>
      </c>
      <c r="G1810" s="519">
        <v>20468</v>
      </c>
      <c r="H1810" s="517" t="s">
        <v>6425</v>
      </c>
    </row>
    <row r="1811" spans="2:8" ht="15" x14ac:dyDescent="0.35">
      <c r="B1811" s="544" t="s">
        <v>6263</v>
      </c>
      <c r="C1811" s="517" t="s">
        <v>6346</v>
      </c>
      <c r="D1811" s="518">
        <v>9976</v>
      </c>
      <c r="E1811" s="517" t="s">
        <v>5621</v>
      </c>
      <c r="F1811" s="518" t="s">
        <v>29</v>
      </c>
      <c r="G1811" s="519">
        <v>1829</v>
      </c>
      <c r="H1811" s="517" t="s">
        <v>6425</v>
      </c>
    </row>
    <row r="1812" spans="2:8" ht="15" x14ac:dyDescent="0.35">
      <c r="B1812" s="544" t="s">
        <v>6263</v>
      </c>
      <c r="C1812" s="517" t="s">
        <v>6358</v>
      </c>
      <c r="D1812" s="518">
        <v>9977</v>
      </c>
      <c r="E1812" s="517" t="s">
        <v>4475</v>
      </c>
      <c r="F1812" s="518" t="s">
        <v>29</v>
      </c>
      <c r="G1812" s="519">
        <v>79879</v>
      </c>
      <c r="H1812" s="517" t="s">
        <v>6915</v>
      </c>
    </row>
    <row r="1813" spans="2:8" ht="15" x14ac:dyDescent="0.35">
      <c r="B1813" s="544" t="s">
        <v>6263</v>
      </c>
      <c r="C1813" s="517" t="s">
        <v>6390</v>
      </c>
      <c r="D1813" s="518">
        <v>9978</v>
      </c>
      <c r="E1813" s="517" t="s">
        <v>4476</v>
      </c>
      <c r="F1813" s="518" t="s">
        <v>29</v>
      </c>
      <c r="G1813" s="519">
        <v>49743000</v>
      </c>
      <c r="H1813" s="517" t="s">
        <v>6915</v>
      </c>
    </row>
    <row r="1814" spans="2:8" ht="15" x14ac:dyDescent="0.35">
      <c r="B1814" s="544" t="s">
        <v>6263</v>
      </c>
      <c r="C1814" s="517" t="s">
        <v>6390</v>
      </c>
      <c r="D1814" s="518">
        <v>9980</v>
      </c>
      <c r="E1814" s="517" t="s">
        <v>4477</v>
      </c>
      <c r="F1814" s="518" t="s">
        <v>29</v>
      </c>
      <c r="G1814" s="519">
        <v>350</v>
      </c>
      <c r="H1814" s="517" t="s">
        <v>6915</v>
      </c>
    </row>
    <row r="1815" spans="2:8" ht="15" x14ac:dyDescent="0.35">
      <c r="B1815" s="544" t="s">
        <v>6263</v>
      </c>
      <c r="C1815" s="517" t="s">
        <v>6359</v>
      </c>
      <c r="D1815" s="518">
        <v>9985</v>
      </c>
      <c r="E1815" s="517" t="s">
        <v>4478</v>
      </c>
      <c r="F1815" s="518" t="s">
        <v>29</v>
      </c>
      <c r="G1815" s="519">
        <v>70765</v>
      </c>
      <c r="H1815" s="517" t="s">
        <v>6915</v>
      </c>
    </row>
    <row r="1816" spans="2:8" ht="15" x14ac:dyDescent="0.35">
      <c r="B1816" s="544" t="s">
        <v>6263</v>
      </c>
      <c r="C1816" s="517" t="s">
        <v>6359</v>
      </c>
      <c r="D1816" s="518">
        <v>9986</v>
      </c>
      <c r="E1816" s="517" t="s">
        <v>4479</v>
      </c>
      <c r="F1816" s="518" t="s">
        <v>29</v>
      </c>
      <c r="G1816" s="519">
        <v>93902</v>
      </c>
      <c r="H1816" s="517" t="s">
        <v>6915</v>
      </c>
    </row>
    <row r="1817" spans="2:8" ht="15" x14ac:dyDescent="0.35">
      <c r="B1817" s="544" t="s">
        <v>6263</v>
      </c>
      <c r="C1817" s="517" t="s">
        <v>6275</v>
      </c>
      <c r="D1817" s="518">
        <v>9987</v>
      </c>
      <c r="E1817" s="517" t="s">
        <v>4480</v>
      </c>
      <c r="F1817" s="518" t="s">
        <v>367</v>
      </c>
      <c r="G1817" s="519">
        <v>5117</v>
      </c>
      <c r="H1817" s="517" t="s">
        <v>6425</v>
      </c>
    </row>
    <row r="1818" spans="2:8" ht="15" x14ac:dyDescent="0.35">
      <c r="B1818" s="544" t="s">
        <v>6263</v>
      </c>
      <c r="C1818" s="517" t="s">
        <v>6390</v>
      </c>
      <c r="D1818" s="518">
        <v>9988</v>
      </c>
      <c r="E1818" s="517" t="s">
        <v>4481</v>
      </c>
      <c r="F1818" s="518" t="s">
        <v>29</v>
      </c>
      <c r="G1818" s="519">
        <v>1657097</v>
      </c>
      <c r="H1818" s="517" t="s">
        <v>6915</v>
      </c>
    </row>
    <row r="1819" spans="2:8" ht="15" x14ac:dyDescent="0.35">
      <c r="B1819" s="544" t="s">
        <v>6263</v>
      </c>
      <c r="C1819" s="517" t="s">
        <v>6367</v>
      </c>
      <c r="D1819" s="518">
        <v>9989</v>
      </c>
      <c r="E1819" s="517" t="s">
        <v>4482</v>
      </c>
      <c r="F1819" s="518" t="s">
        <v>29</v>
      </c>
      <c r="G1819" s="519">
        <v>24946</v>
      </c>
      <c r="H1819" s="517" t="s">
        <v>6915</v>
      </c>
    </row>
    <row r="1820" spans="2:8" ht="15" x14ac:dyDescent="0.35">
      <c r="B1820" s="544" t="s">
        <v>6263</v>
      </c>
      <c r="C1820" s="517" t="s">
        <v>6367</v>
      </c>
      <c r="D1820" s="518">
        <v>9990</v>
      </c>
      <c r="E1820" s="517" t="s">
        <v>4483</v>
      </c>
      <c r="F1820" s="518" t="s">
        <v>29</v>
      </c>
      <c r="G1820" s="519">
        <v>38019</v>
      </c>
      <c r="H1820" s="517" t="s">
        <v>6915</v>
      </c>
    </row>
    <row r="1821" spans="2:8" ht="15" x14ac:dyDescent="0.35">
      <c r="B1821" s="544" t="s">
        <v>6263</v>
      </c>
      <c r="C1821" s="517" t="s">
        <v>6390</v>
      </c>
      <c r="D1821" s="518">
        <v>9991</v>
      </c>
      <c r="E1821" s="517" t="s">
        <v>4484</v>
      </c>
      <c r="F1821" s="518" t="s">
        <v>29</v>
      </c>
      <c r="G1821" s="519">
        <v>478447</v>
      </c>
      <c r="H1821" s="517" t="s">
        <v>6915</v>
      </c>
    </row>
    <row r="1822" spans="2:8" ht="15" x14ac:dyDescent="0.35">
      <c r="B1822" s="544" t="s">
        <v>6263</v>
      </c>
      <c r="C1822" s="517" t="s">
        <v>6386</v>
      </c>
      <c r="D1822" s="518">
        <v>9992</v>
      </c>
      <c r="E1822" s="517" t="s">
        <v>5913</v>
      </c>
      <c r="F1822" s="518" t="s">
        <v>26</v>
      </c>
      <c r="G1822" s="519">
        <v>104273</v>
      </c>
      <c r="H1822" s="517" t="s">
        <v>6915</v>
      </c>
    </row>
    <row r="1823" spans="2:8" ht="15" x14ac:dyDescent="0.35">
      <c r="B1823" s="544" t="s">
        <v>6263</v>
      </c>
      <c r="C1823" s="517" t="s">
        <v>6354</v>
      </c>
      <c r="D1823" s="518">
        <v>9994</v>
      </c>
      <c r="E1823" s="517" t="s">
        <v>4485</v>
      </c>
      <c r="F1823" s="518" t="s">
        <v>367</v>
      </c>
      <c r="G1823" s="519">
        <v>23132</v>
      </c>
      <c r="H1823" s="517" t="s">
        <v>6915</v>
      </c>
    </row>
    <row r="1824" spans="2:8" ht="15" x14ac:dyDescent="0.35">
      <c r="B1824" s="544" t="s">
        <v>6263</v>
      </c>
      <c r="C1824" s="517" t="s">
        <v>6359</v>
      </c>
      <c r="D1824" s="518">
        <v>9995</v>
      </c>
      <c r="E1824" s="517" t="s">
        <v>4486</v>
      </c>
      <c r="F1824" s="518" t="s">
        <v>676</v>
      </c>
      <c r="G1824" s="519">
        <v>91048</v>
      </c>
      <c r="H1824" s="517" t="s">
        <v>6915</v>
      </c>
    </row>
    <row r="1825" spans="2:8" ht="15" x14ac:dyDescent="0.35">
      <c r="B1825" s="544" t="s">
        <v>6263</v>
      </c>
      <c r="C1825" s="517" t="s">
        <v>6361</v>
      </c>
      <c r="D1825" s="518">
        <v>9997</v>
      </c>
      <c r="E1825" s="517" t="s">
        <v>4487</v>
      </c>
      <c r="F1825" s="518" t="s">
        <v>26</v>
      </c>
      <c r="G1825" s="519">
        <v>17462</v>
      </c>
      <c r="H1825" s="517" t="s">
        <v>6915</v>
      </c>
    </row>
    <row r="1826" spans="2:8" ht="15" x14ac:dyDescent="0.35">
      <c r="B1826" s="544" t="s">
        <v>6263</v>
      </c>
      <c r="C1826" s="517" t="s">
        <v>6367</v>
      </c>
      <c r="D1826" s="518">
        <v>9999</v>
      </c>
      <c r="E1826" s="517" t="s">
        <v>4488</v>
      </c>
      <c r="F1826" s="518" t="s">
        <v>26</v>
      </c>
      <c r="G1826" s="519">
        <v>20309</v>
      </c>
      <c r="H1826" s="517" t="s">
        <v>6915</v>
      </c>
    </row>
    <row r="1827" spans="2:8" ht="15" x14ac:dyDescent="0.35">
      <c r="B1827" s="544" t="s">
        <v>6263</v>
      </c>
      <c r="C1827" s="517" t="s">
        <v>6359</v>
      </c>
      <c r="D1827" s="518">
        <v>10000</v>
      </c>
      <c r="E1827" s="517" t="s">
        <v>4489</v>
      </c>
      <c r="F1827" s="518" t="s">
        <v>26</v>
      </c>
      <c r="G1827" s="519">
        <v>345866</v>
      </c>
      <c r="H1827" s="517" t="s">
        <v>6915</v>
      </c>
    </row>
    <row r="1828" spans="2:8" ht="15" x14ac:dyDescent="0.35">
      <c r="B1828" s="544" t="s">
        <v>6263</v>
      </c>
      <c r="C1828" s="517" t="s">
        <v>6354</v>
      </c>
      <c r="D1828" s="518">
        <v>10009</v>
      </c>
      <c r="E1828" s="517" t="s">
        <v>4490</v>
      </c>
      <c r="F1828" s="518" t="s">
        <v>21</v>
      </c>
      <c r="G1828" s="519">
        <v>45802</v>
      </c>
      <c r="H1828" s="517" t="s">
        <v>6915</v>
      </c>
    </row>
    <row r="1829" spans="2:8" ht="15" x14ac:dyDescent="0.35">
      <c r="B1829" s="544" t="s">
        <v>6263</v>
      </c>
      <c r="C1829" s="517" t="s">
        <v>6354</v>
      </c>
      <c r="D1829" s="518">
        <v>10010</v>
      </c>
      <c r="E1829" s="517" t="s">
        <v>4491</v>
      </c>
      <c r="F1829" s="518" t="s">
        <v>26</v>
      </c>
      <c r="G1829" s="519">
        <v>7974</v>
      </c>
      <c r="H1829" s="517" t="s">
        <v>6915</v>
      </c>
    </row>
    <row r="1830" spans="2:8" ht="15" x14ac:dyDescent="0.35">
      <c r="B1830" s="544" t="s">
        <v>6263</v>
      </c>
      <c r="C1830" s="517" t="s">
        <v>6354</v>
      </c>
      <c r="D1830" s="518">
        <v>10011</v>
      </c>
      <c r="E1830" s="517" t="s">
        <v>4492</v>
      </c>
      <c r="F1830" s="518" t="s">
        <v>26</v>
      </c>
      <c r="G1830" s="519">
        <v>1693</v>
      </c>
      <c r="H1830" s="517" t="s">
        <v>6915</v>
      </c>
    </row>
    <row r="1831" spans="2:8" ht="15" x14ac:dyDescent="0.35">
      <c r="B1831" s="544" t="s">
        <v>6263</v>
      </c>
      <c r="C1831" s="517" t="s">
        <v>6354</v>
      </c>
      <c r="D1831" s="518">
        <v>10012</v>
      </c>
      <c r="E1831" s="517" t="s">
        <v>4493</v>
      </c>
      <c r="F1831" s="518" t="s">
        <v>21</v>
      </c>
      <c r="G1831" s="519">
        <v>29829</v>
      </c>
      <c r="H1831" s="517" t="s">
        <v>6915</v>
      </c>
    </row>
    <row r="1832" spans="2:8" ht="15" x14ac:dyDescent="0.35">
      <c r="B1832" s="544" t="s">
        <v>6263</v>
      </c>
      <c r="C1832" s="517" t="s">
        <v>6380</v>
      </c>
      <c r="D1832" s="518">
        <v>10013</v>
      </c>
      <c r="E1832" s="517" t="s">
        <v>4494</v>
      </c>
      <c r="F1832" s="518" t="s">
        <v>29</v>
      </c>
      <c r="G1832" s="519">
        <v>59500</v>
      </c>
      <c r="H1832" s="517" t="s">
        <v>6915</v>
      </c>
    </row>
    <row r="1833" spans="2:8" ht="15" x14ac:dyDescent="0.35">
      <c r="B1833" s="544" t="s">
        <v>6263</v>
      </c>
      <c r="C1833" s="517" t="s">
        <v>6403</v>
      </c>
      <c r="D1833" s="518">
        <v>10014</v>
      </c>
      <c r="E1833" s="517" t="s">
        <v>5914</v>
      </c>
      <c r="F1833" s="518" t="s">
        <v>29</v>
      </c>
      <c r="G1833" s="519">
        <v>59500</v>
      </c>
      <c r="H1833" s="517" t="s">
        <v>6915</v>
      </c>
    </row>
    <row r="1834" spans="2:8" ht="15" x14ac:dyDescent="0.35">
      <c r="B1834" s="544" t="s">
        <v>6263</v>
      </c>
      <c r="C1834" s="517" t="s">
        <v>6369</v>
      </c>
      <c r="D1834" s="518">
        <v>10015</v>
      </c>
      <c r="E1834" s="517" t="s">
        <v>4495</v>
      </c>
      <c r="F1834" s="518" t="s">
        <v>29</v>
      </c>
      <c r="G1834" s="519">
        <v>87584</v>
      </c>
      <c r="H1834" s="517" t="s">
        <v>6915</v>
      </c>
    </row>
    <row r="1835" spans="2:8" ht="15" x14ac:dyDescent="0.35">
      <c r="B1835" s="544" t="s">
        <v>6263</v>
      </c>
      <c r="C1835" s="517" t="s">
        <v>6371</v>
      </c>
      <c r="D1835" s="518">
        <v>10016</v>
      </c>
      <c r="E1835" s="517" t="s">
        <v>4496</v>
      </c>
      <c r="F1835" s="518" t="s">
        <v>29</v>
      </c>
      <c r="G1835" s="519">
        <v>226100</v>
      </c>
      <c r="H1835" s="517" t="s">
        <v>6915</v>
      </c>
    </row>
    <row r="1836" spans="2:8" ht="15" x14ac:dyDescent="0.35">
      <c r="B1836" s="544" t="s">
        <v>6263</v>
      </c>
      <c r="C1836" s="517" t="s">
        <v>6368</v>
      </c>
      <c r="D1836" s="518">
        <v>10017</v>
      </c>
      <c r="E1836" s="517" t="s">
        <v>5915</v>
      </c>
      <c r="F1836" s="518" t="s">
        <v>29</v>
      </c>
      <c r="G1836" s="519">
        <v>112000</v>
      </c>
      <c r="H1836" s="517" t="s">
        <v>6915</v>
      </c>
    </row>
    <row r="1837" spans="2:8" ht="15" x14ac:dyDescent="0.35">
      <c r="B1837" s="544" t="s">
        <v>6263</v>
      </c>
      <c r="C1837" s="517" t="s">
        <v>6374</v>
      </c>
      <c r="D1837" s="518">
        <v>10018</v>
      </c>
      <c r="E1837" s="517" t="s">
        <v>5916</v>
      </c>
      <c r="F1837" s="518" t="s">
        <v>29</v>
      </c>
      <c r="G1837" s="519">
        <v>236215</v>
      </c>
      <c r="H1837" s="517" t="s">
        <v>6915</v>
      </c>
    </row>
    <row r="1838" spans="2:8" ht="15" x14ac:dyDescent="0.35">
      <c r="B1838" s="544" t="s">
        <v>6263</v>
      </c>
      <c r="C1838" s="517" t="s">
        <v>6369</v>
      </c>
      <c r="D1838" s="518">
        <v>10019</v>
      </c>
      <c r="E1838" s="517" t="s">
        <v>4497</v>
      </c>
      <c r="F1838" s="518" t="s">
        <v>29</v>
      </c>
      <c r="G1838" s="519">
        <v>77469</v>
      </c>
      <c r="H1838" s="517" t="s">
        <v>6915</v>
      </c>
    </row>
    <row r="1839" spans="2:8" ht="15" x14ac:dyDescent="0.35">
      <c r="B1839" s="544" t="s">
        <v>6263</v>
      </c>
      <c r="C1839" s="517" t="s">
        <v>6369</v>
      </c>
      <c r="D1839" s="518">
        <v>10020</v>
      </c>
      <c r="E1839" s="517" t="s">
        <v>4498</v>
      </c>
      <c r="F1839" s="518" t="s">
        <v>29</v>
      </c>
      <c r="G1839" s="519">
        <v>58191</v>
      </c>
      <c r="H1839" s="517" t="s">
        <v>6915</v>
      </c>
    </row>
    <row r="1840" spans="2:8" ht="15" x14ac:dyDescent="0.35">
      <c r="B1840" s="544" t="s">
        <v>6263</v>
      </c>
      <c r="C1840" s="517" t="s">
        <v>6369</v>
      </c>
      <c r="D1840" s="518">
        <v>10021</v>
      </c>
      <c r="E1840" s="517" t="s">
        <v>4499</v>
      </c>
      <c r="F1840" s="518" t="s">
        <v>29</v>
      </c>
      <c r="G1840" s="519">
        <v>254660</v>
      </c>
      <c r="H1840" s="517" t="s">
        <v>6915</v>
      </c>
    </row>
    <row r="1841" spans="2:8" ht="15" x14ac:dyDescent="0.35">
      <c r="B1841" s="544" t="s">
        <v>6263</v>
      </c>
      <c r="C1841" s="517" t="s">
        <v>6369</v>
      </c>
      <c r="D1841" s="518">
        <v>10022</v>
      </c>
      <c r="E1841" s="517" t="s">
        <v>5917</v>
      </c>
      <c r="F1841" s="518" t="s">
        <v>29</v>
      </c>
      <c r="G1841" s="519">
        <v>850850</v>
      </c>
      <c r="H1841" s="517" t="s">
        <v>6915</v>
      </c>
    </row>
    <row r="1842" spans="2:8" ht="15" x14ac:dyDescent="0.35">
      <c r="B1842" s="544" t="s">
        <v>6263</v>
      </c>
      <c r="C1842" s="517" t="s">
        <v>6369</v>
      </c>
      <c r="D1842" s="518">
        <v>10023</v>
      </c>
      <c r="E1842" s="517" t="s">
        <v>5918</v>
      </c>
      <c r="F1842" s="518" t="s">
        <v>29</v>
      </c>
      <c r="G1842" s="519">
        <v>27370</v>
      </c>
      <c r="H1842" s="517" t="s">
        <v>6915</v>
      </c>
    </row>
    <row r="1843" spans="2:8" ht="15" x14ac:dyDescent="0.35">
      <c r="B1843" s="544" t="s">
        <v>6263</v>
      </c>
      <c r="C1843" s="517" t="s">
        <v>6369</v>
      </c>
      <c r="D1843" s="518">
        <v>10024</v>
      </c>
      <c r="E1843" s="517" t="s">
        <v>4500</v>
      </c>
      <c r="F1843" s="518" t="s">
        <v>29</v>
      </c>
      <c r="G1843" s="519">
        <v>276318</v>
      </c>
      <c r="H1843" s="517" t="s">
        <v>6915</v>
      </c>
    </row>
    <row r="1844" spans="2:8" ht="15" x14ac:dyDescent="0.35">
      <c r="B1844" s="544" t="s">
        <v>6263</v>
      </c>
      <c r="C1844" s="517" t="s">
        <v>6370</v>
      </c>
      <c r="D1844" s="518">
        <v>10025</v>
      </c>
      <c r="E1844" s="517" t="s">
        <v>4501</v>
      </c>
      <c r="F1844" s="518" t="s">
        <v>29</v>
      </c>
      <c r="G1844" s="519">
        <v>348670</v>
      </c>
      <c r="H1844" s="517" t="s">
        <v>6915</v>
      </c>
    </row>
    <row r="1845" spans="2:8" ht="15" x14ac:dyDescent="0.35">
      <c r="B1845" s="544" t="s">
        <v>6263</v>
      </c>
      <c r="C1845" s="517" t="s">
        <v>6397</v>
      </c>
      <c r="D1845" s="518">
        <v>10026</v>
      </c>
      <c r="E1845" s="517" t="s">
        <v>4502</v>
      </c>
      <c r="F1845" s="518" t="s">
        <v>29</v>
      </c>
      <c r="G1845" s="519">
        <v>416500</v>
      </c>
      <c r="H1845" s="517" t="s">
        <v>6915</v>
      </c>
    </row>
    <row r="1846" spans="2:8" ht="15" x14ac:dyDescent="0.35">
      <c r="B1846" s="544" t="s">
        <v>6263</v>
      </c>
      <c r="C1846" s="517" t="s">
        <v>6397</v>
      </c>
      <c r="D1846" s="518">
        <v>10027</v>
      </c>
      <c r="E1846" s="517" t="s">
        <v>4503</v>
      </c>
      <c r="F1846" s="518" t="s">
        <v>29</v>
      </c>
      <c r="G1846" s="519">
        <v>474929</v>
      </c>
      <c r="H1846" s="517" t="s">
        <v>6915</v>
      </c>
    </row>
    <row r="1847" spans="2:8" ht="15" x14ac:dyDescent="0.35">
      <c r="B1847" s="544" t="s">
        <v>6263</v>
      </c>
      <c r="C1847" s="517" t="s">
        <v>6397</v>
      </c>
      <c r="D1847" s="518">
        <v>10028</v>
      </c>
      <c r="E1847" s="517" t="s">
        <v>4504</v>
      </c>
      <c r="F1847" s="518" t="s">
        <v>29</v>
      </c>
      <c r="G1847" s="519">
        <v>299999</v>
      </c>
      <c r="H1847" s="517" t="s">
        <v>6915</v>
      </c>
    </row>
    <row r="1848" spans="2:8" ht="15" x14ac:dyDescent="0.35">
      <c r="B1848" s="544" t="s">
        <v>6263</v>
      </c>
      <c r="C1848" s="517" t="s">
        <v>6390</v>
      </c>
      <c r="D1848" s="518">
        <v>10032</v>
      </c>
      <c r="E1848" s="517" t="s">
        <v>4505</v>
      </c>
      <c r="F1848" s="518" t="s">
        <v>29</v>
      </c>
      <c r="G1848" s="519">
        <v>28577850</v>
      </c>
      <c r="H1848" s="517" t="s">
        <v>6915</v>
      </c>
    </row>
    <row r="1849" spans="2:8" ht="15" x14ac:dyDescent="0.35">
      <c r="B1849" s="544" t="s">
        <v>6263</v>
      </c>
      <c r="C1849" s="517" t="s">
        <v>6346</v>
      </c>
      <c r="D1849" s="518">
        <v>10035</v>
      </c>
      <c r="E1849" s="517" t="s">
        <v>5622</v>
      </c>
      <c r="F1849" s="518" t="s">
        <v>29</v>
      </c>
      <c r="G1849" s="519">
        <v>5421</v>
      </c>
      <c r="H1849" s="517" t="s">
        <v>6425</v>
      </c>
    </row>
    <row r="1850" spans="2:8" ht="15" x14ac:dyDescent="0.35">
      <c r="B1850" s="544" t="s">
        <v>6263</v>
      </c>
      <c r="C1850" s="517" t="s">
        <v>6402</v>
      </c>
      <c r="D1850" s="518">
        <v>10066</v>
      </c>
      <c r="E1850" s="517" t="s">
        <v>5919</v>
      </c>
      <c r="F1850" s="518" t="s">
        <v>29</v>
      </c>
      <c r="G1850" s="519">
        <v>197540</v>
      </c>
      <c r="H1850" s="517" t="s">
        <v>6915</v>
      </c>
    </row>
    <row r="1851" spans="2:8" ht="15" x14ac:dyDescent="0.35">
      <c r="B1851" s="544" t="s">
        <v>6263</v>
      </c>
      <c r="C1851" s="517" t="s">
        <v>6390</v>
      </c>
      <c r="D1851" s="518">
        <v>10072</v>
      </c>
      <c r="E1851" s="517" t="s">
        <v>4506</v>
      </c>
      <c r="F1851" s="518" t="s">
        <v>29</v>
      </c>
      <c r="G1851" s="519">
        <v>25233</v>
      </c>
      <c r="H1851" s="517" t="s">
        <v>6915</v>
      </c>
    </row>
    <row r="1852" spans="2:8" ht="15" x14ac:dyDescent="0.35">
      <c r="B1852" s="544" t="s">
        <v>6263</v>
      </c>
      <c r="C1852" s="517" t="s">
        <v>6390</v>
      </c>
      <c r="D1852" s="518">
        <v>10079</v>
      </c>
      <c r="E1852" s="517" t="s">
        <v>4507</v>
      </c>
      <c r="F1852" s="518" t="s">
        <v>29</v>
      </c>
      <c r="G1852" s="519">
        <v>174050</v>
      </c>
      <c r="H1852" s="517" t="s">
        <v>6915</v>
      </c>
    </row>
    <row r="1853" spans="2:8" ht="15" x14ac:dyDescent="0.35">
      <c r="B1853" s="544" t="s">
        <v>6263</v>
      </c>
      <c r="C1853" s="517" t="s">
        <v>6390</v>
      </c>
      <c r="D1853" s="518">
        <v>10085</v>
      </c>
      <c r="E1853" s="517" t="s">
        <v>4508</v>
      </c>
      <c r="F1853" s="518" t="s">
        <v>29</v>
      </c>
      <c r="G1853" s="519">
        <v>195550</v>
      </c>
      <c r="H1853" s="517" t="s">
        <v>6915</v>
      </c>
    </row>
    <row r="1854" spans="2:8" ht="15" x14ac:dyDescent="0.35">
      <c r="B1854" s="544" t="s">
        <v>6263</v>
      </c>
      <c r="C1854" s="517" t="s">
        <v>6341</v>
      </c>
      <c r="D1854" s="518">
        <v>10089</v>
      </c>
      <c r="E1854" s="517" t="s">
        <v>4509</v>
      </c>
      <c r="F1854" s="518" t="s">
        <v>367</v>
      </c>
      <c r="G1854" s="519">
        <v>6069</v>
      </c>
      <c r="H1854" s="517" t="s">
        <v>6425</v>
      </c>
    </row>
    <row r="1855" spans="2:8" ht="15" x14ac:dyDescent="0.35">
      <c r="B1855" s="544" t="s">
        <v>6263</v>
      </c>
      <c r="C1855" s="517" t="s">
        <v>6341</v>
      </c>
      <c r="D1855" s="518">
        <v>10090</v>
      </c>
      <c r="E1855" s="517" t="s">
        <v>4510</v>
      </c>
      <c r="F1855" s="518" t="s">
        <v>367</v>
      </c>
      <c r="G1855" s="519">
        <v>6069</v>
      </c>
      <c r="H1855" s="517" t="s">
        <v>6425</v>
      </c>
    </row>
    <row r="1856" spans="2:8" ht="15" x14ac:dyDescent="0.35">
      <c r="B1856" s="544" t="s">
        <v>6263</v>
      </c>
      <c r="C1856" s="517" t="s">
        <v>6390</v>
      </c>
      <c r="D1856" s="518">
        <v>10094</v>
      </c>
      <c r="E1856" s="517" t="s">
        <v>4511</v>
      </c>
      <c r="F1856" s="518" t="s">
        <v>29</v>
      </c>
      <c r="G1856" s="519">
        <v>3900</v>
      </c>
      <c r="H1856" s="517" t="s">
        <v>6915</v>
      </c>
    </row>
    <row r="1857" spans="2:8" ht="15" x14ac:dyDescent="0.35">
      <c r="B1857" s="544" t="s">
        <v>6263</v>
      </c>
      <c r="C1857" s="517" t="s">
        <v>6390</v>
      </c>
      <c r="D1857" s="518">
        <v>10096</v>
      </c>
      <c r="E1857" s="517" t="s">
        <v>4512</v>
      </c>
      <c r="F1857" s="518" t="s">
        <v>29</v>
      </c>
      <c r="G1857" s="519">
        <v>155463</v>
      </c>
      <c r="H1857" s="517" t="s">
        <v>6915</v>
      </c>
    </row>
    <row r="1858" spans="2:8" ht="15" x14ac:dyDescent="0.35">
      <c r="B1858" s="544" t="s">
        <v>6263</v>
      </c>
      <c r="C1858" s="517" t="s">
        <v>6346</v>
      </c>
      <c r="D1858" s="518">
        <v>10101</v>
      </c>
      <c r="E1858" s="517" t="s">
        <v>4513</v>
      </c>
      <c r="F1858" s="518" t="s">
        <v>29</v>
      </c>
      <c r="G1858" s="519">
        <v>1514</v>
      </c>
      <c r="H1858" s="517" t="s">
        <v>6425</v>
      </c>
    </row>
    <row r="1859" spans="2:8" ht="15" x14ac:dyDescent="0.35">
      <c r="B1859" s="544" t="s">
        <v>6263</v>
      </c>
      <c r="C1859" s="517" t="s">
        <v>6346</v>
      </c>
      <c r="D1859" s="518">
        <v>10136</v>
      </c>
      <c r="E1859" s="517" t="s">
        <v>4514</v>
      </c>
      <c r="F1859" s="518" t="s">
        <v>29</v>
      </c>
      <c r="G1859" s="519">
        <v>22318</v>
      </c>
      <c r="H1859" s="517" t="s">
        <v>6425</v>
      </c>
    </row>
    <row r="1860" spans="2:8" ht="15" x14ac:dyDescent="0.35">
      <c r="B1860" s="544" t="s">
        <v>6263</v>
      </c>
      <c r="C1860" s="517" t="s">
        <v>6358</v>
      </c>
      <c r="D1860" s="518">
        <v>10145</v>
      </c>
      <c r="E1860" s="517" t="s">
        <v>5920</v>
      </c>
      <c r="F1860" s="518" t="s">
        <v>29</v>
      </c>
      <c r="G1860" s="519">
        <v>568820</v>
      </c>
      <c r="H1860" s="517" t="s">
        <v>6915</v>
      </c>
    </row>
    <row r="1861" spans="2:8" ht="15" x14ac:dyDescent="0.35">
      <c r="B1861" s="544" t="s">
        <v>6263</v>
      </c>
      <c r="C1861" s="517" t="s">
        <v>6346</v>
      </c>
      <c r="D1861" s="518">
        <v>10147</v>
      </c>
      <c r="E1861" s="517" t="s">
        <v>5623</v>
      </c>
      <c r="F1861" s="518" t="s">
        <v>29</v>
      </c>
      <c r="G1861" s="519">
        <v>2409</v>
      </c>
      <c r="H1861" s="517" t="s">
        <v>6425</v>
      </c>
    </row>
    <row r="1862" spans="2:8" ht="15" x14ac:dyDescent="0.35">
      <c r="B1862" s="544" t="s">
        <v>6263</v>
      </c>
      <c r="C1862" s="517" t="s">
        <v>6358</v>
      </c>
      <c r="D1862" s="518">
        <v>10154</v>
      </c>
      <c r="E1862" s="517" t="s">
        <v>4515</v>
      </c>
      <c r="F1862" s="518" t="s">
        <v>29</v>
      </c>
      <c r="G1862" s="519">
        <v>1632900</v>
      </c>
      <c r="H1862" s="517" t="s">
        <v>6915</v>
      </c>
    </row>
    <row r="1863" spans="2:8" ht="15" x14ac:dyDescent="0.35">
      <c r="B1863" s="544" t="s">
        <v>6263</v>
      </c>
      <c r="C1863" s="517" t="s">
        <v>6358</v>
      </c>
      <c r="D1863" s="518">
        <v>10158</v>
      </c>
      <c r="E1863" s="517" t="s">
        <v>5921</v>
      </c>
      <c r="F1863" s="518" t="s">
        <v>29</v>
      </c>
      <c r="G1863" s="519">
        <v>708734</v>
      </c>
      <c r="H1863" s="517" t="s">
        <v>6915</v>
      </c>
    </row>
    <row r="1864" spans="2:8" ht="15" x14ac:dyDescent="0.35">
      <c r="B1864" s="544" t="s">
        <v>6263</v>
      </c>
      <c r="C1864" s="517" t="s">
        <v>6359</v>
      </c>
      <c r="D1864" s="518">
        <v>10163</v>
      </c>
      <c r="E1864" s="517" t="s">
        <v>4516</v>
      </c>
      <c r="F1864" s="518" t="s">
        <v>29</v>
      </c>
      <c r="G1864" s="519">
        <v>336665</v>
      </c>
      <c r="H1864" s="517" t="s">
        <v>6915</v>
      </c>
    </row>
    <row r="1865" spans="2:8" ht="15" x14ac:dyDescent="0.35">
      <c r="B1865" s="544" t="s">
        <v>6263</v>
      </c>
      <c r="C1865" s="517" t="s">
        <v>6358</v>
      </c>
      <c r="D1865" s="518">
        <v>10167</v>
      </c>
      <c r="E1865" s="517" t="s">
        <v>4517</v>
      </c>
      <c r="F1865" s="518" t="s">
        <v>29</v>
      </c>
      <c r="G1865" s="519">
        <v>62668</v>
      </c>
      <c r="H1865" s="517" t="s">
        <v>6915</v>
      </c>
    </row>
    <row r="1866" spans="2:8" ht="15" x14ac:dyDescent="0.35">
      <c r="B1866" s="544" t="s">
        <v>6263</v>
      </c>
      <c r="C1866" s="517" t="s">
        <v>6346</v>
      </c>
      <c r="D1866" s="518">
        <v>10181</v>
      </c>
      <c r="E1866" s="517" t="s">
        <v>5624</v>
      </c>
      <c r="F1866" s="518" t="s">
        <v>29</v>
      </c>
      <c r="G1866" s="519">
        <v>1570</v>
      </c>
      <c r="H1866" s="517" t="s">
        <v>6425</v>
      </c>
    </row>
    <row r="1867" spans="2:8" ht="15" x14ac:dyDescent="0.35">
      <c r="B1867" s="544" t="s">
        <v>6263</v>
      </c>
      <c r="C1867" s="517" t="s">
        <v>6339</v>
      </c>
      <c r="D1867" s="518">
        <v>10211</v>
      </c>
      <c r="E1867" s="517" t="s">
        <v>4518</v>
      </c>
      <c r="F1867" s="518" t="s">
        <v>29</v>
      </c>
      <c r="G1867" s="519">
        <v>153259</v>
      </c>
      <c r="H1867" s="517" t="s">
        <v>6425</v>
      </c>
    </row>
    <row r="1868" spans="2:8" ht="15" x14ac:dyDescent="0.35">
      <c r="B1868" s="544" t="s">
        <v>6263</v>
      </c>
      <c r="C1868" s="517" t="s">
        <v>6339</v>
      </c>
      <c r="D1868" s="518">
        <v>10212</v>
      </c>
      <c r="E1868" s="517" t="s">
        <v>4519</v>
      </c>
      <c r="F1868" s="518" t="s">
        <v>29</v>
      </c>
      <c r="G1868" s="519">
        <v>160223</v>
      </c>
      <c r="H1868" s="517" t="s">
        <v>6425</v>
      </c>
    </row>
    <row r="1869" spans="2:8" ht="15" x14ac:dyDescent="0.35">
      <c r="B1869" s="544" t="s">
        <v>6263</v>
      </c>
      <c r="C1869" s="517" t="s">
        <v>6346</v>
      </c>
      <c r="D1869" s="518">
        <v>10251</v>
      </c>
      <c r="E1869" s="517" t="s">
        <v>5625</v>
      </c>
      <c r="F1869" s="518" t="s">
        <v>29</v>
      </c>
      <c r="G1869" s="519">
        <v>2111</v>
      </c>
      <c r="H1869" s="517" t="s">
        <v>6425</v>
      </c>
    </row>
    <row r="1870" spans="2:8" ht="15" x14ac:dyDescent="0.35">
      <c r="B1870" s="544" t="s">
        <v>6263</v>
      </c>
      <c r="C1870" s="517" t="s">
        <v>6358</v>
      </c>
      <c r="D1870" s="518">
        <v>10262</v>
      </c>
      <c r="E1870" s="517" t="s">
        <v>5922</v>
      </c>
      <c r="F1870" s="518" t="s">
        <v>29</v>
      </c>
      <c r="G1870" s="519">
        <v>317730</v>
      </c>
      <c r="H1870" s="517" t="s">
        <v>6915</v>
      </c>
    </row>
    <row r="1871" spans="2:8" ht="15" x14ac:dyDescent="0.35">
      <c r="B1871" s="544" t="s">
        <v>6263</v>
      </c>
      <c r="C1871" s="517" t="s">
        <v>6367</v>
      </c>
      <c r="D1871" s="518">
        <v>10282</v>
      </c>
      <c r="E1871" s="517" t="s">
        <v>4520</v>
      </c>
      <c r="F1871" s="518" t="s">
        <v>3172</v>
      </c>
      <c r="G1871" s="519">
        <v>11814</v>
      </c>
      <c r="H1871" s="517" t="s">
        <v>6915</v>
      </c>
    </row>
    <row r="1872" spans="2:8" ht="15" x14ac:dyDescent="0.35">
      <c r="B1872" s="544" t="s">
        <v>6263</v>
      </c>
      <c r="C1872" s="517" t="s">
        <v>6390</v>
      </c>
      <c r="D1872" s="518">
        <v>10288</v>
      </c>
      <c r="E1872" s="517" t="s">
        <v>4521</v>
      </c>
      <c r="F1872" s="518" t="s">
        <v>29</v>
      </c>
      <c r="G1872" s="519">
        <v>240986</v>
      </c>
      <c r="H1872" s="517" t="s">
        <v>6915</v>
      </c>
    </row>
    <row r="1873" spans="2:8" ht="15" x14ac:dyDescent="0.35">
      <c r="B1873" s="544" t="s">
        <v>6263</v>
      </c>
      <c r="C1873" s="517" t="s">
        <v>6346</v>
      </c>
      <c r="D1873" s="518">
        <v>10299</v>
      </c>
      <c r="E1873" s="517" t="s">
        <v>5626</v>
      </c>
      <c r="F1873" s="518" t="s">
        <v>26</v>
      </c>
      <c r="G1873" s="519">
        <v>5059</v>
      </c>
      <c r="H1873" s="517" t="s">
        <v>6425</v>
      </c>
    </row>
    <row r="1874" spans="2:8" ht="15" x14ac:dyDescent="0.35">
      <c r="B1874" s="544" t="s">
        <v>6263</v>
      </c>
      <c r="C1874" s="517" t="s">
        <v>6358</v>
      </c>
      <c r="D1874" s="518">
        <v>10348</v>
      </c>
      <c r="E1874" s="517" t="s">
        <v>5923</v>
      </c>
      <c r="F1874" s="518" t="s">
        <v>29</v>
      </c>
      <c r="G1874" s="519">
        <v>153612</v>
      </c>
      <c r="H1874" s="517" t="s">
        <v>6915</v>
      </c>
    </row>
    <row r="1875" spans="2:8" ht="15" x14ac:dyDescent="0.35">
      <c r="B1875" s="544" t="s">
        <v>6263</v>
      </c>
      <c r="C1875" s="517" t="s">
        <v>6342</v>
      </c>
      <c r="D1875" s="518">
        <v>10355</v>
      </c>
      <c r="E1875" s="517" t="s">
        <v>4522</v>
      </c>
      <c r="F1875" s="518" t="s">
        <v>29</v>
      </c>
      <c r="G1875" s="519">
        <v>1200</v>
      </c>
      <c r="H1875" s="517" t="s">
        <v>6425</v>
      </c>
    </row>
    <row r="1876" spans="2:8" ht="15" x14ac:dyDescent="0.35">
      <c r="B1876" s="544" t="s">
        <v>6263</v>
      </c>
      <c r="C1876" s="517" t="s">
        <v>6392</v>
      </c>
      <c r="D1876" s="518">
        <v>10357</v>
      </c>
      <c r="E1876" s="517" t="s">
        <v>4523</v>
      </c>
      <c r="F1876" s="518" t="s">
        <v>21</v>
      </c>
      <c r="G1876" s="519">
        <v>110000</v>
      </c>
      <c r="H1876" s="517" t="s">
        <v>6915</v>
      </c>
    </row>
    <row r="1877" spans="2:8" ht="15" x14ac:dyDescent="0.35">
      <c r="B1877" s="544" t="s">
        <v>6263</v>
      </c>
      <c r="C1877" s="517" t="s">
        <v>6352</v>
      </c>
      <c r="D1877" s="518">
        <v>10359</v>
      </c>
      <c r="E1877" s="517" t="s">
        <v>4524</v>
      </c>
      <c r="F1877" s="518" t="s">
        <v>29</v>
      </c>
      <c r="G1877" s="519">
        <v>41949</v>
      </c>
      <c r="H1877" s="517" t="s">
        <v>6425</v>
      </c>
    </row>
    <row r="1878" spans="2:8" ht="15" x14ac:dyDescent="0.35">
      <c r="B1878" s="544" t="s">
        <v>6263</v>
      </c>
      <c r="C1878" s="517" t="s">
        <v>6339</v>
      </c>
      <c r="D1878" s="518">
        <v>10375</v>
      </c>
      <c r="E1878" s="517" t="s">
        <v>4525</v>
      </c>
      <c r="F1878" s="518" t="s">
        <v>29</v>
      </c>
      <c r="G1878" s="519">
        <v>250910</v>
      </c>
      <c r="H1878" s="517" t="s">
        <v>6425</v>
      </c>
    </row>
    <row r="1879" spans="2:8" ht="15" x14ac:dyDescent="0.35">
      <c r="B1879" s="544" t="s">
        <v>6263</v>
      </c>
      <c r="C1879" s="517" t="s">
        <v>6339</v>
      </c>
      <c r="D1879" s="518">
        <v>10381</v>
      </c>
      <c r="E1879" s="517" t="s">
        <v>4526</v>
      </c>
      <c r="F1879" s="518" t="s">
        <v>29</v>
      </c>
      <c r="G1879" s="519">
        <v>529699</v>
      </c>
      <c r="H1879" s="517" t="s">
        <v>6425</v>
      </c>
    </row>
    <row r="1880" spans="2:8" ht="15" x14ac:dyDescent="0.35">
      <c r="B1880" s="544" t="s">
        <v>6263</v>
      </c>
      <c r="C1880" s="517" t="s">
        <v>6390</v>
      </c>
      <c r="D1880" s="518">
        <v>10401</v>
      </c>
      <c r="E1880" s="517" t="s">
        <v>4527</v>
      </c>
      <c r="F1880" s="518" t="s">
        <v>29</v>
      </c>
      <c r="G1880" s="519">
        <v>10900</v>
      </c>
      <c r="H1880" s="517" t="s">
        <v>6915</v>
      </c>
    </row>
    <row r="1881" spans="2:8" ht="15" x14ac:dyDescent="0.35">
      <c r="B1881" s="544" t="s">
        <v>6263</v>
      </c>
      <c r="C1881" s="517" t="s">
        <v>6339</v>
      </c>
      <c r="D1881" s="518">
        <v>10421</v>
      </c>
      <c r="E1881" s="517" t="s">
        <v>4528</v>
      </c>
      <c r="F1881" s="518" t="s">
        <v>21</v>
      </c>
      <c r="G1881" s="519">
        <v>58029</v>
      </c>
      <c r="H1881" s="517" t="s">
        <v>6425</v>
      </c>
    </row>
    <row r="1882" spans="2:8" ht="15" x14ac:dyDescent="0.35">
      <c r="B1882" s="544" t="s">
        <v>6263</v>
      </c>
      <c r="C1882" s="517" t="s">
        <v>6390</v>
      </c>
      <c r="D1882" s="518">
        <v>10441</v>
      </c>
      <c r="E1882" s="517" t="s">
        <v>4529</v>
      </c>
      <c r="F1882" s="518" t="s">
        <v>26</v>
      </c>
      <c r="G1882" s="519">
        <v>2698</v>
      </c>
      <c r="H1882" s="517" t="s">
        <v>6915</v>
      </c>
    </row>
    <row r="1883" spans="2:8" ht="15" x14ac:dyDescent="0.35">
      <c r="B1883" s="544" t="s">
        <v>6263</v>
      </c>
      <c r="C1883" s="517" t="s">
        <v>6390</v>
      </c>
      <c r="D1883" s="518">
        <v>10442</v>
      </c>
      <c r="E1883" s="517" t="s">
        <v>4530</v>
      </c>
      <c r="F1883" s="518" t="s">
        <v>26</v>
      </c>
      <c r="G1883" s="519">
        <v>7250</v>
      </c>
      <c r="H1883" s="517" t="s">
        <v>6915</v>
      </c>
    </row>
    <row r="1884" spans="2:8" ht="15" x14ac:dyDescent="0.35">
      <c r="B1884" s="544" t="s">
        <v>6263</v>
      </c>
      <c r="C1884" s="517" t="s">
        <v>6367</v>
      </c>
      <c r="D1884" s="518">
        <v>10506</v>
      </c>
      <c r="E1884" s="517" t="s">
        <v>4531</v>
      </c>
      <c r="F1884" s="518" t="s">
        <v>29</v>
      </c>
      <c r="G1884" s="519">
        <v>125167</v>
      </c>
      <c r="H1884" s="517" t="s">
        <v>6915</v>
      </c>
    </row>
    <row r="1885" spans="2:8" ht="15" x14ac:dyDescent="0.35">
      <c r="B1885" s="544" t="s">
        <v>6263</v>
      </c>
      <c r="C1885" s="517" t="s">
        <v>6367</v>
      </c>
      <c r="D1885" s="518">
        <v>10510</v>
      </c>
      <c r="E1885" s="517" t="s">
        <v>4532</v>
      </c>
      <c r="F1885" s="518" t="s">
        <v>29</v>
      </c>
      <c r="G1885" s="519">
        <v>346120</v>
      </c>
      <c r="H1885" s="517" t="s">
        <v>6915</v>
      </c>
    </row>
    <row r="1886" spans="2:8" ht="15" x14ac:dyDescent="0.35">
      <c r="B1886" s="544" t="s">
        <v>6263</v>
      </c>
      <c r="C1886" s="517" t="s">
        <v>6367</v>
      </c>
      <c r="D1886" s="518">
        <v>10511</v>
      </c>
      <c r="E1886" s="517" t="s">
        <v>4533</v>
      </c>
      <c r="F1886" s="518" t="s">
        <v>29</v>
      </c>
      <c r="G1886" s="519">
        <v>188349</v>
      </c>
      <c r="H1886" s="517" t="s">
        <v>6915</v>
      </c>
    </row>
    <row r="1887" spans="2:8" ht="15" x14ac:dyDescent="0.35">
      <c r="B1887" s="544" t="s">
        <v>6263</v>
      </c>
      <c r="C1887" s="517" t="s">
        <v>6341</v>
      </c>
      <c r="D1887" s="518">
        <v>10517</v>
      </c>
      <c r="E1887" s="517" t="s">
        <v>4534</v>
      </c>
      <c r="F1887" s="518" t="s">
        <v>367</v>
      </c>
      <c r="G1887" s="519">
        <v>5117</v>
      </c>
      <c r="H1887" s="517" t="s">
        <v>6425</v>
      </c>
    </row>
    <row r="1888" spans="2:8" ht="15" x14ac:dyDescent="0.35">
      <c r="B1888" s="544" t="s">
        <v>6263</v>
      </c>
      <c r="C1888" s="517" t="s">
        <v>6363</v>
      </c>
      <c r="D1888" s="518">
        <v>10521</v>
      </c>
      <c r="E1888" s="517" t="s">
        <v>4535</v>
      </c>
      <c r="F1888" s="518" t="s">
        <v>367</v>
      </c>
      <c r="G1888" s="519">
        <v>4035</v>
      </c>
      <c r="H1888" s="517" t="s">
        <v>6915</v>
      </c>
    </row>
    <row r="1889" spans="2:8" ht="15" x14ac:dyDescent="0.35">
      <c r="B1889" s="544" t="s">
        <v>6263</v>
      </c>
      <c r="C1889" s="517" t="s">
        <v>6367</v>
      </c>
      <c r="D1889" s="518">
        <v>10547</v>
      </c>
      <c r="E1889" s="517" t="s">
        <v>4536</v>
      </c>
      <c r="F1889" s="518" t="s">
        <v>21</v>
      </c>
      <c r="G1889" s="519">
        <v>218168</v>
      </c>
      <c r="H1889" s="517" t="s">
        <v>6915</v>
      </c>
    </row>
    <row r="1890" spans="2:8" ht="15" x14ac:dyDescent="0.35">
      <c r="B1890" s="544" t="s">
        <v>6263</v>
      </c>
      <c r="C1890" s="517" t="s">
        <v>6367</v>
      </c>
      <c r="D1890" s="518">
        <v>10548</v>
      </c>
      <c r="E1890" s="517" t="s">
        <v>4537</v>
      </c>
      <c r="F1890" s="518" t="s">
        <v>3719</v>
      </c>
      <c r="G1890" s="519">
        <v>23856</v>
      </c>
      <c r="H1890" s="517" t="s">
        <v>6915</v>
      </c>
    </row>
    <row r="1891" spans="2:8" ht="15" x14ac:dyDescent="0.35">
      <c r="B1891" s="544" t="s">
        <v>6263</v>
      </c>
      <c r="C1891" s="517" t="s">
        <v>6404</v>
      </c>
      <c r="D1891" s="518">
        <v>10591</v>
      </c>
      <c r="E1891" s="517" t="s">
        <v>5924</v>
      </c>
      <c r="F1891" s="518" t="s">
        <v>29</v>
      </c>
      <c r="G1891" s="519">
        <v>5595412</v>
      </c>
      <c r="H1891" s="517" t="s">
        <v>6915</v>
      </c>
    </row>
    <row r="1892" spans="2:8" ht="15" x14ac:dyDescent="0.35">
      <c r="B1892" s="544" t="s">
        <v>6263</v>
      </c>
      <c r="C1892" s="517" t="s">
        <v>6379</v>
      </c>
      <c r="D1892" s="518">
        <v>10593</v>
      </c>
      <c r="E1892" s="517" t="s">
        <v>5925</v>
      </c>
      <c r="F1892" s="518" t="s">
        <v>26</v>
      </c>
      <c r="G1892" s="519">
        <v>989802</v>
      </c>
      <c r="H1892" s="517" t="s">
        <v>6915</v>
      </c>
    </row>
    <row r="1893" spans="2:8" ht="15" x14ac:dyDescent="0.35">
      <c r="B1893" s="544" t="s">
        <v>6263</v>
      </c>
      <c r="C1893" s="517" t="s">
        <v>6353</v>
      </c>
      <c r="D1893" s="518">
        <v>10594</v>
      </c>
      <c r="E1893" s="517" t="s">
        <v>5627</v>
      </c>
      <c r="F1893" s="518" t="s">
        <v>29</v>
      </c>
      <c r="G1893" s="519">
        <v>455908</v>
      </c>
      <c r="H1893" s="517" t="s">
        <v>6425</v>
      </c>
    </row>
    <row r="1894" spans="2:8" ht="15" x14ac:dyDescent="0.35">
      <c r="B1894" s="544" t="s">
        <v>6263</v>
      </c>
      <c r="C1894" s="517" t="s">
        <v>6353</v>
      </c>
      <c r="D1894" s="518">
        <v>10596</v>
      </c>
      <c r="E1894" s="517" t="s">
        <v>5628</v>
      </c>
      <c r="F1894" s="518" t="s">
        <v>29</v>
      </c>
      <c r="G1894" s="519">
        <v>698305</v>
      </c>
      <c r="H1894" s="517" t="s">
        <v>6425</v>
      </c>
    </row>
    <row r="1895" spans="2:8" ht="15" x14ac:dyDescent="0.35">
      <c r="B1895" s="544" t="s">
        <v>6263</v>
      </c>
      <c r="C1895" s="517" t="s">
        <v>6353</v>
      </c>
      <c r="D1895" s="518">
        <v>10597</v>
      </c>
      <c r="E1895" s="517" t="s">
        <v>5629</v>
      </c>
      <c r="F1895" s="518" t="s">
        <v>29</v>
      </c>
      <c r="G1895" s="519">
        <v>2284787</v>
      </c>
      <c r="H1895" s="517" t="s">
        <v>6425</v>
      </c>
    </row>
    <row r="1896" spans="2:8" ht="15" x14ac:dyDescent="0.35">
      <c r="B1896" s="544" t="s">
        <v>6263</v>
      </c>
      <c r="C1896" s="517" t="s">
        <v>6379</v>
      </c>
      <c r="D1896" s="518">
        <v>10599</v>
      </c>
      <c r="E1896" s="517" t="s">
        <v>5926</v>
      </c>
      <c r="F1896" s="518" t="s">
        <v>29</v>
      </c>
      <c r="G1896" s="519">
        <v>1553581</v>
      </c>
      <c r="H1896" s="517" t="s">
        <v>6915</v>
      </c>
    </row>
    <row r="1897" spans="2:8" ht="15" x14ac:dyDescent="0.35">
      <c r="B1897" s="544" t="s">
        <v>6263</v>
      </c>
      <c r="C1897" s="517" t="s">
        <v>6404</v>
      </c>
      <c r="D1897" s="518">
        <v>10600</v>
      </c>
      <c r="E1897" s="517" t="s">
        <v>5927</v>
      </c>
      <c r="F1897" s="518" t="s">
        <v>26</v>
      </c>
      <c r="G1897" s="519">
        <v>1038156</v>
      </c>
      <c r="H1897" s="517" t="s">
        <v>6915</v>
      </c>
    </row>
    <row r="1898" spans="2:8" ht="15" x14ac:dyDescent="0.35">
      <c r="B1898" s="544" t="s">
        <v>6263</v>
      </c>
      <c r="C1898" s="517" t="s">
        <v>6379</v>
      </c>
      <c r="D1898" s="518">
        <v>10601</v>
      </c>
      <c r="E1898" s="517" t="s">
        <v>5928</v>
      </c>
      <c r="F1898" s="518" t="s">
        <v>26</v>
      </c>
      <c r="G1898" s="519">
        <v>130662</v>
      </c>
      <c r="H1898" s="517" t="s">
        <v>6915</v>
      </c>
    </row>
    <row r="1899" spans="2:8" ht="15" x14ac:dyDescent="0.35">
      <c r="B1899" s="544" t="s">
        <v>6263</v>
      </c>
      <c r="C1899" s="517" t="s">
        <v>6354</v>
      </c>
      <c r="D1899" s="518">
        <v>10603</v>
      </c>
      <c r="E1899" s="517" t="s">
        <v>4538</v>
      </c>
      <c r="F1899" s="518" t="s">
        <v>29</v>
      </c>
      <c r="G1899" s="519">
        <v>1205910</v>
      </c>
      <c r="H1899" s="517" t="s">
        <v>6915</v>
      </c>
    </row>
    <row r="1900" spans="2:8" ht="15" x14ac:dyDescent="0.35">
      <c r="B1900" s="544" t="s">
        <v>6263</v>
      </c>
      <c r="C1900" s="517" t="s">
        <v>6379</v>
      </c>
      <c r="D1900" s="518">
        <v>10605</v>
      </c>
      <c r="E1900" s="517" t="s">
        <v>5929</v>
      </c>
      <c r="F1900" s="518" t="s">
        <v>26</v>
      </c>
      <c r="G1900" s="519">
        <v>1626849</v>
      </c>
      <c r="H1900" s="517" t="s">
        <v>6915</v>
      </c>
    </row>
    <row r="1901" spans="2:8" ht="15" x14ac:dyDescent="0.35">
      <c r="B1901" s="544" t="s">
        <v>6263</v>
      </c>
      <c r="C1901" s="517" t="s">
        <v>6379</v>
      </c>
      <c r="D1901" s="518">
        <v>10609</v>
      </c>
      <c r="E1901" s="517" t="s">
        <v>5930</v>
      </c>
      <c r="F1901" s="518" t="s">
        <v>29</v>
      </c>
      <c r="G1901" s="519">
        <v>881685</v>
      </c>
      <c r="H1901" s="517" t="s">
        <v>6915</v>
      </c>
    </row>
    <row r="1902" spans="2:8" ht="15" x14ac:dyDescent="0.35">
      <c r="B1902" s="544" t="s">
        <v>6263</v>
      </c>
      <c r="C1902" s="517" t="s">
        <v>6379</v>
      </c>
      <c r="D1902" s="518">
        <v>10613</v>
      </c>
      <c r="E1902" s="517" t="s">
        <v>5931</v>
      </c>
      <c r="F1902" s="518" t="s">
        <v>29</v>
      </c>
      <c r="G1902" s="519">
        <v>185336</v>
      </c>
      <c r="H1902" s="517" t="s">
        <v>6915</v>
      </c>
    </row>
    <row r="1903" spans="2:8" ht="15" x14ac:dyDescent="0.35">
      <c r="B1903" s="544" t="s">
        <v>6263</v>
      </c>
      <c r="C1903" s="517" t="s">
        <v>6359</v>
      </c>
      <c r="D1903" s="518">
        <v>10614</v>
      </c>
      <c r="E1903" s="517" t="s">
        <v>4539</v>
      </c>
      <c r="F1903" s="518" t="s">
        <v>29</v>
      </c>
      <c r="G1903" s="519">
        <v>327356</v>
      </c>
      <c r="H1903" s="517" t="s">
        <v>6915</v>
      </c>
    </row>
    <row r="1904" spans="2:8" ht="15" x14ac:dyDescent="0.35">
      <c r="B1904" s="544" t="s">
        <v>6263</v>
      </c>
      <c r="C1904" s="517" t="s">
        <v>6339</v>
      </c>
      <c r="D1904" s="518">
        <v>10617</v>
      </c>
      <c r="E1904" s="517" t="s">
        <v>4540</v>
      </c>
      <c r="F1904" s="518" t="s">
        <v>29</v>
      </c>
      <c r="G1904" s="519">
        <v>442126</v>
      </c>
      <c r="H1904" s="517" t="s">
        <v>6425</v>
      </c>
    </row>
    <row r="1905" spans="2:8" ht="15" x14ac:dyDescent="0.35">
      <c r="B1905" s="544" t="s">
        <v>6263</v>
      </c>
      <c r="C1905" s="517" t="s">
        <v>6388</v>
      </c>
      <c r="D1905" s="518">
        <v>10618</v>
      </c>
      <c r="E1905" s="517" t="s">
        <v>6451</v>
      </c>
      <c r="F1905" s="518" t="s">
        <v>26</v>
      </c>
      <c r="G1905" s="519">
        <v>6030920</v>
      </c>
      <c r="H1905" s="517" t="s">
        <v>6915</v>
      </c>
    </row>
    <row r="1906" spans="2:8" ht="15" x14ac:dyDescent="0.35">
      <c r="B1906" s="544" t="s">
        <v>6263</v>
      </c>
      <c r="C1906" s="517" t="s">
        <v>6388</v>
      </c>
      <c r="D1906" s="518">
        <v>10619</v>
      </c>
      <c r="E1906" s="517" t="s">
        <v>6452</v>
      </c>
      <c r="F1906" s="518" t="s">
        <v>26</v>
      </c>
      <c r="G1906" s="519">
        <v>10057880</v>
      </c>
      <c r="H1906" s="517" t="s">
        <v>6915</v>
      </c>
    </row>
    <row r="1907" spans="2:8" ht="15" x14ac:dyDescent="0.35">
      <c r="B1907" s="544" t="s">
        <v>6263</v>
      </c>
      <c r="C1907" s="517" t="s">
        <v>6358</v>
      </c>
      <c r="D1907" s="518">
        <v>10621</v>
      </c>
      <c r="E1907" s="517" t="s">
        <v>5932</v>
      </c>
      <c r="F1907" s="518" t="s">
        <v>29</v>
      </c>
      <c r="G1907" s="519">
        <v>2099160</v>
      </c>
      <c r="H1907" s="517" t="s">
        <v>6915</v>
      </c>
    </row>
    <row r="1908" spans="2:8" ht="15" x14ac:dyDescent="0.35">
      <c r="B1908" s="544" t="s">
        <v>6263</v>
      </c>
      <c r="C1908" s="517" t="s">
        <v>6341</v>
      </c>
      <c r="D1908" s="518">
        <v>10624</v>
      </c>
      <c r="E1908" s="517" t="s">
        <v>4541</v>
      </c>
      <c r="F1908" s="518" t="s">
        <v>367</v>
      </c>
      <c r="G1908" s="519">
        <v>7140</v>
      </c>
      <c r="H1908" s="517" t="s">
        <v>6425</v>
      </c>
    </row>
    <row r="1909" spans="2:8" ht="15" x14ac:dyDescent="0.35">
      <c r="B1909" s="544" t="s">
        <v>6263</v>
      </c>
      <c r="C1909" s="517" t="s">
        <v>6359</v>
      </c>
      <c r="D1909" s="518">
        <v>10625</v>
      </c>
      <c r="E1909" s="517" t="s">
        <v>2103</v>
      </c>
      <c r="F1909" s="518" t="s">
        <v>29</v>
      </c>
      <c r="G1909" s="519">
        <v>447286</v>
      </c>
      <c r="H1909" s="517" t="s">
        <v>6915</v>
      </c>
    </row>
    <row r="1910" spans="2:8" ht="15" x14ac:dyDescent="0.35">
      <c r="B1910" s="544" t="s">
        <v>6263</v>
      </c>
      <c r="C1910" s="517" t="s">
        <v>6359</v>
      </c>
      <c r="D1910" s="518">
        <v>10626</v>
      </c>
      <c r="E1910" s="517" t="s">
        <v>2104</v>
      </c>
      <c r="F1910" s="518" t="s">
        <v>29</v>
      </c>
      <c r="G1910" s="519">
        <v>560248</v>
      </c>
      <c r="H1910" s="517" t="s">
        <v>6915</v>
      </c>
    </row>
    <row r="1911" spans="2:8" ht="15" x14ac:dyDescent="0.35">
      <c r="B1911" s="544" t="s">
        <v>6263</v>
      </c>
      <c r="C1911" s="517" t="s">
        <v>6359</v>
      </c>
      <c r="D1911" s="518">
        <v>10627</v>
      </c>
      <c r="E1911" s="517" t="s">
        <v>4542</v>
      </c>
      <c r="F1911" s="518" t="s">
        <v>29</v>
      </c>
      <c r="G1911" s="519">
        <v>465521</v>
      </c>
      <c r="H1911" s="517" t="s">
        <v>6915</v>
      </c>
    </row>
    <row r="1912" spans="2:8" ht="15" x14ac:dyDescent="0.35">
      <c r="B1912" s="544" t="s">
        <v>6263</v>
      </c>
      <c r="C1912" s="517" t="s">
        <v>6359</v>
      </c>
      <c r="D1912" s="518">
        <v>10628</v>
      </c>
      <c r="E1912" s="517" t="s">
        <v>2106</v>
      </c>
      <c r="F1912" s="518" t="s">
        <v>29</v>
      </c>
      <c r="G1912" s="519">
        <v>487168</v>
      </c>
      <c r="H1912" s="517" t="s">
        <v>6915</v>
      </c>
    </row>
    <row r="1913" spans="2:8" ht="15" x14ac:dyDescent="0.35">
      <c r="B1913" s="544" t="s">
        <v>6263</v>
      </c>
      <c r="C1913" s="517" t="s">
        <v>6359</v>
      </c>
      <c r="D1913" s="518">
        <v>10629</v>
      </c>
      <c r="E1913" s="517" t="s">
        <v>4543</v>
      </c>
      <c r="F1913" s="518" t="s">
        <v>29</v>
      </c>
      <c r="G1913" s="519">
        <v>465521</v>
      </c>
      <c r="H1913" s="517" t="s">
        <v>6915</v>
      </c>
    </row>
    <row r="1914" spans="2:8" ht="15" x14ac:dyDescent="0.35">
      <c r="B1914" s="544" t="s">
        <v>6263</v>
      </c>
      <c r="C1914" s="517" t="s">
        <v>6359</v>
      </c>
      <c r="D1914" s="518">
        <v>10634</v>
      </c>
      <c r="E1914" s="517" t="s">
        <v>4544</v>
      </c>
      <c r="F1914" s="518" t="s">
        <v>29</v>
      </c>
      <c r="G1914" s="519">
        <v>489804</v>
      </c>
      <c r="H1914" s="517" t="s">
        <v>6915</v>
      </c>
    </row>
    <row r="1915" spans="2:8" ht="15" x14ac:dyDescent="0.35">
      <c r="B1915" s="544" t="s">
        <v>6263</v>
      </c>
      <c r="C1915" s="517" t="s">
        <v>6359</v>
      </c>
      <c r="D1915" s="518">
        <v>10635</v>
      </c>
      <c r="E1915" s="517" t="s">
        <v>4545</v>
      </c>
      <c r="F1915" s="518" t="s">
        <v>29</v>
      </c>
      <c r="G1915" s="519">
        <v>440667</v>
      </c>
      <c r="H1915" s="517" t="s">
        <v>6915</v>
      </c>
    </row>
    <row r="1916" spans="2:8" ht="15" x14ac:dyDescent="0.35">
      <c r="B1916" s="544" t="s">
        <v>6263</v>
      </c>
      <c r="C1916" s="517" t="s">
        <v>6359</v>
      </c>
      <c r="D1916" s="518">
        <v>10636</v>
      </c>
      <c r="E1916" s="517" t="s">
        <v>4546</v>
      </c>
      <c r="F1916" s="518" t="s">
        <v>29</v>
      </c>
      <c r="G1916" s="519">
        <v>559968</v>
      </c>
      <c r="H1916" s="517" t="s">
        <v>6915</v>
      </c>
    </row>
    <row r="1917" spans="2:8" ht="15" x14ac:dyDescent="0.35">
      <c r="B1917" s="544" t="s">
        <v>6263</v>
      </c>
      <c r="C1917" s="517" t="s">
        <v>6346</v>
      </c>
      <c r="D1917" s="518">
        <v>10639</v>
      </c>
      <c r="E1917" s="517" t="s">
        <v>5630</v>
      </c>
      <c r="F1917" s="518" t="s">
        <v>29</v>
      </c>
      <c r="G1917" s="519">
        <v>262920</v>
      </c>
      <c r="H1917" s="517" t="s">
        <v>6425</v>
      </c>
    </row>
    <row r="1918" spans="2:8" ht="15" x14ac:dyDescent="0.35">
      <c r="B1918" s="544" t="s">
        <v>6263</v>
      </c>
      <c r="C1918" s="517" t="s">
        <v>6346</v>
      </c>
      <c r="D1918" s="518">
        <v>10640</v>
      </c>
      <c r="E1918" s="517" t="s">
        <v>5631</v>
      </c>
      <c r="F1918" s="518" t="s">
        <v>29</v>
      </c>
      <c r="G1918" s="519">
        <v>1901033</v>
      </c>
      <c r="H1918" s="517" t="s">
        <v>6425</v>
      </c>
    </row>
    <row r="1919" spans="2:8" ht="15" x14ac:dyDescent="0.35">
      <c r="B1919" s="544" t="s">
        <v>6263</v>
      </c>
      <c r="C1919" s="517" t="s">
        <v>6346</v>
      </c>
      <c r="D1919" s="518">
        <v>10641</v>
      </c>
      <c r="E1919" s="517" t="s">
        <v>5632</v>
      </c>
      <c r="F1919" s="518" t="s">
        <v>29</v>
      </c>
      <c r="G1919" s="519">
        <v>1901033</v>
      </c>
      <c r="H1919" s="517" t="s">
        <v>6425</v>
      </c>
    </row>
    <row r="1920" spans="2:8" ht="15" x14ac:dyDescent="0.35">
      <c r="B1920" s="544" t="s">
        <v>6263</v>
      </c>
      <c r="C1920" s="517" t="s">
        <v>6346</v>
      </c>
      <c r="D1920" s="518">
        <v>10642</v>
      </c>
      <c r="E1920" s="517" t="s">
        <v>5633</v>
      </c>
      <c r="F1920" s="518" t="s">
        <v>29</v>
      </c>
      <c r="G1920" s="519">
        <v>726863</v>
      </c>
      <c r="H1920" s="517" t="s">
        <v>6425</v>
      </c>
    </row>
    <row r="1921" spans="2:8" ht="15" x14ac:dyDescent="0.35">
      <c r="B1921" s="544" t="s">
        <v>6263</v>
      </c>
      <c r="C1921" s="517" t="s">
        <v>6346</v>
      </c>
      <c r="D1921" s="518">
        <v>10643</v>
      </c>
      <c r="E1921" s="517" t="s">
        <v>5634</v>
      </c>
      <c r="F1921" s="518" t="s">
        <v>29</v>
      </c>
      <c r="G1921" s="519">
        <v>3283968</v>
      </c>
      <c r="H1921" s="517" t="s">
        <v>6425</v>
      </c>
    </row>
    <row r="1922" spans="2:8" ht="15" x14ac:dyDescent="0.35">
      <c r="B1922" s="544" t="s">
        <v>6263</v>
      </c>
      <c r="C1922" s="517" t="s">
        <v>6346</v>
      </c>
      <c r="D1922" s="518">
        <v>10644</v>
      </c>
      <c r="E1922" s="517" t="s">
        <v>5635</v>
      </c>
      <c r="F1922" s="518" t="s">
        <v>29</v>
      </c>
      <c r="G1922" s="519">
        <v>3359067</v>
      </c>
      <c r="H1922" s="517" t="s">
        <v>6425</v>
      </c>
    </row>
    <row r="1923" spans="2:8" ht="15" x14ac:dyDescent="0.35">
      <c r="B1923" s="544" t="s">
        <v>6263</v>
      </c>
      <c r="C1923" s="517" t="s">
        <v>6353</v>
      </c>
      <c r="D1923" s="518">
        <v>10645</v>
      </c>
      <c r="E1923" s="517" t="s">
        <v>5636</v>
      </c>
      <c r="F1923" s="518" t="s">
        <v>26</v>
      </c>
      <c r="G1923" s="519">
        <v>658308</v>
      </c>
      <c r="H1923" s="517" t="s">
        <v>6425</v>
      </c>
    </row>
    <row r="1924" spans="2:8" ht="15" x14ac:dyDescent="0.35">
      <c r="B1924" s="544" t="s">
        <v>6263</v>
      </c>
      <c r="C1924" s="517" t="s">
        <v>6353</v>
      </c>
      <c r="D1924" s="518">
        <v>10646</v>
      </c>
      <c r="E1924" s="517" t="s">
        <v>5637</v>
      </c>
      <c r="F1924" s="518" t="s">
        <v>26</v>
      </c>
      <c r="G1924" s="519">
        <v>793692</v>
      </c>
      <c r="H1924" s="517" t="s">
        <v>6425</v>
      </c>
    </row>
    <row r="1925" spans="2:8" ht="15" x14ac:dyDescent="0.35">
      <c r="B1925" s="544" t="s">
        <v>6263</v>
      </c>
      <c r="C1925" s="517" t="s">
        <v>6353</v>
      </c>
      <c r="D1925" s="518">
        <v>10647</v>
      </c>
      <c r="E1925" s="517" t="s">
        <v>5638</v>
      </c>
      <c r="F1925" s="518" t="s">
        <v>26</v>
      </c>
      <c r="G1925" s="519">
        <v>979846</v>
      </c>
      <c r="H1925" s="517" t="s">
        <v>6425</v>
      </c>
    </row>
    <row r="1926" spans="2:8" ht="15" x14ac:dyDescent="0.35">
      <c r="B1926" s="544" t="s">
        <v>6263</v>
      </c>
      <c r="C1926" s="517" t="s">
        <v>6353</v>
      </c>
      <c r="D1926" s="518">
        <v>10648</v>
      </c>
      <c r="E1926" s="517" t="s">
        <v>5639</v>
      </c>
      <c r="F1926" s="518" t="s">
        <v>26</v>
      </c>
      <c r="G1926" s="519">
        <v>1818385</v>
      </c>
      <c r="H1926" s="517" t="s">
        <v>6425</v>
      </c>
    </row>
    <row r="1927" spans="2:8" ht="15" x14ac:dyDescent="0.35">
      <c r="B1927" s="544" t="s">
        <v>6263</v>
      </c>
      <c r="C1927" s="517" t="s">
        <v>6353</v>
      </c>
      <c r="D1927" s="518">
        <v>10649</v>
      </c>
      <c r="E1927" s="517" t="s">
        <v>5640</v>
      </c>
      <c r="F1927" s="518" t="s">
        <v>26</v>
      </c>
      <c r="G1927" s="519">
        <v>2435231</v>
      </c>
      <c r="H1927" s="517" t="s">
        <v>6425</v>
      </c>
    </row>
    <row r="1928" spans="2:8" ht="15" x14ac:dyDescent="0.35">
      <c r="B1928" s="544" t="s">
        <v>6263</v>
      </c>
      <c r="C1928" s="517" t="s">
        <v>6353</v>
      </c>
      <c r="D1928" s="518">
        <v>10650</v>
      </c>
      <c r="E1928" s="517" t="s">
        <v>5641</v>
      </c>
      <c r="F1928" s="518" t="s">
        <v>26</v>
      </c>
      <c r="G1928" s="519">
        <v>3756923</v>
      </c>
      <c r="H1928" s="517" t="s">
        <v>6425</v>
      </c>
    </row>
    <row r="1929" spans="2:8" ht="15" x14ac:dyDescent="0.35">
      <c r="B1929" s="544" t="s">
        <v>6263</v>
      </c>
      <c r="C1929" s="517" t="s">
        <v>6358</v>
      </c>
      <c r="D1929" s="518">
        <v>10651</v>
      </c>
      <c r="E1929" s="517" t="s">
        <v>5933</v>
      </c>
      <c r="F1929" s="518" t="s">
        <v>29</v>
      </c>
      <c r="G1929" s="519">
        <v>587860</v>
      </c>
      <c r="H1929" s="517" t="s">
        <v>6915</v>
      </c>
    </row>
    <row r="1930" spans="2:8" ht="15" x14ac:dyDescent="0.35">
      <c r="B1930" s="544" t="s">
        <v>6263</v>
      </c>
      <c r="C1930" s="517" t="s">
        <v>6390</v>
      </c>
      <c r="D1930" s="518">
        <v>10653</v>
      </c>
      <c r="E1930" s="517" t="s">
        <v>4547</v>
      </c>
      <c r="F1930" s="518" t="s">
        <v>29</v>
      </c>
      <c r="G1930" s="519">
        <v>116822</v>
      </c>
      <c r="H1930" s="517" t="s">
        <v>6915</v>
      </c>
    </row>
    <row r="1931" spans="2:8" ht="15" x14ac:dyDescent="0.35">
      <c r="B1931" s="544" t="s">
        <v>6263</v>
      </c>
      <c r="C1931" s="517" t="s">
        <v>6379</v>
      </c>
      <c r="D1931" s="518">
        <v>10655</v>
      </c>
      <c r="E1931" s="517" t="s">
        <v>5934</v>
      </c>
      <c r="F1931" s="518" t="s">
        <v>26</v>
      </c>
      <c r="G1931" s="519">
        <v>34028</v>
      </c>
      <c r="H1931" s="517" t="s">
        <v>6915</v>
      </c>
    </row>
    <row r="1932" spans="2:8" ht="15" x14ac:dyDescent="0.35">
      <c r="B1932" s="544" t="s">
        <v>6263</v>
      </c>
      <c r="C1932" s="517" t="s">
        <v>6358</v>
      </c>
      <c r="D1932" s="518">
        <v>10656</v>
      </c>
      <c r="E1932" s="517" t="s">
        <v>5935</v>
      </c>
      <c r="F1932" s="518" t="s">
        <v>29</v>
      </c>
      <c r="G1932" s="519">
        <v>1455370</v>
      </c>
      <c r="H1932" s="517" t="s">
        <v>6915</v>
      </c>
    </row>
    <row r="1933" spans="2:8" ht="15" x14ac:dyDescent="0.35">
      <c r="B1933" s="544" t="s">
        <v>6263</v>
      </c>
      <c r="C1933" s="517" t="s">
        <v>6358</v>
      </c>
      <c r="D1933" s="518">
        <v>10657</v>
      </c>
      <c r="E1933" s="517" t="s">
        <v>4548</v>
      </c>
      <c r="F1933" s="518" t="s">
        <v>29</v>
      </c>
      <c r="G1933" s="519">
        <v>2706453</v>
      </c>
      <c r="H1933" s="517" t="s">
        <v>6915</v>
      </c>
    </row>
    <row r="1934" spans="2:8" ht="15" x14ac:dyDescent="0.35">
      <c r="B1934" s="544" t="s">
        <v>6263</v>
      </c>
      <c r="C1934" s="517" t="s">
        <v>6390</v>
      </c>
      <c r="D1934" s="518">
        <v>10658</v>
      </c>
      <c r="E1934" s="517" t="s">
        <v>4549</v>
      </c>
      <c r="F1934" s="518" t="s">
        <v>29</v>
      </c>
      <c r="G1934" s="519">
        <v>99000</v>
      </c>
      <c r="H1934" s="517" t="s">
        <v>6915</v>
      </c>
    </row>
    <row r="1935" spans="2:8" ht="15" x14ac:dyDescent="0.35">
      <c r="B1935" s="544" t="s">
        <v>6263</v>
      </c>
      <c r="C1935" s="517" t="s">
        <v>6358</v>
      </c>
      <c r="D1935" s="518">
        <v>10659</v>
      </c>
      <c r="E1935" s="517" t="s">
        <v>5936</v>
      </c>
      <c r="F1935" s="518" t="s">
        <v>29</v>
      </c>
      <c r="G1935" s="519">
        <v>10939538</v>
      </c>
      <c r="H1935" s="517" t="s">
        <v>6915</v>
      </c>
    </row>
    <row r="1936" spans="2:8" ht="15" x14ac:dyDescent="0.35">
      <c r="B1936" s="544" t="s">
        <v>6263</v>
      </c>
      <c r="C1936" s="517" t="s">
        <v>6352</v>
      </c>
      <c r="D1936" s="518">
        <v>10662</v>
      </c>
      <c r="E1936" s="517" t="s">
        <v>4550</v>
      </c>
      <c r="F1936" s="518" t="s">
        <v>29</v>
      </c>
      <c r="G1936" s="519">
        <v>41949</v>
      </c>
      <c r="H1936" s="517" t="s">
        <v>6425</v>
      </c>
    </row>
    <row r="1937" spans="2:8" ht="15" x14ac:dyDescent="0.35">
      <c r="B1937" s="544" t="s">
        <v>6263</v>
      </c>
      <c r="C1937" s="517" t="s">
        <v>6359</v>
      </c>
      <c r="D1937" s="518">
        <v>10669</v>
      </c>
      <c r="E1937" s="517" t="s">
        <v>4551</v>
      </c>
      <c r="F1937" s="518" t="s">
        <v>29</v>
      </c>
      <c r="G1937" s="519">
        <v>421433</v>
      </c>
      <c r="H1937" s="517" t="s">
        <v>6915</v>
      </c>
    </row>
    <row r="1938" spans="2:8" ht="15" x14ac:dyDescent="0.35">
      <c r="B1938" s="544" t="s">
        <v>6263</v>
      </c>
      <c r="C1938" s="517" t="s">
        <v>6359</v>
      </c>
      <c r="D1938" s="518">
        <v>10670</v>
      </c>
      <c r="E1938" s="517" t="s">
        <v>4552</v>
      </c>
      <c r="F1938" s="518" t="s">
        <v>29</v>
      </c>
      <c r="G1938" s="519">
        <v>328408</v>
      </c>
      <c r="H1938" s="517" t="s">
        <v>6915</v>
      </c>
    </row>
    <row r="1939" spans="2:8" ht="15" x14ac:dyDescent="0.35">
      <c r="B1939" s="544" t="s">
        <v>6263</v>
      </c>
      <c r="C1939" s="517" t="s">
        <v>6353</v>
      </c>
      <c r="D1939" s="518">
        <v>10673</v>
      </c>
      <c r="E1939" s="517" t="s">
        <v>5642</v>
      </c>
      <c r="F1939" s="518" t="s">
        <v>26</v>
      </c>
      <c r="G1939" s="519">
        <v>1345385</v>
      </c>
      <c r="H1939" s="517" t="s">
        <v>6425</v>
      </c>
    </row>
    <row r="1940" spans="2:8" ht="15" x14ac:dyDescent="0.35">
      <c r="B1940" s="544" t="s">
        <v>6263</v>
      </c>
      <c r="C1940" s="517" t="s">
        <v>6353</v>
      </c>
      <c r="D1940" s="518">
        <v>10674</v>
      </c>
      <c r="E1940" s="517" t="s">
        <v>5643</v>
      </c>
      <c r="F1940" s="518" t="s">
        <v>26</v>
      </c>
      <c r="G1940" s="519">
        <v>2855769</v>
      </c>
      <c r="H1940" s="517" t="s">
        <v>6425</v>
      </c>
    </row>
    <row r="1941" spans="2:8" ht="15" x14ac:dyDescent="0.35">
      <c r="B1941" s="544" t="s">
        <v>6263</v>
      </c>
      <c r="C1941" s="517" t="s">
        <v>6379</v>
      </c>
      <c r="D1941" s="518">
        <v>10676</v>
      </c>
      <c r="E1941" s="517" t="s">
        <v>5937</v>
      </c>
      <c r="F1941" s="518" t="s">
        <v>26</v>
      </c>
      <c r="G1941" s="519">
        <v>21420</v>
      </c>
      <c r="H1941" s="517" t="s">
        <v>6915</v>
      </c>
    </row>
    <row r="1942" spans="2:8" ht="15" x14ac:dyDescent="0.35">
      <c r="B1942" s="544" t="s">
        <v>6263</v>
      </c>
      <c r="C1942" s="517" t="s">
        <v>6379</v>
      </c>
      <c r="D1942" s="518">
        <v>10677</v>
      </c>
      <c r="E1942" s="517" t="s">
        <v>5938</v>
      </c>
      <c r="F1942" s="518" t="s">
        <v>26</v>
      </c>
      <c r="G1942" s="519">
        <v>32725</v>
      </c>
      <c r="H1942" s="517" t="s">
        <v>6915</v>
      </c>
    </row>
    <row r="1943" spans="2:8" ht="15" x14ac:dyDescent="0.35">
      <c r="B1943" s="544" t="s">
        <v>6263</v>
      </c>
      <c r="C1943" s="517" t="s">
        <v>6358</v>
      </c>
      <c r="D1943" s="518">
        <v>10678</v>
      </c>
      <c r="E1943" s="517" t="s">
        <v>5939</v>
      </c>
      <c r="F1943" s="518" t="s">
        <v>29</v>
      </c>
      <c r="G1943" s="519">
        <v>7616000</v>
      </c>
      <c r="H1943" s="517" t="s">
        <v>6915</v>
      </c>
    </row>
    <row r="1944" spans="2:8" ht="15" x14ac:dyDescent="0.35">
      <c r="B1944" s="544" t="s">
        <v>6263</v>
      </c>
      <c r="C1944" s="517" t="s">
        <v>6358</v>
      </c>
      <c r="D1944" s="518">
        <v>10680</v>
      </c>
      <c r="E1944" s="517" t="s">
        <v>5940</v>
      </c>
      <c r="F1944" s="518" t="s">
        <v>29</v>
      </c>
      <c r="G1944" s="519">
        <v>5212200</v>
      </c>
      <c r="H1944" s="517" t="s">
        <v>6915</v>
      </c>
    </row>
    <row r="1945" spans="2:8" ht="15" x14ac:dyDescent="0.35">
      <c r="B1945" s="544" t="s">
        <v>6263</v>
      </c>
      <c r="C1945" s="517" t="s">
        <v>6358</v>
      </c>
      <c r="D1945" s="518">
        <v>10681</v>
      </c>
      <c r="E1945" s="517" t="s">
        <v>5941</v>
      </c>
      <c r="F1945" s="518" t="s">
        <v>29</v>
      </c>
      <c r="G1945" s="519">
        <v>9954350</v>
      </c>
      <c r="H1945" s="517" t="s">
        <v>6915</v>
      </c>
    </row>
    <row r="1946" spans="2:8" ht="15" x14ac:dyDescent="0.35">
      <c r="B1946" s="544" t="s">
        <v>6263</v>
      </c>
      <c r="C1946" s="517" t="s">
        <v>6358</v>
      </c>
      <c r="D1946" s="518">
        <v>10682</v>
      </c>
      <c r="E1946" s="517" t="s">
        <v>4553</v>
      </c>
      <c r="F1946" s="518" t="s">
        <v>29</v>
      </c>
      <c r="G1946" s="519">
        <v>3015210</v>
      </c>
      <c r="H1946" s="517" t="s">
        <v>6915</v>
      </c>
    </row>
    <row r="1947" spans="2:8" ht="15" x14ac:dyDescent="0.35">
      <c r="B1947" s="544" t="s">
        <v>6263</v>
      </c>
      <c r="C1947" s="517" t="s">
        <v>6358</v>
      </c>
      <c r="D1947" s="518">
        <v>10684</v>
      </c>
      <c r="E1947" s="517" t="s">
        <v>5942</v>
      </c>
      <c r="F1947" s="518" t="s">
        <v>29</v>
      </c>
      <c r="G1947" s="519">
        <v>861560</v>
      </c>
      <c r="H1947" s="517" t="s">
        <v>6915</v>
      </c>
    </row>
    <row r="1948" spans="2:8" ht="15" x14ac:dyDescent="0.35">
      <c r="B1948" s="544" t="s">
        <v>6263</v>
      </c>
      <c r="C1948" s="517" t="s">
        <v>6404</v>
      </c>
      <c r="D1948" s="518">
        <v>10687</v>
      </c>
      <c r="E1948" s="517" t="s">
        <v>5943</v>
      </c>
      <c r="F1948" s="518" t="s">
        <v>29</v>
      </c>
      <c r="G1948" s="519">
        <v>6386223</v>
      </c>
      <c r="H1948" s="517" t="s">
        <v>6915</v>
      </c>
    </row>
    <row r="1949" spans="2:8" ht="15" x14ac:dyDescent="0.35">
      <c r="B1949" s="544" t="s">
        <v>6263</v>
      </c>
      <c r="C1949" s="517" t="s">
        <v>6359</v>
      </c>
      <c r="D1949" s="518">
        <v>10689</v>
      </c>
      <c r="E1949" s="517" t="s">
        <v>4554</v>
      </c>
      <c r="F1949" s="518" t="s">
        <v>29</v>
      </c>
      <c r="G1949" s="519">
        <v>596889</v>
      </c>
      <c r="H1949" s="517" t="s">
        <v>6915</v>
      </c>
    </row>
    <row r="1950" spans="2:8" ht="15" x14ac:dyDescent="0.35">
      <c r="B1950" s="544" t="s">
        <v>6263</v>
      </c>
      <c r="C1950" s="517" t="s">
        <v>6404</v>
      </c>
      <c r="D1950" s="518">
        <v>10690</v>
      </c>
      <c r="E1950" s="517" t="s">
        <v>5944</v>
      </c>
      <c r="F1950" s="518" t="s">
        <v>29</v>
      </c>
      <c r="G1950" s="519">
        <v>5212503</v>
      </c>
      <c r="H1950" s="517" t="s">
        <v>6915</v>
      </c>
    </row>
    <row r="1951" spans="2:8" ht="15" x14ac:dyDescent="0.35">
      <c r="B1951" s="544" t="s">
        <v>6263</v>
      </c>
      <c r="C1951" s="517" t="s">
        <v>6359</v>
      </c>
      <c r="D1951" s="518">
        <v>10692</v>
      </c>
      <c r="E1951" s="517" t="s">
        <v>4555</v>
      </c>
      <c r="F1951" s="518" t="s">
        <v>29</v>
      </c>
      <c r="G1951" s="519">
        <v>602707</v>
      </c>
      <c r="H1951" s="517" t="s">
        <v>6915</v>
      </c>
    </row>
    <row r="1952" spans="2:8" ht="15" x14ac:dyDescent="0.35">
      <c r="B1952" s="544" t="s">
        <v>6263</v>
      </c>
      <c r="C1952" s="517" t="s">
        <v>6359</v>
      </c>
      <c r="D1952" s="518">
        <v>10694</v>
      </c>
      <c r="E1952" s="517" t="s">
        <v>4556</v>
      </c>
      <c r="F1952" s="518" t="s">
        <v>29</v>
      </c>
      <c r="G1952" s="519">
        <v>510740</v>
      </c>
      <c r="H1952" s="517" t="s">
        <v>6915</v>
      </c>
    </row>
    <row r="1953" spans="2:8" ht="15" x14ac:dyDescent="0.35">
      <c r="B1953" s="544" t="s">
        <v>6263</v>
      </c>
      <c r="C1953" s="517" t="s">
        <v>6404</v>
      </c>
      <c r="D1953" s="518">
        <v>10696</v>
      </c>
      <c r="E1953" s="517" t="s">
        <v>5945</v>
      </c>
      <c r="F1953" s="518" t="s">
        <v>26</v>
      </c>
      <c r="G1953" s="519">
        <v>85150</v>
      </c>
      <c r="H1953" s="517" t="s">
        <v>6915</v>
      </c>
    </row>
    <row r="1954" spans="2:8" ht="15" x14ac:dyDescent="0.35">
      <c r="B1954" s="544" t="s">
        <v>6263</v>
      </c>
      <c r="C1954" s="517" t="s">
        <v>6359</v>
      </c>
      <c r="D1954" s="518">
        <v>10697</v>
      </c>
      <c r="E1954" s="517" t="s">
        <v>4557</v>
      </c>
      <c r="F1954" s="518" t="s">
        <v>29</v>
      </c>
      <c r="G1954" s="519">
        <v>539545</v>
      </c>
      <c r="H1954" s="517" t="s">
        <v>6915</v>
      </c>
    </row>
    <row r="1955" spans="2:8" ht="15" x14ac:dyDescent="0.35">
      <c r="B1955" s="544" t="s">
        <v>6263</v>
      </c>
      <c r="C1955" s="517" t="s">
        <v>6359</v>
      </c>
      <c r="D1955" s="518">
        <v>10698</v>
      </c>
      <c r="E1955" s="517" t="s">
        <v>4558</v>
      </c>
      <c r="F1955" s="518" t="s">
        <v>29</v>
      </c>
      <c r="G1955" s="519">
        <v>468040</v>
      </c>
      <c r="H1955" s="517" t="s">
        <v>6915</v>
      </c>
    </row>
    <row r="1956" spans="2:8" ht="15" x14ac:dyDescent="0.35">
      <c r="B1956" s="544" t="s">
        <v>6263</v>
      </c>
      <c r="C1956" s="517" t="s">
        <v>6359</v>
      </c>
      <c r="D1956" s="518">
        <v>10699</v>
      </c>
      <c r="E1956" s="517" t="s">
        <v>4559</v>
      </c>
      <c r="F1956" s="518" t="s">
        <v>29</v>
      </c>
      <c r="G1956" s="519">
        <v>512690</v>
      </c>
      <c r="H1956" s="517" t="s">
        <v>6915</v>
      </c>
    </row>
    <row r="1957" spans="2:8" ht="15" x14ac:dyDescent="0.35">
      <c r="B1957" s="544" t="s">
        <v>6263</v>
      </c>
      <c r="C1957" s="517" t="s">
        <v>6353</v>
      </c>
      <c r="D1957" s="518">
        <v>10700</v>
      </c>
      <c r="E1957" s="517" t="s">
        <v>5644</v>
      </c>
      <c r="F1957" s="518" t="s">
        <v>29</v>
      </c>
      <c r="G1957" s="519">
        <v>238403</v>
      </c>
      <c r="H1957" s="517" t="s">
        <v>6425</v>
      </c>
    </row>
    <row r="1958" spans="2:8" ht="15" x14ac:dyDescent="0.35">
      <c r="B1958" s="544" t="s">
        <v>6263</v>
      </c>
      <c r="C1958" s="517" t="s">
        <v>6389</v>
      </c>
      <c r="D1958" s="518">
        <v>10710</v>
      </c>
      <c r="E1958" s="517" t="s">
        <v>4560</v>
      </c>
      <c r="F1958" s="518" t="s">
        <v>29</v>
      </c>
      <c r="G1958" s="519">
        <v>4608042</v>
      </c>
      <c r="H1958" s="517" t="s">
        <v>6425</v>
      </c>
    </row>
    <row r="1959" spans="2:8" ht="15" x14ac:dyDescent="0.35">
      <c r="B1959" s="544" t="s">
        <v>6263</v>
      </c>
      <c r="C1959" s="517" t="s">
        <v>6358</v>
      </c>
      <c r="D1959" s="518">
        <v>10712</v>
      </c>
      <c r="E1959" s="517" t="s">
        <v>5946</v>
      </c>
      <c r="F1959" s="518" t="s">
        <v>29</v>
      </c>
      <c r="G1959" s="519">
        <v>567414</v>
      </c>
      <c r="H1959" s="517" t="s">
        <v>6915</v>
      </c>
    </row>
    <row r="1960" spans="2:8" ht="15" x14ac:dyDescent="0.35">
      <c r="B1960" s="544" t="s">
        <v>6263</v>
      </c>
      <c r="C1960" s="517" t="s">
        <v>6380</v>
      </c>
      <c r="D1960" s="518">
        <v>10723</v>
      </c>
      <c r="E1960" s="517" t="s">
        <v>4561</v>
      </c>
      <c r="F1960" s="518" t="s">
        <v>4562</v>
      </c>
      <c r="G1960" s="519">
        <v>59500</v>
      </c>
      <c r="H1960" s="517" t="s">
        <v>6915</v>
      </c>
    </row>
    <row r="1961" spans="2:8" ht="15" x14ac:dyDescent="0.35">
      <c r="B1961" s="544" t="s">
        <v>6263</v>
      </c>
      <c r="C1961" s="517" t="s">
        <v>6380</v>
      </c>
      <c r="D1961" s="518">
        <v>10728</v>
      </c>
      <c r="E1961" s="517" t="s">
        <v>4563</v>
      </c>
      <c r="F1961" s="518" t="s">
        <v>4562</v>
      </c>
      <c r="G1961" s="519">
        <v>23800</v>
      </c>
      <c r="H1961" s="517" t="s">
        <v>6915</v>
      </c>
    </row>
    <row r="1962" spans="2:8" ht="15" x14ac:dyDescent="0.35">
      <c r="B1962" s="544" t="s">
        <v>6263</v>
      </c>
      <c r="C1962" s="517" t="s">
        <v>6358</v>
      </c>
      <c r="D1962" s="518">
        <v>10756</v>
      </c>
      <c r="E1962" s="517" t="s">
        <v>5947</v>
      </c>
      <c r="F1962" s="518" t="s">
        <v>29</v>
      </c>
      <c r="G1962" s="519">
        <v>1333594</v>
      </c>
      <c r="H1962" s="517" t="s">
        <v>6915</v>
      </c>
    </row>
    <row r="1963" spans="2:8" ht="15" x14ac:dyDescent="0.35">
      <c r="B1963" s="544" t="s">
        <v>6263</v>
      </c>
      <c r="C1963" s="517" t="s">
        <v>6358</v>
      </c>
      <c r="D1963" s="518">
        <v>10757</v>
      </c>
      <c r="E1963" s="517" t="s">
        <v>5948</v>
      </c>
      <c r="F1963" s="518" t="s">
        <v>29</v>
      </c>
      <c r="G1963" s="519">
        <v>1571053</v>
      </c>
      <c r="H1963" s="517" t="s">
        <v>6915</v>
      </c>
    </row>
    <row r="1964" spans="2:8" ht="15" x14ac:dyDescent="0.35">
      <c r="B1964" s="544" t="s">
        <v>6263</v>
      </c>
      <c r="C1964" s="517" t="s">
        <v>6358</v>
      </c>
      <c r="D1964" s="518">
        <v>10758</v>
      </c>
      <c r="E1964" s="517" t="s">
        <v>5949</v>
      </c>
      <c r="F1964" s="518" t="s">
        <v>29</v>
      </c>
      <c r="G1964" s="519">
        <v>1113377</v>
      </c>
      <c r="H1964" s="517" t="s">
        <v>6915</v>
      </c>
    </row>
    <row r="1965" spans="2:8" ht="15" x14ac:dyDescent="0.35">
      <c r="B1965" s="544" t="s">
        <v>6263</v>
      </c>
      <c r="C1965" s="517" t="s">
        <v>6354</v>
      </c>
      <c r="D1965" s="518">
        <v>10767</v>
      </c>
      <c r="E1965" s="517" t="s">
        <v>4564</v>
      </c>
      <c r="F1965" s="518" t="s">
        <v>21</v>
      </c>
      <c r="G1965" s="519">
        <v>168528</v>
      </c>
      <c r="H1965" s="517" t="s">
        <v>6915</v>
      </c>
    </row>
    <row r="1966" spans="2:8" ht="15" x14ac:dyDescent="0.35">
      <c r="B1966" s="544" t="s">
        <v>6263</v>
      </c>
      <c r="C1966" s="517" t="s">
        <v>6354</v>
      </c>
      <c r="D1966" s="518">
        <v>10768</v>
      </c>
      <c r="E1966" s="517" t="s">
        <v>4565</v>
      </c>
      <c r="F1966" s="518" t="s">
        <v>29</v>
      </c>
      <c r="G1966" s="519">
        <v>241555</v>
      </c>
      <c r="H1966" s="517" t="s">
        <v>6915</v>
      </c>
    </row>
    <row r="1967" spans="2:8" ht="15" x14ac:dyDescent="0.35">
      <c r="B1967" s="544" t="s">
        <v>6263</v>
      </c>
      <c r="C1967" s="517" t="s">
        <v>6359</v>
      </c>
      <c r="D1967" s="518">
        <v>10770</v>
      </c>
      <c r="E1967" s="517" t="s">
        <v>4566</v>
      </c>
      <c r="F1967" s="518" t="s">
        <v>29</v>
      </c>
      <c r="G1967" s="519">
        <v>99285</v>
      </c>
      <c r="H1967" s="517" t="s">
        <v>6915</v>
      </c>
    </row>
    <row r="1968" spans="2:8" ht="15" x14ac:dyDescent="0.35">
      <c r="B1968" s="544" t="s">
        <v>6263</v>
      </c>
      <c r="C1968" s="517" t="s">
        <v>6359</v>
      </c>
      <c r="D1968" s="518">
        <v>10774</v>
      </c>
      <c r="E1968" s="517" t="s">
        <v>4567</v>
      </c>
      <c r="F1968" s="518" t="s">
        <v>29</v>
      </c>
      <c r="G1968" s="519">
        <v>87052</v>
      </c>
      <c r="H1968" s="517" t="s">
        <v>6915</v>
      </c>
    </row>
    <row r="1969" spans="2:8" ht="15" x14ac:dyDescent="0.35">
      <c r="B1969" s="544" t="s">
        <v>6263</v>
      </c>
      <c r="C1969" s="517" t="s">
        <v>6359</v>
      </c>
      <c r="D1969" s="518">
        <v>10776</v>
      </c>
      <c r="E1969" s="517" t="s">
        <v>2198</v>
      </c>
      <c r="F1969" s="518" t="s">
        <v>29</v>
      </c>
      <c r="G1969" s="519">
        <v>105361</v>
      </c>
      <c r="H1969" s="517" t="s">
        <v>6915</v>
      </c>
    </row>
    <row r="1970" spans="2:8" ht="15" x14ac:dyDescent="0.35">
      <c r="B1970" s="544" t="s">
        <v>6263</v>
      </c>
      <c r="C1970" s="517" t="s">
        <v>6353</v>
      </c>
      <c r="D1970" s="518">
        <v>10777</v>
      </c>
      <c r="E1970" s="517" t="s">
        <v>5645</v>
      </c>
      <c r="F1970" s="518" t="s">
        <v>29</v>
      </c>
      <c r="G1970" s="519">
        <v>34330</v>
      </c>
      <c r="H1970" s="517" t="s">
        <v>6425</v>
      </c>
    </row>
    <row r="1971" spans="2:8" ht="15" x14ac:dyDescent="0.35">
      <c r="B1971" s="544" t="s">
        <v>6263</v>
      </c>
      <c r="C1971" s="517" t="s">
        <v>6353</v>
      </c>
      <c r="D1971" s="518">
        <v>10787</v>
      </c>
      <c r="E1971" s="517" t="s">
        <v>4568</v>
      </c>
      <c r="F1971" s="518" t="s">
        <v>29</v>
      </c>
      <c r="G1971" s="519">
        <v>16279</v>
      </c>
      <c r="H1971" s="517" t="s">
        <v>6425</v>
      </c>
    </row>
    <row r="1972" spans="2:8" ht="15" x14ac:dyDescent="0.35">
      <c r="B1972" s="544" t="s">
        <v>6263</v>
      </c>
      <c r="C1972" s="517" t="s">
        <v>6367</v>
      </c>
      <c r="D1972" s="518">
        <v>10788</v>
      </c>
      <c r="E1972" s="517" t="s">
        <v>2203</v>
      </c>
      <c r="F1972" s="518" t="s">
        <v>29</v>
      </c>
      <c r="G1972" s="519">
        <v>317602</v>
      </c>
      <c r="H1972" s="517" t="s">
        <v>6915</v>
      </c>
    </row>
    <row r="1973" spans="2:8" ht="15" x14ac:dyDescent="0.35">
      <c r="B1973" s="544" t="s">
        <v>6263</v>
      </c>
      <c r="C1973" s="517" t="s">
        <v>6367</v>
      </c>
      <c r="D1973" s="518">
        <v>10790</v>
      </c>
      <c r="E1973" s="517" t="s">
        <v>4569</v>
      </c>
      <c r="F1973" s="518" t="s">
        <v>21</v>
      </c>
      <c r="G1973" s="519">
        <v>485543</v>
      </c>
      <c r="H1973" s="517" t="s">
        <v>6915</v>
      </c>
    </row>
    <row r="1974" spans="2:8" ht="15" x14ac:dyDescent="0.35">
      <c r="B1974" s="544" t="s">
        <v>6263</v>
      </c>
      <c r="C1974" s="517" t="s">
        <v>6353</v>
      </c>
      <c r="D1974" s="518">
        <v>10794</v>
      </c>
      <c r="E1974" s="517" t="s">
        <v>4570</v>
      </c>
      <c r="F1974" s="518" t="s">
        <v>29</v>
      </c>
      <c r="G1974" s="519">
        <v>35593</v>
      </c>
      <c r="H1974" s="517" t="s">
        <v>6425</v>
      </c>
    </row>
    <row r="1975" spans="2:8" ht="15" x14ac:dyDescent="0.35">
      <c r="B1975" s="544" t="s">
        <v>6263</v>
      </c>
      <c r="C1975" s="517" t="s">
        <v>6390</v>
      </c>
      <c r="D1975" s="518">
        <v>10808</v>
      </c>
      <c r="E1975" s="517" t="s">
        <v>4571</v>
      </c>
      <c r="F1975" s="518" t="s">
        <v>29</v>
      </c>
      <c r="G1975" s="519">
        <v>65359</v>
      </c>
      <c r="H1975" s="517" t="s">
        <v>6915</v>
      </c>
    </row>
    <row r="1976" spans="2:8" ht="15" x14ac:dyDescent="0.35">
      <c r="B1976" s="544" t="s">
        <v>6263</v>
      </c>
      <c r="C1976" s="517" t="s">
        <v>6346</v>
      </c>
      <c r="D1976" s="518">
        <v>10813</v>
      </c>
      <c r="E1976" s="517" t="s">
        <v>5646</v>
      </c>
      <c r="F1976" s="518" t="s">
        <v>29</v>
      </c>
      <c r="G1976" s="519">
        <v>17453</v>
      </c>
      <c r="H1976" s="517" t="s">
        <v>6425</v>
      </c>
    </row>
    <row r="1977" spans="2:8" ht="15" x14ac:dyDescent="0.35">
      <c r="B1977" s="544" t="s">
        <v>6263</v>
      </c>
      <c r="C1977" s="517" t="s">
        <v>6388</v>
      </c>
      <c r="D1977" s="518">
        <v>10824</v>
      </c>
      <c r="E1977" s="517" t="s">
        <v>4572</v>
      </c>
      <c r="F1977" s="518" t="s">
        <v>29</v>
      </c>
      <c r="G1977" s="519">
        <v>1904000</v>
      </c>
      <c r="H1977" s="517" t="s">
        <v>6915</v>
      </c>
    </row>
    <row r="1978" spans="2:8" ht="15" x14ac:dyDescent="0.35">
      <c r="B1978" s="544" t="s">
        <v>6263</v>
      </c>
      <c r="C1978" s="517" t="s">
        <v>6339</v>
      </c>
      <c r="D1978" s="518">
        <v>10825</v>
      </c>
      <c r="E1978" s="517" t="s">
        <v>4573</v>
      </c>
      <c r="F1978" s="518" t="s">
        <v>21</v>
      </c>
      <c r="G1978" s="519">
        <v>80826</v>
      </c>
      <c r="H1978" s="517" t="s">
        <v>6425</v>
      </c>
    </row>
    <row r="1979" spans="2:8" ht="15" x14ac:dyDescent="0.35">
      <c r="B1979" s="544" t="s">
        <v>6263</v>
      </c>
      <c r="C1979" s="517" t="s">
        <v>6339</v>
      </c>
      <c r="D1979" s="518">
        <v>10830</v>
      </c>
      <c r="E1979" s="517" t="s">
        <v>4574</v>
      </c>
      <c r="F1979" s="518" t="s">
        <v>21</v>
      </c>
      <c r="G1979" s="519">
        <v>89807</v>
      </c>
      <c r="H1979" s="517" t="s">
        <v>6425</v>
      </c>
    </row>
    <row r="1980" spans="2:8" ht="15" x14ac:dyDescent="0.35">
      <c r="B1980" s="544" t="s">
        <v>6263</v>
      </c>
      <c r="C1980" s="517" t="s">
        <v>6356</v>
      </c>
      <c r="D1980" s="518">
        <v>10836</v>
      </c>
      <c r="E1980" s="517" t="s">
        <v>4575</v>
      </c>
      <c r="F1980" s="518" t="s">
        <v>29</v>
      </c>
      <c r="G1980" s="519">
        <v>6616162</v>
      </c>
      <c r="H1980" s="517" t="s">
        <v>6915</v>
      </c>
    </row>
    <row r="1981" spans="2:8" ht="15" x14ac:dyDescent="0.35">
      <c r="B1981" s="544" t="s">
        <v>6263</v>
      </c>
      <c r="C1981" s="517" t="s">
        <v>6390</v>
      </c>
      <c r="D1981" s="518">
        <v>10842</v>
      </c>
      <c r="E1981" s="517" t="s">
        <v>4576</v>
      </c>
      <c r="F1981" s="518" t="s">
        <v>29</v>
      </c>
      <c r="G1981" s="519">
        <v>17788</v>
      </c>
      <c r="H1981" s="517" t="s">
        <v>6915</v>
      </c>
    </row>
    <row r="1982" spans="2:8" ht="15" x14ac:dyDescent="0.35">
      <c r="B1982" s="544" t="s">
        <v>6263</v>
      </c>
      <c r="C1982" s="517" t="s">
        <v>6356</v>
      </c>
      <c r="D1982" s="518">
        <v>10847</v>
      </c>
      <c r="E1982" s="517" t="s">
        <v>4577</v>
      </c>
      <c r="F1982" s="518" t="s">
        <v>29</v>
      </c>
      <c r="G1982" s="519">
        <v>6799184</v>
      </c>
      <c r="H1982" s="517" t="s">
        <v>6915</v>
      </c>
    </row>
    <row r="1983" spans="2:8" ht="15" x14ac:dyDescent="0.35">
      <c r="B1983" s="544" t="s">
        <v>6263</v>
      </c>
      <c r="C1983" s="517" t="s">
        <v>6356</v>
      </c>
      <c r="D1983" s="518">
        <v>10852</v>
      </c>
      <c r="E1983" s="517" t="s">
        <v>4578</v>
      </c>
      <c r="F1983" s="518" t="s">
        <v>29</v>
      </c>
      <c r="G1983" s="519">
        <v>1446627</v>
      </c>
      <c r="H1983" s="517" t="s">
        <v>6915</v>
      </c>
    </row>
    <row r="1984" spans="2:8" ht="15" x14ac:dyDescent="0.35">
      <c r="B1984" s="544" t="s">
        <v>6263</v>
      </c>
      <c r="C1984" s="517" t="s">
        <v>6390</v>
      </c>
      <c r="D1984" s="518">
        <v>10855</v>
      </c>
      <c r="E1984" s="517" t="s">
        <v>4579</v>
      </c>
      <c r="F1984" s="518" t="s">
        <v>29</v>
      </c>
      <c r="G1984" s="519">
        <v>57120</v>
      </c>
      <c r="H1984" s="517" t="s">
        <v>6915</v>
      </c>
    </row>
    <row r="1985" spans="2:8" ht="15" x14ac:dyDescent="0.35">
      <c r="B1985" s="544" t="s">
        <v>6263</v>
      </c>
      <c r="C1985" s="517" t="s">
        <v>6390</v>
      </c>
      <c r="D1985" s="518">
        <v>10872</v>
      </c>
      <c r="E1985" s="517" t="s">
        <v>4580</v>
      </c>
      <c r="F1985" s="518" t="s">
        <v>29</v>
      </c>
      <c r="G1985" s="519">
        <v>490280</v>
      </c>
      <c r="H1985" s="517" t="s">
        <v>6915</v>
      </c>
    </row>
    <row r="1986" spans="2:8" ht="15" x14ac:dyDescent="0.35">
      <c r="B1986" s="544" t="s">
        <v>6263</v>
      </c>
      <c r="C1986" s="517" t="s">
        <v>6356</v>
      </c>
      <c r="D1986" s="518">
        <v>10877</v>
      </c>
      <c r="E1986" s="517" t="s">
        <v>4581</v>
      </c>
      <c r="F1986" s="518" t="s">
        <v>29</v>
      </c>
      <c r="G1986" s="519">
        <v>5593106</v>
      </c>
      <c r="H1986" s="517" t="s">
        <v>6915</v>
      </c>
    </row>
    <row r="1987" spans="2:8" ht="15" x14ac:dyDescent="0.35">
      <c r="B1987" s="544" t="s">
        <v>6263</v>
      </c>
      <c r="C1987" s="517" t="s">
        <v>6367</v>
      </c>
      <c r="D1987" s="518">
        <v>10878</v>
      </c>
      <c r="E1987" s="517" t="s">
        <v>4582</v>
      </c>
      <c r="F1987" s="518" t="s">
        <v>29</v>
      </c>
      <c r="G1987" s="519">
        <v>6871</v>
      </c>
      <c r="H1987" s="517" t="s">
        <v>6915</v>
      </c>
    </row>
    <row r="1988" spans="2:8" ht="15" x14ac:dyDescent="0.35">
      <c r="B1988" s="544" t="s">
        <v>6263</v>
      </c>
      <c r="C1988" s="517" t="s">
        <v>6343</v>
      </c>
      <c r="D1988" s="518">
        <v>10880</v>
      </c>
      <c r="E1988" s="517" t="s">
        <v>4583</v>
      </c>
      <c r="F1988" s="518" t="s">
        <v>23</v>
      </c>
      <c r="G1988" s="519">
        <v>29229</v>
      </c>
      <c r="H1988" s="517" t="s">
        <v>6425</v>
      </c>
    </row>
    <row r="1989" spans="2:8" ht="15" x14ac:dyDescent="0.35">
      <c r="B1989" s="544" t="s">
        <v>6263</v>
      </c>
      <c r="C1989" s="517" t="s">
        <v>6386</v>
      </c>
      <c r="D1989" s="518">
        <v>10890</v>
      </c>
      <c r="E1989" s="517" t="s">
        <v>4584</v>
      </c>
      <c r="F1989" s="518" t="s">
        <v>26</v>
      </c>
      <c r="G1989" s="519">
        <v>44495</v>
      </c>
      <c r="H1989" s="517" t="s">
        <v>6915</v>
      </c>
    </row>
    <row r="1990" spans="2:8" ht="15" x14ac:dyDescent="0.35">
      <c r="B1990" s="544" t="s">
        <v>6263</v>
      </c>
      <c r="C1990" s="517" t="s">
        <v>6358</v>
      </c>
      <c r="D1990" s="518">
        <v>10920</v>
      </c>
      <c r="E1990" s="517" t="s">
        <v>5950</v>
      </c>
      <c r="F1990" s="518" t="s">
        <v>29</v>
      </c>
      <c r="G1990" s="519">
        <v>1549380</v>
      </c>
      <c r="H1990" s="517" t="s">
        <v>6915</v>
      </c>
    </row>
    <row r="1991" spans="2:8" ht="15" x14ac:dyDescent="0.35">
      <c r="B1991" s="544" t="s">
        <v>6263</v>
      </c>
      <c r="C1991" s="517" t="s">
        <v>6379</v>
      </c>
      <c r="D1991" s="518">
        <v>10936</v>
      </c>
      <c r="E1991" s="517" t="s">
        <v>5951</v>
      </c>
      <c r="F1991" s="518" t="s">
        <v>29</v>
      </c>
      <c r="G1991" s="519">
        <v>125809</v>
      </c>
      <c r="H1991" s="517" t="s">
        <v>6915</v>
      </c>
    </row>
    <row r="1992" spans="2:8" ht="15" x14ac:dyDescent="0.35">
      <c r="B1992" s="544" t="s">
        <v>6263</v>
      </c>
      <c r="C1992" s="517" t="s">
        <v>6379</v>
      </c>
      <c r="D1992" s="518">
        <v>10937</v>
      </c>
      <c r="E1992" s="517" t="s">
        <v>5952</v>
      </c>
      <c r="F1992" s="518" t="s">
        <v>29</v>
      </c>
      <c r="G1992" s="519">
        <v>249635</v>
      </c>
      <c r="H1992" s="517" t="s">
        <v>6915</v>
      </c>
    </row>
    <row r="1993" spans="2:8" ht="15" x14ac:dyDescent="0.35">
      <c r="B1993" s="544" t="s">
        <v>6263</v>
      </c>
      <c r="C1993" s="517" t="s">
        <v>6341</v>
      </c>
      <c r="D1993" s="518">
        <v>10947</v>
      </c>
      <c r="E1993" s="517" t="s">
        <v>4585</v>
      </c>
      <c r="F1993" s="518" t="s">
        <v>367</v>
      </c>
      <c r="G1993" s="519">
        <v>7140</v>
      </c>
      <c r="H1993" s="517" t="s">
        <v>6425</v>
      </c>
    </row>
    <row r="1994" spans="2:8" ht="15" x14ac:dyDescent="0.35">
      <c r="B1994" s="544" t="s">
        <v>6263</v>
      </c>
      <c r="C1994" s="517" t="s">
        <v>6341</v>
      </c>
      <c r="D1994" s="518">
        <v>10948</v>
      </c>
      <c r="E1994" s="517" t="s">
        <v>4586</v>
      </c>
      <c r="F1994" s="518" t="s">
        <v>367</v>
      </c>
      <c r="G1994" s="519">
        <v>7140</v>
      </c>
      <c r="H1994" s="517" t="s">
        <v>6425</v>
      </c>
    </row>
    <row r="1995" spans="2:8" ht="15" x14ac:dyDescent="0.35">
      <c r="B1995" s="544" t="s">
        <v>6263</v>
      </c>
      <c r="C1995" s="517" t="s">
        <v>6359</v>
      </c>
      <c r="D1995" s="518">
        <v>10955</v>
      </c>
      <c r="E1995" s="517" t="s">
        <v>4587</v>
      </c>
      <c r="F1995" s="518" t="s">
        <v>3175</v>
      </c>
      <c r="G1995" s="519">
        <v>4907108</v>
      </c>
      <c r="H1995" s="517" t="s">
        <v>6915</v>
      </c>
    </row>
    <row r="1996" spans="2:8" ht="15" x14ac:dyDescent="0.35">
      <c r="B1996" s="544" t="s">
        <v>6263</v>
      </c>
      <c r="C1996" s="517" t="s">
        <v>6396</v>
      </c>
      <c r="D1996" s="518">
        <v>10957</v>
      </c>
      <c r="E1996" s="517" t="s">
        <v>5953</v>
      </c>
      <c r="F1996" s="518" t="s">
        <v>29</v>
      </c>
      <c r="G1996" s="519">
        <v>77350</v>
      </c>
      <c r="H1996" s="517" t="s">
        <v>6915</v>
      </c>
    </row>
    <row r="1997" spans="2:8" ht="15" x14ac:dyDescent="0.35">
      <c r="B1997" s="544" t="s">
        <v>6263</v>
      </c>
      <c r="C1997" s="517" t="s">
        <v>6396</v>
      </c>
      <c r="D1997" s="518">
        <v>10958</v>
      </c>
      <c r="E1997" s="517" t="s">
        <v>5954</v>
      </c>
      <c r="F1997" s="518" t="s">
        <v>29</v>
      </c>
      <c r="G1997" s="519">
        <v>53550</v>
      </c>
      <c r="H1997" s="517" t="s">
        <v>6915</v>
      </c>
    </row>
    <row r="1998" spans="2:8" ht="15" x14ac:dyDescent="0.35">
      <c r="B1998" s="544" t="s">
        <v>6263</v>
      </c>
      <c r="C1998" s="517" t="s">
        <v>6396</v>
      </c>
      <c r="D1998" s="518">
        <v>10959</v>
      </c>
      <c r="E1998" s="517" t="s">
        <v>5955</v>
      </c>
      <c r="F1998" s="518" t="s">
        <v>29</v>
      </c>
      <c r="G1998" s="519">
        <v>46410</v>
      </c>
      <c r="H1998" s="517" t="s">
        <v>6915</v>
      </c>
    </row>
    <row r="1999" spans="2:8" ht="15" x14ac:dyDescent="0.35">
      <c r="B1999" s="544" t="s">
        <v>6263</v>
      </c>
      <c r="C1999" s="517" t="s">
        <v>6396</v>
      </c>
      <c r="D1999" s="518">
        <v>10960</v>
      </c>
      <c r="E1999" s="517" t="s">
        <v>5956</v>
      </c>
      <c r="F1999" s="518" t="s">
        <v>29</v>
      </c>
      <c r="G1999" s="519">
        <v>41650</v>
      </c>
      <c r="H1999" s="517" t="s">
        <v>6915</v>
      </c>
    </row>
    <row r="2000" spans="2:8" ht="15" x14ac:dyDescent="0.35">
      <c r="B2000" s="544" t="s">
        <v>6263</v>
      </c>
      <c r="C2000" s="517" t="s">
        <v>6396</v>
      </c>
      <c r="D2000" s="518">
        <v>10961</v>
      </c>
      <c r="E2000" s="517" t="s">
        <v>5957</v>
      </c>
      <c r="F2000" s="518" t="s">
        <v>29</v>
      </c>
      <c r="G2000" s="519">
        <v>31416</v>
      </c>
      <c r="H2000" s="517" t="s">
        <v>6915</v>
      </c>
    </row>
    <row r="2001" spans="2:8" ht="15" x14ac:dyDescent="0.35">
      <c r="B2001" s="544" t="s">
        <v>6263</v>
      </c>
      <c r="C2001" s="517" t="s">
        <v>6396</v>
      </c>
      <c r="D2001" s="518">
        <v>10962</v>
      </c>
      <c r="E2001" s="517" t="s">
        <v>5958</v>
      </c>
      <c r="F2001" s="518" t="s">
        <v>29</v>
      </c>
      <c r="G2001" s="519">
        <v>46410</v>
      </c>
      <c r="H2001" s="517" t="s">
        <v>6915</v>
      </c>
    </row>
    <row r="2002" spans="2:8" ht="15" x14ac:dyDescent="0.35">
      <c r="B2002" s="544" t="s">
        <v>6263</v>
      </c>
      <c r="C2002" s="517" t="s">
        <v>6396</v>
      </c>
      <c r="D2002" s="518">
        <v>10963</v>
      </c>
      <c r="E2002" s="517" t="s">
        <v>5959</v>
      </c>
      <c r="F2002" s="518" t="s">
        <v>29</v>
      </c>
      <c r="G2002" s="519">
        <v>48790</v>
      </c>
      <c r="H2002" s="517" t="s">
        <v>6915</v>
      </c>
    </row>
    <row r="2003" spans="2:8" ht="15" x14ac:dyDescent="0.35">
      <c r="B2003" s="544" t="s">
        <v>6263</v>
      </c>
      <c r="C2003" s="517" t="s">
        <v>6396</v>
      </c>
      <c r="D2003" s="518">
        <v>10964</v>
      </c>
      <c r="E2003" s="517" t="s">
        <v>5960</v>
      </c>
      <c r="F2003" s="518" t="s">
        <v>29</v>
      </c>
      <c r="G2003" s="519">
        <v>47600</v>
      </c>
      <c r="H2003" s="517" t="s">
        <v>6915</v>
      </c>
    </row>
    <row r="2004" spans="2:8" ht="15" x14ac:dyDescent="0.35">
      <c r="B2004" s="544" t="s">
        <v>6263</v>
      </c>
      <c r="C2004" s="517" t="s">
        <v>6374</v>
      </c>
      <c r="D2004" s="518">
        <v>10965</v>
      </c>
      <c r="E2004" s="517" t="s">
        <v>4588</v>
      </c>
      <c r="F2004" s="518" t="s">
        <v>29</v>
      </c>
      <c r="G2004" s="519">
        <v>285362</v>
      </c>
      <c r="H2004" s="517" t="s">
        <v>6915</v>
      </c>
    </row>
    <row r="2005" spans="2:8" ht="15" x14ac:dyDescent="0.35">
      <c r="B2005" s="544" t="s">
        <v>6263</v>
      </c>
      <c r="C2005" s="517" t="s">
        <v>6375</v>
      </c>
      <c r="D2005" s="518">
        <v>10966</v>
      </c>
      <c r="E2005" s="517" t="s">
        <v>4589</v>
      </c>
      <c r="F2005" s="518" t="s">
        <v>29</v>
      </c>
      <c r="G2005" s="519">
        <v>213444</v>
      </c>
      <c r="H2005" s="517" t="s">
        <v>6915</v>
      </c>
    </row>
    <row r="2006" spans="2:8" ht="15" x14ac:dyDescent="0.35">
      <c r="B2006" s="544" t="s">
        <v>6263</v>
      </c>
      <c r="C2006" s="517" t="s">
        <v>6375</v>
      </c>
      <c r="D2006" s="518">
        <v>10967</v>
      </c>
      <c r="E2006" s="517" t="s">
        <v>4590</v>
      </c>
      <c r="F2006" s="518" t="s">
        <v>29</v>
      </c>
      <c r="G2006" s="519">
        <v>1249500</v>
      </c>
      <c r="H2006" s="517" t="s">
        <v>6915</v>
      </c>
    </row>
    <row r="2007" spans="2:8" ht="15" x14ac:dyDescent="0.35">
      <c r="B2007" s="544" t="s">
        <v>6263</v>
      </c>
      <c r="C2007" s="517" t="s">
        <v>6375</v>
      </c>
      <c r="D2007" s="518">
        <v>10968</v>
      </c>
      <c r="E2007" s="517" t="s">
        <v>4591</v>
      </c>
      <c r="F2007" s="518" t="s">
        <v>29</v>
      </c>
      <c r="G2007" s="519">
        <v>132566</v>
      </c>
      <c r="H2007" s="517" t="s">
        <v>6915</v>
      </c>
    </row>
    <row r="2008" spans="2:8" ht="15" x14ac:dyDescent="0.35">
      <c r="B2008" s="544" t="s">
        <v>6263</v>
      </c>
      <c r="C2008" s="517" t="s">
        <v>6373</v>
      </c>
      <c r="D2008" s="518">
        <v>10969</v>
      </c>
      <c r="E2008" s="517" t="s">
        <v>5961</v>
      </c>
      <c r="F2008" s="518" t="s">
        <v>29</v>
      </c>
      <c r="G2008" s="519">
        <v>889811</v>
      </c>
      <c r="H2008" s="517" t="s">
        <v>6915</v>
      </c>
    </row>
    <row r="2009" spans="2:8" ht="15" x14ac:dyDescent="0.35">
      <c r="B2009" s="544" t="s">
        <v>6263</v>
      </c>
      <c r="C2009" s="517" t="s">
        <v>6403</v>
      </c>
      <c r="D2009" s="518">
        <v>10971</v>
      </c>
      <c r="E2009" s="517" t="s">
        <v>4592</v>
      </c>
      <c r="F2009" s="518" t="s">
        <v>29</v>
      </c>
      <c r="G2009" s="519">
        <v>773500</v>
      </c>
      <c r="H2009" s="517" t="s">
        <v>6915</v>
      </c>
    </row>
    <row r="2010" spans="2:8" ht="15" x14ac:dyDescent="0.35">
      <c r="B2010" s="544" t="s">
        <v>6263</v>
      </c>
      <c r="C2010" s="517" t="s">
        <v>6369</v>
      </c>
      <c r="D2010" s="518">
        <v>10972</v>
      </c>
      <c r="E2010" s="517" t="s">
        <v>4593</v>
      </c>
      <c r="F2010" s="518" t="s">
        <v>29</v>
      </c>
      <c r="G2010" s="519">
        <v>2501975</v>
      </c>
      <c r="H2010" s="517" t="s">
        <v>6915</v>
      </c>
    </row>
    <row r="2011" spans="2:8" ht="15" x14ac:dyDescent="0.35">
      <c r="B2011" s="544" t="s">
        <v>6263</v>
      </c>
      <c r="C2011" s="517" t="s">
        <v>6368</v>
      </c>
      <c r="D2011" s="518">
        <v>10973</v>
      </c>
      <c r="E2011" s="517" t="s">
        <v>4594</v>
      </c>
      <c r="F2011" s="518" t="s">
        <v>29</v>
      </c>
      <c r="G2011" s="519">
        <v>291000</v>
      </c>
      <c r="H2011" s="517" t="s">
        <v>6915</v>
      </c>
    </row>
    <row r="2012" spans="2:8" ht="15" x14ac:dyDescent="0.35">
      <c r="B2012" s="544" t="s">
        <v>6263</v>
      </c>
      <c r="C2012" s="517" t="s">
        <v>6371</v>
      </c>
      <c r="D2012" s="518">
        <v>10974</v>
      </c>
      <c r="E2012" s="517" t="s">
        <v>5962</v>
      </c>
      <c r="F2012" s="518" t="s">
        <v>29</v>
      </c>
      <c r="G2012" s="519">
        <v>188972</v>
      </c>
      <c r="H2012" s="517" t="s">
        <v>6915</v>
      </c>
    </row>
    <row r="2013" spans="2:8" ht="15" x14ac:dyDescent="0.35">
      <c r="B2013" s="544" t="s">
        <v>6263</v>
      </c>
      <c r="C2013" s="517" t="s">
        <v>6373</v>
      </c>
      <c r="D2013" s="518">
        <v>10975</v>
      </c>
      <c r="E2013" s="517" t="s">
        <v>5963</v>
      </c>
      <c r="F2013" s="518" t="s">
        <v>29</v>
      </c>
      <c r="G2013" s="519">
        <v>90797</v>
      </c>
      <c r="H2013" s="517" t="s">
        <v>6915</v>
      </c>
    </row>
    <row r="2014" spans="2:8" ht="15" x14ac:dyDescent="0.35">
      <c r="B2014" s="544" t="s">
        <v>6263</v>
      </c>
      <c r="C2014" s="517" t="s">
        <v>6404</v>
      </c>
      <c r="D2014" s="518">
        <v>10976</v>
      </c>
      <c r="E2014" s="517" t="s">
        <v>5964</v>
      </c>
      <c r="F2014" s="518" t="s">
        <v>29</v>
      </c>
      <c r="G2014" s="519">
        <v>2171152</v>
      </c>
      <c r="H2014" s="517" t="s">
        <v>6915</v>
      </c>
    </row>
    <row r="2015" spans="2:8" ht="15" x14ac:dyDescent="0.35">
      <c r="B2015" s="544" t="s">
        <v>6263</v>
      </c>
      <c r="C2015" s="517" t="s">
        <v>6346</v>
      </c>
      <c r="D2015" s="518">
        <v>10977</v>
      </c>
      <c r="E2015" s="517" t="s">
        <v>5647</v>
      </c>
      <c r="F2015" s="518" t="s">
        <v>29</v>
      </c>
      <c r="G2015" s="519">
        <v>3208524</v>
      </c>
      <c r="H2015" s="517" t="s">
        <v>6425</v>
      </c>
    </row>
    <row r="2016" spans="2:8" ht="15" x14ac:dyDescent="0.35">
      <c r="B2016" s="544" t="s">
        <v>6263</v>
      </c>
      <c r="C2016" s="517" t="s">
        <v>6358</v>
      </c>
      <c r="D2016" s="518">
        <v>10987</v>
      </c>
      <c r="E2016" s="517" t="s">
        <v>5965</v>
      </c>
      <c r="F2016" s="518" t="s">
        <v>29</v>
      </c>
      <c r="G2016" s="519">
        <v>88060</v>
      </c>
      <c r="H2016" s="517" t="s">
        <v>6915</v>
      </c>
    </row>
    <row r="2017" spans="2:8" ht="15" x14ac:dyDescent="0.35">
      <c r="B2017" s="544" t="s">
        <v>6263</v>
      </c>
      <c r="C2017" s="517" t="s">
        <v>6358</v>
      </c>
      <c r="D2017" s="518">
        <v>10988</v>
      </c>
      <c r="E2017" s="517" t="s">
        <v>5966</v>
      </c>
      <c r="F2017" s="518" t="s">
        <v>29</v>
      </c>
      <c r="G2017" s="519">
        <v>210630</v>
      </c>
      <c r="H2017" s="517" t="s">
        <v>6915</v>
      </c>
    </row>
    <row r="2018" spans="2:8" ht="15" x14ac:dyDescent="0.35">
      <c r="B2018" s="544" t="s">
        <v>6263</v>
      </c>
      <c r="C2018" s="517" t="s">
        <v>6358</v>
      </c>
      <c r="D2018" s="518">
        <v>10989</v>
      </c>
      <c r="E2018" s="517" t="s">
        <v>5967</v>
      </c>
      <c r="F2018" s="518" t="s">
        <v>29</v>
      </c>
      <c r="G2018" s="519">
        <v>1449420</v>
      </c>
      <c r="H2018" s="517" t="s">
        <v>6915</v>
      </c>
    </row>
    <row r="2019" spans="2:8" ht="15" x14ac:dyDescent="0.35">
      <c r="B2019" s="544" t="s">
        <v>6263</v>
      </c>
      <c r="C2019" s="517" t="s">
        <v>6386</v>
      </c>
      <c r="D2019" s="518">
        <v>10992</v>
      </c>
      <c r="E2019" s="517" t="s">
        <v>5968</v>
      </c>
      <c r="F2019" s="518" t="s">
        <v>29</v>
      </c>
      <c r="G2019" s="519">
        <v>116745</v>
      </c>
      <c r="H2019" s="517" t="s">
        <v>6915</v>
      </c>
    </row>
    <row r="2020" spans="2:8" ht="15" x14ac:dyDescent="0.35">
      <c r="B2020" s="544" t="s">
        <v>6263</v>
      </c>
      <c r="C2020" s="517" t="s">
        <v>6403</v>
      </c>
      <c r="D2020" s="518">
        <v>10996</v>
      </c>
      <c r="E2020" s="517" t="s">
        <v>2418</v>
      </c>
      <c r="F2020" s="518" t="s">
        <v>29</v>
      </c>
      <c r="G2020" s="519">
        <v>476000</v>
      </c>
      <c r="H2020" s="517" t="s">
        <v>6915</v>
      </c>
    </row>
    <row r="2021" spans="2:8" ht="15" x14ac:dyDescent="0.35">
      <c r="B2021" s="544" t="s">
        <v>6263</v>
      </c>
      <c r="C2021" s="517" t="s">
        <v>6275</v>
      </c>
      <c r="D2021" s="518">
        <v>11007</v>
      </c>
      <c r="E2021" s="517" t="s">
        <v>5969</v>
      </c>
      <c r="F2021" s="518" t="s">
        <v>26</v>
      </c>
      <c r="G2021" s="519">
        <v>46398</v>
      </c>
      <c r="H2021" s="517" t="s">
        <v>6425</v>
      </c>
    </row>
    <row r="2022" spans="2:8" ht="15" x14ac:dyDescent="0.35">
      <c r="B2022" s="544" t="s">
        <v>6263</v>
      </c>
      <c r="C2022" s="517" t="s">
        <v>6388</v>
      </c>
      <c r="D2022" s="518">
        <v>11008</v>
      </c>
      <c r="E2022" s="517" t="s">
        <v>4595</v>
      </c>
      <c r="F2022" s="518" t="s">
        <v>23</v>
      </c>
      <c r="G2022" s="519">
        <v>129441</v>
      </c>
      <c r="H2022" s="517" t="s">
        <v>6915</v>
      </c>
    </row>
    <row r="2023" spans="2:8" ht="15" x14ac:dyDescent="0.35">
      <c r="B2023" s="544" t="s">
        <v>6263</v>
      </c>
      <c r="C2023" s="517" t="s">
        <v>6343</v>
      </c>
      <c r="D2023" s="518">
        <v>11026</v>
      </c>
      <c r="E2023" s="517" t="s">
        <v>4596</v>
      </c>
      <c r="F2023" s="518" t="s">
        <v>23</v>
      </c>
      <c r="G2023" s="519">
        <v>110670</v>
      </c>
      <c r="H2023" s="517" t="s">
        <v>6425</v>
      </c>
    </row>
    <row r="2024" spans="2:8" ht="15" x14ac:dyDescent="0.35">
      <c r="B2024" s="544" t="s">
        <v>6263</v>
      </c>
      <c r="C2024" s="517" t="s">
        <v>6343</v>
      </c>
      <c r="D2024" s="518">
        <v>11027</v>
      </c>
      <c r="E2024" s="517" t="s">
        <v>4597</v>
      </c>
      <c r="F2024" s="518" t="s">
        <v>23</v>
      </c>
      <c r="G2024" s="519">
        <v>110670</v>
      </c>
      <c r="H2024" s="517" t="s">
        <v>6425</v>
      </c>
    </row>
    <row r="2025" spans="2:8" ht="15" x14ac:dyDescent="0.35">
      <c r="B2025" s="544" t="s">
        <v>6263</v>
      </c>
      <c r="C2025" s="517" t="s">
        <v>6343</v>
      </c>
      <c r="D2025" s="518">
        <v>11028</v>
      </c>
      <c r="E2025" s="517" t="s">
        <v>4598</v>
      </c>
      <c r="F2025" s="518" t="s">
        <v>23</v>
      </c>
      <c r="G2025" s="519">
        <v>123760</v>
      </c>
      <c r="H2025" s="517" t="s">
        <v>6425</v>
      </c>
    </row>
    <row r="2026" spans="2:8" ht="15" x14ac:dyDescent="0.35">
      <c r="B2026" s="544" t="s">
        <v>6263</v>
      </c>
      <c r="C2026" s="517" t="s">
        <v>6343</v>
      </c>
      <c r="D2026" s="518">
        <v>11029</v>
      </c>
      <c r="E2026" s="517" t="s">
        <v>4599</v>
      </c>
      <c r="F2026" s="518" t="s">
        <v>23</v>
      </c>
      <c r="G2026" s="519">
        <v>123760</v>
      </c>
      <c r="H2026" s="517" t="s">
        <v>6425</v>
      </c>
    </row>
    <row r="2027" spans="2:8" ht="15" x14ac:dyDescent="0.35">
      <c r="B2027" s="544" t="s">
        <v>6263</v>
      </c>
      <c r="C2027" s="517" t="s">
        <v>6343</v>
      </c>
      <c r="D2027" s="518">
        <v>11030</v>
      </c>
      <c r="E2027" s="517" t="s">
        <v>4600</v>
      </c>
      <c r="F2027" s="518" t="s">
        <v>23</v>
      </c>
      <c r="G2027" s="519">
        <v>132090</v>
      </c>
      <c r="H2027" s="517" t="s">
        <v>6425</v>
      </c>
    </row>
    <row r="2028" spans="2:8" ht="15" x14ac:dyDescent="0.35">
      <c r="B2028" s="544" t="s">
        <v>6263</v>
      </c>
      <c r="C2028" s="517" t="s">
        <v>6343</v>
      </c>
      <c r="D2028" s="518">
        <v>11031</v>
      </c>
      <c r="E2028" s="517" t="s">
        <v>4601</v>
      </c>
      <c r="F2028" s="518" t="s">
        <v>23</v>
      </c>
      <c r="G2028" s="519">
        <v>138040</v>
      </c>
      <c r="H2028" s="517" t="s">
        <v>6425</v>
      </c>
    </row>
    <row r="2029" spans="2:8" ht="15" x14ac:dyDescent="0.35">
      <c r="B2029" s="544" t="s">
        <v>6263</v>
      </c>
      <c r="C2029" s="517" t="s">
        <v>6343</v>
      </c>
      <c r="D2029" s="518">
        <v>11032</v>
      </c>
      <c r="E2029" s="517" t="s">
        <v>4602</v>
      </c>
      <c r="F2029" s="518" t="s">
        <v>23</v>
      </c>
      <c r="G2029" s="519">
        <v>92820</v>
      </c>
      <c r="H2029" s="517" t="s">
        <v>6425</v>
      </c>
    </row>
    <row r="2030" spans="2:8" ht="15" x14ac:dyDescent="0.35">
      <c r="B2030" s="544" t="s">
        <v>6263</v>
      </c>
      <c r="C2030" s="517" t="s">
        <v>6343</v>
      </c>
      <c r="D2030" s="518">
        <v>11033</v>
      </c>
      <c r="E2030" s="517" t="s">
        <v>4603</v>
      </c>
      <c r="F2030" s="518" t="s">
        <v>23</v>
      </c>
      <c r="G2030" s="519">
        <v>92820</v>
      </c>
      <c r="H2030" s="517" t="s">
        <v>6425</v>
      </c>
    </row>
    <row r="2031" spans="2:8" ht="15" x14ac:dyDescent="0.35">
      <c r="B2031" s="544" t="s">
        <v>6263</v>
      </c>
      <c r="C2031" s="517" t="s">
        <v>6343</v>
      </c>
      <c r="D2031" s="518">
        <v>11034</v>
      </c>
      <c r="E2031" s="517" t="s">
        <v>4604</v>
      </c>
      <c r="F2031" s="518" t="s">
        <v>23</v>
      </c>
      <c r="G2031" s="519">
        <v>102340</v>
      </c>
      <c r="H2031" s="517" t="s">
        <v>6425</v>
      </c>
    </row>
    <row r="2032" spans="2:8" ht="15" x14ac:dyDescent="0.35">
      <c r="B2032" s="544" t="s">
        <v>6263</v>
      </c>
      <c r="C2032" s="517" t="s">
        <v>6343</v>
      </c>
      <c r="D2032" s="518">
        <v>11035</v>
      </c>
      <c r="E2032" s="517" t="s">
        <v>4605</v>
      </c>
      <c r="F2032" s="518" t="s">
        <v>23</v>
      </c>
      <c r="G2032" s="519">
        <v>102340</v>
      </c>
      <c r="H2032" s="517" t="s">
        <v>6425</v>
      </c>
    </row>
    <row r="2033" spans="2:8" ht="15" x14ac:dyDescent="0.35">
      <c r="B2033" s="544" t="s">
        <v>6263</v>
      </c>
      <c r="C2033" s="517" t="s">
        <v>6343</v>
      </c>
      <c r="D2033" s="518">
        <v>11036</v>
      </c>
      <c r="E2033" s="517" t="s">
        <v>4606</v>
      </c>
      <c r="F2033" s="518" t="s">
        <v>23</v>
      </c>
      <c r="G2033" s="519">
        <v>104720</v>
      </c>
      <c r="H2033" s="517" t="s">
        <v>6425</v>
      </c>
    </row>
    <row r="2034" spans="2:8" ht="15" x14ac:dyDescent="0.35">
      <c r="B2034" s="544" t="s">
        <v>6263</v>
      </c>
      <c r="C2034" s="517" t="s">
        <v>6343</v>
      </c>
      <c r="D2034" s="518">
        <v>11037</v>
      </c>
      <c r="E2034" s="517" t="s">
        <v>4607</v>
      </c>
      <c r="F2034" s="518" t="s">
        <v>23</v>
      </c>
      <c r="G2034" s="519">
        <v>104720</v>
      </c>
      <c r="H2034" s="517" t="s">
        <v>6425</v>
      </c>
    </row>
    <row r="2035" spans="2:8" ht="15" x14ac:dyDescent="0.35">
      <c r="B2035" s="544" t="s">
        <v>6263</v>
      </c>
      <c r="C2035" s="517" t="s">
        <v>6343</v>
      </c>
      <c r="D2035" s="518">
        <v>11038</v>
      </c>
      <c r="E2035" s="517" t="s">
        <v>4608</v>
      </c>
      <c r="F2035" s="518" t="s">
        <v>23</v>
      </c>
      <c r="G2035" s="519">
        <v>24469</v>
      </c>
      <c r="H2035" s="517" t="s">
        <v>6425</v>
      </c>
    </row>
    <row r="2036" spans="2:8" ht="15" x14ac:dyDescent="0.35">
      <c r="B2036" s="544" t="s">
        <v>6263</v>
      </c>
      <c r="C2036" s="517" t="s">
        <v>6343</v>
      </c>
      <c r="D2036" s="518">
        <v>11039</v>
      </c>
      <c r="E2036" s="517" t="s">
        <v>4609</v>
      </c>
      <c r="F2036" s="518" t="s">
        <v>23</v>
      </c>
      <c r="G2036" s="519">
        <v>21345</v>
      </c>
      <c r="H2036" s="517" t="s">
        <v>6425</v>
      </c>
    </row>
    <row r="2037" spans="2:8" ht="15" x14ac:dyDescent="0.35">
      <c r="B2037" s="544" t="s">
        <v>6263</v>
      </c>
      <c r="C2037" s="517" t="s">
        <v>6258</v>
      </c>
      <c r="D2037" s="518">
        <v>11057</v>
      </c>
      <c r="E2037" s="517" t="s">
        <v>4610</v>
      </c>
      <c r="F2037" s="518" t="s">
        <v>21</v>
      </c>
      <c r="G2037" s="519">
        <v>55145</v>
      </c>
      <c r="H2037" s="517" t="s">
        <v>6915</v>
      </c>
    </row>
    <row r="2038" spans="2:8" ht="15" x14ac:dyDescent="0.35">
      <c r="B2038" s="544" t="s">
        <v>6263</v>
      </c>
      <c r="C2038" s="517" t="s">
        <v>6362</v>
      </c>
      <c r="D2038" s="518">
        <v>11080</v>
      </c>
      <c r="E2038" s="517" t="s">
        <v>4611</v>
      </c>
      <c r="F2038" s="518" t="s">
        <v>23</v>
      </c>
      <c r="G2038" s="519">
        <v>1344279</v>
      </c>
      <c r="H2038" s="517" t="s">
        <v>6425</v>
      </c>
    </row>
    <row r="2039" spans="2:8" ht="15" x14ac:dyDescent="0.35">
      <c r="B2039" s="544" t="s">
        <v>6263</v>
      </c>
      <c r="C2039" s="517" t="s">
        <v>6362</v>
      </c>
      <c r="D2039" s="518">
        <v>11081</v>
      </c>
      <c r="E2039" s="517" t="s">
        <v>4612</v>
      </c>
      <c r="F2039" s="518" t="s">
        <v>23</v>
      </c>
      <c r="G2039" s="519">
        <v>1220683</v>
      </c>
      <c r="H2039" s="517" t="s">
        <v>6425</v>
      </c>
    </row>
    <row r="2040" spans="2:8" ht="15" x14ac:dyDescent="0.35">
      <c r="B2040" s="544" t="s">
        <v>6263</v>
      </c>
      <c r="C2040" s="517" t="s">
        <v>6362</v>
      </c>
      <c r="D2040" s="518">
        <v>11082</v>
      </c>
      <c r="E2040" s="517" t="s">
        <v>4613</v>
      </c>
      <c r="F2040" s="518" t="s">
        <v>23</v>
      </c>
      <c r="G2040" s="519">
        <v>1140138</v>
      </c>
      <c r="H2040" s="517" t="s">
        <v>6425</v>
      </c>
    </row>
    <row r="2041" spans="2:8" ht="15" x14ac:dyDescent="0.35">
      <c r="B2041" s="544" t="s">
        <v>6263</v>
      </c>
      <c r="C2041" s="517" t="s">
        <v>6377</v>
      </c>
      <c r="D2041" s="518">
        <v>11083</v>
      </c>
      <c r="E2041" s="517" t="s">
        <v>4614</v>
      </c>
      <c r="F2041" s="518" t="s">
        <v>29</v>
      </c>
      <c r="G2041" s="519">
        <v>54378</v>
      </c>
      <c r="H2041" s="517" t="s">
        <v>6425</v>
      </c>
    </row>
    <row r="2042" spans="2:8" ht="15" x14ac:dyDescent="0.35">
      <c r="B2042" s="544" t="s">
        <v>6263</v>
      </c>
      <c r="C2042" s="517" t="s">
        <v>6377</v>
      </c>
      <c r="D2042" s="518">
        <v>11084</v>
      </c>
      <c r="E2042" s="517" t="s">
        <v>5970</v>
      </c>
      <c r="F2042" s="518" t="s">
        <v>29</v>
      </c>
      <c r="G2042" s="519">
        <v>178500</v>
      </c>
      <c r="H2042" s="517" t="s">
        <v>6425</v>
      </c>
    </row>
    <row r="2043" spans="2:8" ht="15" x14ac:dyDescent="0.35">
      <c r="B2043" s="544" t="s">
        <v>6263</v>
      </c>
      <c r="C2043" s="517" t="s">
        <v>6405</v>
      </c>
      <c r="D2043" s="518">
        <v>11085</v>
      </c>
      <c r="E2043" s="517" t="s">
        <v>4615</v>
      </c>
      <c r="F2043" s="518" t="s">
        <v>29</v>
      </c>
      <c r="G2043" s="519">
        <v>7500594</v>
      </c>
      <c r="H2043" s="517" t="s">
        <v>6915</v>
      </c>
    </row>
    <row r="2044" spans="2:8" ht="15" x14ac:dyDescent="0.35">
      <c r="B2044" s="544" t="s">
        <v>6263</v>
      </c>
      <c r="C2044" s="517" t="s">
        <v>6405</v>
      </c>
      <c r="D2044" s="518">
        <v>11086</v>
      </c>
      <c r="E2044" s="517" t="s">
        <v>4616</v>
      </c>
      <c r="F2044" s="518" t="s">
        <v>29</v>
      </c>
      <c r="G2044" s="519">
        <v>674690</v>
      </c>
      <c r="H2044" s="517" t="s">
        <v>6915</v>
      </c>
    </row>
    <row r="2045" spans="2:8" ht="15" x14ac:dyDescent="0.35">
      <c r="B2045" s="544" t="s">
        <v>6263</v>
      </c>
      <c r="C2045" s="517" t="s">
        <v>6367</v>
      </c>
      <c r="D2045" s="518">
        <v>11089</v>
      </c>
      <c r="E2045" s="517" t="s">
        <v>4617</v>
      </c>
      <c r="F2045" s="518" t="s">
        <v>29</v>
      </c>
      <c r="G2045" s="519">
        <v>29883</v>
      </c>
      <c r="H2045" s="517" t="s">
        <v>6915</v>
      </c>
    </row>
    <row r="2046" spans="2:8" ht="15" x14ac:dyDescent="0.35">
      <c r="B2046" s="544" t="s">
        <v>6263</v>
      </c>
      <c r="C2046" s="517" t="s">
        <v>6363</v>
      </c>
      <c r="D2046" s="518">
        <v>11091</v>
      </c>
      <c r="E2046" s="517" t="s">
        <v>4618</v>
      </c>
      <c r="F2046" s="518" t="s">
        <v>367</v>
      </c>
      <c r="G2046" s="519">
        <v>4451</v>
      </c>
      <c r="H2046" s="517" t="s">
        <v>6915</v>
      </c>
    </row>
    <row r="2047" spans="2:8" ht="15" x14ac:dyDescent="0.35">
      <c r="B2047" s="544" t="s">
        <v>6263</v>
      </c>
      <c r="C2047" s="517" t="s">
        <v>6363</v>
      </c>
      <c r="D2047" s="518">
        <v>11092</v>
      </c>
      <c r="E2047" s="517" t="s">
        <v>4619</v>
      </c>
      <c r="F2047" s="518" t="s">
        <v>367</v>
      </c>
      <c r="G2047" s="519">
        <v>10793</v>
      </c>
      <c r="H2047" s="517" t="s">
        <v>6915</v>
      </c>
    </row>
    <row r="2048" spans="2:8" ht="15" x14ac:dyDescent="0.35">
      <c r="B2048" s="544" t="s">
        <v>6263</v>
      </c>
      <c r="C2048" s="517" t="s">
        <v>6363</v>
      </c>
      <c r="D2048" s="518">
        <v>11093</v>
      </c>
      <c r="E2048" s="517" t="s">
        <v>4620</v>
      </c>
      <c r="F2048" s="518" t="s">
        <v>367</v>
      </c>
      <c r="G2048" s="519">
        <v>8693</v>
      </c>
      <c r="H2048" s="517" t="s">
        <v>6915</v>
      </c>
    </row>
    <row r="2049" spans="2:8" ht="15" x14ac:dyDescent="0.35">
      <c r="B2049" s="544" t="s">
        <v>6263</v>
      </c>
      <c r="C2049" s="517" t="s">
        <v>6363</v>
      </c>
      <c r="D2049" s="518">
        <v>11094</v>
      </c>
      <c r="E2049" s="517" t="s">
        <v>4621</v>
      </c>
      <c r="F2049" s="518" t="s">
        <v>367</v>
      </c>
      <c r="G2049" s="519">
        <v>13508</v>
      </c>
      <c r="H2049" s="517" t="s">
        <v>6915</v>
      </c>
    </row>
    <row r="2050" spans="2:8" ht="15" x14ac:dyDescent="0.35">
      <c r="B2050" s="544" t="s">
        <v>6263</v>
      </c>
      <c r="C2050" s="517" t="s">
        <v>6363</v>
      </c>
      <c r="D2050" s="518">
        <v>11096</v>
      </c>
      <c r="E2050" s="517" t="s">
        <v>4622</v>
      </c>
      <c r="F2050" s="518" t="s">
        <v>367</v>
      </c>
      <c r="G2050" s="519">
        <v>12553</v>
      </c>
      <c r="H2050" s="517" t="s">
        <v>6915</v>
      </c>
    </row>
    <row r="2051" spans="2:8" ht="15" x14ac:dyDescent="0.35">
      <c r="B2051" s="544" t="s">
        <v>6263</v>
      </c>
      <c r="C2051" s="517" t="s">
        <v>6363</v>
      </c>
      <c r="D2051" s="518">
        <v>11097</v>
      </c>
      <c r="E2051" s="517" t="s">
        <v>4623</v>
      </c>
      <c r="F2051" s="518" t="s">
        <v>367</v>
      </c>
      <c r="G2051" s="519">
        <v>16178</v>
      </c>
      <c r="H2051" s="517" t="s">
        <v>6915</v>
      </c>
    </row>
    <row r="2052" spans="2:8" ht="15" x14ac:dyDescent="0.35">
      <c r="B2052" s="544" t="s">
        <v>6263</v>
      </c>
      <c r="C2052" s="517" t="s">
        <v>6363</v>
      </c>
      <c r="D2052" s="518">
        <v>11098</v>
      </c>
      <c r="E2052" s="517" t="s">
        <v>4624</v>
      </c>
      <c r="F2052" s="518" t="s">
        <v>367</v>
      </c>
      <c r="G2052" s="519">
        <v>19045</v>
      </c>
      <c r="H2052" s="517" t="s">
        <v>6915</v>
      </c>
    </row>
    <row r="2053" spans="2:8" ht="15" x14ac:dyDescent="0.35">
      <c r="B2053" s="544" t="s">
        <v>6263</v>
      </c>
      <c r="C2053" s="517" t="s">
        <v>6406</v>
      </c>
      <c r="D2053" s="518">
        <v>11101</v>
      </c>
      <c r="E2053" s="517" t="s">
        <v>5971</v>
      </c>
      <c r="F2053" s="518" t="s">
        <v>26</v>
      </c>
      <c r="G2053" s="519">
        <v>190400</v>
      </c>
      <c r="H2053" s="517" t="s">
        <v>6915</v>
      </c>
    </row>
    <row r="2054" spans="2:8" ht="15" x14ac:dyDescent="0.35">
      <c r="B2054" s="544" t="s">
        <v>6263</v>
      </c>
      <c r="C2054" s="517" t="s">
        <v>6406</v>
      </c>
      <c r="D2054" s="518">
        <v>11102</v>
      </c>
      <c r="E2054" s="517" t="s">
        <v>5972</v>
      </c>
      <c r="F2054" s="518" t="s">
        <v>26</v>
      </c>
      <c r="G2054" s="519">
        <v>476000</v>
      </c>
      <c r="H2054" s="517" t="s">
        <v>6915</v>
      </c>
    </row>
    <row r="2055" spans="2:8" ht="15" x14ac:dyDescent="0.35">
      <c r="B2055" s="544" t="s">
        <v>6263</v>
      </c>
      <c r="C2055" s="517" t="s">
        <v>6406</v>
      </c>
      <c r="D2055" s="518">
        <v>11103</v>
      </c>
      <c r="E2055" s="517" t="s">
        <v>5973</v>
      </c>
      <c r="F2055" s="518" t="s">
        <v>26</v>
      </c>
      <c r="G2055" s="519">
        <v>595000</v>
      </c>
      <c r="H2055" s="517" t="s">
        <v>6915</v>
      </c>
    </row>
    <row r="2056" spans="2:8" ht="15" x14ac:dyDescent="0.35">
      <c r="B2056" s="544" t="s">
        <v>6263</v>
      </c>
      <c r="C2056" s="517" t="s">
        <v>6406</v>
      </c>
      <c r="D2056" s="518">
        <v>11106</v>
      </c>
      <c r="E2056" s="517" t="s">
        <v>5974</v>
      </c>
      <c r="F2056" s="518" t="s">
        <v>26</v>
      </c>
      <c r="G2056" s="519">
        <v>535500</v>
      </c>
      <c r="H2056" s="517" t="s">
        <v>6915</v>
      </c>
    </row>
    <row r="2057" spans="2:8" ht="15" x14ac:dyDescent="0.35">
      <c r="B2057" s="544" t="s">
        <v>6263</v>
      </c>
      <c r="C2057" s="517" t="s">
        <v>6406</v>
      </c>
      <c r="D2057" s="518">
        <v>11107</v>
      </c>
      <c r="E2057" s="517" t="s">
        <v>5975</v>
      </c>
      <c r="F2057" s="518" t="s">
        <v>26</v>
      </c>
      <c r="G2057" s="519">
        <v>654500</v>
      </c>
      <c r="H2057" s="517" t="s">
        <v>6915</v>
      </c>
    </row>
    <row r="2058" spans="2:8" ht="15" x14ac:dyDescent="0.35">
      <c r="B2058" s="544" t="s">
        <v>6263</v>
      </c>
      <c r="C2058" s="517" t="s">
        <v>6406</v>
      </c>
      <c r="D2058" s="518">
        <v>11110</v>
      </c>
      <c r="E2058" s="517" t="s">
        <v>5976</v>
      </c>
      <c r="F2058" s="518" t="s">
        <v>26</v>
      </c>
      <c r="G2058" s="519">
        <v>479972</v>
      </c>
      <c r="H2058" s="517" t="s">
        <v>6915</v>
      </c>
    </row>
    <row r="2059" spans="2:8" ht="15" x14ac:dyDescent="0.35">
      <c r="B2059" s="544" t="s">
        <v>6263</v>
      </c>
      <c r="C2059" s="517" t="s">
        <v>6406</v>
      </c>
      <c r="D2059" s="518">
        <v>11114</v>
      </c>
      <c r="E2059" s="517" t="s">
        <v>5977</v>
      </c>
      <c r="F2059" s="518" t="s">
        <v>26</v>
      </c>
      <c r="G2059" s="519">
        <v>504586</v>
      </c>
      <c r="H2059" s="517" t="s">
        <v>6915</v>
      </c>
    </row>
    <row r="2060" spans="2:8" ht="15" x14ac:dyDescent="0.35">
      <c r="B2060" s="544" t="s">
        <v>6263</v>
      </c>
      <c r="C2060" s="517" t="s">
        <v>6403</v>
      </c>
      <c r="D2060" s="518">
        <v>11116</v>
      </c>
      <c r="E2060" s="517" t="s">
        <v>4625</v>
      </c>
      <c r="F2060" s="518" t="s">
        <v>26</v>
      </c>
      <c r="G2060" s="519">
        <v>359380</v>
      </c>
      <c r="H2060" s="517" t="s">
        <v>6915</v>
      </c>
    </row>
    <row r="2061" spans="2:8" ht="15" x14ac:dyDescent="0.35">
      <c r="B2061" s="544" t="s">
        <v>6263</v>
      </c>
      <c r="C2061" s="517" t="s">
        <v>6403</v>
      </c>
      <c r="D2061" s="518">
        <v>11117</v>
      </c>
      <c r="E2061" s="517" t="s">
        <v>4626</v>
      </c>
      <c r="F2061" s="518" t="s">
        <v>26</v>
      </c>
      <c r="G2061" s="519">
        <v>486103</v>
      </c>
      <c r="H2061" s="517" t="s">
        <v>6915</v>
      </c>
    </row>
    <row r="2062" spans="2:8" ht="15" x14ac:dyDescent="0.35">
      <c r="B2062" s="544" t="s">
        <v>6263</v>
      </c>
      <c r="C2062" s="517" t="s">
        <v>6403</v>
      </c>
      <c r="D2062" s="518">
        <v>11118</v>
      </c>
      <c r="E2062" s="517" t="s">
        <v>4627</v>
      </c>
      <c r="F2062" s="518" t="s">
        <v>26</v>
      </c>
      <c r="G2062" s="519">
        <v>376849</v>
      </c>
      <c r="H2062" s="517" t="s">
        <v>6915</v>
      </c>
    </row>
    <row r="2063" spans="2:8" ht="15" x14ac:dyDescent="0.35">
      <c r="B2063" s="544" t="s">
        <v>6263</v>
      </c>
      <c r="C2063" s="517" t="s">
        <v>6403</v>
      </c>
      <c r="D2063" s="518">
        <v>11119</v>
      </c>
      <c r="E2063" s="517" t="s">
        <v>4628</v>
      </c>
      <c r="F2063" s="518" t="s">
        <v>26</v>
      </c>
      <c r="G2063" s="519">
        <v>537880</v>
      </c>
      <c r="H2063" s="517" t="s">
        <v>6915</v>
      </c>
    </row>
    <row r="2064" spans="2:8" ht="15" x14ac:dyDescent="0.35">
      <c r="B2064" s="544" t="s">
        <v>6263</v>
      </c>
      <c r="C2064" s="517" t="s">
        <v>6403</v>
      </c>
      <c r="D2064" s="518">
        <v>11120</v>
      </c>
      <c r="E2064" s="517" t="s">
        <v>4629</v>
      </c>
      <c r="F2064" s="518" t="s">
        <v>29</v>
      </c>
      <c r="G2064" s="519">
        <v>2975000</v>
      </c>
      <c r="H2064" s="517" t="s">
        <v>6915</v>
      </c>
    </row>
    <row r="2065" spans="2:8" ht="15" x14ac:dyDescent="0.35">
      <c r="B2065" s="544" t="s">
        <v>6263</v>
      </c>
      <c r="C2065" s="517" t="s">
        <v>6403</v>
      </c>
      <c r="D2065" s="518">
        <v>11121</v>
      </c>
      <c r="E2065" s="517" t="s">
        <v>4630</v>
      </c>
      <c r="F2065" s="518" t="s">
        <v>29</v>
      </c>
      <c r="G2065" s="519">
        <v>3689000</v>
      </c>
      <c r="H2065" s="517" t="s">
        <v>6915</v>
      </c>
    </row>
    <row r="2066" spans="2:8" ht="15" x14ac:dyDescent="0.35">
      <c r="B2066" s="544" t="s">
        <v>6263</v>
      </c>
      <c r="C2066" s="517" t="s">
        <v>6362</v>
      </c>
      <c r="D2066" s="518">
        <v>11125</v>
      </c>
      <c r="E2066" s="517" t="s">
        <v>4631</v>
      </c>
      <c r="F2066" s="518" t="s">
        <v>367</v>
      </c>
      <c r="G2066" s="519">
        <v>4565</v>
      </c>
      <c r="H2066" s="517" t="s">
        <v>6425</v>
      </c>
    </row>
    <row r="2067" spans="2:8" ht="15" x14ac:dyDescent="0.35">
      <c r="B2067" s="544" t="s">
        <v>6263</v>
      </c>
      <c r="C2067" s="517" t="s">
        <v>6362</v>
      </c>
      <c r="D2067" s="518">
        <v>11127</v>
      </c>
      <c r="E2067" s="517" t="s">
        <v>4632</v>
      </c>
      <c r="F2067" s="518" t="s">
        <v>367</v>
      </c>
      <c r="G2067" s="519">
        <v>4626</v>
      </c>
      <c r="H2067" s="517" t="s">
        <v>6425</v>
      </c>
    </row>
    <row r="2068" spans="2:8" ht="15" x14ac:dyDescent="0.35">
      <c r="B2068" s="544" t="s">
        <v>6263</v>
      </c>
      <c r="C2068" s="517" t="s">
        <v>6359</v>
      </c>
      <c r="D2068" s="518">
        <v>11136</v>
      </c>
      <c r="E2068" s="517" t="s">
        <v>4633</v>
      </c>
      <c r="F2068" s="518" t="s">
        <v>26</v>
      </c>
      <c r="G2068" s="519">
        <v>319007</v>
      </c>
      <c r="H2068" s="517" t="s">
        <v>6915</v>
      </c>
    </row>
    <row r="2069" spans="2:8" ht="15" x14ac:dyDescent="0.35">
      <c r="B2069" s="544" t="s">
        <v>6263</v>
      </c>
      <c r="C2069" s="517" t="s">
        <v>6340</v>
      </c>
      <c r="D2069" s="518">
        <v>11156</v>
      </c>
      <c r="E2069" s="517" t="s">
        <v>4634</v>
      </c>
      <c r="F2069" s="518" t="s">
        <v>3175</v>
      </c>
      <c r="G2069" s="519">
        <v>93298</v>
      </c>
      <c r="H2069" s="517" t="s">
        <v>6425</v>
      </c>
    </row>
    <row r="2070" spans="2:8" ht="15" x14ac:dyDescent="0.35">
      <c r="B2070" s="544" t="s">
        <v>6263</v>
      </c>
      <c r="C2070" s="517" t="s">
        <v>6382</v>
      </c>
      <c r="D2070" s="518">
        <v>11161</v>
      </c>
      <c r="E2070" s="517" t="s">
        <v>4635</v>
      </c>
      <c r="F2070" s="518" t="s">
        <v>367</v>
      </c>
      <c r="G2070" s="519">
        <v>1314</v>
      </c>
      <c r="H2070" s="517" t="s">
        <v>6915</v>
      </c>
    </row>
    <row r="2071" spans="2:8" ht="15" x14ac:dyDescent="0.35">
      <c r="B2071" s="544" t="s">
        <v>6263</v>
      </c>
      <c r="C2071" s="517" t="s">
        <v>6367</v>
      </c>
      <c r="D2071" s="518">
        <v>11164</v>
      </c>
      <c r="E2071" s="517" t="s">
        <v>4636</v>
      </c>
      <c r="F2071" s="518" t="s">
        <v>29</v>
      </c>
      <c r="G2071" s="519">
        <v>44204</v>
      </c>
      <c r="H2071" s="517" t="s">
        <v>6915</v>
      </c>
    </row>
    <row r="2072" spans="2:8" ht="15" x14ac:dyDescent="0.35">
      <c r="B2072" s="544" t="s">
        <v>6263</v>
      </c>
      <c r="C2072" s="517" t="s">
        <v>6359</v>
      </c>
      <c r="D2072" s="518">
        <v>11165</v>
      </c>
      <c r="E2072" s="517" t="s">
        <v>2313</v>
      </c>
      <c r="F2072" s="518" t="s">
        <v>29</v>
      </c>
      <c r="G2072" s="519">
        <v>6889</v>
      </c>
      <c r="H2072" s="517" t="s">
        <v>6915</v>
      </c>
    </row>
    <row r="2073" spans="2:8" ht="15" x14ac:dyDescent="0.35">
      <c r="B2073" s="544" t="s">
        <v>6263</v>
      </c>
      <c r="C2073" s="517" t="s">
        <v>6350</v>
      </c>
      <c r="D2073" s="518">
        <v>11167</v>
      </c>
      <c r="E2073" s="517" t="s">
        <v>4637</v>
      </c>
      <c r="F2073" s="518" t="s">
        <v>676</v>
      </c>
      <c r="G2073" s="519">
        <v>5653</v>
      </c>
      <c r="H2073" s="517" t="s">
        <v>6425</v>
      </c>
    </row>
    <row r="2074" spans="2:8" ht="15" x14ac:dyDescent="0.35">
      <c r="B2074" s="544" t="s">
        <v>6263</v>
      </c>
      <c r="C2074" s="517" t="s">
        <v>6345</v>
      </c>
      <c r="D2074" s="518">
        <v>11169</v>
      </c>
      <c r="E2074" s="517" t="s">
        <v>4638</v>
      </c>
      <c r="F2074" s="518" t="s">
        <v>26</v>
      </c>
      <c r="G2074" s="519">
        <v>104323</v>
      </c>
      <c r="H2074" s="517" t="s">
        <v>6425</v>
      </c>
    </row>
    <row r="2075" spans="2:8" ht="15" x14ac:dyDescent="0.35">
      <c r="B2075" s="544" t="s">
        <v>6263</v>
      </c>
      <c r="C2075" s="517" t="s">
        <v>6337</v>
      </c>
      <c r="D2075" s="518">
        <v>11171</v>
      </c>
      <c r="E2075" s="517" t="s">
        <v>4639</v>
      </c>
      <c r="F2075" s="518" t="s">
        <v>23</v>
      </c>
      <c r="G2075" s="519">
        <v>867082</v>
      </c>
      <c r="H2075" s="517" t="s">
        <v>6425</v>
      </c>
    </row>
    <row r="2076" spans="2:8" ht="15" x14ac:dyDescent="0.35">
      <c r="B2076" s="544" t="s">
        <v>6263</v>
      </c>
      <c r="C2076" s="517" t="s">
        <v>6337</v>
      </c>
      <c r="D2076" s="518">
        <v>11172</v>
      </c>
      <c r="E2076" s="517" t="s">
        <v>4640</v>
      </c>
      <c r="F2076" s="518" t="s">
        <v>23</v>
      </c>
      <c r="G2076" s="519">
        <v>903785</v>
      </c>
      <c r="H2076" s="517" t="s">
        <v>6425</v>
      </c>
    </row>
    <row r="2077" spans="2:8" ht="15" x14ac:dyDescent="0.35">
      <c r="B2077" s="544" t="s">
        <v>6263</v>
      </c>
      <c r="C2077" s="517" t="s">
        <v>6383</v>
      </c>
      <c r="D2077" s="518">
        <v>11173</v>
      </c>
      <c r="E2077" s="517" t="s">
        <v>4641</v>
      </c>
      <c r="F2077" s="518" t="s">
        <v>29</v>
      </c>
      <c r="G2077" s="519">
        <v>107244</v>
      </c>
      <c r="H2077" s="517" t="s">
        <v>6915</v>
      </c>
    </row>
    <row r="2078" spans="2:8" ht="15" x14ac:dyDescent="0.35">
      <c r="B2078" s="544" t="s">
        <v>6263</v>
      </c>
      <c r="C2078" s="517" t="s">
        <v>6359</v>
      </c>
      <c r="D2078" s="518">
        <v>11175</v>
      </c>
      <c r="E2078" s="517" t="s">
        <v>4642</v>
      </c>
      <c r="F2078" s="518" t="s">
        <v>29</v>
      </c>
      <c r="G2078" s="519">
        <v>62595</v>
      </c>
      <c r="H2078" s="517" t="s">
        <v>6915</v>
      </c>
    </row>
    <row r="2079" spans="2:8" ht="15" x14ac:dyDescent="0.35">
      <c r="B2079" s="544" t="s">
        <v>6263</v>
      </c>
      <c r="C2079" s="517" t="s">
        <v>6359</v>
      </c>
      <c r="D2079" s="518">
        <v>11277</v>
      </c>
      <c r="E2079" s="517" t="s">
        <v>4643</v>
      </c>
      <c r="F2079" s="518" t="s">
        <v>29</v>
      </c>
      <c r="G2079" s="519">
        <v>12755</v>
      </c>
      <c r="H2079" s="517" t="s">
        <v>6915</v>
      </c>
    </row>
    <row r="2080" spans="2:8" ht="15" x14ac:dyDescent="0.35">
      <c r="B2080" s="544" t="s">
        <v>6263</v>
      </c>
      <c r="C2080" s="517" t="s">
        <v>6359</v>
      </c>
      <c r="D2080" s="518">
        <v>11278</v>
      </c>
      <c r="E2080" s="517" t="s">
        <v>4644</v>
      </c>
      <c r="F2080" s="518" t="s">
        <v>29</v>
      </c>
      <c r="G2080" s="519">
        <v>673479</v>
      </c>
      <c r="H2080" s="517" t="s">
        <v>6915</v>
      </c>
    </row>
    <row r="2081" spans="2:8" ht="15" x14ac:dyDescent="0.35">
      <c r="B2081" s="544" t="s">
        <v>6263</v>
      </c>
      <c r="C2081" s="517" t="s">
        <v>6359</v>
      </c>
      <c r="D2081" s="518">
        <v>11279</v>
      </c>
      <c r="E2081" s="517" t="s">
        <v>2351</v>
      </c>
      <c r="F2081" s="518" t="s">
        <v>29</v>
      </c>
      <c r="G2081" s="519">
        <v>673479</v>
      </c>
      <c r="H2081" s="517" t="s">
        <v>6915</v>
      </c>
    </row>
    <row r="2082" spans="2:8" ht="15" x14ac:dyDescent="0.35">
      <c r="B2082" s="544" t="s">
        <v>6263</v>
      </c>
      <c r="C2082" s="517" t="s">
        <v>6389</v>
      </c>
      <c r="D2082" s="518">
        <v>11280</v>
      </c>
      <c r="E2082" s="517" t="s">
        <v>4645</v>
      </c>
      <c r="F2082" s="518" t="s">
        <v>29</v>
      </c>
      <c r="G2082" s="519">
        <v>5414500</v>
      </c>
      <c r="H2082" s="517" t="s">
        <v>6425</v>
      </c>
    </row>
    <row r="2083" spans="2:8" ht="15" x14ac:dyDescent="0.35">
      <c r="B2083" s="544" t="s">
        <v>6263</v>
      </c>
      <c r="C2083" s="517" t="s">
        <v>6345</v>
      </c>
      <c r="D2083" s="518">
        <v>11292</v>
      </c>
      <c r="E2083" s="517" t="s">
        <v>4646</v>
      </c>
      <c r="F2083" s="518" t="s">
        <v>29</v>
      </c>
      <c r="G2083" s="519">
        <v>29200</v>
      </c>
      <c r="H2083" s="517" t="s">
        <v>6425</v>
      </c>
    </row>
    <row r="2084" spans="2:8" ht="15" x14ac:dyDescent="0.35">
      <c r="B2084" s="544" t="s">
        <v>6263</v>
      </c>
      <c r="C2084" s="517" t="s">
        <v>6372</v>
      </c>
      <c r="D2084" s="518">
        <v>11305</v>
      </c>
      <c r="E2084" s="517" t="s">
        <v>5978</v>
      </c>
      <c r="F2084" s="518" t="s">
        <v>2360</v>
      </c>
      <c r="G2084" s="519">
        <v>165595</v>
      </c>
      <c r="H2084" s="517" t="s">
        <v>6915</v>
      </c>
    </row>
    <row r="2085" spans="2:8" ht="15" x14ac:dyDescent="0.35">
      <c r="B2085" s="544" t="s">
        <v>6263</v>
      </c>
      <c r="C2085" s="517" t="s">
        <v>6381</v>
      </c>
      <c r="D2085" s="518">
        <v>11308</v>
      </c>
      <c r="E2085" s="517" t="s">
        <v>4647</v>
      </c>
      <c r="F2085" s="518" t="s">
        <v>3175</v>
      </c>
      <c r="G2085" s="519">
        <v>5412</v>
      </c>
      <c r="H2085" s="517" t="s">
        <v>6915</v>
      </c>
    </row>
    <row r="2086" spans="2:8" ht="15" x14ac:dyDescent="0.35">
      <c r="B2086" s="544" t="s">
        <v>6263</v>
      </c>
      <c r="C2086" s="517" t="s">
        <v>6354</v>
      </c>
      <c r="D2086" s="518">
        <v>11328</v>
      </c>
      <c r="E2086" s="517" t="s">
        <v>4648</v>
      </c>
      <c r="F2086" s="518" t="s">
        <v>3172</v>
      </c>
      <c r="G2086" s="519">
        <v>199866</v>
      </c>
      <c r="H2086" s="517" t="s">
        <v>6915</v>
      </c>
    </row>
    <row r="2087" spans="2:8" ht="15" x14ac:dyDescent="0.35">
      <c r="B2087" s="544" t="s">
        <v>6263</v>
      </c>
      <c r="C2087" s="517" t="s">
        <v>6354</v>
      </c>
      <c r="D2087" s="518">
        <v>11329</v>
      </c>
      <c r="E2087" s="517" t="s">
        <v>4649</v>
      </c>
      <c r="F2087" s="518" t="s">
        <v>3172</v>
      </c>
      <c r="G2087" s="519">
        <v>359040</v>
      </c>
      <c r="H2087" s="517" t="s">
        <v>6915</v>
      </c>
    </row>
    <row r="2088" spans="2:8" ht="15" x14ac:dyDescent="0.35">
      <c r="B2088" s="544" t="s">
        <v>6263</v>
      </c>
      <c r="C2088" s="517" t="s">
        <v>6354</v>
      </c>
      <c r="D2088" s="518">
        <v>11330</v>
      </c>
      <c r="E2088" s="517" t="s">
        <v>4650</v>
      </c>
      <c r="F2088" s="518" t="s">
        <v>3172</v>
      </c>
      <c r="G2088" s="519">
        <v>325380</v>
      </c>
      <c r="H2088" s="517" t="s">
        <v>6915</v>
      </c>
    </row>
    <row r="2089" spans="2:8" ht="15" x14ac:dyDescent="0.35">
      <c r="B2089" s="544" t="s">
        <v>6263</v>
      </c>
      <c r="C2089" s="517" t="s">
        <v>6354</v>
      </c>
      <c r="D2089" s="518">
        <v>11331</v>
      </c>
      <c r="E2089" s="517" t="s">
        <v>4651</v>
      </c>
      <c r="F2089" s="518" t="s">
        <v>3172</v>
      </c>
      <c r="G2089" s="519">
        <v>325380</v>
      </c>
      <c r="H2089" s="517" t="s">
        <v>6915</v>
      </c>
    </row>
    <row r="2090" spans="2:8" ht="15" x14ac:dyDescent="0.35">
      <c r="B2090" s="544" t="s">
        <v>6263</v>
      </c>
      <c r="C2090" s="517" t="s">
        <v>6357</v>
      </c>
      <c r="D2090" s="518">
        <v>11332</v>
      </c>
      <c r="E2090" s="517" t="s">
        <v>4652</v>
      </c>
      <c r="F2090" s="518" t="s">
        <v>26</v>
      </c>
      <c r="G2090" s="519">
        <v>412335</v>
      </c>
      <c r="H2090" s="517" t="s">
        <v>6915</v>
      </c>
    </row>
    <row r="2091" spans="2:8" ht="15" x14ac:dyDescent="0.35">
      <c r="B2091" s="544" t="s">
        <v>6263</v>
      </c>
      <c r="C2091" s="517" t="s">
        <v>6363</v>
      </c>
      <c r="D2091" s="518">
        <v>11337</v>
      </c>
      <c r="E2091" s="517" t="s">
        <v>4653</v>
      </c>
      <c r="F2091" s="518" t="s">
        <v>367</v>
      </c>
      <c r="G2091" s="519">
        <v>47167</v>
      </c>
      <c r="H2091" s="517" t="s">
        <v>6915</v>
      </c>
    </row>
    <row r="2092" spans="2:8" ht="15" x14ac:dyDescent="0.35">
      <c r="B2092" s="544" t="s">
        <v>6263</v>
      </c>
      <c r="C2092" s="517" t="s">
        <v>6362</v>
      </c>
      <c r="D2092" s="518">
        <v>11338</v>
      </c>
      <c r="E2092" s="517" t="s">
        <v>4654</v>
      </c>
      <c r="F2092" s="518" t="s">
        <v>23</v>
      </c>
      <c r="G2092" s="519">
        <v>1016542</v>
      </c>
      <c r="H2092" s="517" t="s">
        <v>6425</v>
      </c>
    </row>
    <row r="2093" spans="2:8" ht="15" x14ac:dyDescent="0.35">
      <c r="B2093" s="544" t="s">
        <v>6263</v>
      </c>
      <c r="C2093" s="517" t="s">
        <v>6337</v>
      </c>
      <c r="D2093" s="518">
        <v>11342</v>
      </c>
      <c r="E2093" s="517" t="s">
        <v>4655</v>
      </c>
      <c r="F2093" s="518" t="s">
        <v>23</v>
      </c>
      <c r="G2093" s="519">
        <v>868676</v>
      </c>
      <c r="H2093" s="517" t="s">
        <v>6425</v>
      </c>
    </row>
    <row r="2094" spans="2:8" ht="15" x14ac:dyDescent="0.35">
      <c r="B2094" s="544" t="s">
        <v>6263</v>
      </c>
      <c r="C2094" s="517" t="s">
        <v>6337</v>
      </c>
      <c r="D2094" s="518">
        <v>11343</v>
      </c>
      <c r="E2094" s="517" t="s">
        <v>4656</v>
      </c>
      <c r="F2094" s="518" t="s">
        <v>23</v>
      </c>
      <c r="G2094" s="519">
        <v>933968</v>
      </c>
      <c r="H2094" s="517" t="s">
        <v>6425</v>
      </c>
    </row>
    <row r="2095" spans="2:8" ht="15" x14ac:dyDescent="0.35">
      <c r="B2095" s="544" t="s">
        <v>6263</v>
      </c>
      <c r="C2095" s="517" t="s">
        <v>6363</v>
      </c>
      <c r="D2095" s="518">
        <v>11344</v>
      </c>
      <c r="E2095" s="517" t="s">
        <v>4657</v>
      </c>
      <c r="F2095" s="518" t="s">
        <v>367</v>
      </c>
      <c r="G2095" s="519">
        <v>54839</v>
      </c>
      <c r="H2095" s="517" t="s">
        <v>6915</v>
      </c>
    </row>
    <row r="2096" spans="2:8" ht="15" x14ac:dyDescent="0.35">
      <c r="B2096" s="544" t="s">
        <v>6263</v>
      </c>
      <c r="C2096" s="517" t="s">
        <v>6363</v>
      </c>
      <c r="D2096" s="518">
        <v>11346</v>
      </c>
      <c r="E2096" s="517" t="s">
        <v>4658</v>
      </c>
      <c r="F2096" s="518" t="s">
        <v>26</v>
      </c>
      <c r="G2096" s="519">
        <v>10674</v>
      </c>
      <c r="H2096" s="517" t="s">
        <v>6915</v>
      </c>
    </row>
    <row r="2097" spans="2:8" ht="15" x14ac:dyDescent="0.35">
      <c r="B2097" s="544" t="s">
        <v>6263</v>
      </c>
      <c r="C2097" s="517" t="s">
        <v>6353</v>
      </c>
      <c r="D2097" s="518">
        <v>11349</v>
      </c>
      <c r="E2097" s="517" t="s">
        <v>4659</v>
      </c>
      <c r="F2097" s="518" t="s">
        <v>26</v>
      </c>
      <c r="G2097" s="519">
        <v>1725500</v>
      </c>
      <c r="H2097" s="517" t="s">
        <v>6425</v>
      </c>
    </row>
    <row r="2098" spans="2:8" ht="15" x14ac:dyDescent="0.35">
      <c r="B2098" s="544" t="s">
        <v>6263</v>
      </c>
      <c r="C2098" s="517" t="s">
        <v>6353</v>
      </c>
      <c r="D2098" s="518">
        <v>11350</v>
      </c>
      <c r="E2098" s="517" t="s">
        <v>4660</v>
      </c>
      <c r="F2098" s="518" t="s">
        <v>26</v>
      </c>
      <c r="G2098" s="519">
        <v>1892100</v>
      </c>
      <c r="H2098" s="517" t="s">
        <v>6425</v>
      </c>
    </row>
    <row r="2099" spans="2:8" ht="15" x14ac:dyDescent="0.35">
      <c r="B2099" s="544" t="s">
        <v>6263</v>
      </c>
      <c r="C2099" s="517" t="s">
        <v>6353</v>
      </c>
      <c r="D2099" s="518">
        <v>11351</v>
      </c>
      <c r="E2099" s="517" t="s">
        <v>4661</v>
      </c>
      <c r="F2099" s="518" t="s">
        <v>26</v>
      </c>
      <c r="G2099" s="519">
        <v>2082500</v>
      </c>
      <c r="H2099" s="517" t="s">
        <v>6425</v>
      </c>
    </row>
    <row r="2100" spans="2:8" ht="15" x14ac:dyDescent="0.35">
      <c r="B2100" s="544" t="s">
        <v>6263</v>
      </c>
      <c r="C2100" s="517" t="s">
        <v>6353</v>
      </c>
      <c r="D2100" s="518">
        <v>11352</v>
      </c>
      <c r="E2100" s="517" t="s">
        <v>4662</v>
      </c>
      <c r="F2100" s="518" t="s">
        <v>26</v>
      </c>
      <c r="G2100" s="519">
        <v>2475200</v>
      </c>
      <c r="H2100" s="517" t="s">
        <v>6425</v>
      </c>
    </row>
    <row r="2101" spans="2:8" ht="15" x14ac:dyDescent="0.35">
      <c r="B2101" s="544" t="s">
        <v>6263</v>
      </c>
      <c r="C2101" s="517" t="s">
        <v>6353</v>
      </c>
      <c r="D2101" s="518">
        <v>11353</v>
      </c>
      <c r="E2101" s="517" t="s">
        <v>5648</v>
      </c>
      <c r="F2101" s="518" t="s">
        <v>26</v>
      </c>
      <c r="G2101" s="519">
        <v>2826250</v>
      </c>
      <c r="H2101" s="517" t="s">
        <v>6425</v>
      </c>
    </row>
    <row r="2102" spans="2:8" ht="15" x14ac:dyDescent="0.35">
      <c r="B2102" s="544" t="s">
        <v>6263</v>
      </c>
      <c r="C2102" s="517" t="s">
        <v>6353</v>
      </c>
      <c r="D2102" s="518">
        <v>11354</v>
      </c>
      <c r="E2102" s="517" t="s">
        <v>4663</v>
      </c>
      <c r="F2102" s="518" t="s">
        <v>26</v>
      </c>
      <c r="G2102" s="519">
        <v>3088050</v>
      </c>
      <c r="H2102" s="517" t="s">
        <v>6425</v>
      </c>
    </row>
    <row r="2103" spans="2:8" ht="15" x14ac:dyDescent="0.35">
      <c r="B2103" s="544" t="s">
        <v>6263</v>
      </c>
      <c r="C2103" s="517" t="s">
        <v>6353</v>
      </c>
      <c r="D2103" s="518">
        <v>11355</v>
      </c>
      <c r="E2103" s="517" t="s">
        <v>4664</v>
      </c>
      <c r="F2103" s="518" t="s">
        <v>26</v>
      </c>
      <c r="G2103" s="519">
        <v>3790150</v>
      </c>
      <c r="H2103" s="517" t="s">
        <v>6425</v>
      </c>
    </row>
    <row r="2104" spans="2:8" ht="15" x14ac:dyDescent="0.35">
      <c r="B2104" s="544" t="s">
        <v>6263</v>
      </c>
      <c r="C2104" s="517" t="s">
        <v>6353</v>
      </c>
      <c r="D2104" s="518">
        <v>11356</v>
      </c>
      <c r="E2104" s="517" t="s">
        <v>4665</v>
      </c>
      <c r="F2104" s="518" t="s">
        <v>26</v>
      </c>
      <c r="G2104" s="519">
        <v>4237152</v>
      </c>
      <c r="H2104" s="517" t="s">
        <v>6425</v>
      </c>
    </row>
    <row r="2105" spans="2:8" ht="15" x14ac:dyDescent="0.35">
      <c r="B2105" s="544" t="s">
        <v>6263</v>
      </c>
      <c r="C2105" s="517" t="s">
        <v>6353</v>
      </c>
      <c r="D2105" s="518">
        <v>11357</v>
      </c>
      <c r="E2105" s="517" t="s">
        <v>4666</v>
      </c>
      <c r="F2105" s="518" t="s">
        <v>26</v>
      </c>
      <c r="G2105" s="519">
        <v>5033700</v>
      </c>
      <c r="H2105" s="517" t="s">
        <v>6425</v>
      </c>
    </row>
    <row r="2106" spans="2:8" ht="15" x14ac:dyDescent="0.35">
      <c r="B2106" s="544" t="s">
        <v>6263</v>
      </c>
      <c r="C2106" s="517" t="s">
        <v>6353</v>
      </c>
      <c r="D2106" s="518">
        <v>11358</v>
      </c>
      <c r="E2106" s="517" t="s">
        <v>4667</v>
      </c>
      <c r="F2106" s="518" t="s">
        <v>26</v>
      </c>
      <c r="G2106" s="519">
        <v>6012016</v>
      </c>
      <c r="H2106" s="517" t="s">
        <v>6425</v>
      </c>
    </row>
    <row r="2107" spans="2:8" ht="15" x14ac:dyDescent="0.35">
      <c r="B2107" s="544" t="s">
        <v>6263</v>
      </c>
      <c r="C2107" s="517" t="s">
        <v>6353</v>
      </c>
      <c r="D2107" s="518">
        <v>11359</v>
      </c>
      <c r="E2107" s="517" t="s">
        <v>4668</v>
      </c>
      <c r="F2107" s="518" t="s">
        <v>26</v>
      </c>
      <c r="G2107" s="519">
        <v>7610050</v>
      </c>
      <c r="H2107" s="517" t="s">
        <v>6425</v>
      </c>
    </row>
    <row r="2108" spans="2:8" ht="15" x14ac:dyDescent="0.35">
      <c r="B2108" s="544" t="s">
        <v>6263</v>
      </c>
      <c r="C2108" s="517" t="s">
        <v>6353</v>
      </c>
      <c r="D2108" s="518">
        <v>11360</v>
      </c>
      <c r="E2108" s="517" t="s">
        <v>4669</v>
      </c>
      <c r="F2108" s="518" t="s">
        <v>26</v>
      </c>
      <c r="G2108" s="519">
        <v>9686600</v>
      </c>
      <c r="H2108" s="517" t="s">
        <v>6425</v>
      </c>
    </row>
    <row r="2109" spans="2:8" ht="15" x14ac:dyDescent="0.35">
      <c r="B2109" s="544" t="s">
        <v>6263</v>
      </c>
      <c r="C2109" s="517" t="s">
        <v>6353</v>
      </c>
      <c r="D2109" s="518">
        <v>11361</v>
      </c>
      <c r="E2109" s="517" t="s">
        <v>4670</v>
      </c>
      <c r="F2109" s="518" t="s">
        <v>26</v>
      </c>
      <c r="G2109" s="519">
        <v>10642406</v>
      </c>
      <c r="H2109" s="517" t="s">
        <v>6425</v>
      </c>
    </row>
    <row r="2110" spans="2:8" ht="15" x14ac:dyDescent="0.35">
      <c r="B2110" s="544" t="s">
        <v>6263</v>
      </c>
      <c r="C2110" s="517" t="s">
        <v>6346</v>
      </c>
      <c r="D2110" s="518">
        <v>11362</v>
      </c>
      <c r="E2110" s="517" t="s">
        <v>5649</v>
      </c>
      <c r="F2110" s="518" t="s">
        <v>29</v>
      </c>
      <c r="G2110" s="519">
        <v>5421</v>
      </c>
      <c r="H2110" s="517" t="s">
        <v>6425</v>
      </c>
    </row>
    <row r="2111" spans="2:8" ht="15" x14ac:dyDescent="0.35">
      <c r="B2111" s="544" t="s">
        <v>6263</v>
      </c>
      <c r="C2111" s="517" t="s">
        <v>6390</v>
      </c>
      <c r="D2111" s="518">
        <v>11363</v>
      </c>
      <c r="E2111" s="517" t="s">
        <v>4671</v>
      </c>
      <c r="F2111" s="518" t="s">
        <v>29</v>
      </c>
      <c r="G2111" s="519">
        <v>194112</v>
      </c>
      <c r="H2111" s="517" t="s">
        <v>6915</v>
      </c>
    </row>
    <row r="2112" spans="2:8" ht="15" x14ac:dyDescent="0.35">
      <c r="B2112" s="544" t="s">
        <v>6263</v>
      </c>
      <c r="C2112" s="517" t="s">
        <v>6337</v>
      </c>
      <c r="D2112" s="518">
        <v>11366</v>
      </c>
      <c r="E2112" s="517" t="s">
        <v>4672</v>
      </c>
      <c r="F2112" s="518" t="s">
        <v>23</v>
      </c>
      <c r="G2112" s="519">
        <v>950516</v>
      </c>
      <c r="H2112" s="517" t="s">
        <v>6425</v>
      </c>
    </row>
    <row r="2113" spans="2:8" ht="15" x14ac:dyDescent="0.35">
      <c r="B2113" s="544" t="s">
        <v>6263</v>
      </c>
      <c r="C2113" s="517" t="s">
        <v>6354</v>
      </c>
      <c r="D2113" s="518">
        <v>11367</v>
      </c>
      <c r="E2113" s="517" t="s">
        <v>4673</v>
      </c>
      <c r="F2113" s="518" t="s">
        <v>3172</v>
      </c>
      <c r="G2113" s="519">
        <v>215977</v>
      </c>
      <c r="H2113" s="517" t="s">
        <v>6915</v>
      </c>
    </row>
    <row r="2114" spans="2:8" ht="15" x14ac:dyDescent="0.35">
      <c r="B2114" s="544" t="s">
        <v>6263</v>
      </c>
      <c r="C2114" s="517" t="s">
        <v>6354</v>
      </c>
      <c r="D2114" s="518">
        <v>11368</v>
      </c>
      <c r="E2114" s="517" t="s">
        <v>4674</v>
      </c>
      <c r="F2114" s="518" t="s">
        <v>3172</v>
      </c>
      <c r="G2114" s="519">
        <v>192493</v>
      </c>
      <c r="H2114" s="517" t="s">
        <v>6915</v>
      </c>
    </row>
    <row r="2115" spans="2:8" ht="15" x14ac:dyDescent="0.35">
      <c r="B2115" s="544" t="s">
        <v>6263</v>
      </c>
      <c r="C2115" s="517" t="s">
        <v>6363</v>
      </c>
      <c r="D2115" s="518">
        <v>11370</v>
      </c>
      <c r="E2115" s="517" t="s">
        <v>4675</v>
      </c>
      <c r="F2115" s="518" t="s">
        <v>3172</v>
      </c>
      <c r="G2115" s="519">
        <v>390082</v>
      </c>
      <c r="H2115" s="517" t="s">
        <v>6915</v>
      </c>
    </row>
    <row r="2116" spans="2:8" ht="15" x14ac:dyDescent="0.35">
      <c r="B2116" s="544" t="s">
        <v>6263</v>
      </c>
      <c r="C2116" s="517" t="s">
        <v>6358</v>
      </c>
      <c r="D2116" s="518">
        <v>11381</v>
      </c>
      <c r="E2116" s="517" t="s">
        <v>5979</v>
      </c>
      <c r="F2116" s="518" t="s">
        <v>29</v>
      </c>
      <c r="G2116" s="519">
        <v>665128</v>
      </c>
      <c r="H2116" s="517" t="s">
        <v>6915</v>
      </c>
    </row>
    <row r="2117" spans="2:8" ht="15" x14ac:dyDescent="0.35">
      <c r="B2117" s="544" t="s">
        <v>6263</v>
      </c>
      <c r="C2117" s="517" t="s">
        <v>6358</v>
      </c>
      <c r="D2117" s="518">
        <v>11382</v>
      </c>
      <c r="E2117" s="517" t="s">
        <v>5980</v>
      </c>
      <c r="F2117" s="518" t="s">
        <v>29</v>
      </c>
      <c r="G2117" s="519">
        <v>930176</v>
      </c>
      <c r="H2117" s="517" t="s">
        <v>6915</v>
      </c>
    </row>
    <row r="2118" spans="2:8" ht="15" x14ac:dyDescent="0.35">
      <c r="B2118" s="544" t="s">
        <v>6263</v>
      </c>
      <c r="C2118" s="517" t="s">
        <v>6358</v>
      </c>
      <c r="D2118" s="518">
        <v>11384</v>
      </c>
      <c r="E2118" s="517" t="s">
        <v>5981</v>
      </c>
      <c r="F2118" s="518" t="s">
        <v>29</v>
      </c>
      <c r="G2118" s="519">
        <v>482257</v>
      </c>
      <c r="H2118" s="517" t="s">
        <v>6915</v>
      </c>
    </row>
    <row r="2119" spans="2:8" ht="15" x14ac:dyDescent="0.35">
      <c r="B2119" s="544" t="s">
        <v>6263</v>
      </c>
      <c r="C2119" s="517" t="s">
        <v>6358</v>
      </c>
      <c r="D2119" s="518">
        <v>11385</v>
      </c>
      <c r="E2119" s="517" t="s">
        <v>5982</v>
      </c>
      <c r="F2119" s="518" t="s">
        <v>29</v>
      </c>
      <c r="G2119" s="519">
        <v>783185</v>
      </c>
      <c r="H2119" s="517" t="s">
        <v>6915</v>
      </c>
    </row>
    <row r="2120" spans="2:8" ht="15" x14ac:dyDescent="0.35">
      <c r="B2120" s="544" t="s">
        <v>6263</v>
      </c>
      <c r="C2120" s="517" t="s">
        <v>6386</v>
      </c>
      <c r="D2120" s="518">
        <v>11408</v>
      </c>
      <c r="E2120" s="517" t="s">
        <v>4676</v>
      </c>
      <c r="F2120" s="518" t="s">
        <v>26</v>
      </c>
      <c r="G2120" s="519">
        <v>43911</v>
      </c>
      <c r="H2120" s="517" t="s">
        <v>6915</v>
      </c>
    </row>
    <row r="2121" spans="2:8" ht="15" x14ac:dyDescent="0.35">
      <c r="B2121" s="544" t="s">
        <v>6263</v>
      </c>
      <c r="C2121" s="517" t="s">
        <v>6358</v>
      </c>
      <c r="D2121" s="518">
        <v>11409</v>
      </c>
      <c r="E2121" s="517" t="s">
        <v>5983</v>
      </c>
      <c r="F2121" s="518" t="s">
        <v>29</v>
      </c>
      <c r="G2121" s="519">
        <v>1457750</v>
      </c>
      <c r="H2121" s="517" t="s">
        <v>6915</v>
      </c>
    </row>
    <row r="2122" spans="2:8" ht="15" x14ac:dyDescent="0.35">
      <c r="B2122" s="544" t="s">
        <v>6263</v>
      </c>
      <c r="C2122" s="517" t="s">
        <v>6404</v>
      </c>
      <c r="D2122" s="518">
        <v>11424</v>
      </c>
      <c r="E2122" s="517" t="s">
        <v>5984</v>
      </c>
      <c r="F2122" s="518" t="s">
        <v>29</v>
      </c>
      <c r="G2122" s="519">
        <v>3844460</v>
      </c>
      <c r="H2122" s="517" t="s">
        <v>6915</v>
      </c>
    </row>
    <row r="2123" spans="2:8" ht="15" x14ac:dyDescent="0.35">
      <c r="B2123" s="544" t="s">
        <v>6263</v>
      </c>
      <c r="C2123" s="517" t="s">
        <v>6404</v>
      </c>
      <c r="D2123" s="518">
        <v>11425</v>
      </c>
      <c r="E2123" s="517" t="s">
        <v>5985</v>
      </c>
      <c r="F2123" s="518" t="s">
        <v>29</v>
      </c>
      <c r="G2123" s="519">
        <v>4739025</v>
      </c>
      <c r="H2123" s="517" t="s">
        <v>6915</v>
      </c>
    </row>
    <row r="2124" spans="2:8" ht="15" x14ac:dyDescent="0.35">
      <c r="B2124" s="544" t="s">
        <v>6263</v>
      </c>
      <c r="C2124" s="517" t="s">
        <v>6404</v>
      </c>
      <c r="D2124" s="518">
        <v>11426</v>
      </c>
      <c r="E2124" s="517" t="s">
        <v>5986</v>
      </c>
      <c r="F2124" s="518" t="s">
        <v>29</v>
      </c>
      <c r="G2124" s="519">
        <v>5898972</v>
      </c>
      <c r="H2124" s="517" t="s">
        <v>6915</v>
      </c>
    </row>
    <row r="2125" spans="2:8" ht="15" x14ac:dyDescent="0.35">
      <c r="B2125" s="544" t="s">
        <v>6263</v>
      </c>
      <c r="C2125" s="517" t="s">
        <v>6404</v>
      </c>
      <c r="D2125" s="518">
        <v>11427</v>
      </c>
      <c r="E2125" s="517" t="s">
        <v>5987</v>
      </c>
      <c r="F2125" s="518" t="s">
        <v>29</v>
      </c>
      <c r="G2125" s="519">
        <v>7456992</v>
      </c>
      <c r="H2125" s="517" t="s">
        <v>6915</v>
      </c>
    </row>
    <row r="2126" spans="2:8" ht="15" x14ac:dyDescent="0.35">
      <c r="B2126" s="544" t="s">
        <v>6263</v>
      </c>
      <c r="C2126" s="517" t="s">
        <v>6404</v>
      </c>
      <c r="D2126" s="518">
        <v>11429</v>
      </c>
      <c r="E2126" s="517" t="s">
        <v>5988</v>
      </c>
      <c r="F2126" s="518" t="s">
        <v>29</v>
      </c>
      <c r="G2126" s="519">
        <v>4217083</v>
      </c>
      <c r="H2126" s="517" t="s">
        <v>6915</v>
      </c>
    </row>
    <row r="2127" spans="2:8" ht="15" x14ac:dyDescent="0.35">
      <c r="B2127" s="544" t="s">
        <v>6263</v>
      </c>
      <c r="C2127" s="517" t="s">
        <v>6404</v>
      </c>
      <c r="D2127" s="518">
        <v>11430</v>
      </c>
      <c r="E2127" s="517" t="s">
        <v>5989</v>
      </c>
      <c r="F2127" s="518" t="s">
        <v>29</v>
      </c>
      <c r="G2127" s="519">
        <v>5339674</v>
      </c>
      <c r="H2127" s="517" t="s">
        <v>6915</v>
      </c>
    </row>
    <row r="2128" spans="2:8" ht="15" x14ac:dyDescent="0.35">
      <c r="B2128" s="544" t="s">
        <v>6263</v>
      </c>
      <c r="C2128" s="517" t="s">
        <v>6404</v>
      </c>
      <c r="D2128" s="518">
        <v>11432</v>
      </c>
      <c r="E2128" s="517" t="s">
        <v>5990</v>
      </c>
      <c r="F2128" s="518" t="s">
        <v>29</v>
      </c>
      <c r="G2128" s="519">
        <v>4657453</v>
      </c>
      <c r="H2128" s="517" t="s">
        <v>6915</v>
      </c>
    </row>
    <row r="2129" spans="2:8" ht="15" x14ac:dyDescent="0.35">
      <c r="B2129" s="544" t="s">
        <v>6263</v>
      </c>
      <c r="C2129" s="517" t="s">
        <v>6404</v>
      </c>
      <c r="D2129" s="518">
        <v>11433</v>
      </c>
      <c r="E2129" s="517" t="s">
        <v>5991</v>
      </c>
      <c r="F2129" s="518" t="s">
        <v>29</v>
      </c>
      <c r="G2129" s="519">
        <v>7136172</v>
      </c>
      <c r="H2129" s="517" t="s">
        <v>6915</v>
      </c>
    </row>
    <row r="2130" spans="2:8" ht="15" x14ac:dyDescent="0.35">
      <c r="B2130" s="544" t="s">
        <v>6263</v>
      </c>
      <c r="C2130" s="517" t="s">
        <v>6404</v>
      </c>
      <c r="D2130" s="518">
        <v>11434</v>
      </c>
      <c r="E2130" s="517" t="s">
        <v>5992</v>
      </c>
      <c r="F2130" s="518" t="s">
        <v>29</v>
      </c>
      <c r="G2130" s="519">
        <v>9268560</v>
      </c>
      <c r="H2130" s="517" t="s">
        <v>6915</v>
      </c>
    </row>
    <row r="2131" spans="2:8" ht="15" x14ac:dyDescent="0.35">
      <c r="B2131" s="544" t="s">
        <v>6263</v>
      </c>
      <c r="C2131" s="517" t="s">
        <v>6407</v>
      </c>
      <c r="D2131" s="518">
        <v>11435</v>
      </c>
      <c r="E2131" s="517" t="s">
        <v>4677</v>
      </c>
      <c r="F2131" s="518" t="s">
        <v>26</v>
      </c>
      <c r="G2131" s="519">
        <v>724302</v>
      </c>
      <c r="H2131" s="517" t="s">
        <v>6425</v>
      </c>
    </row>
    <row r="2132" spans="2:8" ht="15" x14ac:dyDescent="0.35">
      <c r="B2132" s="544" t="s">
        <v>6263</v>
      </c>
      <c r="C2132" s="517" t="s">
        <v>6407</v>
      </c>
      <c r="D2132" s="518">
        <v>11436</v>
      </c>
      <c r="E2132" s="517" t="s">
        <v>4678</v>
      </c>
      <c r="F2132" s="518" t="s">
        <v>29</v>
      </c>
      <c r="G2132" s="519">
        <v>1232778</v>
      </c>
      <c r="H2132" s="517" t="s">
        <v>6425</v>
      </c>
    </row>
    <row r="2133" spans="2:8" ht="15" x14ac:dyDescent="0.35">
      <c r="B2133" s="544" t="s">
        <v>6263</v>
      </c>
      <c r="C2133" s="517" t="s">
        <v>6407</v>
      </c>
      <c r="D2133" s="518">
        <v>11437</v>
      </c>
      <c r="E2133" s="517" t="s">
        <v>4679</v>
      </c>
      <c r="F2133" s="518" t="s">
        <v>29</v>
      </c>
      <c r="G2133" s="519">
        <v>1527965</v>
      </c>
      <c r="H2133" s="517" t="s">
        <v>6425</v>
      </c>
    </row>
    <row r="2134" spans="2:8" ht="15" x14ac:dyDescent="0.35">
      <c r="B2134" s="544" t="s">
        <v>6263</v>
      </c>
      <c r="C2134" s="517" t="s">
        <v>6407</v>
      </c>
      <c r="D2134" s="518">
        <v>11438</v>
      </c>
      <c r="E2134" s="517" t="s">
        <v>6453</v>
      </c>
      <c r="F2134" s="518" t="s">
        <v>26</v>
      </c>
      <c r="G2134" s="519">
        <v>1537219</v>
      </c>
      <c r="H2134" s="517" t="s">
        <v>6425</v>
      </c>
    </row>
    <row r="2135" spans="2:8" ht="15" x14ac:dyDescent="0.35">
      <c r="B2135" s="544" t="s">
        <v>6263</v>
      </c>
      <c r="C2135" s="517" t="s">
        <v>6407</v>
      </c>
      <c r="D2135" s="518">
        <v>11439</v>
      </c>
      <c r="E2135" s="517" t="s">
        <v>6454</v>
      </c>
      <c r="F2135" s="518" t="s">
        <v>29</v>
      </c>
      <c r="G2135" s="519">
        <v>2557763</v>
      </c>
      <c r="H2135" s="517" t="s">
        <v>6425</v>
      </c>
    </row>
    <row r="2136" spans="2:8" ht="15" x14ac:dyDescent="0.35">
      <c r="B2136" s="544" t="s">
        <v>6263</v>
      </c>
      <c r="C2136" s="517" t="s">
        <v>6339</v>
      </c>
      <c r="D2136" s="518">
        <v>11442</v>
      </c>
      <c r="E2136" s="517" t="s">
        <v>4680</v>
      </c>
      <c r="F2136" s="518" t="s">
        <v>21</v>
      </c>
      <c r="G2136" s="519">
        <v>99479</v>
      </c>
      <c r="H2136" s="517" t="s">
        <v>6425</v>
      </c>
    </row>
    <row r="2137" spans="2:8" ht="15" x14ac:dyDescent="0.35">
      <c r="B2137" s="544" t="s">
        <v>6263</v>
      </c>
      <c r="C2137" s="517" t="s">
        <v>6339</v>
      </c>
      <c r="D2137" s="518">
        <v>11443</v>
      </c>
      <c r="E2137" s="517" t="s">
        <v>4681</v>
      </c>
      <c r="F2137" s="518" t="s">
        <v>21</v>
      </c>
      <c r="G2137" s="519">
        <v>75990</v>
      </c>
      <c r="H2137" s="517" t="s">
        <v>6425</v>
      </c>
    </row>
    <row r="2138" spans="2:8" ht="15" x14ac:dyDescent="0.35">
      <c r="B2138" s="544" t="s">
        <v>6263</v>
      </c>
      <c r="C2138" s="517" t="s">
        <v>6339</v>
      </c>
      <c r="D2138" s="518">
        <v>11444</v>
      </c>
      <c r="E2138" s="517" t="s">
        <v>4682</v>
      </c>
      <c r="F2138" s="518" t="s">
        <v>21</v>
      </c>
      <c r="G2138" s="519">
        <v>51765</v>
      </c>
      <c r="H2138" s="517" t="s">
        <v>6425</v>
      </c>
    </row>
    <row r="2139" spans="2:8" ht="15" x14ac:dyDescent="0.35">
      <c r="B2139" s="544" t="s">
        <v>6263</v>
      </c>
      <c r="C2139" s="517" t="s">
        <v>6392</v>
      </c>
      <c r="D2139" s="518">
        <v>11447</v>
      </c>
      <c r="E2139" s="517" t="s">
        <v>4683</v>
      </c>
      <c r="F2139" s="518" t="s">
        <v>21</v>
      </c>
      <c r="G2139" s="519">
        <v>94600</v>
      </c>
      <c r="H2139" s="517" t="s">
        <v>6915</v>
      </c>
    </row>
    <row r="2140" spans="2:8" ht="15" x14ac:dyDescent="0.35">
      <c r="B2140" s="544" t="s">
        <v>6263</v>
      </c>
      <c r="C2140" s="517" t="s">
        <v>6339</v>
      </c>
      <c r="D2140" s="518">
        <v>11448</v>
      </c>
      <c r="E2140" s="517" t="s">
        <v>4684</v>
      </c>
      <c r="F2140" s="518" t="s">
        <v>29</v>
      </c>
      <c r="G2140" s="519">
        <v>153259</v>
      </c>
      <c r="H2140" s="517" t="s">
        <v>6425</v>
      </c>
    </row>
    <row r="2141" spans="2:8" ht="15" x14ac:dyDescent="0.35">
      <c r="B2141" s="544" t="s">
        <v>6263</v>
      </c>
      <c r="C2141" s="517" t="s">
        <v>6377</v>
      </c>
      <c r="D2141" s="518">
        <v>11449</v>
      </c>
      <c r="E2141" s="517" t="s">
        <v>4685</v>
      </c>
      <c r="F2141" s="518" t="s">
        <v>29</v>
      </c>
      <c r="G2141" s="519">
        <v>44100</v>
      </c>
      <c r="H2141" s="517" t="s">
        <v>6425</v>
      </c>
    </row>
    <row r="2142" spans="2:8" ht="15" x14ac:dyDescent="0.35">
      <c r="B2142" s="544" t="s">
        <v>6263</v>
      </c>
      <c r="C2142" s="517" t="s">
        <v>6377</v>
      </c>
      <c r="D2142" s="518">
        <v>11450</v>
      </c>
      <c r="E2142" s="517" t="s">
        <v>4686</v>
      </c>
      <c r="F2142" s="518" t="s">
        <v>29</v>
      </c>
      <c r="G2142" s="519">
        <v>29000</v>
      </c>
      <c r="H2142" s="517" t="s">
        <v>6425</v>
      </c>
    </row>
    <row r="2143" spans="2:8" ht="15" x14ac:dyDescent="0.35">
      <c r="B2143" s="544" t="s">
        <v>6263</v>
      </c>
      <c r="C2143" s="517" t="s">
        <v>6377</v>
      </c>
      <c r="D2143" s="518">
        <v>11451</v>
      </c>
      <c r="E2143" s="517" t="s">
        <v>4687</v>
      </c>
      <c r="F2143" s="518" t="s">
        <v>29</v>
      </c>
      <c r="G2143" s="519">
        <v>69900</v>
      </c>
      <c r="H2143" s="517" t="s">
        <v>6425</v>
      </c>
    </row>
    <row r="2144" spans="2:8" ht="15" x14ac:dyDescent="0.35">
      <c r="B2144" s="544" t="s">
        <v>6263</v>
      </c>
      <c r="C2144" s="517" t="s">
        <v>6377</v>
      </c>
      <c r="D2144" s="518">
        <v>11452</v>
      </c>
      <c r="E2144" s="517" t="s">
        <v>4688</v>
      </c>
      <c r="F2144" s="518" t="s">
        <v>3707</v>
      </c>
      <c r="G2144" s="519">
        <v>43000</v>
      </c>
      <c r="H2144" s="517" t="s">
        <v>6425</v>
      </c>
    </row>
    <row r="2145" spans="2:8" ht="15" x14ac:dyDescent="0.35">
      <c r="B2145" s="544" t="s">
        <v>6263</v>
      </c>
      <c r="C2145" s="517" t="s">
        <v>6377</v>
      </c>
      <c r="D2145" s="518">
        <v>11453</v>
      </c>
      <c r="E2145" s="517" t="s">
        <v>4689</v>
      </c>
      <c r="F2145" s="518" t="s">
        <v>3707</v>
      </c>
      <c r="G2145" s="519">
        <v>1691900</v>
      </c>
      <c r="H2145" s="517" t="s">
        <v>6425</v>
      </c>
    </row>
    <row r="2146" spans="2:8" ht="15" x14ac:dyDescent="0.35">
      <c r="B2146" s="544" t="s">
        <v>6263</v>
      </c>
      <c r="C2146" s="517" t="s">
        <v>6384</v>
      </c>
      <c r="D2146" s="518">
        <v>11454</v>
      </c>
      <c r="E2146" s="517" t="s">
        <v>4690</v>
      </c>
      <c r="F2146" s="518" t="s">
        <v>29</v>
      </c>
      <c r="G2146" s="519">
        <v>100000</v>
      </c>
      <c r="H2146" s="517" t="s">
        <v>6915</v>
      </c>
    </row>
    <row r="2147" spans="2:8" ht="15" x14ac:dyDescent="0.35">
      <c r="B2147" s="544" t="s">
        <v>6263</v>
      </c>
      <c r="C2147" s="517" t="s">
        <v>6372</v>
      </c>
      <c r="D2147" s="518">
        <v>11455</v>
      </c>
      <c r="E2147" s="517" t="s">
        <v>5993</v>
      </c>
      <c r="F2147" s="518" t="s">
        <v>4691</v>
      </c>
      <c r="G2147" s="519">
        <v>40092</v>
      </c>
      <c r="H2147" s="517" t="s">
        <v>6915</v>
      </c>
    </row>
    <row r="2148" spans="2:8" ht="15" x14ac:dyDescent="0.35">
      <c r="B2148" s="544" t="s">
        <v>6263</v>
      </c>
      <c r="C2148" s="517" t="s">
        <v>6372</v>
      </c>
      <c r="D2148" s="518">
        <v>11456</v>
      </c>
      <c r="E2148" s="517" t="s">
        <v>5994</v>
      </c>
      <c r="F2148" s="518" t="s">
        <v>4691</v>
      </c>
      <c r="G2148" s="519">
        <v>49679</v>
      </c>
      <c r="H2148" s="517" t="s">
        <v>6915</v>
      </c>
    </row>
    <row r="2149" spans="2:8" ht="15" x14ac:dyDescent="0.35">
      <c r="B2149" s="544" t="s">
        <v>6263</v>
      </c>
      <c r="C2149" s="517" t="s">
        <v>6372</v>
      </c>
      <c r="D2149" s="518">
        <v>11457</v>
      </c>
      <c r="E2149" s="517" t="s">
        <v>5995</v>
      </c>
      <c r="F2149" s="518" t="s">
        <v>3892</v>
      </c>
      <c r="G2149" s="519">
        <v>63623</v>
      </c>
      <c r="H2149" s="517" t="s">
        <v>6915</v>
      </c>
    </row>
    <row r="2150" spans="2:8" ht="15" x14ac:dyDescent="0.35">
      <c r="B2150" s="544" t="s">
        <v>6263</v>
      </c>
      <c r="C2150" s="517" t="s">
        <v>6372</v>
      </c>
      <c r="D2150" s="518">
        <v>11458</v>
      </c>
      <c r="E2150" s="517" t="s">
        <v>5996</v>
      </c>
      <c r="F2150" s="518" t="s">
        <v>2360</v>
      </c>
      <c r="G2150" s="519">
        <v>163030</v>
      </c>
      <c r="H2150" s="517" t="s">
        <v>6915</v>
      </c>
    </row>
    <row r="2151" spans="2:8" ht="15" x14ac:dyDescent="0.35">
      <c r="B2151" s="544" t="s">
        <v>6263</v>
      </c>
      <c r="C2151" s="517" t="s">
        <v>6372</v>
      </c>
      <c r="D2151" s="518">
        <v>11459</v>
      </c>
      <c r="E2151" s="517" t="s">
        <v>5997</v>
      </c>
      <c r="F2151" s="518" t="s">
        <v>2360</v>
      </c>
      <c r="G2151" s="519">
        <v>96323</v>
      </c>
      <c r="H2151" s="517" t="s">
        <v>6915</v>
      </c>
    </row>
    <row r="2152" spans="2:8" ht="15" x14ac:dyDescent="0.35">
      <c r="B2152" s="544" t="s">
        <v>6263</v>
      </c>
      <c r="C2152" s="517" t="s">
        <v>6372</v>
      </c>
      <c r="D2152" s="518">
        <v>11461</v>
      </c>
      <c r="E2152" s="517" t="s">
        <v>5998</v>
      </c>
      <c r="F2152" s="518" t="s">
        <v>2360</v>
      </c>
      <c r="G2152" s="519">
        <v>245806</v>
      </c>
      <c r="H2152" s="517" t="s">
        <v>6915</v>
      </c>
    </row>
    <row r="2153" spans="2:8" ht="15" x14ac:dyDescent="0.35">
      <c r="B2153" s="544" t="s">
        <v>6263</v>
      </c>
      <c r="C2153" s="517" t="s">
        <v>6372</v>
      </c>
      <c r="D2153" s="518">
        <v>11464</v>
      </c>
      <c r="E2153" s="517" t="s">
        <v>5999</v>
      </c>
      <c r="F2153" s="518" t="s">
        <v>2360</v>
      </c>
      <c r="G2153" s="519">
        <v>356584</v>
      </c>
      <c r="H2153" s="517" t="s">
        <v>6915</v>
      </c>
    </row>
    <row r="2154" spans="2:8" ht="15" x14ac:dyDescent="0.35">
      <c r="B2154" s="544" t="s">
        <v>6263</v>
      </c>
      <c r="C2154" s="517" t="s">
        <v>6372</v>
      </c>
      <c r="D2154" s="518">
        <v>11467</v>
      </c>
      <c r="E2154" s="517" t="s">
        <v>6000</v>
      </c>
      <c r="F2154" s="518" t="s">
        <v>2360</v>
      </c>
      <c r="G2154" s="519">
        <v>399840</v>
      </c>
      <c r="H2154" s="517" t="s">
        <v>6915</v>
      </c>
    </row>
    <row r="2155" spans="2:8" ht="15" x14ac:dyDescent="0.35">
      <c r="B2155" s="544" t="s">
        <v>6263</v>
      </c>
      <c r="C2155" s="517" t="s">
        <v>6372</v>
      </c>
      <c r="D2155" s="518">
        <v>11470</v>
      </c>
      <c r="E2155" s="517" t="s">
        <v>6001</v>
      </c>
      <c r="F2155" s="518" t="s">
        <v>2360</v>
      </c>
      <c r="G2155" s="519">
        <v>114954</v>
      </c>
      <c r="H2155" s="517" t="s">
        <v>6915</v>
      </c>
    </row>
    <row r="2156" spans="2:8" ht="15" x14ac:dyDescent="0.35">
      <c r="B2156" s="544" t="s">
        <v>6263</v>
      </c>
      <c r="C2156" s="517" t="s">
        <v>6372</v>
      </c>
      <c r="D2156" s="518">
        <v>11471</v>
      </c>
      <c r="E2156" s="517" t="s">
        <v>6002</v>
      </c>
      <c r="F2156" s="518" t="s">
        <v>2360</v>
      </c>
      <c r="G2156" s="519">
        <v>155295</v>
      </c>
      <c r="H2156" s="517" t="s">
        <v>6915</v>
      </c>
    </row>
    <row r="2157" spans="2:8" ht="15" x14ac:dyDescent="0.35">
      <c r="B2157" s="544" t="s">
        <v>6263</v>
      </c>
      <c r="C2157" s="517" t="s">
        <v>6372</v>
      </c>
      <c r="D2157" s="518">
        <v>11472</v>
      </c>
      <c r="E2157" s="517" t="s">
        <v>6003</v>
      </c>
      <c r="F2157" s="518" t="s">
        <v>2360</v>
      </c>
      <c r="G2157" s="519">
        <v>165595</v>
      </c>
      <c r="H2157" s="517" t="s">
        <v>6915</v>
      </c>
    </row>
    <row r="2158" spans="2:8" ht="15" x14ac:dyDescent="0.35">
      <c r="B2158" s="544" t="s">
        <v>6263</v>
      </c>
      <c r="C2158" s="517" t="s">
        <v>6408</v>
      </c>
      <c r="D2158" s="518">
        <v>11477</v>
      </c>
      <c r="E2158" s="517" t="s">
        <v>4692</v>
      </c>
      <c r="F2158" s="518" t="s">
        <v>3175</v>
      </c>
      <c r="G2158" s="519">
        <v>1383280</v>
      </c>
      <c r="H2158" s="517" t="s">
        <v>6915</v>
      </c>
    </row>
    <row r="2159" spans="2:8" ht="15" x14ac:dyDescent="0.35">
      <c r="B2159" s="544" t="s">
        <v>6263</v>
      </c>
      <c r="C2159" s="517" t="s">
        <v>6409</v>
      </c>
      <c r="D2159" s="518">
        <v>11481</v>
      </c>
      <c r="E2159" s="517" t="s">
        <v>4693</v>
      </c>
      <c r="F2159" s="518" t="s">
        <v>3175</v>
      </c>
      <c r="G2159" s="519">
        <v>1029988</v>
      </c>
      <c r="H2159" s="517" t="s">
        <v>6915</v>
      </c>
    </row>
    <row r="2160" spans="2:8" ht="15" x14ac:dyDescent="0.35">
      <c r="B2160" s="544" t="s">
        <v>6263</v>
      </c>
      <c r="C2160" s="517" t="s">
        <v>6409</v>
      </c>
      <c r="D2160" s="518">
        <v>11482</v>
      </c>
      <c r="E2160" s="517" t="s">
        <v>4694</v>
      </c>
      <c r="F2160" s="518" t="s">
        <v>3175</v>
      </c>
      <c r="G2160" s="519">
        <v>1029988</v>
      </c>
      <c r="H2160" s="517" t="s">
        <v>6915</v>
      </c>
    </row>
    <row r="2161" spans="2:8" ht="15" x14ac:dyDescent="0.35">
      <c r="B2161" s="544" t="s">
        <v>6263</v>
      </c>
      <c r="C2161" s="517" t="s">
        <v>6409</v>
      </c>
      <c r="D2161" s="518">
        <v>11483</v>
      </c>
      <c r="E2161" s="517" t="s">
        <v>4695</v>
      </c>
      <c r="F2161" s="518" t="s">
        <v>3175</v>
      </c>
      <c r="G2161" s="519">
        <v>1029988</v>
      </c>
      <c r="H2161" s="517" t="s">
        <v>6915</v>
      </c>
    </row>
    <row r="2162" spans="2:8" ht="15" x14ac:dyDescent="0.35">
      <c r="B2162" s="544" t="s">
        <v>6263</v>
      </c>
      <c r="C2162" s="517" t="s">
        <v>6409</v>
      </c>
      <c r="D2162" s="518">
        <v>11484</v>
      </c>
      <c r="E2162" s="517" t="s">
        <v>4696</v>
      </c>
      <c r="F2162" s="518" t="s">
        <v>3175</v>
      </c>
      <c r="G2162" s="519">
        <v>1029988</v>
      </c>
      <c r="H2162" s="517" t="s">
        <v>6915</v>
      </c>
    </row>
    <row r="2163" spans="2:8" ht="15" x14ac:dyDescent="0.35">
      <c r="B2163" s="544" t="s">
        <v>6263</v>
      </c>
      <c r="C2163" s="517" t="s">
        <v>6409</v>
      </c>
      <c r="D2163" s="518">
        <v>11485</v>
      </c>
      <c r="E2163" s="517" t="s">
        <v>6004</v>
      </c>
      <c r="F2163" s="518" t="s">
        <v>3175</v>
      </c>
      <c r="G2163" s="519">
        <v>1029988</v>
      </c>
      <c r="H2163" s="517" t="s">
        <v>6915</v>
      </c>
    </row>
    <row r="2164" spans="2:8" ht="15" x14ac:dyDescent="0.35">
      <c r="B2164" s="544" t="s">
        <v>6263</v>
      </c>
      <c r="C2164" s="517" t="s">
        <v>6409</v>
      </c>
      <c r="D2164" s="518">
        <v>11489</v>
      </c>
      <c r="E2164" s="517" t="s">
        <v>6005</v>
      </c>
      <c r="F2164" s="518" t="s">
        <v>3175</v>
      </c>
      <c r="G2164" s="519">
        <v>1029988</v>
      </c>
      <c r="H2164" s="517" t="s">
        <v>6915</v>
      </c>
    </row>
    <row r="2165" spans="2:8" ht="15" x14ac:dyDescent="0.35">
      <c r="B2165" s="544" t="s">
        <v>6263</v>
      </c>
      <c r="C2165" s="517" t="s">
        <v>6410</v>
      </c>
      <c r="D2165" s="518">
        <v>11498</v>
      </c>
      <c r="E2165" s="517" t="s">
        <v>6006</v>
      </c>
      <c r="F2165" s="518" t="s">
        <v>29</v>
      </c>
      <c r="G2165" s="519">
        <v>214795</v>
      </c>
      <c r="H2165" s="517" t="s">
        <v>6915</v>
      </c>
    </row>
    <row r="2166" spans="2:8" ht="15" x14ac:dyDescent="0.35">
      <c r="B2166" s="544" t="s">
        <v>6263</v>
      </c>
      <c r="C2166" s="517" t="s">
        <v>6411</v>
      </c>
      <c r="D2166" s="518">
        <v>11499</v>
      </c>
      <c r="E2166" s="517" t="s">
        <v>6007</v>
      </c>
      <c r="F2166" s="518" t="s">
        <v>29</v>
      </c>
      <c r="G2166" s="519">
        <v>175050</v>
      </c>
      <c r="H2166" s="517" t="s">
        <v>6915</v>
      </c>
    </row>
    <row r="2167" spans="2:8" ht="15" x14ac:dyDescent="0.35">
      <c r="B2167" s="544" t="s">
        <v>6263</v>
      </c>
      <c r="C2167" s="517" t="s">
        <v>6411</v>
      </c>
      <c r="D2167" s="518">
        <v>11500</v>
      </c>
      <c r="E2167" s="517" t="s">
        <v>6008</v>
      </c>
      <c r="F2167" s="518" t="s">
        <v>29</v>
      </c>
      <c r="G2167" s="519">
        <v>229670</v>
      </c>
      <c r="H2167" s="517" t="s">
        <v>6915</v>
      </c>
    </row>
    <row r="2168" spans="2:8" ht="15" x14ac:dyDescent="0.35">
      <c r="B2168" s="544" t="s">
        <v>6263</v>
      </c>
      <c r="C2168" s="517" t="s">
        <v>6412</v>
      </c>
      <c r="D2168" s="518">
        <v>11501</v>
      </c>
      <c r="E2168" s="517" t="s">
        <v>6009</v>
      </c>
      <c r="F2168" s="518" t="s">
        <v>29</v>
      </c>
      <c r="G2168" s="519">
        <v>123100</v>
      </c>
      <c r="H2168" s="517" t="s">
        <v>6915</v>
      </c>
    </row>
    <row r="2169" spans="2:8" ht="15" x14ac:dyDescent="0.35">
      <c r="B2169" s="544" t="s">
        <v>6263</v>
      </c>
      <c r="C2169" s="517" t="s">
        <v>6368</v>
      </c>
      <c r="D2169" s="518">
        <v>11502</v>
      </c>
      <c r="E2169" s="517" t="s">
        <v>4697</v>
      </c>
      <c r="F2169" s="518" t="s">
        <v>29</v>
      </c>
      <c r="G2169" s="519">
        <v>1083971</v>
      </c>
      <c r="H2169" s="517" t="s">
        <v>6915</v>
      </c>
    </row>
    <row r="2170" spans="2:8" ht="15" x14ac:dyDescent="0.35">
      <c r="B2170" s="544" t="s">
        <v>6263</v>
      </c>
      <c r="C2170" s="517" t="s">
        <v>6368</v>
      </c>
      <c r="D2170" s="518">
        <v>11503</v>
      </c>
      <c r="E2170" s="517" t="s">
        <v>4698</v>
      </c>
      <c r="F2170" s="518" t="s">
        <v>29</v>
      </c>
      <c r="G2170" s="519">
        <v>1026018</v>
      </c>
      <c r="H2170" s="517" t="s">
        <v>6915</v>
      </c>
    </row>
    <row r="2171" spans="2:8" ht="15" x14ac:dyDescent="0.35">
      <c r="B2171" s="544" t="s">
        <v>6263</v>
      </c>
      <c r="C2171" s="517" t="s">
        <v>6413</v>
      </c>
      <c r="D2171" s="518">
        <v>11504</v>
      </c>
      <c r="E2171" s="517" t="s">
        <v>6010</v>
      </c>
      <c r="F2171" s="518" t="s">
        <v>29</v>
      </c>
      <c r="G2171" s="519">
        <v>357000</v>
      </c>
      <c r="H2171" s="517" t="s">
        <v>6915</v>
      </c>
    </row>
    <row r="2172" spans="2:8" ht="15" x14ac:dyDescent="0.35">
      <c r="B2172" s="544" t="s">
        <v>6263</v>
      </c>
      <c r="C2172" s="517" t="s">
        <v>6413</v>
      </c>
      <c r="D2172" s="518">
        <v>11505</v>
      </c>
      <c r="E2172" s="517" t="s">
        <v>6011</v>
      </c>
      <c r="F2172" s="518" t="s">
        <v>29</v>
      </c>
      <c r="G2172" s="519">
        <v>490000</v>
      </c>
      <c r="H2172" s="517" t="s">
        <v>6915</v>
      </c>
    </row>
    <row r="2173" spans="2:8" ht="15" x14ac:dyDescent="0.35">
      <c r="B2173" s="544" t="s">
        <v>6263</v>
      </c>
      <c r="C2173" s="517" t="s">
        <v>6413</v>
      </c>
      <c r="D2173" s="518">
        <v>11506</v>
      </c>
      <c r="E2173" s="517" t="s">
        <v>4699</v>
      </c>
      <c r="F2173" s="518" t="s">
        <v>29</v>
      </c>
      <c r="G2173" s="519">
        <v>664000</v>
      </c>
      <c r="H2173" s="517" t="s">
        <v>6915</v>
      </c>
    </row>
    <row r="2174" spans="2:8" ht="15" x14ac:dyDescent="0.35">
      <c r="B2174" s="544" t="s">
        <v>6263</v>
      </c>
      <c r="C2174" s="517" t="s">
        <v>6373</v>
      </c>
      <c r="D2174" s="518">
        <v>11507</v>
      </c>
      <c r="E2174" s="517" t="s">
        <v>4700</v>
      </c>
      <c r="F2174" s="518" t="s">
        <v>29</v>
      </c>
      <c r="G2174" s="519">
        <v>111139</v>
      </c>
      <c r="H2174" s="517" t="s">
        <v>6915</v>
      </c>
    </row>
    <row r="2175" spans="2:8" ht="15" x14ac:dyDescent="0.35">
      <c r="B2175" s="544" t="s">
        <v>6263</v>
      </c>
      <c r="C2175" s="517" t="s">
        <v>6373</v>
      </c>
      <c r="D2175" s="518">
        <v>11508</v>
      </c>
      <c r="E2175" s="517" t="s">
        <v>4701</v>
      </c>
      <c r="F2175" s="518" t="s">
        <v>29</v>
      </c>
      <c r="G2175" s="519">
        <v>139843</v>
      </c>
      <c r="H2175" s="517" t="s">
        <v>6915</v>
      </c>
    </row>
    <row r="2176" spans="2:8" ht="15" x14ac:dyDescent="0.35">
      <c r="B2176" s="544" t="s">
        <v>6263</v>
      </c>
      <c r="C2176" s="517" t="s">
        <v>6373</v>
      </c>
      <c r="D2176" s="518">
        <v>11509</v>
      </c>
      <c r="E2176" s="517" t="s">
        <v>6012</v>
      </c>
      <c r="F2176" s="518" t="s">
        <v>29</v>
      </c>
      <c r="G2176" s="519">
        <v>153706</v>
      </c>
      <c r="H2176" s="517" t="s">
        <v>6915</v>
      </c>
    </row>
    <row r="2177" spans="2:8" ht="15" x14ac:dyDescent="0.35">
      <c r="B2177" s="544" t="s">
        <v>6263</v>
      </c>
      <c r="C2177" s="517" t="s">
        <v>6373</v>
      </c>
      <c r="D2177" s="518">
        <v>11510</v>
      </c>
      <c r="E2177" s="517" t="s">
        <v>4702</v>
      </c>
      <c r="F2177" s="518" t="s">
        <v>29</v>
      </c>
      <c r="G2177" s="519">
        <v>291000</v>
      </c>
      <c r="H2177" s="517" t="s">
        <v>6915</v>
      </c>
    </row>
    <row r="2178" spans="2:8" ht="15" x14ac:dyDescent="0.35">
      <c r="B2178" s="544" t="s">
        <v>6263</v>
      </c>
      <c r="C2178" s="517" t="s">
        <v>6373</v>
      </c>
      <c r="D2178" s="518">
        <v>11511</v>
      </c>
      <c r="E2178" s="517" t="s">
        <v>4703</v>
      </c>
      <c r="F2178" s="518" t="s">
        <v>4704</v>
      </c>
      <c r="G2178" s="519">
        <v>166677</v>
      </c>
      <c r="H2178" s="517" t="s">
        <v>6915</v>
      </c>
    </row>
    <row r="2179" spans="2:8" ht="15" x14ac:dyDescent="0.35">
      <c r="B2179" s="544" t="s">
        <v>6263</v>
      </c>
      <c r="C2179" s="517" t="s">
        <v>6397</v>
      </c>
      <c r="D2179" s="518">
        <v>11512</v>
      </c>
      <c r="E2179" s="517" t="s">
        <v>4705</v>
      </c>
      <c r="F2179" s="518" t="s">
        <v>29</v>
      </c>
      <c r="G2179" s="519">
        <v>411621</v>
      </c>
      <c r="H2179" s="517" t="s">
        <v>6915</v>
      </c>
    </row>
    <row r="2180" spans="2:8" ht="15" x14ac:dyDescent="0.35">
      <c r="B2180" s="544" t="s">
        <v>6263</v>
      </c>
      <c r="C2180" s="517" t="s">
        <v>6397</v>
      </c>
      <c r="D2180" s="518">
        <v>11513</v>
      </c>
      <c r="E2180" s="517" t="s">
        <v>4706</v>
      </c>
      <c r="F2180" s="518" t="s">
        <v>29</v>
      </c>
      <c r="G2180" s="519">
        <v>243236</v>
      </c>
      <c r="H2180" s="517" t="s">
        <v>6915</v>
      </c>
    </row>
    <row r="2181" spans="2:8" ht="15" x14ac:dyDescent="0.35">
      <c r="B2181" s="544" t="s">
        <v>6263</v>
      </c>
      <c r="C2181" s="517" t="s">
        <v>6397</v>
      </c>
      <c r="D2181" s="518">
        <v>11514</v>
      </c>
      <c r="E2181" s="517" t="s">
        <v>6013</v>
      </c>
      <c r="F2181" s="518" t="s">
        <v>676</v>
      </c>
      <c r="G2181" s="519">
        <v>25871</v>
      </c>
      <c r="H2181" s="517" t="s">
        <v>6915</v>
      </c>
    </row>
    <row r="2182" spans="2:8" ht="15" x14ac:dyDescent="0.35">
      <c r="B2182" s="544" t="s">
        <v>6263</v>
      </c>
      <c r="C2182" s="517" t="s">
        <v>6397</v>
      </c>
      <c r="D2182" s="518">
        <v>11515</v>
      </c>
      <c r="E2182" s="517" t="s">
        <v>4707</v>
      </c>
      <c r="F2182" s="518" t="s">
        <v>29</v>
      </c>
      <c r="G2182" s="519">
        <v>333200</v>
      </c>
      <c r="H2182" s="517" t="s">
        <v>6915</v>
      </c>
    </row>
    <row r="2183" spans="2:8" ht="15" x14ac:dyDescent="0.35">
      <c r="B2183" s="544" t="s">
        <v>6263</v>
      </c>
      <c r="C2183" s="517" t="s">
        <v>6397</v>
      </c>
      <c r="D2183" s="518">
        <v>11516</v>
      </c>
      <c r="E2183" s="517" t="s">
        <v>4708</v>
      </c>
      <c r="F2183" s="518" t="s">
        <v>29</v>
      </c>
      <c r="G2183" s="519">
        <v>142800</v>
      </c>
      <c r="H2183" s="517" t="s">
        <v>6915</v>
      </c>
    </row>
    <row r="2184" spans="2:8" ht="15" x14ac:dyDescent="0.35">
      <c r="B2184" s="544" t="s">
        <v>6263</v>
      </c>
      <c r="C2184" s="517" t="s">
        <v>6397</v>
      </c>
      <c r="D2184" s="518">
        <v>11517</v>
      </c>
      <c r="E2184" s="517" t="s">
        <v>4709</v>
      </c>
      <c r="F2184" s="518" t="s">
        <v>29</v>
      </c>
      <c r="G2184" s="519">
        <v>140000</v>
      </c>
      <c r="H2184" s="517" t="s">
        <v>6915</v>
      </c>
    </row>
    <row r="2185" spans="2:8" ht="15" x14ac:dyDescent="0.35">
      <c r="B2185" s="544" t="s">
        <v>6263</v>
      </c>
      <c r="C2185" s="517" t="s">
        <v>6397</v>
      </c>
      <c r="D2185" s="518">
        <v>11518</v>
      </c>
      <c r="E2185" s="517" t="s">
        <v>6014</v>
      </c>
      <c r="F2185" s="518" t="s">
        <v>29</v>
      </c>
      <c r="G2185" s="519">
        <v>416010</v>
      </c>
      <c r="H2185" s="517" t="s">
        <v>6915</v>
      </c>
    </row>
    <row r="2186" spans="2:8" ht="15" x14ac:dyDescent="0.35">
      <c r="B2186" s="544" t="s">
        <v>6263</v>
      </c>
      <c r="C2186" s="517" t="s">
        <v>6397</v>
      </c>
      <c r="D2186" s="518">
        <v>11519</v>
      </c>
      <c r="E2186" s="517" t="s">
        <v>6015</v>
      </c>
      <c r="F2186" s="518" t="s">
        <v>29</v>
      </c>
      <c r="G2186" s="519">
        <v>189210</v>
      </c>
      <c r="H2186" s="517" t="s">
        <v>6915</v>
      </c>
    </row>
    <row r="2187" spans="2:8" ht="15" x14ac:dyDescent="0.35">
      <c r="B2187" s="544" t="s">
        <v>6263</v>
      </c>
      <c r="C2187" s="517" t="s">
        <v>6397</v>
      </c>
      <c r="D2187" s="518">
        <v>11520</v>
      </c>
      <c r="E2187" s="517" t="s">
        <v>6016</v>
      </c>
      <c r="F2187" s="518" t="s">
        <v>29</v>
      </c>
      <c r="G2187" s="519">
        <v>214200</v>
      </c>
      <c r="H2187" s="517" t="s">
        <v>6915</v>
      </c>
    </row>
    <row r="2188" spans="2:8" ht="15" x14ac:dyDescent="0.35">
      <c r="B2188" s="544" t="s">
        <v>6263</v>
      </c>
      <c r="C2188" s="517" t="s">
        <v>6397</v>
      </c>
      <c r="D2188" s="518">
        <v>11521</v>
      </c>
      <c r="E2188" s="517" t="s">
        <v>6017</v>
      </c>
      <c r="F2188" s="518" t="s">
        <v>29</v>
      </c>
      <c r="G2188" s="519">
        <v>1066478</v>
      </c>
      <c r="H2188" s="517" t="s">
        <v>6915</v>
      </c>
    </row>
    <row r="2189" spans="2:8" ht="15" x14ac:dyDescent="0.35">
      <c r="B2189" s="544" t="s">
        <v>6263</v>
      </c>
      <c r="C2189" s="517" t="s">
        <v>6397</v>
      </c>
      <c r="D2189" s="518">
        <v>11522</v>
      </c>
      <c r="E2189" s="517" t="s">
        <v>4710</v>
      </c>
      <c r="F2189" s="518" t="s">
        <v>29</v>
      </c>
      <c r="G2189" s="519">
        <v>232835</v>
      </c>
      <c r="H2189" s="517" t="s">
        <v>6915</v>
      </c>
    </row>
    <row r="2190" spans="2:8" ht="15" x14ac:dyDescent="0.35">
      <c r="B2190" s="544" t="s">
        <v>6263</v>
      </c>
      <c r="C2190" s="517" t="s">
        <v>6397</v>
      </c>
      <c r="D2190" s="518">
        <v>11523</v>
      </c>
      <c r="E2190" s="517" t="s">
        <v>4711</v>
      </c>
      <c r="F2190" s="518" t="s">
        <v>29</v>
      </c>
      <c r="G2190" s="519">
        <v>556218</v>
      </c>
      <c r="H2190" s="517" t="s">
        <v>6915</v>
      </c>
    </row>
    <row r="2191" spans="2:8" ht="15" x14ac:dyDescent="0.35">
      <c r="B2191" s="544" t="s">
        <v>6263</v>
      </c>
      <c r="C2191" s="517" t="s">
        <v>6397</v>
      </c>
      <c r="D2191" s="518">
        <v>11524</v>
      </c>
      <c r="E2191" s="517" t="s">
        <v>6018</v>
      </c>
      <c r="F2191" s="518" t="s">
        <v>29</v>
      </c>
      <c r="G2191" s="519">
        <v>222862</v>
      </c>
      <c r="H2191" s="517" t="s">
        <v>6915</v>
      </c>
    </row>
    <row r="2192" spans="2:8" ht="15" x14ac:dyDescent="0.35">
      <c r="B2192" s="544" t="s">
        <v>6263</v>
      </c>
      <c r="C2192" s="517" t="s">
        <v>6397</v>
      </c>
      <c r="D2192" s="518">
        <v>11525</v>
      </c>
      <c r="E2192" s="517" t="s">
        <v>6019</v>
      </c>
      <c r="F2192" s="518" t="s">
        <v>29</v>
      </c>
      <c r="G2192" s="519">
        <v>188690</v>
      </c>
      <c r="H2192" s="517" t="s">
        <v>6915</v>
      </c>
    </row>
    <row r="2193" spans="2:8" ht="15" x14ac:dyDescent="0.35">
      <c r="B2193" s="544" t="s">
        <v>6263</v>
      </c>
      <c r="C2193" s="517" t="s">
        <v>6397</v>
      </c>
      <c r="D2193" s="518">
        <v>11526</v>
      </c>
      <c r="E2193" s="517" t="s">
        <v>6020</v>
      </c>
      <c r="F2193" s="518" t="s">
        <v>29</v>
      </c>
      <c r="G2193" s="519">
        <v>714000</v>
      </c>
      <c r="H2193" s="517" t="s">
        <v>6915</v>
      </c>
    </row>
    <row r="2194" spans="2:8" ht="15" x14ac:dyDescent="0.35">
      <c r="B2194" s="544" t="s">
        <v>6263</v>
      </c>
      <c r="C2194" s="517" t="s">
        <v>6374</v>
      </c>
      <c r="D2194" s="518">
        <v>11528</v>
      </c>
      <c r="E2194" s="517" t="s">
        <v>6021</v>
      </c>
      <c r="F2194" s="518" t="s">
        <v>29</v>
      </c>
      <c r="G2194" s="519">
        <v>268464</v>
      </c>
      <c r="H2194" s="517" t="s">
        <v>6915</v>
      </c>
    </row>
    <row r="2195" spans="2:8" ht="15" x14ac:dyDescent="0.35">
      <c r="B2195" s="544" t="s">
        <v>6263</v>
      </c>
      <c r="C2195" s="517" t="s">
        <v>6374</v>
      </c>
      <c r="D2195" s="518">
        <v>11529</v>
      </c>
      <c r="E2195" s="517" t="s">
        <v>4712</v>
      </c>
      <c r="F2195" s="518" t="s">
        <v>29</v>
      </c>
      <c r="G2195" s="519">
        <v>289170</v>
      </c>
      <c r="H2195" s="517" t="s">
        <v>6915</v>
      </c>
    </row>
    <row r="2196" spans="2:8" ht="15" x14ac:dyDescent="0.35">
      <c r="B2196" s="544" t="s">
        <v>6263</v>
      </c>
      <c r="C2196" s="517" t="s">
        <v>6414</v>
      </c>
      <c r="D2196" s="518">
        <v>11531</v>
      </c>
      <c r="E2196" s="517" t="s">
        <v>6022</v>
      </c>
      <c r="F2196" s="518" t="s">
        <v>29</v>
      </c>
      <c r="G2196" s="519">
        <v>225701</v>
      </c>
      <c r="H2196" s="517" t="s">
        <v>6915</v>
      </c>
    </row>
    <row r="2197" spans="2:8" ht="15" x14ac:dyDescent="0.35">
      <c r="B2197" s="544" t="s">
        <v>6263</v>
      </c>
      <c r="C2197" s="517" t="s">
        <v>6414</v>
      </c>
      <c r="D2197" s="518">
        <v>11532</v>
      </c>
      <c r="E2197" s="517" t="s">
        <v>6023</v>
      </c>
      <c r="F2197" s="518" t="s">
        <v>29</v>
      </c>
      <c r="G2197" s="519">
        <v>225701</v>
      </c>
      <c r="H2197" s="517" t="s">
        <v>6915</v>
      </c>
    </row>
    <row r="2198" spans="2:8" ht="15" x14ac:dyDescent="0.35">
      <c r="B2198" s="544" t="s">
        <v>6263</v>
      </c>
      <c r="C2198" s="517" t="s">
        <v>6414</v>
      </c>
      <c r="D2198" s="518">
        <v>11533</v>
      </c>
      <c r="E2198" s="517" t="s">
        <v>6024</v>
      </c>
      <c r="F2198" s="518" t="s">
        <v>29</v>
      </c>
      <c r="G2198" s="519">
        <v>571200</v>
      </c>
      <c r="H2198" s="517" t="s">
        <v>6915</v>
      </c>
    </row>
    <row r="2199" spans="2:8" ht="15" x14ac:dyDescent="0.35">
      <c r="B2199" s="544" t="s">
        <v>6263</v>
      </c>
      <c r="C2199" s="517" t="s">
        <v>6414</v>
      </c>
      <c r="D2199" s="518">
        <v>11534</v>
      </c>
      <c r="E2199" s="517" t="s">
        <v>4713</v>
      </c>
      <c r="F2199" s="518" t="s">
        <v>29</v>
      </c>
      <c r="G2199" s="519">
        <v>1428000</v>
      </c>
      <c r="H2199" s="517" t="s">
        <v>6915</v>
      </c>
    </row>
    <row r="2200" spans="2:8" ht="15" x14ac:dyDescent="0.35">
      <c r="B2200" s="544" t="s">
        <v>6263</v>
      </c>
      <c r="C2200" s="517" t="s">
        <v>6414</v>
      </c>
      <c r="D2200" s="518">
        <v>11535</v>
      </c>
      <c r="E2200" s="517" t="s">
        <v>6025</v>
      </c>
      <c r="F2200" s="518" t="s">
        <v>29</v>
      </c>
      <c r="G2200" s="519">
        <v>362950</v>
      </c>
      <c r="H2200" s="517" t="s">
        <v>6915</v>
      </c>
    </row>
    <row r="2201" spans="2:8" ht="15" x14ac:dyDescent="0.35">
      <c r="B2201" s="544" t="s">
        <v>6263</v>
      </c>
      <c r="C2201" s="517" t="s">
        <v>6414</v>
      </c>
      <c r="D2201" s="518">
        <v>11536</v>
      </c>
      <c r="E2201" s="517" t="s">
        <v>4714</v>
      </c>
      <c r="F2201" s="518" t="s">
        <v>29</v>
      </c>
      <c r="G2201" s="519">
        <v>169630</v>
      </c>
      <c r="H2201" s="517" t="s">
        <v>6915</v>
      </c>
    </row>
    <row r="2202" spans="2:8" ht="15" x14ac:dyDescent="0.35">
      <c r="B2202" s="544" t="s">
        <v>6263</v>
      </c>
      <c r="C2202" s="517" t="s">
        <v>6414</v>
      </c>
      <c r="D2202" s="518">
        <v>11537</v>
      </c>
      <c r="E2202" s="517" t="s">
        <v>6026</v>
      </c>
      <c r="F2202" s="518" t="s">
        <v>29</v>
      </c>
      <c r="G2202" s="519">
        <v>142800</v>
      </c>
      <c r="H2202" s="517" t="s">
        <v>6915</v>
      </c>
    </row>
    <row r="2203" spans="2:8" ht="15" x14ac:dyDescent="0.35">
      <c r="B2203" s="544" t="s">
        <v>6263</v>
      </c>
      <c r="C2203" s="517" t="s">
        <v>6414</v>
      </c>
      <c r="D2203" s="518">
        <v>11538</v>
      </c>
      <c r="E2203" s="517" t="s">
        <v>4715</v>
      </c>
      <c r="F2203" s="518" t="s">
        <v>29</v>
      </c>
      <c r="G2203" s="519">
        <v>762314</v>
      </c>
      <c r="H2203" s="517" t="s">
        <v>6915</v>
      </c>
    </row>
    <row r="2204" spans="2:8" ht="15" x14ac:dyDescent="0.35">
      <c r="B2204" s="544" t="s">
        <v>6263</v>
      </c>
      <c r="C2204" s="517" t="s">
        <v>6414</v>
      </c>
      <c r="D2204" s="518">
        <v>11543</v>
      </c>
      <c r="E2204" s="517" t="s">
        <v>6027</v>
      </c>
      <c r="F2204" s="518" t="s">
        <v>29</v>
      </c>
      <c r="G2204" s="519">
        <v>574330</v>
      </c>
      <c r="H2204" s="517" t="s">
        <v>6915</v>
      </c>
    </row>
    <row r="2205" spans="2:8" ht="15" x14ac:dyDescent="0.35">
      <c r="B2205" s="544" t="s">
        <v>6263</v>
      </c>
      <c r="C2205" s="517" t="s">
        <v>6414</v>
      </c>
      <c r="D2205" s="518">
        <v>11544</v>
      </c>
      <c r="E2205" s="517" t="s">
        <v>6028</v>
      </c>
      <c r="F2205" s="518" t="s">
        <v>29</v>
      </c>
      <c r="G2205" s="519">
        <v>476000</v>
      </c>
      <c r="H2205" s="517" t="s">
        <v>6915</v>
      </c>
    </row>
    <row r="2206" spans="2:8" ht="15" x14ac:dyDescent="0.35">
      <c r="B2206" s="544" t="s">
        <v>6263</v>
      </c>
      <c r="C2206" s="517" t="s">
        <v>6415</v>
      </c>
      <c r="D2206" s="518">
        <v>11546</v>
      </c>
      <c r="E2206" s="517" t="s">
        <v>6029</v>
      </c>
      <c r="F2206" s="518" t="s">
        <v>29</v>
      </c>
      <c r="G2206" s="519">
        <v>207893</v>
      </c>
      <c r="H2206" s="517" t="s">
        <v>6915</v>
      </c>
    </row>
    <row r="2207" spans="2:8" ht="15" x14ac:dyDescent="0.35">
      <c r="B2207" s="544" t="s">
        <v>6263</v>
      </c>
      <c r="C2207" s="517" t="s">
        <v>6415</v>
      </c>
      <c r="D2207" s="518">
        <v>11547</v>
      </c>
      <c r="E2207" s="517" t="s">
        <v>6030</v>
      </c>
      <c r="F2207" s="518" t="s">
        <v>29</v>
      </c>
      <c r="G2207" s="519">
        <v>330000</v>
      </c>
      <c r="H2207" s="517" t="s">
        <v>6915</v>
      </c>
    </row>
    <row r="2208" spans="2:8" ht="15" x14ac:dyDescent="0.35">
      <c r="B2208" s="544" t="s">
        <v>6263</v>
      </c>
      <c r="C2208" s="517" t="s">
        <v>6416</v>
      </c>
      <c r="D2208" s="518">
        <v>11549</v>
      </c>
      <c r="E2208" s="517" t="s">
        <v>4716</v>
      </c>
      <c r="F2208" s="518" t="s">
        <v>29</v>
      </c>
      <c r="G2208" s="519">
        <v>492279</v>
      </c>
      <c r="H2208" s="517" t="s">
        <v>6915</v>
      </c>
    </row>
    <row r="2209" spans="2:8" ht="15" x14ac:dyDescent="0.35">
      <c r="B2209" s="544" t="s">
        <v>6263</v>
      </c>
      <c r="C2209" s="517" t="s">
        <v>6416</v>
      </c>
      <c r="D2209" s="518">
        <v>11550</v>
      </c>
      <c r="E2209" s="517" t="s">
        <v>6031</v>
      </c>
      <c r="F2209" s="518" t="s">
        <v>29</v>
      </c>
      <c r="G2209" s="519">
        <v>237141</v>
      </c>
      <c r="H2209" s="517" t="s">
        <v>6915</v>
      </c>
    </row>
    <row r="2210" spans="2:8" ht="15" x14ac:dyDescent="0.35">
      <c r="B2210" s="544" t="s">
        <v>6263</v>
      </c>
      <c r="C2210" s="517" t="s">
        <v>6416</v>
      </c>
      <c r="D2210" s="518">
        <v>11551</v>
      </c>
      <c r="E2210" s="517" t="s">
        <v>6032</v>
      </c>
      <c r="F2210" s="518" t="s">
        <v>29</v>
      </c>
      <c r="G2210" s="519">
        <v>452200</v>
      </c>
      <c r="H2210" s="517" t="s">
        <v>6915</v>
      </c>
    </row>
    <row r="2211" spans="2:8" ht="15" x14ac:dyDescent="0.35">
      <c r="B2211" s="544" t="s">
        <v>6263</v>
      </c>
      <c r="C2211" s="517" t="s">
        <v>6275</v>
      </c>
      <c r="D2211" s="518">
        <v>11554</v>
      </c>
      <c r="E2211" s="517" t="s">
        <v>4717</v>
      </c>
      <c r="F2211" s="518" t="s">
        <v>367</v>
      </c>
      <c r="G2211" s="519">
        <v>9044</v>
      </c>
      <c r="H2211" s="517" t="s">
        <v>6425</v>
      </c>
    </row>
    <row r="2212" spans="2:8" ht="15" x14ac:dyDescent="0.35">
      <c r="B2212" s="544" t="s">
        <v>6263</v>
      </c>
      <c r="C2212" s="517" t="s">
        <v>6353</v>
      </c>
      <c r="D2212" s="518">
        <v>11561</v>
      </c>
      <c r="E2212" s="517" t="s">
        <v>5650</v>
      </c>
      <c r="F2212" s="518" t="s">
        <v>29</v>
      </c>
      <c r="G2212" s="519">
        <v>234548</v>
      </c>
      <c r="H2212" s="517" t="s">
        <v>6425</v>
      </c>
    </row>
    <row r="2213" spans="2:8" ht="15" x14ac:dyDescent="0.35">
      <c r="B2213" s="544" t="s">
        <v>6263</v>
      </c>
      <c r="C2213" s="517" t="s">
        <v>6407</v>
      </c>
      <c r="D2213" s="518">
        <v>11562</v>
      </c>
      <c r="E2213" s="517" t="s">
        <v>6455</v>
      </c>
      <c r="F2213" s="518" t="s">
        <v>29</v>
      </c>
      <c r="G2213" s="519">
        <v>166037</v>
      </c>
      <c r="H2213" s="517" t="s">
        <v>6425</v>
      </c>
    </row>
    <row r="2214" spans="2:8" ht="15" x14ac:dyDescent="0.35">
      <c r="B2214" s="544" t="s">
        <v>6263</v>
      </c>
      <c r="C2214" s="517" t="s">
        <v>6407</v>
      </c>
      <c r="D2214" s="518">
        <v>11563</v>
      </c>
      <c r="E2214" s="517" t="s">
        <v>6456</v>
      </c>
      <c r="F2214" s="518" t="s">
        <v>29</v>
      </c>
      <c r="G2214" s="519">
        <v>591794</v>
      </c>
      <c r="H2214" s="517" t="s">
        <v>6425</v>
      </c>
    </row>
    <row r="2215" spans="2:8" ht="15" x14ac:dyDescent="0.35">
      <c r="B2215" s="544" t="s">
        <v>6263</v>
      </c>
      <c r="C2215" s="517" t="s">
        <v>6352</v>
      </c>
      <c r="D2215" s="518">
        <v>11569</v>
      </c>
      <c r="E2215" s="517" t="s">
        <v>4718</v>
      </c>
      <c r="F2215" s="518" t="s">
        <v>21</v>
      </c>
      <c r="G2215" s="519">
        <v>87499</v>
      </c>
      <c r="H2215" s="517" t="s">
        <v>6425</v>
      </c>
    </row>
    <row r="2216" spans="2:8" ht="15" x14ac:dyDescent="0.35">
      <c r="B2216" s="544" t="s">
        <v>6263</v>
      </c>
      <c r="C2216" s="517" t="s">
        <v>6361</v>
      </c>
      <c r="D2216" s="518">
        <v>11572</v>
      </c>
      <c r="E2216" s="517" t="s">
        <v>4719</v>
      </c>
      <c r="F2216" s="518" t="s">
        <v>26</v>
      </c>
      <c r="G2216" s="519">
        <v>124390</v>
      </c>
      <c r="H2216" s="517" t="s">
        <v>6915</v>
      </c>
    </row>
    <row r="2217" spans="2:8" ht="15" x14ac:dyDescent="0.35">
      <c r="B2217" s="544" t="s">
        <v>6263</v>
      </c>
      <c r="C2217" s="517" t="s">
        <v>6363</v>
      </c>
      <c r="D2217" s="518">
        <v>11574</v>
      </c>
      <c r="E2217" s="517" t="s">
        <v>4720</v>
      </c>
      <c r="F2217" s="518" t="s">
        <v>367</v>
      </c>
      <c r="G2217" s="519">
        <v>171130</v>
      </c>
      <c r="H2217" s="517" t="s">
        <v>6915</v>
      </c>
    </row>
    <row r="2218" spans="2:8" ht="15" x14ac:dyDescent="0.35">
      <c r="B2218" s="544" t="s">
        <v>6263</v>
      </c>
      <c r="C2218" s="517" t="s">
        <v>6363</v>
      </c>
      <c r="D2218" s="518">
        <v>11575</v>
      </c>
      <c r="E2218" s="517" t="s">
        <v>4721</v>
      </c>
      <c r="F2218" s="518" t="s">
        <v>367</v>
      </c>
      <c r="G2218" s="519">
        <v>79530</v>
      </c>
      <c r="H2218" s="517" t="s">
        <v>6915</v>
      </c>
    </row>
    <row r="2219" spans="2:8" ht="15" x14ac:dyDescent="0.35">
      <c r="B2219" s="544" t="s">
        <v>6263</v>
      </c>
      <c r="C2219" s="517" t="s">
        <v>6366</v>
      </c>
      <c r="D2219" s="518">
        <v>11576</v>
      </c>
      <c r="E2219" s="517" t="s">
        <v>6033</v>
      </c>
      <c r="F2219" s="518" t="s">
        <v>3172</v>
      </c>
      <c r="G2219" s="519">
        <v>151184</v>
      </c>
      <c r="H2219" s="517" t="s">
        <v>6915</v>
      </c>
    </row>
    <row r="2220" spans="2:8" ht="15" x14ac:dyDescent="0.35">
      <c r="B2220" s="544" t="s">
        <v>6263</v>
      </c>
      <c r="C2220" s="517" t="s">
        <v>6342</v>
      </c>
      <c r="D2220" s="518">
        <v>11577</v>
      </c>
      <c r="E2220" s="517" t="s">
        <v>4722</v>
      </c>
      <c r="F2220" s="518" t="s">
        <v>29</v>
      </c>
      <c r="G2220" s="519">
        <v>1745</v>
      </c>
      <c r="H2220" s="517" t="s">
        <v>6425</v>
      </c>
    </row>
    <row r="2221" spans="2:8" ht="15" x14ac:dyDescent="0.35">
      <c r="B2221" s="544" t="s">
        <v>6263</v>
      </c>
      <c r="C2221" s="517" t="s">
        <v>6352</v>
      </c>
      <c r="D2221" s="518">
        <v>11580</v>
      </c>
      <c r="E2221" s="517" t="s">
        <v>4723</v>
      </c>
      <c r="F2221" s="518" t="s">
        <v>29</v>
      </c>
      <c r="G2221" s="519">
        <v>3734</v>
      </c>
      <c r="H2221" s="517" t="s">
        <v>6425</v>
      </c>
    </row>
    <row r="2222" spans="2:8" ht="15" x14ac:dyDescent="0.35">
      <c r="B2222" s="544" t="s">
        <v>6263</v>
      </c>
      <c r="C2222" s="517" t="s">
        <v>6352</v>
      </c>
      <c r="D2222" s="518">
        <v>11581</v>
      </c>
      <c r="E2222" s="517" t="s">
        <v>4724</v>
      </c>
      <c r="F2222" s="518" t="s">
        <v>29</v>
      </c>
      <c r="G2222" s="519">
        <v>3734</v>
      </c>
      <c r="H2222" s="517" t="s">
        <v>6425</v>
      </c>
    </row>
    <row r="2223" spans="2:8" ht="15" x14ac:dyDescent="0.35">
      <c r="B2223" s="544" t="s">
        <v>6263</v>
      </c>
      <c r="C2223" s="517" t="s">
        <v>6361</v>
      </c>
      <c r="D2223" s="518">
        <v>11586</v>
      </c>
      <c r="E2223" s="517" t="s">
        <v>4725</v>
      </c>
      <c r="F2223" s="518" t="s">
        <v>26</v>
      </c>
      <c r="G2223" s="519">
        <v>51328</v>
      </c>
      <c r="H2223" s="517" t="s">
        <v>6915</v>
      </c>
    </row>
    <row r="2224" spans="2:8" ht="15" x14ac:dyDescent="0.35">
      <c r="B2224" s="544" t="s">
        <v>6263</v>
      </c>
      <c r="C2224" s="517" t="s">
        <v>6361</v>
      </c>
      <c r="D2224" s="518">
        <v>11587</v>
      </c>
      <c r="E2224" s="517" t="s">
        <v>4726</v>
      </c>
      <c r="F2224" s="518" t="s">
        <v>26</v>
      </c>
      <c r="G2224" s="519">
        <v>519055</v>
      </c>
      <c r="H2224" s="517" t="s">
        <v>6915</v>
      </c>
    </row>
    <row r="2225" spans="2:8" ht="15" x14ac:dyDescent="0.35">
      <c r="B2225" s="544" t="s">
        <v>6263</v>
      </c>
      <c r="C2225" s="517" t="s">
        <v>6361</v>
      </c>
      <c r="D2225" s="518">
        <v>11588</v>
      </c>
      <c r="E2225" s="517" t="s">
        <v>4727</v>
      </c>
      <c r="F2225" s="518" t="s">
        <v>26</v>
      </c>
      <c r="G2225" s="519">
        <v>201092</v>
      </c>
      <c r="H2225" s="517" t="s">
        <v>6915</v>
      </c>
    </row>
    <row r="2226" spans="2:8" ht="15" x14ac:dyDescent="0.35">
      <c r="B2226" s="544" t="s">
        <v>6263</v>
      </c>
      <c r="C2226" s="517" t="s">
        <v>6361</v>
      </c>
      <c r="D2226" s="518">
        <v>11589</v>
      </c>
      <c r="E2226" s="517" t="s">
        <v>4728</v>
      </c>
      <c r="F2226" s="518" t="s">
        <v>26</v>
      </c>
      <c r="G2226" s="519">
        <v>335581</v>
      </c>
      <c r="H2226" s="517" t="s">
        <v>6915</v>
      </c>
    </row>
    <row r="2227" spans="2:8" ht="15" x14ac:dyDescent="0.35">
      <c r="B2227" s="544" t="s">
        <v>6263</v>
      </c>
      <c r="C2227" s="517" t="s">
        <v>6356</v>
      </c>
      <c r="D2227" s="518">
        <v>11590</v>
      </c>
      <c r="E2227" s="517" t="s">
        <v>4729</v>
      </c>
      <c r="F2227" s="518" t="s">
        <v>29</v>
      </c>
      <c r="G2227" s="519">
        <v>1071000</v>
      </c>
      <c r="H2227" s="517" t="s">
        <v>6915</v>
      </c>
    </row>
    <row r="2228" spans="2:8" ht="15" x14ac:dyDescent="0.35">
      <c r="B2228" s="544" t="s">
        <v>6263</v>
      </c>
      <c r="C2228" s="517" t="s">
        <v>6356</v>
      </c>
      <c r="D2228" s="518">
        <v>11591</v>
      </c>
      <c r="E2228" s="517" t="s">
        <v>4730</v>
      </c>
      <c r="F2228" s="518" t="s">
        <v>29</v>
      </c>
      <c r="G2228" s="519">
        <v>1024122</v>
      </c>
      <c r="H2228" s="517" t="s">
        <v>6915</v>
      </c>
    </row>
    <row r="2229" spans="2:8" ht="15" x14ac:dyDescent="0.35">
      <c r="B2229" s="544" t="s">
        <v>6263</v>
      </c>
      <c r="C2229" s="517" t="s">
        <v>6356</v>
      </c>
      <c r="D2229" s="518">
        <v>11592</v>
      </c>
      <c r="E2229" s="517" t="s">
        <v>4731</v>
      </c>
      <c r="F2229" s="518" t="s">
        <v>29</v>
      </c>
      <c r="G2229" s="519">
        <v>1303429</v>
      </c>
      <c r="H2229" s="517" t="s">
        <v>6915</v>
      </c>
    </row>
    <row r="2230" spans="2:8" ht="15" x14ac:dyDescent="0.35">
      <c r="B2230" s="544" t="s">
        <v>6263</v>
      </c>
      <c r="C2230" s="517" t="s">
        <v>6361</v>
      </c>
      <c r="D2230" s="518">
        <v>11593</v>
      </c>
      <c r="E2230" s="517" t="s">
        <v>4732</v>
      </c>
      <c r="F2230" s="518" t="s">
        <v>26</v>
      </c>
      <c r="G2230" s="519">
        <v>4670</v>
      </c>
      <c r="H2230" s="517" t="s">
        <v>6915</v>
      </c>
    </row>
    <row r="2231" spans="2:8" ht="15" x14ac:dyDescent="0.35">
      <c r="B2231" s="544" t="s">
        <v>6263</v>
      </c>
      <c r="C2231" s="517" t="s">
        <v>6390</v>
      </c>
      <c r="D2231" s="518">
        <v>11595</v>
      </c>
      <c r="E2231" s="517" t="s">
        <v>4733</v>
      </c>
      <c r="F2231" s="518" t="s">
        <v>29</v>
      </c>
      <c r="G2231" s="519">
        <v>29195988</v>
      </c>
      <c r="H2231" s="517" t="s">
        <v>6915</v>
      </c>
    </row>
    <row r="2232" spans="2:8" ht="15" x14ac:dyDescent="0.35">
      <c r="B2232" s="544" t="s">
        <v>6263</v>
      </c>
      <c r="C2232" s="517" t="s">
        <v>6390</v>
      </c>
      <c r="D2232" s="518">
        <v>11596</v>
      </c>
      <c r="E2232" s="517" t="s">
        <v>4734</v>
      </c>
      <c r="F2232" s="518" t="s">
        <v>29</v>
      </c>
      <c r="G2232" s="519">
        <v>23683357</v>
      </c>
      <c r="H2232" s="517" t="s">
        <v>6915</v>
      </c>
    </row>
    <row r="2233" spans="2:8" ht="15" x14ac:dyDescent="0.35">
      <c r="B2233" s="544" t="s">
        <v>6263</v>
      </c>
      <c r="C2233" s="517" t="s">
        <v>6390</v>
      </c>
      <c r="D2233" s="518">
        <v>11597</v>
      </c>
      <c r="E2233" s="517" t="s">
        <v>4735</v>
      </c>
      <c r="F2233" s="518" t="s">
        <v>29</v>
      </c>
      <c r="G2233" s="519">
        <v>61199772</v>
      </c>
      <c r="H2233" s="517" t="s">
        <v>6915</v>
      </c>
    </row>
    <row r="2234" spans="2:8" ht="15" x14ac:dyDescent="0.35">
      <c r="B2234" s="544" t="s">
        <v>6263</v>
      </c>
      <c r="C2234" s="517" t="s">
        <v>6344</v>
      </c>
      <c r="D2234" s="518">
        <v>11600</v>
      </c>
      <c r="E2234" s="517" t="s">
        <v>4736</v>
      </c>
      <c r="F2234" s="518" t="s">
        <v>29</v>
      </c>
      <c r="G2234" s="519">
        <v>47005</v>
      </c>
      <c r="H2234" s="517" t="s">
        <v>6425</v>
      </c>
    </row>
    <row r="2235" spans="2:8" ht="15" x14ac:dyDescent="0.35">
      <c r="B2235" s="544" t="s">
        <v>6263</v>
      </c>
      <c r="C2235" s="517" t="s">
        <v>6339</v>
      </c>
      <c r="D2235" s="518">
        <v>11601</v>
      </c>
      <c r="E2235" s="517" t="s">
        <v>4737</v>
      </c>
      <c r="F2235" s="518" t="s">
        <v>21</v>
      </c>
      <c r="G2235" s="519">
        <v>71846</v>
      </c>
      <c r="H2235" s="517" t="s">
        <v>6425</v>
      </c>
    </row>
    <row r="2236" spans="2:8" ht="15" x14ac:dyDescent="0.35">
      <c r="B2236" s="544" t="s">
        <v>6263</v>
      </c>
      <c r="C2236" s="517" t="s">
        <v>6389</v>
      </c>
      <c r="D2236" s="518">
        <v>11602</v>
      </c>
      <c r="E2236" s="517" t="s">
        <v>4738</v>
      </c>
      <c r="F2236" s="518" t="s">
        <v>29</v>
      </c>
      <c r="G2236" s="519">
        <v>4789468</v>
      </c>
      <c r="H2236" s="517" t="s">
        <v>6425</v>
      </c>
    </row>
    <row r="2237" spans="2:8" ht="15" x14ac:dyDescent="0.35">
      <c r="B2237" s="544" t="s">
        <v>6263</v>
      </c>
      <c r="C2237" s="517" t="s">
        <v>6389</v>
      </c>
      <c r="D2237" s="518">
        <v>11603</v>
      </c>
      <c r="E2237" s="517" t="s">
        <v>4739</v>
      </c>
      <c r="F2237" s="518" t="s">
        <v>29</v>
      </c>
      <c r="G2237" s="519">
        <v>4690716</v>
      </c>
      <c r="H2237" s="517" t="s">
        <v>6425</v>
      </c>
    </row>
    <row r="2238" spans="2:8" ht="15" x14ac:dyDescent="0.35">
      <c r="B2238" s="544" t="s">
        <v>6263</v>
      </c>
      <c r="C2238" s="517" t="s">
        <v>6337</v>
      </c>
      <c r="D2238" s="518">
        <v>11605</v>
      </c>
      <c r="E2238" s="517" t="s">
        <v>4740</v>
      </c>
      <c r="F2238" s="518" t="s">
        <v>23</v>
      </c>
      <c r="G2238" s="519">
        <v>761004</v>
      </c>
      <c r="H2238" s="517" t="s">
        <v>6425</v>
      </c>
    </row>
    <row r="2239" spans="2:8" ht="15" x14ac:dyDescent="0.35">
      <c r="B2239" s="544" t="s">
        <v>6263</v>
      </c>
      <c r="C2239" s="517" t="s">
        <v>6342</v>
      </c>
      <c r="D2239" s="518">
        <v>11617</v>
      </c>
      <c r="E2239" s="517" t="s">
        <v>4741</v>
      </c>
      <c r="F2239" s="518" t="s">
        <v>29</v>
      </c>
      <c r="G2239" s="519">
        <v>1955</v>
      </c>
      <c r="H2239" s="517" t="s">
        <v>6425</v>
      </c>
    </row>
    <row r="2240" spans="2:8" ht="15" x14ac:dyDescent="0.35">
      <c r="B2240" s="544" t="s">
        <v>6263</v>
      </c>
      <c r="C2240" s="517" t="s">
        <v>6342</v>
      </c>
      <c r="D2240" s="518">
        <v>11618</v>
      </c>
      <c r="E2240" s="517" t="s">
        <v>4742</v>
      </c>
      <c r="F2240" s="518" t="s">
        <v>29</v>
      </c>
      <c r="G2240" s="519">
        <v>1955</v>
      </c>
      <c r="H2240" s="517" t="s">
        <v>6425</v>
      </c>
    </row>
    <row r="2241" spans="2:8" ht="15" x14ac:dyDescent="0.35">
      <c r="B2241" s="544" t="s">
        <v>6263</v>
      </c>
      <c r="C2241" s="517" t="s">
        <v>6275</v>
      </c>
      <c r="D2241" s="518">
        <v>11619</v>
      </c>
      <c r="E2241" s="517" t="s">
        <v>4743</v>
      </c>
      <c r="F2241" s="518" t="s">
        <v>367</v>
      </c>
      <c r="G2241" s="519">
        <v>20587</v>
      </c>
      <c r="H2241" s="517" t="s">
        <v>6425</v>
      </c>
    </row>
    <row r="2242" spans="2:8" ht="15" x14ac:dyDescent="0.35">
      <c r="B2242" s="544" t="s">
        <v>6263</v>
      </c>
      <c r="C2242" s="517" t="s">
        <v>6342</v>
      </c>
      <c r="D2242" s="518">
        <v>11620</v>
      </c>
      <c r="E2242" s="517" t="s">
        <v>4744</v>
      </c>
      <c r="F2242" s="518" t="s">
        <v>29</v>
      </c>
      <c r="G2242" s="519">
        <v>1955</v>
      </c>
      <c r="H2242" s="517" t="s">
        <v>6425</v>
      </c>
    </row>
    <row r="2243" spans="2:8" ht="15" x14ac:dyDescent="0.35">
      <c r="B2243" s="544" t="s">
        <v>6263</v>
      </c>
      <c r="C2243" s="517" t="s">
        <v>6381</v>
      </c>
      <c r="D2243" s="518">
        <v>11624</v>
      </c>
      <c r="E2243" s="517" t="s">
        <v>4745</v>
      </c>
      <c r="F2243" s="518" t="s">
        <v>29</v>
      </c>
      <c r="G2243" s="519">
        <v>4412237</v>
      </c>
      <c r="H2243" s="517" t="s">
        <v>6915</v>
      </c>
    </row>
    <row r="2244" spans="2:8" ht="15" x14ac:dyDescent="0.35">
      <c r="B2244" s="544" t="s">
        <v>6263</v>
      </c>
      <c r="C2244" s="517" t="s">
        <v>6381</v>
      </c>
      <c r="D2244" s="518">
        <v>11625</v>
      </c>
      <c r="E2244" s="517" t="s">
        <v>4746</v>
      </c>
      <c r="F2244" s="518" t="s">
        <v>29</v>
      </c>
      <c r="G2244" s="519">
        <v>9536125</v>
      </c>
      <c r="H2244" s="517" t="s">
        <v>6915</v>
      </c>
    </row>
    <row r="2245" spans="2:8" ht="15" x14ac:dyDescent="0.35">
      <c r="B2245" s="544" t="s">
        <v>6263</v>
      </c>
      <c r="C2245" s="517" t="s">
        <v>6404</v>
      </c>
      <c r="D2245" s="518">
        <v>11629</v>
      </c>
      <c r="E2245" s="517" t="s">
        <v>6034</v>
      </c>
      <c r="F2245" s="518" t="s">
        <v>26</v>
      </c>
      <c r="G2245" s="519">
        <v>3628682</v>
      </c>
      <c r="H2245" s="517" t="s">
        <v>6915</v>
      </c>
    </row>
    <row r="2246" spans="2:8" ht="15" x14ac:dyDescent="0.35">
      <c r="B2246" s="544" t="s">
        <v>6263</v>
      </c>
      <c r="C2246" s="517" t="s">
        <v>6404</v>
      </c>
      <c r="D2246" s="518">
        <v>11630</v>
      </c>
      <c r="E2246" s="517" t="s">
        <v>6035</v>
      </c>
      <c r="F2246" s="518" t="s">
        <v>29</v>
      </c>
      <c r="G2246" s="519">
        <v>8297659</v>
      </c>
      <c r="H2246" s="517" t="s">
        <v>6915</v>
      </c>
    </row>
    <row r="2247" spans="2:8" ht="15" x14ac:dyDescent="0.35">
      <c r="B2247" s="544" t="s">
        <v>6263</v>
      </c>
      <c r="C2247" s="517" t="s">
        <v>6404</v>
      </c>
      <c r="D2247" s="518">
        <v>11631</v>
      </c>
      <c r="E2247" s="517" t="s">
        <v>6036</v>
      </c>
      <c r="F2247" s="518" t="s">
        <v>29</v>
      </c>
      <c r="G2247" s="519">
        <v>11802008</v>
      </c>
      <c r="H2247" s="517" t="s">
        <v>6915</v>
      </c>
    </row>
    <row r="2248" spans="2:8" ht="15" x14ac:dyDescent="0.35">
      <c r="B2248" s="544" t="s">
        <v>6263</v>
      </c>
      <c r="C2248" s="517" t="s">
        <v>6404</v>
      </c>
      <c r="D2248" s="518">
        <v>11632</v>
      </c>
      <c r="E2248" s="517" t="s">
        <v>6037</v>
      </c>
      <c r="F2248" s="518" t="s">
        <v>29</v>
      </c>
      <c r="G2248" s="519">
        <v>15239620</v>
      </c>
      <c r="H2248" s="517" t="s">
        <v>6915</v>
      </c>
    </row>
    <row r="2249" spans="2:8" ht="15" x14ac:dyDescent="0.35">
      <c r="B2249" s="544" t="s">
        <v>6263</v>
      </c>
      <c r="C2249" s="517" t="s">
        <v>6404</v>
      </c>
      <c r="D2249" s="518">
        <v>11633</v>
      </c>
      <c r="E2249" s="517" t="s">
        <v>6038</v>
      </c>
      <c r="F2249" s="518" t="s">
        <v>29</v>
      </c>
      <c r="G2249" s="519">
        <v>18994173</v>
      </c>
      <c r="H2249" s="517" t="s">
        <v>6915</v>
      </c>
    </row>
    <row r="2250" spans="2:8" ht="15" x14ac:dyDescent="0.35">
      <c r="B2250" s="544" t="s">
        <v>6263</v>
      </c>
      <c r="C2250" s="517" t="s">
        <v>6404</v>
      </c>
      <c r="D2250" s="518">
        <v>11634</v>
      </c>
      <c r="E2250" s="517" t="s">
        <v>6039</v>
      </c>
      <c r="F2250" s="518" t="s">
        <v>29</v>
      </c>
      <c r="G2250" s="519">
        <v>8287726</v>
      </c>
      <c r="H2250" s="517" t="s">
        <v>6915</v>
      </c>
    </row>
    <row r="2251" spans="2:8" ht="15" x14ac:dyDescent="0.35">
      <c r="B2251" s="544" t="s">
        <v>6263</v>
      </c>
      <c r="C2251" s="517" t="s">
        <v>6404</v>
      </c>
      <c r="D2251" s="518">
        <v>11635</v>
      </c>
      <c r="E2251" s="517" t="s">
        <v>6040</v>
      </c>
      <c r="F2251" s="518" t="s">
        <v>29</v>
      </c>
      <c r="G2251" s="519">
        <v>11550975</v>
      </c>
      <c r="H2251" s="517" t="s">
        <v>6915</v>
      </c>
    </row>
    <row r="2252" spans="2:8" ht="15" x14ac:dyDescent="0.35">
      <c r="B2252" s="544" t="s">
        <v>6263</v>
      </c>
      <c r="C2252" s="517" t="s">
        <v>6404</v>
      </c>
      <c r="D2252" s="518">
        <v>11641</v>
      </c>
      <c r="E2252" s="517" t="s">
        <v>6041</v>
      </c>
      <c r="F2252" s="518" t="s">
        <v>29</v>
      </c>
      <c r="G2252" s="519">
        <v>4607938</v>
      </c>
      <c r="H2252" s="517" t="s">
        <v>6915</v>
      </c>
    </row>
    <row r="2253" spans="2:8" ht="15" x14ac:dyDescent="0.35">
      <c r="B2253" s="544" t="s">
        <v>6263</v>
      </c>
      <c r="C2253" s="517" t="s">
        <v>6404</v>
      </c>
      <c r="D2253" s="518">
        <v>11642</v>
      </c>
      <c r="E2253" s="517" t="s">
        <v>6042</v>
      </c>
      <c r="F2253" s="518" t="s">
        <v>29</v>
      </c>
      <c r="G2253" s="519">
        <v>9734760</v>
      </c>
      <c r="H2253" s="517" t="s">
        <v>6915</v>
      </c>
    </row>
    <row r="2254" spans="2:8" ht="15" x14ac:dyDescent="0.35">
      <c r="B2254" s="544" t="s">
        <v>6263</v>
      </c>
      <c r="C2254" s="517" t="s">
        <v>6404</v>
      </c>
      <c r="D2254" s="518">
        <v>11644</v>
      </c>
      <c r="E2254" s="517" t="s">
        <v>6043</v>
      </c>
      <c r="F2254" s="518" t="s">
        <v>29</v>
      </c>
      <c r="G2254" s="519">
        <v>790440</v>
      </c>
      <c r="H2254" s="517" t="s">
        <v>6915</v>
      </c>
    </row>
    <row r="2255" spans="2:8" ht="15" x14ac:dyDescent="0.35">
      <c r="B2255" s="544" t="s">
        <v>6263</v>
      </c>
      <c r="C2255" s="517" t="s">
        <v>6404</v>
      </c>
      <c r="D2255" s="518">
        <v>11646</v>
      </c>
      <c r="E2255" s="517" t="s">
        <v>6044</v>
      </c>
      <c r="F2255" s="518" t="s">
        <v>29</v>
      </c>
      <c r="G2255" s="519">
        <v>11800403</v>
      </c>
      <c r="H2255" s="517" t="s">
        <v>6915</v>
      </c>
    </row>
    <row r="2256" spans="2:8" ht="15" x14ac:dyDescent="0.35">
      <c r="B2256" s="544" t="s">
        <v>6263</v>
      </c>
      <c r="C2256" s="517" t="s">
        <v>6404</v>
      </c>
      <c r="D2256" s="518">
        <v>11647</v>
      </c>
      <c r="E2256" s="517" t="s">
        <v>6045</v>
      </c>
      <c r="F2256" s="518" t="s">
        <v>29</v>
      </c>
      <c r="G2256" s="519">
        <v>5561859</v>
      </c>
      <c r="H2256" s="517" t="s">
        <v>6915</v>
      </c>
    </row>
    <row r="2257" spans="2:8" ht="15" x14ac:dyDescent="0.35">
      <c r="B2257" s="544" t="s">
        <v>6263</v>
      </c>
      <c r="C2257" s="517" t="s">
        <v>6404</v>
      </c>
      <c r="D2257" s="518">
        <v>11648</v>
      </c>
      <c r="E2257" s="517" t="s">
        <v>4747</v>
      </c>
      <c r="F2257" s="518" t="s">
        <v>29</v>
      </c>
      <c r="G2257" s="519">
        <v>2019466</v>
      </c>
      <c r="H2257" s="517" t="s">
        <v>6915</v>
      </c>
    </row>
    <row r="2258" spans="2:8" ht="15" x14ac:dyDescent="0.35">
      <c r="B2258" s="544" t="s">
        <v>6263</v>
      </c>
      <c r="C2258" s="517" t="s">
        <v>6358</v>
      </c>
      <c r="D2258" s="518">
        <v>11649</v>
      </c>
      <c r="E2258" s="517" t="s">
        <v>6046</v>
      </c>
      <c r="F2258" s="518" t="s">
        <v>29</v>
      </c>
      <c r="G2258" s="519">
        <v>5407759</v>
      </c>
      <c r="H2258" s="517" t="s">
        <v>6915</v>
      </c>
    </row>
    <row r="2259" spans="2:8" ht="15" x14ac:dyDescent="0.35">
      <c r="B2259" s="544" t="s">
        <v>6263</v>
      </c>
      <c r="C2259" s="517" t="s">
        <v>6404</v>
      </c>
      <c r="D2259" s="518">
        <v>11652</v>
      </c>
      <c r="E2259" s="517" t="s">
        <v>6047</v>
      </c>
      <c r="F2259" s="518" t="s">
        <v>29</v>
      </c>
      <c r="G2259" s="519">
        <v>14930922</v>
      </c>
      <c r="H2259" s="517" t="s">
        <v>6915</v>
      </c>
    </row>
    <row r="2260" spans="2:8" ht="15" x14ac:dyDescent="0.35">
      <c r="B2260" s="544" t="s">
        <v>6263</v>
      </c>
      <c r="C2260" s="517" t="s">
        <v>6404</v>
      </c>
      <c r="D2260" s="518">
        <v>11653</v>
      </c>
      <c r="E2260" s="517" t="s">
        <v>6048</v>
      </c>
      <c r="F2260" s="518" t="s">
        <v>29</v>
      </c>
      <c r="G2260" s="519">
        <v>16239110</v>
      </c>
      <c r="H2260" s="517" t="s">
        <v>6915</v>
      </c>
    </row>
    <row r="2261" spans="2:8" ht="15" x14ac:dyDescent="0.35">
      <c r="B2261" s="544" t="s">
        <v>6263</v>
      </c>
      <c r="C2261" s="517" t="s">
        <v>6404</v>
      </c>
      <c r="D2261" s="518">
        <v>11655</v>
      </c>
      <c r="E2261" s="517" t="s">
        <v>6049</v>
      </c>
      <c r="F2261" s="518" t="s">
        <v>29</v>
      </c>
      <c r="G2261" s="519">
        <v>560468</v>
      </c>
      <c r="H2261" s="517" t="s">
        <v>6915</v>
      </c>
    </row>
    <row r="2262" spans="2:8" ht="15" x14ac:dyDescent="0.35">
      <c r="B2262" s="544" t="s">
        <v>6263</v>
      </c>
      <c r="C2262" s="517" t="s">
        <v>6358</v>
      </c>
      <c r="D2262" s="518">
        <v>11657</v>
      </c>
      <c r="E2262" s="517" t="s">
        <v>6050</v>
      </c>
      <c r="F2262" s="518" t="s">
        <v>29</v>
      </c>
      <c r="G2262" s="519">
        <v>2220540</v>
      </c>
      <c r="H2262" s="517" t="s">
        <v>6915</v>
      </c>
    </row>
    <row r="2263" spans="2:8" ht="15" x14ac:dyDescent="0.35">
      <c r="B2263" s="544" t="s">
        <v>6263</v>
      </c>
      <c r="C2263" s="517" t="s">
        <v>6404</v>
      </c>
      <c r="D2263" s="518">
        <v>11659</v>
      </c>
      <c r="E2263" s="517" t="s">
        <v>4748</v>
      </c>
      <c r="F2263" s="518" t="s">
        <v>29</v>
      </c>
      <c r="G2263" s="519">
        <v>9028106</v>
      </c>
      <c r="H2263" s="517" t="s">
        <v>6915</v>
      </c>
    </row>
    <row r="2264" spans="2:8" ht="15" x14ac:dyDescent="0.35">
      <c r="B2264" s="544" t="s">
        <v>6263</v>
      </c>
      <c r="C2264" s="517" t="s">
        <v>6358</v>
      </c>
      <c r="D2264" s="518">
        <v>11665</v>
      </c>
      <c r="E2264" s="517" t="s">
        <v>6051</v>
      </c>
      <c r="F2264" s="518" t="s">
        <v>29</v>
      </c>
      <c r="G2264" s="519">
        <v>1977072</v>
      </c>
      <c r="H2264" s="517" t="s">
        <v>6915</v>
      </c>
    </row>
    <row r="2265" spans="2:8" ht="15" x14ac:dyDescent="0.35">
      <c r="B2265" s="544" t="s">
        <v>6263</v>
      </c>
      <c r="C2265" s="517" t="s">
        <v>6358</v>
      </c>
      <c r="D2265" s="518">
        <v>11666</v>
      </c>
      <c r="E2265" s="517" t="s">
        <v>6052</v>
      </c>
      <c r="F2265" s="518" t="s">
        <v>29</v>
      </c>
      <c r="G2265" s="519">
        <v>23178145</v>
      </c>
      <c r="H2265" s="517" t="s">
        <v>6915</v>
      </c>
    </row>
    <row r="2266" spans="2:8" ht="15" x14ac:dyDescent="0.35">
      <c r="B2266" s="544" t="s">
        <v>6263</v>
      </c>
      <c r="C2266" s="517" t="s">
        <v>6404</v>
      </c>
      <c r="D2266" s="518">
        <v>11668</v>
      </c>
      <c r="E2266" s="517" t="s">
        <v>6053</v>
      </c>
      <c r="F2266" s="518" t="s">
        <v>29</v>
      </c>
      <c r="G2266" s="519">
        <v>357768</v>
      </c>
      <c r="H2266" s="517" t="s">
        <v>6915</v>
      </c>
    </row>
    <row r="2267" spans="2:8" ht="15" x14ac:dyDescent="0.35">
      <c r="B2267" s="544" t="s">
        <v>6263</v>
      </c>
      <c r="C2267" s="517" t="s">
        <v>6358</v>
      </c>
      <c r="D2267" s="518">
        <v>11670</v>
      </c>
      <c r="E2267" s="517" t="s">
        <v>4749</v>
      </c>
      <c r="F2267" s="518" t="s">
        <v>29</v>
      </c>
      <c r="G2267" s="519">
        <v>1178147</v>
      </c>
      <c r="H2267" s="517" t="s">
        <v>6915</v>
      </c>
    </row>
    <row r="2268" spans="2:8" ht="15" x14ac:dyDescent="0.35">
      <c r="B2268" s="544" t="s">
        <v>6263</v>
      </c>
      <c r="C2268" s="517" t="s">
        <v>6404</v>
      </c>
      <c r="D2268" s="518">
        <v>11672</v>
      </c>
      <c r="E2268" s="517" t="s">
        <v>6054</v>
      </c>
      <c r="F2268" s="518" t="s">
        <v>29</v>
      </c>
      <c r="G2268" s="519">
        <v>6751231</v>
      </c>
      <c r="H2268" s="517" t="s">
        <v>6915</v>
      </c>
    </row>
    <row r="2269" spans="2:8" ht="15" x14ac:dyDescent="0.35">
      <c r="B2269" s="544" t="s">
        <v>6263</v>
      </c>
      <c r="C2269" s="517" t="s">
        <v>6379</v>
      </c>
      <c r="D2269" s="518">
        <v>11708</v>
      </c>
      <c r="E2269" s="517" t="s">
        <v>4750</v>
      </c>
      <c r="F2269" s="518" t="s">
        <v>29</v>
      </c>
      <c r="G2269" s="519">
        <v>331491</v>
      </c>
      <c r="H2269" s="517" t="s">
        <v>6915</v>
      </c>
    </row>
    <row r="2270" spans="2:8" ht="15" x14ac:dyDescent="0.35">
      <c r="B2270" s="544" t="s">
        <v>6263</v>
      </c>
      <c r="C2270" s="517" t="s">
        <v>6361</v>
      </c>
      <c r="D2270" s="518">
        <v>11711</v>
      </c>
      <c r="E2270" s="517" t="s">
        <v>4751</v>
      </c>
      <c r="F2270" s="518" t="s">
        <v>26</v>
      </c>
      <c r="G2270" s="519">
        <v>3926856</v>
      </c>
      <c r="H2270" s="517" t="s">
        <v>6915</v>
      </c>
    </row>
    <row r="2271" spans="2:8" ht="15" x14ac:dyDescent="0.35">
      <c r="B2271" s="544" t="s">
        <v>6263</v>
      </c>
      <c r="C2271" s="517" t="s">
        <v>6361</v>
      </c>
      <c r="D2271" s="518">
        <v>11712</v>
      </c>
      <c r="E2271" s="517" t="s">
        <v>4752</v>
      </c>
      <c r="F2271" s="518" t="s">
        <v>26</v>
      </c>
      <c r="G2271" s="519">
        <v>4286590</v>
      </c>
      <c r="H2271" s="517" t="s">
        <v>6915</v>
      </c>
    </row>
    <row r="2272" spans="2:8" ht="15" x14ac:dyDescent="0.35">
      <c r="B2272" s="544" t="s">
        <v>6263</v>
      </c>
      <c r="C2272" s="517" t="s">
        <v>6361</v>
      </c>
      <c r="D2272" s="518">
        <v>11713</v>
      </c>
      <c r="E2272" s="517" t="s">
        <v>4753</v>
      </c>
      <c r="F2272" s="518" t="s">
        <v>26</v>
      </c>
      <c r="G2272" s="519">
        <v>4845489</v>
      </c>
      <c r="H2272" s="517" t="s">
        <v>6915</v>
      </c>
    </row>
    <row r="2273" spans="2:8" ht="15" x14ac:dyDescent="0.35">
      <c r="B2273" s="544" t="s">
        <v>6263</v>
      </c>
      <c r="C2273" s="517" t="s">
        <v>6377</v>
      </c>
      <c r="D2273" s="518">
        <v>11714</v>
      </c>
      <c r="E2273" s="517" t="s">
        <v>4754</v>
      </c>
      <c r="F2273" s="518" t="s">
        <v>29</v>
      </c>
      <c r="G2273" s="519">
        <v>820936</v>
      </c>
      <c r="H2273" s="517" t="s">
        <v>6425</v>
      </c>
    </row>
    <row r="2274" spans="2:8" ht="15" x14ac:dyDescent="0.35">
      <c r="B2274" s="544" t="s">
        <v>6263</v>
      </c>
      <c r="C2274" s="517" t="s">
        <v>6361</v>
      </c>
      <c r="D2274" s="518">
        <v>11715</v>
      </c>
      <c r="E2274" s="517" t="s">
        <v>4755</v>
      </c>
      <c r="F2274" s="518" t="s">
        <v>26</v>
      </c>
      <c r="G2274" s="519">
        <v>5442428</v>
      </c>
      <c r="H2274" s="517" t="s">
        <v>6915</v>
      </c>
    </row>
    <row r="2275" spans="2:8" ht="15" x14ac:dyDescent="0.35">
      <c r="B2275" s="544" t="s">
        <v>6263</v>
      </c>
      <c r="C2275" s="517" t="s">
        <v>6361</v>
      </c>
      <c r="D2275" s="518">
        <v>11716</v>
      </c>
      <c r="E2275" s="517" t="s">
        <v>4756</v>
      </c>
      <c r="F2275" s="518" t="s">
        <v>26</v>
      </c>
      <c r="G2275" s="519">
        <v>6939753</v>
      </c>
      <c r="H2275" s="517" t="s">
        <v>6915</v>
      </c>
    </row>
    <row r="2276" spans="2:8" ht="15" x14ac:dyDescent="0.35">
      <c r="B2276" s="544" t="s">
        <v>6263</v>
      </c>
      <c r="C2276" s="517" t="s">
        <v>6361</v>
      </c>
      <c r="D2276" s="518">
        <v>11717</v>
      </c>
      <c r="E2276" s="517" t="s">
        <v>4757</v>
      </c>
      <c r="F2276" s="518" t="s">
        <v>26</v>
      </c>
      <c r="G2276" s="519">
        <v>8452555</v>
      </c>
      <c r="H2276" s="517" t="s">
        <v>6915</v>
      </c>
    </row>
    <row r="2277" spans="2:8" ht="15" x14ac:dyDescent="0.35">
      <c r="B2277" s="544" t="s">
        <v>6263</v>
      </c>
      <c r="C2277" s="517" t="s">
        <v>6361</v>
      </c>
      <c r="D2277" s="518">
        <v>11718</v>
      </c>
      <c r="E2277" s="517" t="s">
        <v>4758</v>
      </c>
      <c r="F2277" s="518" t="s">
        <v>26</v>
      </c>
      <c r="G2277" s="519">
        <v>40684</v>
      </c>
      <c r="H2277" s="517" t="s">
        <v>6915</v>
      </c>
    </row>
    <row r="2278" spans="2:8" ht="15" x14ac:dyDescent="0.35">
      <c r="B2278" s="544" t="s">
        <v>6263</v>
      </c>
      <c r="C2278" s="517" t="s">
        <v>6361</v>
      </c>
      <c r="D2278" s="518">
        <v>11719</v>
      </c>
      <c r="E2278" s="517" t="s">
        <v>4759</v>
      </c>
      <c r="F2278" s="518" t="s">
        <v>26</v>
      </c>
      <c r="G2278" s="519">
        <v>60659</v>
      </c>
      <c r="H2278" s="517" t="s">
        <v>6915</v>
      </c>
    </row>
    <row r="2279" spans="2:8" ht="15" x14ac:dyDescent="0.35">
      <c r="B2279" s="544" t="s">
        <v>6263</v>
      </c>
      <c r="C2279" s="517" t="s">
        <v>6361</v>
      </c>
      <c r="D2279" s="518">
        <v>11720</v>
      </c>
      <c r="E2279" s="517" t="s">
        <v>4760</v>
      </c>
      <c r="F2279" s="518" t="s">
        <v>26</v>
      </c>
      <c r="G2279" s="519">
        <v>86132</v>
      </c>
      <c r="H2279" s="517" t="s">
        <v>6915</v>
      </c>
    </row>
    <row r="2280" spans="2:8" ht="15" x14ac:dyDescent="0.35">
      <c r="B2280" s="544" t="s">
        <v>6263</v>
      </c>
      <c r="C2280" s="517" t="s">
        <v>6361</v>
      </c>
      <c r="D2280" s="518">
        <v>11721</v>
      </c>
      <c r="E2280" s="517" t="s">
        <v>4761</v>
      </c>
      <c r="F2280" s="518" t="s">
        <v>29</v>
      </c>
      <c r="G2280" s="519">
        <v>157571</v>
      </c>
      <c r="H2280" s="517" t="s">
        <v>6915</v>
      </c>
    </row>
    <row r="2281" spans="2:8" ht="15" x14ac:dyDescent="0.35">
      <c r="B2281" s="544" t="s">
        <v>6263</v>
      </c>
      <c r="C2281" s="517" t="s">
        <v>6361</v>
      </c>
      <c r="D2281" s="518">
        <v>11722</v>
      </c>
      <c r="E2281" s="517" t="s">
        <v>4762</v>
      </c>
      <c r="F2281" s="518" t="s">
        <v>29</v>
      </c>
      <c r="G2281" s="519">
        <v>312177</v>
      </c>
      <c r="H2281" s="517" t="s">
        <v>6915</v>
      </c>
    </row>
    <row r="2282" spans="2:8" ht="15" x14ac:dyDescent="0.35">
      <c r="B2282" s="544" t="s">
        <v>6263</v>
      </c>
      <c r="C2282" s="517" t="s">
        <v>6361</v>
      </c>
      <c r="D2282" s="518">
        <v>11723</v>
      </c>
      <c r="E2282" s="517" t="s">
        <v>4763</v>
      </c>
      <c r="F2282" s="518" t="s">
        <v>29</v>
      </c>
      <c r="G2282" s="519">
        <v>373427</v>
      </c>
      <c r="H2282" s="517" t="s">
        <v>6915</v>
      </c>
    </row>
    <row r="2283" spans="2:8" ht="15" x14ac:dyDescent="0.35">
      <c r="B2283" s="544" t="s">
        <v>6263</v>
      </c>
      <c r="C2283" s="517" t="s">
        <v>6361</v>
      </c>
      <c r="D2283" s="518">
        <v>11724</v>
      </c>
      <c r="E2283" s="517" t="s">
        <v>4764</v>
      </c>
      <c r="F2283" s="518" t="s">
        <v>29</v>
      </c>
      <c r="G2283" s="519">
        <v>551738</v>
      </c>
      <c r="H2283" s="517" t="s">
        <v>6915</v>
      </c>
    </row>
    <row r="2284" spans="2:8" ht="15" x14ac:dyDescent="0.35">
      <c r="B2284" s="544" t="s">
        <v>6263</v>
      </c>
      <c r="C2284" s="517" t="s">
        <v>6361</v>
      </c>
      <c r="D2284" s="518">
        <v>11729</v>
      </c>
      <c r="E2284" s="517" t="s">
        <v>4765</v>
      </c>
      <c r="F2284" s="518" t="s">
        <v>29</v>
      </c>
      <c r="G2284" s="519">
        <v>69659</v>
      </c>
      <c r="H2284" s="517" t="s">
        <v>6915</v>
      </c>
    </row>
    <row r="2285" spans="2:8" ht="15" x14ac:dyDescent="0.35">
      <c r="B2285" s="544" t="s">
        <v>6263</v>
      </c>
      <c r="C2285" s="517" t="s">
        <v>6361</v>
      </c>
      <c r="D2285" s="518">
        <v>11735</v>
      </c>
      <c r="E2285" s="517" t="s">
        <v>6920</v>
      </c>
      <c r="F2285" s="518" t="s">
        <v>29</v>
      </c>
      <c r="G2285" s="519">
        <v>255627</v>
      </c>
      <c r="H2285" s="517" t="s">
        <v>6915</v>
      </c>
    </row>
    <row r="2286" spans="2:8" ht="15" x14ac:dyDescent="0.35">
      <c r="B2286" s="544" t="s">
        <v>6263</v>
      </c>
      <c r="C2286" s="517" t="s">
        <v>6361</v>
      </c>
      <c r="D2286" s="518">
        <v>11736</v>
      </c>
      <c r="E2286" s="517" t="s">
        <v>4766</v>
      </c>
      <c r="F2286" s="518" t="s">
        <v>29</v>
      </c>
      <c r="G2286" s="519">
        <v>221715</v>
      </c>
      <c r="H2286" s="517" t="s">
        <v>6915</v>
      </c>
    </row>
    <row r="2287" spans="2:8" ht="15" x14ac:dyDescent="0.35">
      <c r="B2287" s="544" t="s">
        <v>6263</v>
      </c>
      <c r="C2287" s="517" t="s">
        <v>6361</v>
      </c>
      <c r="D2287" s="518">
        <v>11737</v>
      </c>
      <c r="E2287" s="517" t="s">
        <v>4767</v>
      </c>
      <c r="F2287" s="518" t="s">
        <v>29</v>
      </c>
      <c r="G2287" s="519">
        <v>139589</v>
      </c>
      <c r="H2287" s="517" t="s">
        <v>6915</v>
      </c>
    </row>
    <row r="2288" spans="2:8" ht="15" x14ac:dyDescent="0.35">
      <c r="B2288" s="544" t="s">
        <v>6263</v>
      </c>
      <c r="C2288" s="517" t="s">
        <v>6361</v>
      </c>
      <c r="D2288" s="518">
        <v>11738</v>
      </c>
      <c r="E2288" s="517" t="s">
        <v>6921</v>
      </c>
      <c r="F2288" s="518" t="s">
        <v>29</v>
      </c>
      <c r="G2288" s="519">
        <v>105486</v>
      </c>
      <c r="H2288" s="517" t="s">
        <v>6915</v>
      </c>
    </row>
    <row r="2289" spans="2:8" ht="15" x14ac:dyDescent="0.35">
      <c r="B2289" s="544" t="s">
        <v>6263</v>
      </c>
      <c r="C2289" s="517" t="s">
        <v>6361</v>
      </c>
      <c r="D2289" s="518">
        <v>11739</v>
      </c>
      <c r="E2289" s="517" t="s">
        <v>4768</v>
      </c>
      <c r="F2289" s="518" t="s">
        <v>29</v>
      </c>
      <c r="G2289" s="519">
        <v>53305</v>
      </c>
      <c r="H2289" s="517" t="s">
        <v>6915</v>
      </c>
    </row>
    <row r="2290" spans="2:8" ht="15" x14ac:dyDescent="0.35">
      <c r="B2290" s="544" t="s">
        <v>6263</v>
      </c>
      <c r="C2290" s="517" t="s">
        <v>6404</v>
      </c>
      <c r="D2290" s="518">
        <v>11743</v>
      </c>
      <c r="E2290" s="517" t="s">
        <v>6055</v>
      </c>
      <c r="F2290" s="518" t="s">
        <v>29</v>
      </c>
      <c r="G2290" s="519">
        <v>28957503</v>
      </c>
      <c r="H2290" s="517" t="s">
        <v>6915</v>
      </c>
    </row>
    <row r="2291" spans="2:8" ht="15" x14ac:dyDescent="0.35">
      <c r="B2291" s="544" t="s">
        <v>6263</v>
      </c>
      <c r="C2291" s="517" t="s">
        <v>6361</v>
      </c>
      <c r="D2291" s="518">
        <v>11744</v>
      </c>
      <c r="E2291" s="517" t="s">
        <v>4769</v>
      </c>
      <c r="F2291" s="518" t="s">
        <v>26</v>
      </c>
      <c r="G2291" s="519">
        <v>104525</v>
      </c>
      <c r="H2291" s="517" t="s">
        <v>6915</v>
      </c>
    </row>
    <row r="2292" spans="2:8" ht="15" x14ac:dyDescent="0.35">
      <c r="B2292" s="544" t="s">
        <v>6263</v>
      </c>
      <c r="C2292" s="517" t="s">
        <v>6361</v>
      </c>
      <c r="D2292" s="518">
        <v>11745</v>
      </c>
      <c r="E2292" s="517" t="s">
        <v>4770</v>
      </c>
      <c r="F2292" s="518" t="s">
        <v>26</v>
      </c>
      <c r="G2292" s="519">
        <v>252422</v>
      </c>
      <c r="H2292" s="517" t="s">
        <v>6915</v>
      </c>
    </row>
    <row r="2293" spans="2:8" ht="15" x14ac:dyDescent="0.35">
      <c r="B2293" s="544" t="s">
        <v>6263</v>
      </c>
      <c r="C2293" s="517" t="s">
        <v>6361</v>
      </c>
      <c r="D2293" s="518">
        <v>11746</v>
      </c>
      <c r="E2293" s="517" t="s">
        <v>4771</v>
      </c>
      <c r="F2293" s="518" t="s">
        <v>26</v>
      </c>
      <c r="G2293" s="519">
        <v>273241</v>
      </c>
      <c r="H2293" s="517" t="s">
        <v>6915</v>
      </c>
    </row>
    <row r="2294" spans="2:8" ht="15" x14ac:dyDescent="0.35">
      <c r="B2294" s="544" t="s">
        <v>6263</v>
      </c>
      <c r="C2294" s="517" t="s">
        <v>6361</v>
      </c>
      <c r="D2294" s="518">
        <v>11747</v>
      </c>
      <c r="E2294" s="517" t="s">
        <v>4772</v>
      </c>
      <c r="F2294" s="518" t="s">
        <v>26</v>
      </c>
      <c r="G2294" s="519">
        <v>402939</v>
      </c>
      <c r="H2294" s="517" t="s">
        <v>6915</v>
      </c>
    </row>
    <row r="2295" spans="2:8" ht="15" x14ac:dyDescent="0.35">
      <c r="B2295" s="544" t="s">
        <v>6263</v>
      </c>
      <c r="C2295" s="517" t="s">
        <v>6361</v>
      </c>
      <c r="D2295" s="518">
        <v>11748</v>
      </c>
      <c r="E2295" s="517" t="s">
        <v>4773</v>
      </c>
      <c r="F2295" s="518" t="s">
        <v>26</v>
      </c>
      <c r="G2295" s="519">
        <v>640281</v>
      </c>
      <c r="H2295" s="517" t="s">
        <v>6915</v>
      </c>
    </row>
    <row r="2296" spans="2:8" ht="15" x14ac:dyDescent="0.35">
      <c r="B2296" s="544" t="s">
        <v>6263</v>
      </c>
      <c r="C2296" s="517" t="s">
        <v>6361</v>
      </c>
      <c r="D2296" s="518">
        <v>11764</v>
      </c>
      <c r="E2296" s="517" t="s">
        <v>4774</v>
      </c>
      <c r="F2296" s="518" t="s">
        <v>29</v>
      </c>
      <c r="G2296" s="519">
        <v>499589</v>
      </c>
      <c r="H2296" s="517" t="s">
        <v>6915</v>
      </c>
    </row>
    <row r="2297" spans="2:8" ht="15" x14ac:dyDescent="0.35">
      <c r="B2297" s="544" t="s">
        <v>6263</v>
      </c>
      <c r="C2297" s="517" t="s">
        <v>6346</v>
      </c>
      <c r="D2297" s="518">
        <v>11765</v>
      </c>
      <c r="E2297" s="517" t="s">
        <v>5651</v>
      </c>
      <c r="F2297" s="518" t="s">
        <v>29</v>
      </c>
      <c r="G2297" s="519">
        <v>20976</v>
      </c>
      <c r="H2297" s="517" t="s">
        <v>6425</v>
      </c>
    </row>
    <row r="2298" spans="2:8" ht="15" x14ac:dyDescent="0.35">
      <c r="B2298" s="544" t="s">
        <v>6263</v>
      </c>
      <c r="C2298" s="517" t="s">
        <v>6361</v>
      </c>
      <c r="D2298" s="518">
        <v>11766</v>
      </c>
      <c r="E2298" s="517" t="s">
        <v>4775</v>
      </c>
      <c r="F2298" s="518" t="s">
        <v>29</v>
      </c>
      <c r="G2298" s="519">
        <v>858523</v>
      </c>
      <c r="H2298" s="517" t="s">
        <v>6915</v>
      </c>
    </row>
    <row r="2299" spans="2:8" ht="15" x14ac:dyDescent="0.35">
      <c r="B2299" s="544" t="s">
        <v>6263</v>
      </c>
      <c r="C2299" s="517" t="s">
        <v>6361</v>
      </c>
      <c r="D2299" s="518">
        <v>11770</v>
      </c>
      <c r="E2299" s="517" t="s">
        <v>6922</v>
      </c>
      <c r="F2299" s="518" t="s">
        <v>29</v>
      </c>
      <c r="G2299" s="519">
        <v>81008</v>
      </c>
      <c r="H2299" s="517" t="s">
        <v>6915</v>
      </c>
    </row>
    <row r="2300" spans="2:8" ht="15" x14ac:dyDescent="0.35">
      <c r="B2300" s="544" t="s">
        <v>6263</v>
      </c>
      <c r="C2300" s="517" t="s">
        <v>6361</v>
      </c>
      <c r="D2300" s="518">
        <v>11771</v>
      </c>
      <c r="E2300" s="517" t="s">
        <v>4776</v>
      </c>
      <c r="F2300" s="518" t="s">
        <v>29</v>
      </c>
      <c r="G2300" s="519">
        <v>51247</v>
      </c>
      <c r="H2300" s="517" t="s">
        <v>6915</v>
      </c>
    </row>
    <row r="2301" spans="2:8" ht="15" x14ac:dyDescent="0.35">
      <c r="B2301" s="544" t="s">
        <v>6263</v>
      </c>
      <c r="C2301" s="517" t="s">
        <v>6367</v>
      </c>
      <c r="D2301" s="518">
        <v>11772</v>
      </c>
      <c r="E2301" s="517" t="s">
        <v>4777</v>
      </c>
      <c r="F2301" s="518" t="s">
        <v>29</v>
      </c>
      <c r="G2301" s="519">
        <v>10785</v>
      </c>
      <c r="H2301" s="517" t="s">
        <v>6915</v>
      </c>
    </row>
    <row r="2302" spans="2:8" ht="15" x14ac:dyDescent="0.35">
      <c r="B2302" s="544" t="s">
        <v>6263</v>
      </c>
      <c r="C2302" s="517" t="s">
        <v>6361</v>
      </c>
      <c r="D2302" s="518">
        <v>11774</v>
      </c>
      <c r="E2302" s="517" t="s">
        <v>6923</v>
      </c>
      <c r="F2302" s="518" t="s">
        <v>29</v>
      </c>
      <c r="G2302" s="519">
        <v>185911</v>
      </c>
      <c r="H2302" s="517" t="s">
        <v>6915</v>
      </c>
    </row>
    <row r="2303" spans="2:8" ht="15" x14ac:dyDescent="0.35">
      <c r="B2303" s="544" t="s">
        <v>6263</v>
      </c>
      <c r="C2303" s="517" t="s">
        <v>6361</v>
      </c>
      <c r="D2303" s="518">
        <v>11775</v>
      </c>
      <c r="E2303" s="517" t="s">
        <v>4778</v>
      </c>
      <c r="F2303" s="518" t="s">
        <v>29</v>
      </c>
      <c r="G2303" s="519">
        <v>123068</v>
      </c>
      <c r="H2303" s="517" t="s">
        <v>6915</v>
      </c>
    </row>
    <row r="2304" spans="2:8" ht="15" x14ac:dyDescent="0.35">
      <c r="B2304" s="544" t="s">
        <v>6263</v>
      </c>
      <c r="C2304" s="517" t="s">
        <v>6358</v>
      </c>
      <c r="D2304" s="518">
        <v>11776</v>
      </c>
      <c r="E2304" s="517" t="s">
        <v>6056</v>
      </c>
      <c r="F2304" s="518" t="s">
        <v>29</v>
      </c>
      <c r="G2304" s="519">
        <v>5039650</v>
      </c>
      <c r="H2304" s="517" t="s">
        <v>6915</v>
      </c>
    </row>
    <row r="2305" spans="2:8" ht="15" x14ac:dyDescent="0.35">
      <c r="B2305" s="544" t="s">
        <v>6263</v>
      </c>
      <c r="C2305" s="517" t="s">
        <v>6358</v>
      </c>
      <c r="D2305" s="518">
        <v>11777</v>
      </c>
      <c r="E2305" s="517" t="s">
        <v>6057</v>
      </c>
      <c r="F2305" s="518" t="s">
        <v>29</v>
      </c>
      <c r="G2305" s="519">
        <v>78540</v>
      </c>
      <c r="H2305" s="517" t="s">
        <v>6915</v>
      </c>
    </row>
    <row r="2306" spans="2:8" ht="15" x14ac:dyDescent="0.35">
      <c r="B2306" s="544" t="s">
        <v>6263</v>
      </c>
      <c r="C2306" s="517" t="s">
        <v>6390</v>
      </c>
      <c r="D2306" s="518">
        <v>11781</v>
      </c>
      <c r="E2306" s="517" t="s">
        <v>4779</v>
      </c>
      <c r="F2306" s="518" t="s">
        <v>29</v>
      </c>
      <c r="G2306" s="519">
        <v>322850</v>
      </c>
      <c r="H2306" s="517" t="s">
        <v>6915</v>
      </c>
    </row>
    <row r="2307" spans="2:8" ht="15" x14ac:dyDescent="0.35">
      <c r="B2307" s="544" t="s">
        <v>6263</v>
      </c>
      <c r="C2307" s="517" t="s">
        <v>6353</v>
      </c>
      <c r="D2307" s="518">
        <v>11786</v>
      </c>
      <c r="E2307" s="517" t="s">
        <v>5652</v>
      </c>
      <c r="F2307" s="518" t="s">
        <v>29</v>
      </c>
      <c r="G2307" s="519">
        <v>12552</v>
      </c>
      <c r="H2307" s="517" t="s">
        <v>6425</v>
      </c>
    </row>
    <row r="2308" spans="2:8" ht="15" x14ac:dyDescent="0.35">
      <c r="B2308" s="544" t="s">
        <v>6263</v>
      </c>
      <c r="C2308" s="517" t="s">
        <v>6367</v>
      </c>
      <c r="D2308" s="518">
        <v>11790</v>
      </c>
      <c r="E2308" s="517" t="s">
        <v>4780</v>
      </c>
      <c r="F2308" s="518" t="s">
        <v>29</v>
      </c>
      <c r="G2308" s="519">
        <v>3706</v>
      </c>
      <c r="H2308" s="517" t="s">
        <v>6915</v>
      </c>
    </row>
    <row r="2309" spans="2:8" ht="15" x14ac:dyDescent="0.35">
      <c r="B2309" s="544" t="s">
        <v>6263</v>
      </c>
      <c r="C2309" s="517" t="s">
        <v>6404</v>
      </c>
      <c r="D2309" s="518">
        <v>11796</v>
      </c>
      <c r="E2309" s="517" t="s">
        <v>6058</v>
      </c>
      <c r="F2309" s="518" t="s">
        <v>29</v>
      </c>
      <c r="G2309" s="519">
        <v>5653788</v>
      </c>
      <c r="H2309" s="517" t="s">
        <v>6915</v>
      </c>
    </row>
    <row r="2310" spans="2:8" ht="15" x14ac:dyDescent="0.35">
      <c r="B2310" s="544" t="s">
        <v>6263</v>
      </c>
      <c r="C2310" s="517" t="s">
        <v>6390</v>
      </c>
      <c r="D2310" s="518">
        <v>11797</v>
      </c>
      <c r="E2310" s="517" t="s">
        <v>4781</v>
      </c>
      <c r="F2310" s="518" t="s">
        <v>29</v>
      </c>
      <c r="G2310" s="519">
        <v>19731359</v>
      </c>
      <c r="H2310" s="517" t="s">
        <v>6915</v>
      </c>
    </row>
    <row r="2311" spans="2:8" ht="15" x14ac:dyDescent="0.35">
      <c r="B2311" s="544" t="s">
        <v>6263</v>
      </c>
      <c r="C2311" s="517" t="s">
        <v>6358</v>
      </c>
      <c r="D2311" s="518">
        <v>11798</v>
      </c>
      <c r="E2311" s="517" t="s">
        <v>6059</v>
      </c>
      <c r="F2311" s="518" t="s">
        <v>29</v>
      </c>
      <c r="G2311" s="519">
        <v>1306620</v>
      </c>
      <c r="H2311" s="517" t="s">
        <v>6915</v>
      </c>
    </row>
    <row r="2312" spans="2:8" ht="15" x14ac:dyDescent="0.35">
      <c r="B2312" s="544" t="s">
        <v>6263</v>
      </c>
      <c r="C2312" s="517" t="s">
        <v>6358</v>
      </c>
      <c r="D2312" s="518">
        <v>11799</v>
      </c>
      <c r="E2312" s="517" t="s">
        <v>6060</v>
      </c>
      <c r="F2312" s="518" t="s">
        <v>29</v>
      </c>
      <c r="G2312" s="519">
        <v>559300</v>
      </c>
      <c r="H2312" s="517" t="s">
        <v>6915</v>
      </c>
    </row>
    <row r="2313" spans="2:8" ht="15" x14ac:dyDescent="0.35">
      <c r="B2313" s="544" t="s">
        <v>6263</v>
      </c>
      <c r="C2313" s="517" t="s">
        <v>6358</v>
      </c>
      <c r="D2313" s="518">
        <v>11800</v>
      </c>
      <c r="E2313" s="517" t="s">
        <v>6061</v>
      </c>
      <c r="F2313" s="518" t="s">
        <v>29</v>
      </c>
      <c r="G2313" s="519">
        <v>1549380</v>
      </c>
      <c r="H2313" s="517" t="s">
        <v>6915</v>
      </c>
    </row>
    <row r="2314" spans="2:8" ht="15" x14ac:dyDescent="0.35">
      <c r="B2314" s="544" t="s">
        <v>6263</v>
      </c>
      <c r="C2314" s="517" t="s">
        <v>6358</v>
      </c>
      <c r="D2314" s="518">
        <v>11801</v>
      </c>
      <c r="E2314" s="517" t="s">
        <v>6062</v>
      </c>
      <c r="F2314" s="518" t="s">
        <v>29</v>
      </c>
      <c r="G2314" s="519">
        <v>1620780</v>
      </c>
      <c r="H2314" s="517" t="s">
        <v>6915</v>
      </c>
    </row>
    <row r="2315" spans="2:8" ht="15" x14ac:dyDescent="0.35">
      <c r="B2315" s="544" t="s">
        <v>6263</v>
      </c>
      <c r="C2315" s="517" t="s">
        <v>6358</v>
      </c>
      <c r="D2315" s="518">
        <v>11803</v>
      </c>
      <c r="E2315" s="517" t="s">
        <v>6063</v>
      </c>
      <c r="F2315" s="518" t="s">
        <v>29</v>
      </c>
      <c r="G2315" s="519">
        <v>21135734</v>
      </c>
      <c r="H2315" s="517" t="s">
        <v>6915</v>
      </c>
    </row>
    <row r="2316" spans="2:8" ht="15" x14ac:dyDescent="0.35">
      <c r="B2316" s="544" t="s">
        <v>6263</v>
      </c>
      <c r="C2316" s="517" t="s">
        <v>6358</v>
      </c>
      <c r="D2316" s="518">
        <v>11804</v>
      </c>
      <c r="E2316" s="517" t="s">
        <v>6064</v>
      </c>
      <c r="F2316" s="518" t="s">
        <v>29</v>
      </c>
      <c r="G2316" s="519">
        <v>224910</v>
      </c>
      <c r="H2316" s="517" t="s">
        <v>6915</v>
      </c>
    </row>
    <row r="2317" spans="2:8" ht="15" x14ac:dyDescent="0.35">
      <c r="B2317" s="544" t="s">
        <v>6263</v>
      </c>
      <c r="C2317" s="517" t="s">
        <v>6358</v>
      </c>
      <c r="D2317" s="518">
        <v>11805</v>
      </c>
      <c r="E2317" s="517" t="s">
        <v>6065</v>
      </c>
      <c r="F2317" s="518" t="s">
        <v>29</v>
      </c>
      <c r="G2317" s="519">
        <v>224910</v>
      </c>
      <c r="H2317" s="517" t="s">
        <v>6915</v>
      </c>
    </row>
    <row r="2318" spans="2:8" ht="15" x14ac:dyDescent="0.35">
      <c r="B2318" s="544" t="s">
        <v>6263</v>
      </c>
      <c r="C2318" s="517" t="s">
        <v>6358</v>
      </c>
      <c r="D2318" s="518">
        <v>11806</v>
      </c>
      <c r="E2318" s="517" t="s">
        <v>6066</v>
      </c>
      <c r="F2318" s="518" t="s">
        <v>29</v>
      </c>
      <c r="G2318" s="519">
        <v>255850</v>
      </c>
      <c r="H2318" s="517" t="s">
        <v>6915</v>
      </c>
    </row>
    <row r="2319" spans="2:8" ht="15" x14ac:dyDescent="0.35">
      <c r="B2319" s="544" t="s">
        <v>6263</v>
      </c>
      <c r="C2319" s="517" t="s">
        <v>6358</v>
      </c>
      <c r="D2319" s="518">
        <v>11807</v>
      </c>
      <c r="E2319" s="517" t="s">
        <v>6067</v>
      </c>
      <c r="F2319" s="518" t="s">
        <v>29</v>
      </c>
      <c r="G2319" s="519">
        <v>967470</v>
      </c>
      <c r="H2319" s="517" t="s">
        <v>6915</v>
      </c>
    </row>
    <row r="2320" spans="2:8" ht="15" x14ac:dyDescent="0.35">
      <c r="B2320" s="544" t="s">
        <v>6263</v>
      </c>
      <c r="C2320" s="517" t="s">
        <v>6390</v>
      </c>
      <c r="D2320" s="518">
        <v>11813</v>
      </c>
      <c r="E2320" s="517" t="s">
        <v>4782</v>
      </c>
      <c r="F2320" s="518" t="s">
        <v>29</v>
      </c>
      <c r="G2320" s="519">
        <v>225446</v>
      </c>
      <c r="H2320" s="517" t="s">
        <v>6915</v>
      </c>
    </row>
    <row r="2321" spans="2:8" ht="15" x14ac:dyDescent="0.35">
      <c r="B2321" s="544" t="s">
        <v>6263</v>
      </c>
      <c r="C2321" s="517" t="s">
        <v>6342</v>
      </c>
      <c r="D2321" s="518">
        <v>11814</v>
      </c>
      <c r="E2321" s="517" t="s">
        <v>4783</v>
      </c>
      <c r="F2321" s="518" t="s">
        <v>29</v>
      </c>
      <c r="G2321" s="519">
        <v>3910</v>
      </c>
      <c r="H2321" s="517" t="s">
        <v>6425</v>
      </c>
    </row>
    <row r="2322" spans="2:8" ht="15" x14ac:dyDescent="0.35">
      <c r="B2322" s="544" t="s">
        <v>6263</v>
      </c>
      <c r="C2322" s="517" t="s">
        <v>6417</v>
      </c>
      <c r="D2322" s="518">
        <v>11815</v>
      </c>
      <c r="E2322" s="517" t="s">
        <v>4784</v>
      </c>
      <c r="F2322" s="518" t="s">
        <v>29</v>
      </c>
      <c r="G2322" s="519">
        <v>57800</v>
      </c>
      <c r="H2322" s="517" t="s">
        <v>6915</v>
      </c>
    </row>
    <row r="2323" spans="2:8" ht="15" x14ac:dyDescent="0.35">
      <c r="B2323" s="544" t="s">
        <v>6263</v>
      </c>
      <c r="C2323" s="517" t="s">
        <v>6342</v>
      </c>
      <c r="D2323" s="518">
        <v>11817</v>
      </c>
      <c r="E2323" s="517" t="s">
        <v>4785</v>
      </c>
      <c r="F2323" s="518" t="s">
        <v>29</v>
      </c>
      <c r="G2323" s="519">
        <v>3910</v>
      </c>
      <c r="H2323" s="517" t="s">
        <v>6425</v>
      </c>
    </row>
    <row r="2324" spans="2:8" ht="15" x14ac:dyDescent="0.35">
      <c r="B2324" s="544" t="s">
        <v>6263</v>
      </c>
      <c r="C2324" s="517" t="s">
        <v>6417</v>
      </c>
      <c r="D2324" s="518">
        <v>11819</v>
      </c>
      <c r="E2324" s="517" t="s">
        <v>4786</v>
      </c>
      <c r="F2324" s="518" t="s">
        <v>29</v>
      </c>
      <c r="G2324" s="519">
        <v>57800</v>
      </c>
      <c r="H2324" s="517" t="s">
        <v>6915</v>
      </c>
    </row>
    <row r="2325" spans="2:8" ht="15" x14ac:dyDescent="0.35">
      <c r="B2325" s="544" t="s">
        <v>6263</v>
      </c>
      <c r="C2325" s="517" t="s">
        <v>6417</v>
      </c>
      <c r="D2325" s="518">
        <v>11820</v>
      </c>
      <c r="E2325" s="517" t="s">
        <v>4787</v>
      </c>
      <c r="F2325" s="518" t="s">
        <v>29</v>
      </c>
      <c r="G2325" s="519">
        <v>185000</v>
      </c>
      <c r="H2325" s="517" t="s">
        <v>6915</v>
      </c>
    </row>
    <row r="2326" spans="2:8" ht="15" x14ac:dyDescent="0.35">
      <c r="B2326" s="544" t="s">
        <v>6263</v>
      </c>
      <c r="C2326" s="517" t="s">
        <v>6342</v>
      </c>
      <c r="D2326" s="518">
        <v>11830</v>
      </c>
      <c r="E2326" s="517" t="s">
        <v>4788</v>
      </c>
      <c r="F2326" s="518" t="s">
        <v>29</v>
      </c>
      <c r="G2326" s="519">
        <v>3910</v>
      </c>
      <c r="H2326" s="517" t="s">
        <v>6425</v>
      </c>
    </row>
    <row r="2327" spans="2:8" ht="15" x14ac:dyDescent="0.35">
      <c r="B2327" s="544" t="s">
        <v>6263</v>
      </c>
      <c r="C2327" s="517" t="s">
        <v>6342</v>
      </c>
      <c r="D2327" s="518">
        <v>11831</v>
      </c>
      <c r="E2327" s="517" t="s">
        <v>4789</v>
      </c>
      <c r="F2327" s="518" t="s">
        <v>29</v>
      </c>
      <c r="G2327" s="519">
        <v>3490</v>
      </c>
      <c r="H2327" s="517" t="s">
        <v>6425</v>
      </c>
    </row>
    <row r="2328" spans="2:8" ht="15" x14ac:dyDescent="0.35">
      <c r="B2328" s="544" t="s">
        <v>6263</v>
      </c>
      <c r="C2328" s="517" t="s">
        <v>6405</v>
      </c>
      <c r="D2328" s="518">
        <v>11834</v>
      </c>
      <c r="E2328" s="517" t="s">
        <v>4790</v>
      </c>
      <c r="F2328" s="518" t="s">
        <v>29</v>
      </c>
      <c r="G2328" s="519">
        <v>799680</v>
      </c>
      <c r="H2328" s="517" t="s">
        <v>6915</v>
      </c>
    </row>
    <row r="2329" spans="2:8" ht="15" x14ac:dyDescent="0.35">
      <c r="B2329" s="544" t="s">
        <v>6263</v>
      </c>
      <c r="C2329" s="517" t="s">
        <v>6383</v>
      </c>
      <c r="D2329" s="518">
        <v>11835</v>
      </c>
      <c r="E2329" s="517" t="s">
        <v>4791</v>
      </c>
      <c r="F2329" s="518" t="s">
        <v>29</v>
      </c>
      <c r="G2329" s="519">
        <v>471</v>
      </c>
      <c r="H2329" s="517" t="s">
        <v>6915</v>
      </c>
    </row>
    <row r="2330" spans="2:8" ht="15" x14ac:dyDescent="0.35">
      <c r="B2330" s="544" t="s">
        <v>6263</v>
      </c>
      <c r="C2330" s="517" t="s">
        <v>6383</v>
      </c>
      <c r="D2330" s="518">
        <v>11836</v>
      </c>
      <c r="E2330" s="517" t="s">
        <v>4792</v>
      </c>
      <c r="F2330" s="518" t="s">
        <v>29</v>
      </c>
      <c r="G2330" s="519">
        <v>682</v>
      </c>
      <c r="H2330" s="517" t="s">
        <v>6915</v>
      </c>
    </row>
    <row r="2331" spans="2:8" ht="15" x14ac:dyDescent="0.35">
      <c r="B2331" s="544" t="s">
        <v>6263</v>
      </c>
      <c r="C2331" s="517" t="s">
        <v>6383</v>
      </c>
      <c r="D2331" s="518">
        <v>11837</v>
      </c>
      <c r="E2331" s="517" t="s">
        <v>4793</v>
      </c>
      <c r="F2331" s="518" t="s">
        <v>29</v>
      </c>
      <c r="G2331" s="519">
        <v>707</v>
      </c>
      <c r="H2331" s="517" t="s">
        <v>6915</v>
      </c>
    </row>
    <row r="2332" spans="2:8" ht="15" x14ac:dyDescent="0.35">
      <c r="B2332" s="544" t="s">
        <v>6263</v>
      </c>
      <c r="C2332" s="517" t="s">
        <v>6383</v>
      </c>
      <c r="D2332" s="518">
        <v>11838</v>
      </c>
      <c r="E2332" s="517" t="s">
        <v>4794</v>
      </c>
      <c r="F2332" s="518" t="s">
        <v>29</v>
      </c>
      <c r="G2332" s="519">
        <v>360</v>
      </c>
      <c r="H2332" s="517" t="s">
        <v>6915</v>
      </c>
    </row>
    <row r="2333" spans="2:8" ht="15" x14ac:dyDescent="0.35">
      <c r="B2333" s="544" t="s">
        <v>6263</v>
      </c>
      <c r="C2333" s="517" t="s">
        <v>6383</v>
      </c>
      <c r="D2333" s="518">
        <v>11839</v>
      </c>
      <c r="E2333" s="517" t="s">
        <v>4795</v>
      </c>
      <c r="F2333" s="518" t="s">
        <v>29</v>
      </c>
      <c r="G2333" s="519">
        <v>241</v>
      </c>
      <c r="H2333" s="517" t="s">
        <v>6915</v>
      </c>
    </row>
    <row r="2334" spans="2:8" ht="15" x14ac:dyDescent="0.35">
      <c r="B2334" s="544" t="s">
        <v>6263</v>
      </c>
      <c r="C2334" s="517" t="s">
        <v>6383</v>
      </c>
      <c r="D2334" s="518">
        <v>11840</v>
      </c>
      <c r="E2334" s="517" t="s">
        <v>4796</v>
      </c>
      <c r="F2334" s="518" t="s">
        <v>29</v>
      </c>
      <c r="G2334" s="519">
        <v>6813</v>
      </c>
      <c r="H2334" s="517" t="s">
        <v>6915</v>
      </c>
    </row>
    <row r="2335" spans="2:8" ht="15" x14ac:dyDescent="0.35">
      <c r="B2335" s="544" t="s">
        <v>6263</v>
      </c>
      <c r="C2335" s="517" t="s">
        <v>6383</v>
      </c>
      <c r="D2335" s="518">
        <v>11841</v>
      </c>
      <c r="E2335" s="517" t="s">
        <v>4797</v>
      </c>
      <c r="F2335" s="518" t="s">
        <v>29</v>
      </c>
      <c r="G2335" s="519">
        <v>603</v>
      </c>
      <c r="H2335" s="517" t="s">
        <v>6915</v>
      </c>
    </row>
    <row r="2336" spans="2:8" ht="15" x14ac:dyDescent="0.35">
      <c r="B2336" s="544" t="s">
        <v>6263</v>
      </c>
      <c r="C2336" s="517" t="s">
        <v>6383</v>
      </c>
      <c r="D2336" s="518">
        <v>11842</v>
      </c>
      <c r="E2336" s="517" t="s">
        <v>4798</v>
      </c>
      <c r="F2336" s="518" t="s">
        <v>29</v>
      </c>
      <c r="G2336" s="519">
        <v>529912</v>
      </c>
      <c r="H2336" s="517" t="s">
        <v>6915</v>
      </c>
    </row>
    <row r="2337" spans="2:8" ht="15" x14ac:dyDescent="0.35">
      <c r="B2337" s="544" t="s">
        <v>6263</v>
      </c>
      <c r="C2337" s="517" t="s">
        <v>6383</v>
      </c>
      <c r="D2337" s="518">
        <v>11843</v>
      </c>
      <c r="E2337" s="517" t="s">
        <v>4799</v>
      </c>
      <c r="F2337" s="518" t="s">
        <v>29</v>
      </c>
      <c r="G2337" s="519">
        <v>2758</v>
      </c>
      <c r="H2337" s="517" t="s">
        <v>6915</v>
      </c>
    </row>
    <row r="2338" spans="2:8" ht="15" x14ac:dyDescent="0.35">
      <c r="B2338" s="544" t="s">
        <v>6263</v>
      </c>
      <c r="C2338" s="517" t="s">
        <v>6383</v>
      </c>
      <c r="D2338" s="518">
        <v>11844</v>
      </c>
      <c r="E2338" s="517" t="s">
        <v>4800</v>
      </c>
      <c r="F2338" s="518" t="s">
        <v>29</v>
      </c>
      <c r="G2338" s="519">
        <v>901</v>
      </c>
      <c r="H2338" s="517" t="s">
        <v>6915</v>
      </c>
    </row>
    <row r="2339" spans="2:8" ht="15" x14ac:dyDescent="0.35">
      <c r="B2339" s="544" t="s">
        <v>6263</v>
      </c>
      <c r="C2339" s="517" t="s">
        <v>6383</v>
      </c>
      <c r="D2339" s="518">
        <v>11845</v>
      </c>
      <c r="E2339" s="517" t="s">
        <v>4801</v>
      </c>
      <c r="F2339" s="518" t="s">
        <v>29</v>
      </c>
      <c r="G2339" s="519">
        <v>89202</v>
      </c>
      <c r="H2339" s="517" t="s">
        <v>6915</v>
      </c>
    </row>
    <row r="2340" spans="2:8" ht="15" x14ac:dyDescent="0.35">
      <c r="B2340" s="544" t="s">
        <v>6263</v>
      </c>
      <c r="C2340" s="517" t="s">
        <v>6383</v>
      </c>
      <c r="D2340" s="518">
        <v>11846</v>
      </c>
      <c r="E2340" s="517" t="s">
        <v>4802</v>
      </c>
      <c r="F2340" s="518" t="s">
        <v>29</v>
      </c>
      <c r="G2340" s="519">
        <v>49953</v>
      </c>
      <c r="H2340" s="517" t="s">
        <v>6915</v>
      </c>
    </row>
    <row r="2341" spans="2:8" ht="15" x14ac:dyDescent="0.35">
      <c r="B2341" s="544" t="s">
        <v>6263</v>
      </c>
      <c r="C2341" s="517" t="s">
        <v>6390</v>
      </c>
      <c r="D2341" s="518">
        <v>11847</v>
      </c>
      <c r="E2341" s="517" t="s">
        <v>4803</v>
      </c>
      <c r="F2341" s="518" t="s">
        <v>29</v>
      </c>
      <c r="G2341" s="519">
        <v>55987544</v>
      </c>
      <c r="H2341" s="517" t="s">
        <v>6915</v>
      </c>
    </row>
    <row r="2342" spans="2:8" ht="15" x14ac:dyDescent="0.35">
      <c r="B2342" s="544" t="s">
        <v>6263</v>
      </c>
      <c r="C2342" s="517" t="s">
        <v>6390</v>
      </c>
      <c r="D2342" s="518">
        <v>11848</v>
      </c>
      <c r="E2342" s="517" t="s">
        <v>4804</v>
      </c>
      <c r="F2342" s="518" t="s">
        <v>29</v>
      </c>
      <c r="G2342" s="519">
        <v>58383497</v>
      </c>
      <c r="H2342" s="517" t="s">
        <v>6915</v>
      </c>
    </row>
    <row r="2343" spans="2:8" ht="15" x14ac:dyDescent="0.35">
      <c r="B2343" s="544" t="s">
        <v>6263</v>
      </c>
      <c r="C2343" s="517" t="s">
        <v>6390</v>
      </c>
      <c r="D2343" s="518">
        <v>11849</v>
      </c>
      <c r="E2343" s="517" t="s">
        <v>4805</v>
      </c>
      <c r="F2343" s="518" t="s">
        <v>29</v>
      </c>
      <c r="G2343" s="519">
        <v>6450676</v>
      </c>
      <c r="H2343" s="517" t="s">
        <v>6915</v>
      </c>
    </row>
    <row r="2344" spans="2:8" ht="15" x14ac:dyDescent="0.35">
      <c r="B2344" s="544" t="s">
        <v>6263</v>
      </c>
      <c r="C2344" s="517" t="s">
        <v>6390</v>
      </c>
      <c r="D2344" s="518">
        <v>11850</v>
      </c>
      <c r="E2344" s="517" t="s">
        <v>4806</v>
      </c>
      <c r="F2344" s="518" t="s">
        <v>29</v>
      </c>
      <c r="G2344" s="519">
        <v>8888529</v>
      </c>
      <c r="H2344" s="517" t="s">
        <v>6915</v>
      </c>
    </row>
    <row r="2345" spans="2:8" ht="15" x14ac:dyDescent="0.35">
      <c r="B2345" s="544" t="s">
        <v>6263</v>
      </c>
      <c r="C2345" s="517" t="s">
        <v>6390</v>
      </c>
      <c r="D2345" s="518">
        <v>11851</v>
      </c>
      <c r="E2345" s="517" t="s">
        <v>4807</v>
      </c>
      <c r="F2345" s="518" t="s">
        <v>29</v>
      </c>
      <c r="G2345" s="519">
        <v>13889897</v>
      </c>
      <c r="H2345" s="517" t="s">
        <v>6915</v>
      </c>
    </row>
    <row r="2346" spans="2:8" ht="15" x14ac:dyDescent="0.35">
      <c r="B2346" s="544" t="s">
        <v>6263</v>
      </c>
      <c r="C2346" s="517" t="s">
        <v>6356</v>
      </c>
      <c r="D2346" s="518">
        <v>11854</v>
      </c>
      <c r="E2346" s="517" t="s">
        <v>4808</v>
      </c>
      <c r="F2346" s="518" t="s">
        <v>29</v>
      </c>
      <c r="G2346" s="519">
        <v>1476510</v>
      </c>
      <c r="H2346" s="517" t="s">
        <v>6915</v>
      </c>
    </row>
    <row r="2347" spans="2:8" ht="15" x14ac:dyDescent="0.35">
      <c r="B2347" s="544" t="s">
        <v>6263</v>
      </c>
      <c r="C2347" s="517" t="s">
        <v>6341</v>
      </c>
      <c r="D2347" s="518">
        <v>11856</v>
      </c>
      <c r="E2347" s="517" t="s">
        <v>4809</v>
      </c>
      <c r="F2347" s="518" t="s">
        <v>367</v>
      </c>
      <c r="G2347" s="519">
        <v>6069</v>
      </c>
      <c r="H2347" s="517" t="s">
        <v>6425</v>
      </c>
    </row>
    <row r="2348" spans="2:8" ht="15" x14ac:dyDescent="0.35">
      <c r="B2348" s="544" t="s">
        <v>6263</v>
      </c>
      <c r="C2348" s="517" t="s">
        <v>6356</v>
      </c>
      <c r="D2348" s="518">
        <v>11862</v>
      </c>
      <c r="E2348" s="517" t="s">
        <v>4810</v>
      </c>
      <c r="F2348" s="518" t="s">
        <v>29</v>
      </c>
      <c r="G2348" s="519">
        <v>1844500</v>
      </c>
      <c r="H2348" s="517" t="s">
        <v>6915</v>
      </c>
    </row>
    <row r="2349" spans="2:8" ht="15" x14ac:dyDescent="0.35">
      <c r="B2349" s="544" t="s">
        <v>6263</v>
      </c>
      <c r="C2349" s="517" t="s">
        <v>6356</v>
      </c>
      <c r="D2349" s="518">
        <v>11863</v>
      </c>
      <c r="E2349" s="517" t="s">
        <v>4811</v>
      </c>
      <c r="F2349" s="518" t="s">
        <v>29</v>
      </c>
      <c r="G2349" s="519">
        <v>1273300</v>
      </c>
      <c r="H2349" s="517" t="s">
        <v>6915</v>
      </c>
    </row>
    <row r="2350" spans="2:8" ht="15" x14ac:dyDescent="0.35">
      <c r="B2350" s="544" t="s">
        <v>6263</v>
      </c>
      <c r="C2350" s="517" t="s">
        <v>6390</v>
      </c>
      <c r="D2350" s="518">
        <v>11864</v>
      </c>
      <c r="E2350" s="517" t="s">
        <v>4812</v>
      </c>
      <c r="F2350" s="518" t="s">
        <v>29</v>
      </c>
      <c r="G2350" s="519">
        <v>349645</v>
      </c>
      <c r="H2350" s="517" t="s">
        <v>6915</v>
      </c>
    </row>
    <row r="2351" spans="2:8" ht="15" x14ac:dyDescent="0.35">
      <c r="B2351" s="544" t="s">
        <v>6263</v>
      </c>
      <c r="C2351" s="517" t="s">
        <v>6345</v>
      </c>
      <c r="D2351" s="518">
        <v>11865</v>
      </c>
      <c r="E2351" s="517" t="s">
        <v>4813</v>
      </c>
      <c r="F2351" s="518" t="s">
        <v>26</v>
      </c>
      <c r="G2351" s="519">
        <v>19671</v>
      </c>
      <c r="H2351" s="517" t="s">
        <v>6425</v>
      </c>
    </row>
    <row r="2352" spans="2:8" ht="15" x14ac:dyDescent="0.35">
      <c r="B2352" s="544" t="s">
        <v>6263</v>
      </c>
      <c r="C2352" s="517" t="s">
        <v>6345</v>
      </c>
      <c r="D2352" s="518">
        <v>11866</v>
      </c>
      <c r="E2352" s="517" t="s">
        <v>4814</v>
      </c>
      <c r="F2352" s="518" t="s">
        <v>26</v>
      </c>
      <c r="G2352" s="519">
        <v>8736</v>
      </c>
      <c r="H2352" s="517" t="s">
        <v>6425</v>
      </c>
    </row>
    <row r="2353" spans="2:8" ht="15" x14ac:dyDescent="0.35">
      <c r="B2353" s="544" t="s">
        <v>6263</v>
      </c>
      <c r="C2353" s="517" t="s">
        <v>6356</v>
      </c>
      <c r="D2353" s="518">
        <v>11869</v>
      </c>
      <c r="E2353" s="517" t="s">
        <v>4815</v>
      </c>
      <c r="F2353" s="518" t="s">
        <v>29</v>
      </c>
      <c r="G2353" s="519">
        <v>1476510</v>
      </c>
      <c r="H2353" s="517" t="s">
        <v>6915</v>
      </c>
    </row>
    <row r="2354" spans="2:8" ht="15" x14ac:dyDescent="0.35">
      <c r="B2354" s="544" t="s">
        <v>6263</v>
      </c>
      <c r="C2354" s="517" t="s">
        <v>6352</v>
      </c>
      <c r="D2354" s="518">
        <v>11870</v>
      </c>
      <c r="E2354" s="517" t="s">
        <v>4816</v>
      </c>
      <c r="F2354" s="518" t="s">
        <v>29</v>
      </c>
      <c r="G2354" s="519">
        <v>3734</v>
      </c>
      <c r="H2354" s="517" t="s">
        <v>6425</v>
      </c>
    </row>
    <row r="2355" spans="2:8" ht="15" x14ac:dyDescent="0.35">
      <c r="B2355" s="544" t="s">
        <v>6263</v>
      </c>
      <c r="C2355" s="517" t="s">
        <v>6359</v>
      </c>
      <c r="D2355" s="518">
        <v>11871</v>
      </c>
      <c r="E2355" s="517" t="s">
        <v>4817</v>
      </c>
      <c r="F2355" s="518" t="s">
        <v>21</v>
      </c>
      <c r="G2355" s="519">
        <v>67582</v>
      </c>
      <c r="H2355" s="517" t="s">
        <v>6915</v>
      </c>
    </row>
    <row r="2356" spans="2:8" ht="15" x14ac:dyDescent="0.35">
      <c r="B2356" s="544" t="s">
        <v>6263</v>
      </c>
      <c r="C2356" s="517" t="s">
        <v>6410</v>
      </c>
      <c r="D2356" s="518">
        <v>11872</v>
      </c>
      <c r="E2356" s="517" t="s">
        <v>6068</v>
      </c>
      <c r="F2356" s="518" t="s">
        <v>29</v>
      </c>
      <c r="G2356" s="519">
        <v>208847</v>
      </c>
      <c r="H2356" s="517" t="s">
        <v>6915</v>
      </c>
    </row>
    <row r="2357" spans="2:8" ht="15" x14ac:dyDescent="0.35">
      <c r="B2357" s="544" t="s">
        <v>6263</v>
      </c>
      <c r="C2357" s="517" t="s">
        <v>6412</v>
      </c>
      <c r="D2357" s="518">
        <v>11873</v>
      </c>
      <c r="E2357" s="517" t="s">
        <v>4818</v>
      </c>
      <c r="F2357" s="518" t="s">
        <v>29</v>
      </c>
      <c r="G2357" s="519">
        <v>7373000</v>
      </c>
      <c r="H2357" s="517" t="s">
        <v>6915</v>
      </c>
    </row>
    <row r="2358" spans="2:8" ht="15" x14ac:dyDescent="0.35">
      <c r="B2358" s="544" t="s">
        <v>6263</v>
      </c>
      <c r="C2358" s="517" t="s">
        <v>6412</v>
      </c>
      <c r="D2358" s="518">
        <v>11874</v>
      </c>
      <c r="E2358" s="517" t="s">
        <v>4819</v>
      </c>
      <c r="F2358" s="518" t="s">
        <v>29</v>
      </c>
      <c r="G2358" s="519">
        <v>744000</v>
      </c>
      <c r="H2358" s="517" t="s">
        <v>6915</v>
      </c>
    </row>
    <row r="2359" spans="2:8" ht="15" x14ac:dyDescent="0.35">
      <c r="B2359" s="544" t="s">
        <v>6263</v>
      </c>
      <c r="C2359" s="517" t="s">
        <v>6413</v>
      </c>
      <c r="D2359" s="518">
        <v>11875</v>
      </c>
      <c r="E2359" s="517" t="s">
        <v>4820</v>
      </c>
      <c r="F2359" s="518" t="s">
        <v>29</v>
      </c>
      <c r="G2359" s="519">
        <v>6583000</v>
      </c>
      <c r="H2359" s="517" t="s">
        <v>6915</v>
      </c>
    </row>
    <row r="2360" spans="2:8" ht="15" x14ac:dyDescent="0.35">
      <c r="B2360" s="544" t="s">
        <v>6263</v>
      </c>
      <c r="C2360" s="517" t="s">
        <v>6414</v>
      </c>
      <c r="D2360" s="518">
        <v>11876</v>
      </c>
      <c r="E2360" s="517" t="s">
        <v>6069</v>
      </c>
      <c r="F2360" s="518" t="s">
        <v>29</v>
      </c>
      <c r="G2360" s="519">
        <v>452200</v>
      </c>
      <c r="H2360" s="517" t="s">
        <v>6915</v>
      </c>
    </row>
    <row r="2361" spans="2:8" ht="15" x14ac:dyDescent="0.35">
      <c r="B2361" s="544" t="s">
        <v>6263</v>
      </c>
      <c r="C2361" s="517" t="s">
        <v>6415</v>
      </c>
      <c r="D2361" s="518">
        <v>11877</v>
      </c>
      <c r="E2361" s="517" t="s">
        <v>6070</v>
      </c>
      <c r="F2361" s="518" t="s">
        <v>29</v>
      </c>
      <c r="G2361" s="519">
        <v>165334</v>
      </c>
      <c r="H2361" s="517" t="s">
        <v>6915</v>
      </c>
    </row>
    <row r="2362" spans="2:8" ht="15" x14ac:dyDescent="0.35">
      <c r="B2362" s="544" t="s">
        <v>6263</v>
      </c>
      <c r="C2362" s="517" t="s">
        <v>6416</v>
      </c>
      <c r="D2362" s="518">
        <v>11878</v>
      </c>
      <c r="E2362" s="517" t="s">
        <v>4821</v>
      </c>
      <c r="F2362" s="518" t="s">
        <v>29</v>
      </c>
      <c r="G2362" s="519">
        <v>476000</v>
      </c>
      <c r="H2362" s="517" t="s">
        <v>6915</v>
      </c>
    </row>
    <row r="2363" spans="2:8" ht="15" x14ac:dyDescent="0.35">
      <c r="B2363" s="544" t="s">
        <v>6263</v>
      </c>
      <c r="C2363" s="517" t="s">
        <v>6396</v>
      </c>
      <c r="D2363" s="518">
        <v>11880</v>
      </c>
      <c r="E2363" s="517" t="s">
        <v>6071</v>
      </c>
      <c r="F2363" s="518" t="s">
        <v>29</v>
      </c>
      <c r="G2363" s="519">
        <v>77350</v>
      </c>
      <c r="H2363" s="517" t="s">
        <v>6915</v>
      </c>
    </row>
    <row r="2364" spans="2:8" ht="15" x14ac:dyDescent="0.35">
      <c r="B2364" s="544" t="s">
        <v>6263</v>
      </c>
      <c r="C2364" s="517" t="s">
        <v>6396</v>
      </c>
      <c r="D2364" s="518">
        <v>11881</v>
      </c>
      <c r="E2364" s="517" t="s">
        <v>4822</v>
      </c>
      <c r="F2364" s="518" t="s">
        <v>29</v>
      </c>
      <c r="G2364" s="519">
        <v>103669</v>
      </c>
      <c r="H2364" s="517" t="s">
        <v>6915</v>
      </c>
    </row>
    <row r="2365" spans="2:8" ht="15" x14ac:dyDescent="0.35">
      <c r="B2365" s="544" t="s">
        <v>6263</v>
      </c>
      <c r="C2365" s="517" t="s">
        <v>6352</v>
      </c>
      <c r="D2365" s="518">
        <v>11882</v>
      </c>
      <c r="E2365" s="517" t="s">
        <v>4823</v>
      </c>
      <c r="F2365" s="518" t="s">
        <v>29</v>
      </c>
      <c r="G2365" s="519">
        <v>113162</v>
      </c>
      <c r="H2365" s="517" t="s">
        <v>6425</v>
      </c>
    </row>
    <row r="2366" spans="2:8" ht="15" x14ac:dyDescent="0.35">
      <c r="B2366" s="544" t="s">
        <v>6263</v>
      </c>
      <c r="C2366" s="517" t="s">
        <v>6352</v>
      </c>
      <c r="D2366" s="518">
        <v>11883</v>
      </c>
      <c r="E2366" s="517" t="s">
        <v>4824</v>
      </c>
      <c r="F2366" s="518" t="s">
        <v>29</v>
      </c>
      <c r="G2366" s="519">
        <v>121836</v>
      </c>
      <c r="H2366" s="517" t="s">
        <v>6425</v>
      </c>
    </row>
    <row r="2367" spans="2:8" ht="15" x14ac:dyDescent="0.35">
      <c r="B2367" s="544" t="s">
        <v>6263</v>
      </c>
      <c r="C2367" s="517" t="s">
        <v>6352</v>
      </c>
      <c r="D2367" s="518">
        <v>11885</v>
      </c>
      <c r="E2367" s="517" t="s">
        <v>4825</v>
      </c>
      <c r="F2367" s="518" t="s">
        <v>29</v>
      </c>
      <c r="G2367" s="519">
        <v>108000</v>
      </c>
      <c r="H2367" s="517" t="s">
        <v>6425</v>
      </c>
    </row>
    <row r="2368" spans="2:8" ht="15" x14ac:dyDescent="0.35">
      <c r="B2368" s="544" t="s">
        <v>6263</v>
      </c>
      <c r="C2368" s="517" t="s">
        <v>6358</v>
      </c>
      <c r="D2368" s="518">
        <v>11886</v>
      </c>
      <c r="E2368" s="517" t="s">
        <v>6072</v>
      </c>
      <c r="F2368" s="518" t="s">
        <v>29</v>
      </c>
      <c r="G2368" s="519">
        <v>342720</v>
      </c>
      <c r="H2368" s="517" t="s">
        <v>6915</v>
      </c>
    </row>
    <row r="2369" spans="2:8" ht="15" x14ac:dyDescent="0.35">
      <c r="B2369" s="544" t="s">
        <v>6263</v>
      </c>
      <c r="C2369" s="517" t="s">
        <v>6358</v>
      </c>
      <c r="D2369" s="518">
        <v>11887</v>
      </c>
      <c r="E2369" s="517" t="s">
        <v>6073</v>
      </c>
      <c r="F2369" s="518" t="s">
        <v>29</v>
      </c>
      <c r="G2369" s="519">
        <v>913920</v>
      </c>
      <c r="H2369" s="517" t="s">
        <v>6915</v>
      </c>
    </row>
    <row r="2370" spans="2:8" ht="15" x14ac:dyDescent="0.35">
      <c r="B2370" s="544" t="s">
        <v>6263</v>
      </c>
      <c r="C2370" s="517" t="s">
        <v>6359</v>
      </c>
      <c r="D2370" s="518">
        <v>11888</v>
      </c>
      <c r="E2370" s="517" t="s">
        <v>4826</v>
      </c>
      <c r="F2370" s="518" t="s">
        <v>29</v>
      </c>
      <c r="G2370" s="519">
        <v>643554</v>
      </c>
      <c r="H2370" s="517" t="s">
        <v>6915</v>
      </c>
    </row>
    <row r="2371" spans="2:8" ht="15" x14ac:dyDescent="0.35">
      <c r="B2371" s="544" t="s">
        <v>6263</v>
      </c>
      <c r="C2371" s="517" t="s">
        <v>6407</v>
      </c>
      <c r="D2371" s="518">
        <v>11889</v>
      </c>
      <c r="E2371" s="517" t="s">
        <v>4827</v>
      </c>
      <c r="F2371" s="518" t="s">
        <v>29</v>
      </c>
      <c r="G2371" s="519">
        <v>834085</v>
      </c>
      <c r="H2371" s="517" t="s">
        <v>6425</v>
      </c>
    </row>
    <row r="2372" spans="2:8" ht="15" x14ac:dyDescent="0.35">
      <c r="B2372" s="544" t="s">
        <v>6263</v>
      </c>
      <c r="C2372" s="517" t="s">
        <v>6407</v>
      </c>
      <c r="D2372" s="518">
        <v>11890</v>
      </c>
      <c r="E2372" s="517" t="s">
        <v>6457</v>
      </c>
      <c r="F2372" s="518" t="s">
        <v>29</v>
      </c>
      <c r="G2372" s="519">
        <v>847808</v>
      </c>
      <c r="H2372" s="517" t="s">
        <v>6425</v>
      </c>
    </row>
    <row r="2373" spans="2:8" ht="15" x14ac:dyDescent="0.35">
      <c r="B2373" s="544" t="s">
        <v>6263</v>
      </c>
      <c r="C2373" s="517" t="s">
        <v>6407</v>
      </c>
      <c r="D2373" s="518">
        <v>11891</v>
      </c>
      <c r="E2373" s="517" t="s">
        <v>6458</v>
      </c>
      <c r="F2373" s="518" t="s">
        <v>29</v>
      </c>
      <c r="G2373" s="519">
        <v>964431</v>
      </c>
      <c r="H2373" s="517" t="s">
        <v>6425</v>
      </c>
    </row>
    <row r="2374" spans="2:8" ht="15" x14ac:dyDescent="0.35">
      <c r="B2374" s="544" t="s">
        <v>6263</v>
      </c>
      <c r="C2374" s="517" t="s">
        <v>6417</v>
      </c>
      <c r="D2374" s="518">
        <v>11893</v>
      </c>
      <c r="E2374" s="517" t="s">
        <v>4828</v>
      </c>
      <c r="F2374" s="518" t="s">
        <v>26</v>
      </c>
      <c r="G2374" s="519">
        <v>952</v>
      </c>
      <c r="H2374" s="517" t="s">
        <v>6915</v>
      </c>
    </row>
    <row r="2375" spans="2:8" ht="15" x14ac:dyDescent="0.35">
      <c r="B2375" s="544" t="s">
        <v>6263</v>
      </c>
      <c r="C2375" s="517" t="s">
        <v>6388</v>
      </c>
      <c r="D2375" s="518">
        <v>11894</v>
      </c>
      <c r="E2375" s="517" t="s">
        <v>4829</v>
      </c>
      <c r="F2375" s="518" t="s">
        <v>26</v>
      </c>
      <c r="G2375" s="519">
        <v>529880</v>
      </c>
      <c r="H2375" s="517" t="s">
        <v>6915</v>
      </c>
    </row>
    <row r="2376" spans="2:8" ht="15" x14ac:dyDescent="0.35">
      <c r="B2376" s="544" t="s">
        <v>6263</v>
      </c>
      <c r="C2376" s="517" t="s">
        <v>6358</v>
      </c>
      <c r="D2376" s="518">
        <v>11895</v>
      </c>
      <c r="E2376" s="517" t="s">
        <v>4830</v>
      </c>
      <c r="F2376" s="518" t="s">
        <v>29</v>
      </c>
      <c r="G2376" s="519">
        <v>664823</v>
      </c>
      <c r="H2376" s="517" t="s">
        <v>6915</v>
      </c>
    </row>
    <row r="2377" spans="2:8" ht="15" x14ac:dyDescent="0.35">
      <c r="B2377" s="544" t="s">
        <v>6263</v>
      </c>
      <c r="C2377" s="517" t="s">
        <v>6366</v>
      </c>
      <c r="D2377" s="518">
        <v>11896</v>
      </c>
      <c r="E2377" s="517" t="s">
        <v>4831</v>
      </c>
      <c r="F2377" s="518" t="s">
        <v>29</v>
      </c>
      <c r="G2377" s="519">
        <v>77700</v>
      </c>
      <c r="H2377" s="517" t="s">
        <v>6915</v>
      </c>
    </row>
    <row r="2378" spans="2:8" ht="15" x14ac:dyDescent="0.35">
      <c r="B2378" s="544" t="s">
        <v>6263</v>
      </c>
      <c r="C2378" s="517" t="s">
        <v>6346</v>
      </c>
      <c r="D2378" s="518">
        <v>11897</v>
      </c>
      <c r="E2378" s="517" t="s">
        <v>5653</v>
      </c>
      <c r="F2378" s="518" t="s">
        <v>26</v>
      </c>
      <c r="G2378" s="519">
        <v>17100</v>
      </c>
      <c r="H2378" s="517" t="s">
        <v>6425</v>
      </c>
    </row>
    <row r="2379" spans="2:8" ht="15" x14ac:dyDescent="0.35">
      <c r="B2379" s="544" t="s">
        <v>6263</v>
      </c>
      <c r="C2379" s="517" t="s">
        <v>6346</v>
      </c>
      <c r="D2379" s="518">
        <v>11898</v>
      </c>
      <c r="E2379" s="517" t="s">
        <v>5654</v>
      </c>
      <c r="F2379" s="518" t="s">
        <v>26</v>
      </c>
      <c r="G2379" s="519">
        <v>10404</v>
      </c>
      <c r="H2379" s="517" t="s">
        <v>6425</v>
      </c>
    </row>
    <row r="2380" spans="2:8" ht="15" x14ac:dyDescent="0.35">
      <c r="B2380" s="544" t="s">
        <v>6263</v>
      </c>
      <c r="C2380" s="517" t="s">
        <v>6346</v>
      </c>
      <c r="D2380" s="518">
        <v>11899</v>
      </c>
      <c r="E2380" s="517" t="s">
        <v>5655</v>
      </c>
      <c r="F2380" s="518" t="s">
        <v>29</v>
      </c>
      <c r="G2380" s="519">
        <v>4202</v>
      </c>
      <c r="H2380" s="517" t="s">
        <v>6425</v>
      </c>
    </row>
    <row r="2381" spans="2:8" ht="15" x14ac:dyDescent="0.35">
      <c r="B2381" s="544" t="s">
        <v>6263</v>
      </c>
      <c r="C2381" s="517" t="s">
        <v>6346</v>
      </c>
      <c r="D2381" s="518">
        <v>11903</v>
      </c>
      <c r="E2381" s="517" t="s">
        <v>5656</v>
      </c>
      <c r="F2381" s="518" t="s">
        <v>29</v>
      </c>
      <c r="G2381" s="519">
        <v>1689</v>
      </c>
      <c r="H2381" s="517" t="s">
        <v>6425</v>
      </c>
    </row>
    <row r="2382" spans="2:8" ht="15" x14ac:dyDescent="0.35">
      <c r="B2382" s="544" t="s">
        <v>6263</v>
      </c>
      <c r="C2382" s="517" t="s">
        <v>6346</v>
      </c>
      <c r="D2382" s="518">
        <v>11904</v>
      </c>
      <c r="E2382" s="517" t="s">
        <v>5657</v>
      </c>
      <c r="F2382" s="518" t="s">
        <v>29</v>
      </c>
      <c r="G2382" s="519">
        <v>2493</v>
      </c>
      <c r="H2382" s="517" t="s">
        <v>6425</v>
      </c>
    </row>
    <row r="2383" spans="2:8" ht="15" x14ac:dyDescent="0.35">
      <c r="B2383" s="544" t="s">
        <v>6263</v>
      </c>
      <c r="C2383" s="517" t="s">
        <v>6346</v>
      </c>
      <c r="D2383" s="518">
        <v>11905</v>
      </c>
      <c r="E2383" s="517" t="s">
        <v>5658</v>
      </c>
      <c r="F2383" s="518" t="s">
        <v>29</v>
      </c>
      <c r="G2383" s="519">
        <v>2324</v>
      </c>
      <c r="H2383" s="517" t="s">
        <v>6425</v>
      </c>
    </row>
    <row r="2384" spans="2:8" ht="15" x14ac:dyDescent="0.35">
      <c r="B2384" s="544" t="s">
        <v>6263</v>
      </c>
      <c r="C2384" s="517" t="s">
        <v>6346</v>
      </c>
      <c r="D2384" s="518">
        <v>11906</v>
      </c>
      <c r="E2384" s="517" t="s">
        <v>5659</v>
      </c>
      <c r="F2384" s="518" t="s">
        <v>29</v>
      </c>
      <c r="G2384" s="519">
        <v>3084</v>
      </c>
      <c r="H2384" s="517" t="s">
        <v>6425</v>
      </c>
    </row>
    <row r="2385" spans="2:8" ht="15" x14ac:dyDescent="0.35">
      <c r="B2385" s="544" t="s">
        <v>6263</v>
      </c>
      <c r="C2385" s="517" t="s">
        <v>6346</v>
      </c>
      <c r="D2385" s="518">
        <v>11907</v>
      </c>
      <c r="E2385" s="517" t="s">
        <v>5660</v>
      </c>
      <c r="F2385" s="518" t="s">
        <v>29</v>
      </c>
      <c r="G2385" s="519">
        <v>4884</v>
      </c>
      <c r="H2385" s="517" t="s">
        <v>6425</v>
      </c>
    </row>
    <row r="2386" spans="2:8" ht="15" x14ac:dyDescent="0.35">
      <c r="B2386" s="544" t="s">
        <v>6263</v>
      </c>
      <c r="C2386" s="517" t="s">
        <v>6346</v>
      </c>
      <c r="D2386" s="518">
        <v>11908</v>
      </c>
      <c r="E2386" s="517" t="s">
        <v>5661</v>
      </c>
      <c r="F2386" s="518" t="s">
        <v>29</v>
      </c>
      <c r="G2386" s="519">
        <v>4837</v>
      </c>
      <c r="H2386" s="517" t="s">
        <v>6425</v>
      </c>
    </row>
    <row r="2387" spans="2:8" ht="15" x14ac:dyDescent="0.35">
      <c r="B2387" s="544" t="s">
        <v>6263</v>
      </c>
      <c r="C2387" s="517" t="s">
        <v>6346</v>
      </c>
      <c r="D2387" s="518">
        <v>11909</v>
      </c>
      <c r="E2387" s="517" t="s">
        <v>5662</v>
      </c>
      <c r="F2387" s="518" t="s">
        <v>29</v>
      </c>
      <c r="G2387" s="519">
        <v>3111</v>
      </c>
      <c r="H2387" s="517" t="s">
        <v>6425</v>
      </c>
    </row>
    <row r="2388" spans="2:8" ht="15" x14ac:dyDescent="0.35">
      <c r="B2388" s="544" t="s">
        <v>6263</v>
      </c>
      <c r="C2388" s="517" t="s">
        <v>6386</v>
      </c>
      <c r="D2388" s="518">
        <v>11910</v>
      </c>
      <c r="E2388" s="517" t="s">
        <v>6074</v>
      </c>
      <c r="F2388" s="518" t="s">
        <v>29</v>
      </c>
      <c r="G2388" s="519">
        <v>3134</v>
      </c>
      <c r="H2388" s="517" t="s">
        <v>6915</v>
      </c>
    </row>
    <row r="2389" spans="2:8" ht="15" x14ac:dyDescent="0.35">
      <c r="B2389" s="544" t="s">
        <v>6263</v>
      </c>
      <c r="C2389" s="517" t="s">
        <v>6346</v>
      </c>
      <c r="D2389" s="518">
        <v>11911</v>
      </c>
      <c r="E2389" s="517" t="s">
        <v>5663</v>
      </c>
      <c r="F2389" s="518" t="s">
        <v>29</v>
      </c>
      <c r="G2389" s="519">
        <v>3968</v>
      </c>
      <c r="H2389" s="517" t="s">
        <v>6425</v>
      </c>
    </row>
    <row r="2390" spans="2:8" ht="15" x14ac:dyDescent="0.35">
      <c r="B2390" s="544" t="s">
        <v>6263</v>
      </c>
      <c r="C2390" s="517" t="s">
        <v>6386</v>
      </c>
      <c r="D2390" s="518">
        <v>11912</v>
      </c>
      <c r="E2390" s="517" t="s">
        <v>6075</v>
      </c>
      <c r="F2390" s="518" t="s">
        <v>29</v>
      </c>
      <c r="G2390" s="519">
        <v>3396</v>
      </c>
      <c r="H2390" s="517" t="s">
        <v>6915</v>
      </c>
    </row>
    <row r="2391" spans="2:8" ht="15" x14ac:dyDescent="0.35">
      <c r="B2391" s="544" t="s">
        <v>6263</v>
      </c>
      <c r="C2391" s="517" t="s">
        <v>6386</v>
      </c>
      <c r="D2391" s="518">
        <v>11913</v>
      </c>
      <c r="E2391" s="517" t="s">
        <v>6076</v>
      </c>
      <c r="F2391" s="518" t="s">
        <v>29</v>
      </c>
      <c r="G2391" s="519">
        <v>2507</v>
      </c>
      <c r="H2391" s="517" t="s">
        <v>6915</v>
      </c>
    </row>
    <row r="2392" spans="2:8" ht="15" x14ac:dyDescent="0.35">
      <c r="B2392" s="544" t="s">
        <v>6263</v>
      </c>
      <c r="C2392" s="517" t="s">
        <v>6353</v>
      </c>
      <c r="D2392" s="518">
        <v>11914</v>
      </c>
      <c r="E2392" s="517" t="s">
        <v>5664</v>
      </c>
      <c r="F2392" s="518" t="s">
        <v>29</v>
      </c>
      <c r="G2392" s="519">
        <v>14595</v>
      </c>
      <c r="H2392" s="517" t="s">
        <v>6425</v>
      </c>
    </row>
    <row r="2393" spans="2:8" ht="15" x14ac:dyDescent="0.35">
      <c r="B2393" s="544" t="s">
        <v>6263</v>
      </c>
      <c r="C2393" s="517" t="s">
        <v>6353</v>
      </c>
      <c r="D2393" s="518">
        <v>11915</v>
      </c>
      <c r="E2393" s="517" t="s">
        <v>5665</v>
      </c>
      <c r="F2393" s="518" t="s">
        <v>29</v>
      </c>
      <c r="G2393" s="519">
        <v>54870</v>
      </c>
      <c r="H2393" s="517" t="s">
        <v>6425</v>
      </c>
    </row>
    <row r="2394" spans="2:8" ht="15" x14ac:dyDescent="0.35">
      <c r="B2394" s="544" t="s">
        <v>6263</v>
      </c>
      <c r="C2394" s="517" t="s">
        <v>6353</v>
      </c>
      <c r="D2394" s="518">
        <v>11916</v>
      </c>
      <c r="E2394" s="517" t="s">
        <v>5666</v>
      </c>
      <c r="F2394" s="518" t="s">
        <v>29</v>
      </c>
      <c r="G2394" s="519">
        <v>180228</v>
      </c>
      <c r="H2394" s="517" t="s">
        <v>6425</v>
      </c>
    </row>
    <row r="2395" spans="2:8" ht="15" x14ac:dyDescent="0.35">
      <c r="B2395" s="544" t="s">
        <v>6263</v>
      </c>
      <c r="C2395" s="517" t="s">
        <v>6390</v>
      </c>
      <c r="D2395" s="518">
        <v>11918</v>
      </c>
      <c r="E2395" s="517" t="s">
        <v>4832</v>
      </c>
      <c r="F2395" s="518" t="s">
        <v>29</v>
      </c>
      <c r="G2395" s="519">
        <v>13700</v>
      </c>
      <c r="H2395" s="517" t="s">
        <v>6915</v>
      </c>
    </row>
    <row r="2396" spans="2:8" ht="15" x14ac:dyDescent="0.35">
      <c r="B2396" s="544" t="s">
        <v>6263</v>
      </c>
      <c r="C2396" s="517" t="s">
        <v>6339</v>
      </c>
      <c r="D2396" s="518">
        <v>11919</v>
      </c>
      <c r="E2396" s="517" t="s">
        <v>4833</v>
      </c>
      <c r="F2396" s="518" t="s">
        <v>29</v>
      </c>
      <c r="G2396" s="519">
        <v>232050</v>
      </c>
      <c r="H2396" s="517" t="s">
        <v>6425</v>
      </c>
    </row>
    <row r="2397" spans="2:8" ht="15" x14ac:dyDescent="0.35">
      <c r="B2397" s="544" t="s">
        <v>6263</v>
      </c>
      <c r="C2397" s="517" t="s">
        <v>6339</v>
      </c>
      <c r="D2397" s="518">
        <v>11920</v>
      </c>
      <c r="E2397" s="517" t="s">
        <v>4834</v>
      </c>
      <c r="F2397" s="518" t="s">
        <v>29</v>
      </c>
      <c r="G2397" s="519">
        <v>256395</v>
      </c>
      <c r="H2397" s="517" t="s">
        <v>6425</v>
      </c>
    </row>
    <row r="2398" spans="2:8" ht="15" x14ac:dyDescent="0.35">
      <c r="B2398" s="544" t="s">
        <v>6263</v>
      </c>
      <c r="C2398" s="517" t="s">
        <v>6339</v>
      </c>
      <c r="D2398" s="518">
        <v>11921</v>
      </c>
      <c r="E2398" s="517" t="s">
        <v>4835</v>
      </c>
      <c r="F2398" s="518" t="s">
        <v>29</v>
      </c>
      <c r="G2398" s="519">
        <v>8981</v>
      </c>
      <c r="H2398" s="517" t="s">
        <v>6425</v>
      </c>
    </row>
    <row r="2399" spans="2:8" ht="15" x14ac:dyDescent="0.35">
      <c r="B2399" s="544" t="s">
        <v>6263</v>
      </c>
      <c r="C2399" s="517" t="s">
        <v>6339</v>
      </c>
      <c r="D2399" s="518">
        <v>11922</v>
      </c>
      <c r="E2399" s="517" t="s">
        <v>4836</v>
      </c>
      <c r="F2399" s="518" t="s">
        <v>29</v>
      </c>
      <c r="G2399" s="519">
        <v>279650</v>
      </c>
      <c r="H2399" s="517" t="s">
        <v>6425</v>
      </c>
    </row>
    <row r="2400" spans="2:8" ht="15" x14ac:dyDescent="0.35">
      <c r="B2400" s="544" t="s">
        <v>6263</v>
      </c>
      <c r="C2400" s="517" t="s">
        <v>6339</v>
      </c>
      <c r="D2400" s="518">
        <v>11923</v>
      </c>
      <c r="E2400" s="517" t="s">
        <v>4837</v>
      </c>
      <c r="F2400" s="518" t="s">
        <v>29</v>
      </c>
      <c r="G2400" s="519">
        <v>12491</v>
      </c>
      <c r="H2400" s="517" t="s">
        <v>6425</v>
      </c>
    </row>
    <row r="2401" spans="2:8" ht="15" x14ac:dyDescent="0.35">
      <c r="B2401" s="544" t="s">
        <v>6263</v>
      </c>
      <c r="C2401" s="517" t="s">
        <v>6339</v>
      </c>
      <c r="D2401" s="518">
        <v>11924</v>
      </c>
      <c r="E2401" s="517" t="s">
        <v>4838</v>
      </c>
      <c r="F2401" s="518" t="s">
        <v>29</v>
      </c>
      <c r="G2401" s="519">
        <v>256395</v>
      </c>
      <c r="H2401" s="517" t="s">
        <v>6425</v>
      </c>
    </row>
    <row r="2402" spans="2:8" ht="15" x14ac:dyDescent="0.35">
      <c r="B2402" s="544" t="s">
        <v>6263</v>
      </c>
      <c r="C2402" s="517" t="s">
        <v>6352</v>
      </c>
      <c r="D2402" s="518">
        <v>11925</v>
      </c>
      <c r="E2402" s="517" t="s">
        <v>4839</v>
      </c>
      <c r="F2402" s="518" t="s">
        <v>29</v>
      </c>
      <c r="G2402" s="519">
        <v>146155</v>
      </c>
      <c r="H2402" s="517" t="s">
        <v>6425</v>
      </c>
    </row>
    <row r="2403" spans="2:8" ht="15" x14ac:dyDescent="0.35">
      <c r="B2403" s="544" t="s">
        <v>6263</v>
      </c>
      <c r="C2403" s="517" t="s">
        <v>6359</v>
      </c>
      <c r="D2403" s="518">
        <v>11926</v>
      </c>
      <c r="E2403" s="517" t="s">
        <v>4840</v>
      </c>
      <c r="F2403" s="518" t="s">
        <v>29</v>
      </c>
      <c r="G2403" s="519">
        <v>470640</v>
      </c>
      <c r="H2403" s="517" t="s">
        <v>6915</v>
      </c>
    </row>
    <row r="2404" spans="2:8" ht="15" x14ac:dyDescent="0.35">
      <c r="B2404" s="544" t="s">
        <v>6263</v>
      </c>
      <c r="C2404" s="517" t="s">
        <v>6359</v>
      </c>
      <c r="D2404" s="518">
        <v>11927</v>
      </c>
      <c r="E2404" s="517" t="s">
        <v>4841</v>
      </c>
      <c r="F2404" s="518" t="s">
        <v>29</v>
      </c>
      <c r="G2404" s="519">
        <v>327356</v>
      </c>
      <c r="H2404" s="517" t="s">
        <v>6915</v>
      </c>
    </row>
    <row r="2405" spans="2:8" ht="15" x14ac:dyDescent="0.35">
      <c r="B2405" s="544" t="s">
        <v>6263</v>
      </c>
      <c r="C2405" s="517" t="s">
        <v>6359</v>
      </c>
      <c r="D2405" s="518">
        <v>11928</v>
      </c>
      <c r="E2405" s="517" t="s">
        <v>4842</v>
      </c>
      <c r="F2405" s="518" t="s">
        <v>29</v>
      </c>
      <c r="G2405" s="519">
        <v>557014</v>
      </c>
      <c r="H2405" s="517" t="s">
        <v>6915</v>
      </c>
    </row>
    <row r="2406" spans="2:8" ht="15" x14ac:dyDescent="0.35">
      <c r="B2406" s="544" t="s">
        <v>6263</v>
      </c>
      <c r="C2406" s="517" t="s">
        <v>6359</v>
      </c>
      <c r="D2406" s="518">
        <v>11929</v>
      </c>
      <c r="E2406" s="517" t="s">
        <v>4843</v>
      </c>
      <c r="F2406" s="518" t="s">
        <v>29</v>
      </c>
      <c r="G2406" s="519">
        <v>470640</v>
      </c>
      <c r="H2406" s="517" t="s">
        <v>6915</v>
      </c>
    </row>
    <row r="2407" spans="2:8" ht="15" x14ac:dyDescent="0.35">
      <c r="B2407" s="544" t="s">
        <v>6263</v>
      </c>
      <c r="C2407" s="517" t="s">
        <v>6359</v>
      </c>
      <c r="D2407" s="518">
        <v>11930</v>
      </c>
      <c r="E2407" s="517" t="s">
        <v>4844</v>
      </c>
      <c r="F2407" s="518" t="s">
        <v>29</v>
      </c>
      <c r="G2407" s="519">
        <v>438683</v>
      </c>
      <c r="H2407" s="517" t="s">
        <v>6915</v>
      </c>
    </row>
    <row r="2408" spans="2:8" ht="15" x14ac:dyDescent="0.35">
      <c r="B2408" s="544" t="s">
        <v>6263</v>
      </c>
      <c r="C2408" s="517" t="s">
        <v>6390</v>
      </c>
      <c r="D2408" s="518">
        <v>11936</v>
      </c>
      <c r="E2408" s="517" t="s">
        <v>4845</v>
      </c>
      <c r="F2408" s="518" t="s">
        <v>29</v>
      </c>
      <c r="G2408" s="519">
        <v>26665784</v>
      </c>
      <c r="H2408" s="517" t="s">
        <v>6915</v>
      </c>
    </row>
    <row r="2409" spans="2:8" ht="15" x14ac:dyDescent="0.35">
      <c r="B2409" s="544" t="s">
        <v>6263</v>
      </c>
      <c r="C2409" s="517" t="s">
        <v>6346</v>
      </c>
      <c r="D2409" s="518">
        <v>11939</v>
      </c>
      <c r="E2409" s="517" t="s">
        <v>5667</v>
      </c>
      <c r="F2409" s="518" t="s">
        <v>29</v>
      </c>
      <c r="G2409" s="519">
        <v>8288</v>
      </c>
      <c r="H2409" s="517" t="s">
        <v>6425</v>
      </c>
    </row>
    <row r="2410" spans="2:8" ht="15" x14ac:dyDescent="0.35">
      <c r="B2410" s="544" t="s">
        <v>6263</v>
      </c>
      <c r="C2410" s="517" t="s">
        <v>6346</v>
      </c>
      <c r="D2410" s="518">
        <v>11940</v>
      </c>
      <c r="E2410" s="517" t="s">
        <v>5668</v>
      </c>
      <c r="F2410" s="518" t="s">
        <v>29</v>
      </c>
      <c r="G2410" s="519">
        <v>135900</v>
      </c>
      <c r="H2410" s="517" t="s">
        <v>6425</v>
      </c>
    </row>
    <row r="2411" spans="2:8" ht="15" x14ac:dyDescent="0.35">
      <c r="B2411" s="544" t="s">
        <v>6263</v>
      </c>
      <c r="C2411" s="517" t="s">
        <v>6346</v>
      </c>
      <c r="D2411" s="518">
        <v>11941</v>
      </c>
      <c r="E2411" s="517" t="s">
        <v>5669</v>
      </c>
      <c r="F2411" s="518" t="s">
        <v>29</v>
      </c>
      <c r="G2411" s="519">
        <v>2210</v>
      </c>
      <c r="H2411" s="517" t="s">
        <v>6425</v>
      </c>
    </row>
    <row r="2412" spans="2:8" ht="15" x14ac:dyDescent="0.35">
      <c r="B2412" s="544" t="s">
        <v>6263</v>
      </c>
      <c r="C2412" s="517" t="s">
        <v>6358</v>
      </c>
      <c r="D2412" s="518">
        <v>11942</v>
      </c>
      <c r="E2412" s="517" t="s">
        <v>6077</v>
      </c>
      <c r="F2412" s="518" t="s">
        <v>29</v>
      </c>
      <c r="G2412" s="519">
        <v>191590</v>
      </c>
      <c r="H2412" s="517" t="s">
        <v>6915</v>
      </c>
    </row>
    <row r="2413" spans="2:8" ht="15" x14ac:dyDescent="0.35">
      <c r="B2413" s="544" t="s">
        <v>6263</v>
      </c>
      <c r="C2413" s="517" t="s">
        <v>6346</v>
      </c>
      <c r="D2413" s="518">
        <v>11943</v>
      </c>
      <c r="E2413" s="517" t="s">
        <v>5670</v>
      </c>
      <c r="F2413" s="518" t="s">
        <v>29</v>
      </c>
      <c r="G2413" s="519">
        <v>158900</v>
      </c>
      <c r="H2413" s="517" t="s">
        <v>6425</v>
      </c>
    </row>
    <row r="2414" spans="2:8" ht="15" x14ac:dyDescent="0.35">
      <c r="B2414" s="544" t="s">
        <v>6263</v>
      </c>
      <c r="C2414" s="517" t="s">
        <v>6346</v>
      </c>
      <c r="D2414" s="518">
        <v>11944</v>
      </c>
      <c r="E2414" s="517" t="s">
        <v>5671</v>
      </c>
      <c r="F2414" s="518" t="s">
        <v>29</v>
      </c>
      <c r="G2414" s="519">
        <v>2497</v>
      </c>
      <c r="H2414" s="517" t="s">
        <v>6425</v>
      </c>
    </row>
    <row r="2415" spans="2:8" ht="15" x14ac:dyDescent="0.35">
      <c r="B2415" s="544" t="s">
        <v>6263</v>
      </c>
      <c r="C2415" s="517" t="s">
        <v>6346</v>
      </c>
      <c r="D2415" s="518">
        <v>11945</v>
      </c>
      <c r="E2415" s="517" t="s">
        <v>5672</v>
      </c>
      <c r="F2415" s="518" t="s">
        <v>29</v>
      </c>
      <c r="G2415" s="519">
        <v>3913</v>
      </c>
      <c r="H2415" s="517" t="s">
        <v>6425</v>
      </c>
    </row>
    <row r="2416" spans="2:8" ht="15" x14ac:dyDescent="0.35">
      <c r="B2416" s="544" t="s">
        <v>6263</v>
      </c>
      <c r="C2416" s="517" t="s">
        <v>6346</v>
      </c>
      <c r="D2416" s="518">
        <v>11946</v>
      </c>
      <c r="E2416" s="517" t="s">
        <v>5673</v>
      </c>
      <c r="F2416" s="518" t="s">
        <v>29</v>
      </c>
      <c r="G2416" s="519">
        <v>956</v>
      </c>
      <c r="H2416" s="517" t="s">
        <v>6425</v>
      </c>
    </row>
    <row r="2417" spans="2:8" ht="15" x14ac:dyDescent="0.35">
      <c r="B2417" s="544" t="s">
        <v>6263</v>
      </c>
      <c r="C2417" s="517" t="s">
        <v>6346</v>
      </c>
      <c r="D2417" s="518">
        <v>11947</v>
      </c>
      <c r="E2417" s="517" t="s">
        <v>5674</v>
      </c>
      <c r="F2417" s="518" t="s">
        <v>29</v>
      </c>
      <c r="G2417" s="519">
        <v>3512</v>
      </c>
      <c r="H2417" s="517" t="s">
        <v>6425</v>
      </c>
    </row>
    <row r="2418" spans="2:8" ht="15" x14ac:dyDescent="0.35">
      <c r="B2418" s="544" t="s">
        <v>6263</v>
      </c>
      <c r="C2418" s="517" t="s">
        <v>6346</v>
      </c>
      <c r="D2418" s="518">
        <v>11948</v>
      </c>
      <c r="E2418" s="517" t="s">
        <v>5675</v>
      </c>
      <c r="F2418" s="518" t="s">
        <v>29</v>
      </c>
      <c r="G2418" s="519">
        <v>8288</v>
      </c>
      <c r="H2418" s="517" t="s">
        <v>6425</v>
      </c>
    </row>
    <row r="2419" spans="2:8" ht="15" x14ac:dyDescent="0.35">
      <c r="B2419" s="544" t="s">
        <v>6263</v>
      </c>
      <c r="C2419" s="517" t="s">
        <v>6346</v>
      </c>
      <c r="D2419" s="518">
        <v>11949</v>
      </c>
      <c r="E2419" s="517" t="s">
        <v>5676</v>
      </c>
      <c r="F2419" s="518" t="s">
        <v>29</v>
      </c>
      <c r="G2419" s="519">
        <v>8288</v>
      </c>
      <c r="H2419" s="517" t="s">
        <v>6425</v>
      </c>
    </row>
    <row r="2420" spans="2:8" ht="15" x14ac:dyDescent="0.35">
      <c r="B2420" s="544" t="s">
        <v>6263</v>
      </c>
      <c r="C2420" s="517" t="s">
        <v>6348</v>
      </c>
      <c r="D2420" s="518">
        <v>11950</v>
      </c>
      <c r="E2420" s="517" t="s">
        <v>4846</v>
      </c>
      <c r="F2420" s="518" t="s">
        <v>29</v>
      </c>
      <c r="G2420" s="519">
        <v>9785</v>
      </c>
      <c r="H2420" s="517" t="s">
        <v>6915</v>
      </c>
    </row>
    <row r="2421" spans="2:8" ht="15" x14ac:dyDescent="0.35">
      <c r="B2421" s="544" t="s">
        <v>6263</v>
      </c>
      <c r="C2421" s="517" t="s">
        <v>6358</v>
      </c>
      <c r="D2421" s="518">
        <v>11951</v>
      </c>
      <c r="E2421" s="517" t="s">
        <v>4847</v>
      </c>
      <c r="F2421" s="518" t="s">
        <v>29</v>
      </c>
      <c r="G2421" s="519">
        <v>220150</v>
      </c>
      <c r="H2421" s="517" t="s">
        <v>6915</v>
      </c>
    </row>
    <row r="2422" spans="2:8" ht="15" x14ac:dyDescent="0.35">
      <c r="B2422" s="544" t="s">
        <v>6263</v>
      </c>
      <c r="C2422" s="517" t="s">
        <v>6358</v>
      </c>
      <c r="D2422" s="518">
        <v>11952</v>
      </c>
      <c r="E2422" s="517" t="s">
        <v>4848</v>
      </c>
      <c r="F2422" s="518" t="s">
        <v>29</v>
      </c>
      <c r="G2422" s="519">
        <v>242760</v>
      </c>
      <c r="H2422" s="517" t="s">
        <v>6915</v>
      </c>
    </row>
    <row r="2423" spans="2:8" ht="15" x14ac:dyDescent="0.35">
      <c r="B2423" s="544" t="s">
        <v>6263</v>
      </c>
      <c r="C2423" s="517" t="s">
        <v>6348</v>
      </c>
      <c r="D2423" s="518">
        <v>11953</v>
      </c>
      <c r="E2423" s="517" t="s">
        <v>4849</v>
      </c>
      <c r="F2423" s="518" t="s">
        <v>29</v>
      </c>
      <c r="G2423" s="519">
        <v>328572</v>
      </c>
      <c r="H2423" s="517" t="s">
        <v>6915</v>
      </c>
    </row>
    <row r="2424" spans="2:8" ht="15" x14ac:dyDescent="0.35">
      <c r="B2424" s="544" t="s">
        <v>6263</v>
      </c>
      <c r="C2424" s="517" t="s">
        <v>6358</v>
      </c>
      <c r="D2424" s="518">
        <v>11954</v>
      </c>
      <c r="E2424" s="517" t="s">
        <v>4850</v>
      </c>
      <c r="F2424" s="518" t="s">
        <v>29</v>
      </c>
      <c r="G2424" s="519">
        <v>177111</v>
      </c>
      <c r="H2424" s="517" t="s">
        <v>6915</v>
      </c>
    </row>
    <row r="2425" spans="2:8" ht="15" x14ac:dyDescent="0.35">
      <c r="B2425" s="544" t="s">
        <v>6263</v>
      </c>
      <c r="C2425" s="517" t="s">
        <v>6358</v>
      </c>
      <c r="D2425" s="518">
        <v>11955</v>
      </c>
      <c r="E2425" s="517" t="s">
        <v>4851</v>
      </c>
      <c r="F2425" s="518" t="s">
        <v>29</v>
      </c>
      <c r="G2425" s="519">
        <v>421628</v>
      </c>
      <c r="H2425" s="517" t="s">
        <v>6915</v>
      </c>
    </row>
    <row r="2426" spans="2:8" ht="15" x14ac:dyDescent="0.35">
      <c r="B2426" s="544" t="s">
        <v>6263</v>
      </c>
      <c r="C2426" s="517" t="s">
        <v>6358</v>
      </c>
      <c r="D2426" s="518">
        <v>11956</v>
      </c>
      <c r="E2426" s="517" t="s">
        <v>4852</v>
      </c>
      <c r="F2426" s="518" t="s">
        <v>29</v>
      </c>
      <c r="G2426" s="519">
        <v>75829</v>
      </c>
      <c r="H2426" s="517" t="s">
        <v>6915</v>
      </c>
    </row>
    <row r="2427" spans="2:8" ht="15" x14ac:dyDescent="0.35">
      <c r="B2427" s="544" t="s">
        <v>6263</v>
      </c>
      <c r="C2427" s="517" t="s">
        <v>6358</v>
      </c>
      <c r="D2427" s="518">
        <v>11958</v>
      </c>
      <c r="E2427" s="517" t="s">
        <v>4853</v>
      </c>
      <c r="F2427" s="518" t="s">
        <v>29</v>
      </c>
      <c r="G2427" s="519">
        <v>296066</v>
      </c>
      <c r="H2427" s="517" t="s">
        <v>6915</v>
      </c>
    </row>
    <row r="2428" spans="2:8" ht="15" x14ac:dyDescent="0.35">
      <c r="B2428" s="544" t="s">
        <v>6263</v>
      </c>
      <c r="C2428" s="517" t="s">
        <v>6346</v>
      </c>
      <c r="D2428" s="518">
        <v>11960</v>
      </c>
      <c r="E2428" s="517" t="s">
        <v>5677</v>
      </c>
      <c r="F2428" s="518" t="s">
        <v>29</v>
      </c>
      <c r="G2428" s="519">
        <v>2530</v>
      </c>
      <c r="H2428" s="517" t="s">
        <v>6425</v>
      </c>
    </row>
    <row r="2429" spans="2:8" ht="15" x14ac:dyDescent="0.35">
      <c r="B2429" s="544" t="s">
        <v>6263</v>
      </c>
      <c r="C2429" s="517" t="s">
        <v>6342</v>
      </c>
      <c r="D2429" s="518">
        <v>11961</v>
      </c>
      <c r="E2429" s="517" t="s">
        <v>4854</v>
      </c>
      <c r="F2429" s="518" t="s">
        <v>29</v>
      </c>
      <c r="G2429" s="519">
        <v>1350</v>
      </c>
      <c r="H2429" s="517" t="s">
        <v>6425</v>
      </c>
    </row>
    <row r="2430" spans="2:8" ht="15" x14ac:dyDescent="0.35">
      <c r="B2430" s="544" t="s">
        <v>6263</v>
      </c>
      <c r="C2430" s="517" t="s">
        <v>6390</v>
      </c>
      <c r="D2430" s="518">
        <v>11965</v>
      </c>
      <c r="E2430" s="517" t="s">
        <v>4855</v>
      </c>
      <c r="F2430" s="518" t="s">
        <v>29</v>
      </c>
      <c r="G2430" s="519">
        <v>36877567</v>
      </c>
      <c r="H2430" s="517" t="s">
        <v>6915</v>
      </c>
    </row>
    <row r="2431" spans="2:8" ht="15" x14ac:dyDescent="0.35">
      <c r="B2431" s="544" t="s">
        <v>6263</v>
      </c>
      <c r="C2431" s="517" t="s">
        <v>6343</v>
      </c>
      <c r="D2431" s="518">
        <v>11968</v>
      </c>
      <c r="E2431" s="517" t="s">
        <v>4856</v>
      </c>
      <c r="F2431" s="518" t="s">
        <v>23</v>
      </c>
      <c r="G2431" s="519">
        <v>121380</v>
      </c>
      <c r="H2431" s="517" t="s">
        <v>6425</v>
      </c>
    </row>
    <row r="2432" spans="2:8" ht="15" x14ac:dyDescent="0.35">
      <c r="B2432" s="544" t="s">
        <v>6263</v>
      </c>
      <c r="C2432" s="517" t="s">
        <v>6343</v>
      </c>
      <c r="D2432" s="518">
        <v>11969</v>
      </c>
      <c r="E2432" s="517" t="s">
        <v>4857</v>
      </c>
      <c r="F2432" s="518" t="s">
        <v>23</v>
      </c>
      <c r="G2432" s="519">
        <v>101526</v>
      </c>
      <c r="H2432" s="517" t="s">
        <v>6425</v>
      </c>
    </row>
    <row r="2433" spans="2:8" ht="15" x14ac:dyDescent="0.35">
      <c r="B2433" s="544" t="s">
        <v>6263</v>
      </c>
      <c r="C2433" s="517" t="s">
        <v>6407</v>
      </c>
      <c r="D2433" s="518">
        <v>11972</v>
      </c>
      <c r="E2433" s="517" t="s">
        <v>6459</v>
      </c>
      <c r="F2433" s="518" t="s">
        <v>29</v>
      </c>
      <c r="G2433" s="519">
        <v>1252256</v>
      </c>
      <c r="H2433" s="517" t="s">
        <v>6425</v>
      </c>
    </row>
    <row r="2434" spans="2:8" ht="15" x14ac:dyDescent="0.35">
      <c r="B2434" s="544" t="s">
        <v>6263</v>
      </c>
      <c r="C2434" s="517" t="s">
        <v>6407</v>
      </c>
      <c r="D2434" s="518">
        <v>11973</v>
      </c>
      <c r="E2434" s="517" t="s">
        <v>6460</v>
      </c>
      <c r="F2434" s="518" t="s">
        <v>29</v>
      </c>
      <c r="G2434" s="519">
        <v>545745</v>
      </c>
      <c r="H2434" s="517" t="s">
        <v>6425</v>
      </c>
    </row>
    <row r="2435" spans="2:8" ht="15" x14ac:dyDescent="0.35">
      <c r="B2435" s="544" t="s">
        <v>6263</v>
      </c>
      <c r="C2435" s="517" t="s">
        <v>6407</v>
      </c>
      <c r="D2435" s="518">
        <v>11974</v>
      </c>
      <c r="E2435" s="517" t="s">
        <v>6461</v>
      </c>
      <c r="F2435" s="518" t="s">
        <v>29</v>
      </c>
      <c r="G2435" s="519">
        <v>1240911</v>
      </c>
      <c r="H2435" s="517" t="s">
        <v>6425</v>
      </c>
    </row>
    <row r="2436" spans="2:8" ht="15" x14ac:dyDescent="0.35">
      <c r="B2436" s="544" t="s">
        <v>6263</v>
      </c>
      <c r="C2436" s="517" t="s">
        <v>6358</v>
      </c>
      <c r="D2436" s="518">
        <v>11977</v>
      </c>
      <c r="E2436" s="517" t="s">
        <v>6078</v>
      </c>
      <c r="F2436" s="518" t="s">
        <v>29</v>
      </c>
      <c r="G2436" s="519">
        <v>153510</v>
      </c>
      <c r="H2436" s="517" t="s">
        <v>6915</v>
      </c>
    </row>
    <row r="2437" spans="2:8" ht="15" x14ac:dyDescent="0.35">
      <c r="B2437" s="544" t="s">
        <v>6263</v>
      </c>
      <c r="C2437" s="517" t="s">
        <v>6358</v>
      </c>
      <c r="D2437" s="518">
        <v>11978</v>
      </c>
      <c r="E2437" s="517" t="s">
        <v>6079</v>
      </c>
      <c r="F2437" s="518" t="s">
        <v>29</v>
      </c>
      <c r="G2437" s="519">
        <v>2216970</v>
      </c>
      <c r="H2437" s="517" t="s">
        <v>6915</v>
      </c>
    </row>
    <row r="2438" spans="2:8" ht="15" x14ac:dyDescent="0.35">
      <c r="B2438" s="544" t="s">
        <v>6263</v>
      </c>
      <c r="C2438" s="517" t="s">
        <v>6358</v>
      </c>
      <c r="D2438" s="518">
        <v>11979</v>
      </c>
      <c r="E2438" s="517" t="s">
        <v>6080</v>
      </c>
      <c r="F2438" s="518" t="s">
        <v>29</v>
      </c>
      <c r="G2438" s="519">
        <v>135660</v>
      </c>
      <c r="H2438" s="517" t="s">
        <v>6915</v>
      </c>
    </row>
    <row r="2439" spans="2:8" ht="15" x14ac:dyDescent="0.35">
      <c r="B2439" s="544" t="s">
        <v>6263</v>
      </c>
      <c r="C2439" s="517" t="s">
        <v>6339</v>
      </c>
      <c r="D2439" s="518">
        <v>11981</v>
      </c>
      <c r="E2439" s="517" t="s">
        <v>4858</v>
      </c>
      <c r="F2439" s="518" t="s">
        <v>29</v>
      </c>
      <c r="G2439" s="519">
        <v>204483</v>
      </c>
      <c r="H2439" s="517" t="s">
        <v>6425</v>
      </c>
    </row>
    <row r="2440" spans="2:8" ht="15" x14ac:dyDescent="0.35">
      <c r="B2440" s="544" t="s">
        <v>6263</v>
      </c>
      <c r="C2440" s="517" t="s">
        <v>6339</v>
      </c>
      <c r="D2440" s="518">
        <v>11982</v>
      </c>
      <c r="E2440" s="517" t="s">
        <v>4859</v>
      </c>
      <c r="F2440" s="518" t="s">
        <v>29</v>
      </c>
      <c r="G2440" s="519">
        <v>324685</v>
      </c>
      <c r="H2440" s="517" t="s">
        <v>6425</v>
      </c>
    </row>
    <row r="2441" spans="2:8" ht="15" x14ac:dyDescent="0.35">
      <c r="B2441" s="544" t="s">
        <v>6263</v>
      </c>
      <c r="C2441" s="517" t="s">
        <v>6339</v>
      </c>
      <c r="D2441" s="518">
        <v>11983</v>
      </c>
      <c r="E2441" s="517" t="s">
        <v>4860</v>
      </c>
      <c r="F2441" s="518" t="s">
        <v>29</v>
      </c>
      <c r="G2441" s="519">
        <v>232050</v>
      </c>
      <c r="H2441" s="517" t="s">
        <v>6425</v>
      </c>
    </row>
    <row r="2442" spans="2:8" ht="15" x14ac:dyDescent="0.35">
      <c r="B2442" s="544" t="s">
        <v>6263</v>
      </c>
      <c r="C2442" s="517" t="s">
        <v>6347</v>
      </c>
      <c r="D2442" s="518">
        <v>11984</v>
      </c>
      <c r="E2442" s="517" t="s">
        <v>4861</v>
      </c>
      <c r="F2442" s="518" t="s">
        <v>367</v>
      </c>
      <c r="G2442" s="519">
        <v>10000</v>
      </c>
      <c r="H2442" s="517" t="s">
        <v>6425</v>
      </c>
    </row>
    <row r="2443" spans="2:8" ht="15" x14ac:dyDescent="0.35">
      <c r="B2443" s="544" t="s">
        <v>6263</v>
      </c>
      <c r="C2443" s="517" t="s">
        <v>6339</v>
      </c>
      <c r="D2443" s="518">
        <v>11987</v>
      </c>
      <c r="E2443" s="517" t="s">
        <v>4862</v>
      </c>
      <c r="F2443" s="518" t="s">
        <v>29</v>
      </c>
      <c r="G2443" s="519">
        <v>153259</v>
      </c>
      <c r="H2443" s="517" t="s">
        <v>6425</v>
      </c>
    </row>
    <row r="2444" spans="2:8" ht="15" x14ac:dyDescent="0.35">
      <c r="B2444" s="544" t="s">
        <v>6263</v>
      </c>
      <c r="C2444" s="517" t="s">
        <v>6359</v>
      </c>
      <c r="D2444" s="518">
        <v>11988</v>
      </c>
      <c r="E2444" s="517" t="s">
        <v>4863</v>
      </c>
      <c r="F2444" s="518" t="s">
        <v>26</v>
      </c>
      <c r="G2444" s="519">
        <v>2990</v>
      </c>
      <c r="H2444" s="517" t="s">
        <v>6915</v>
      </c>
    </row>
    <row r="2445" spans="2:8" ht="15" x14ac:dyDescent="0.35">
      <c r="B2445" s="544" t="s">
        <v>6263</v>
      </c>
      <c r="C2445" s="517" t="s">
        <v>6363</v>
      </c>
      <c r="D2445" s="518">
        <v>11989</v>
      </c>
      <c r="E2445" s="517" t="s">
        <v>4864</v>
      </c>
      <c r="F2445" s="518" t="s">
        <v>26</v>
      </c>
      <c r="G2445" s="519">
        <v>4800</v>
      </c>
      <c r="H2445" s="517" t="s">
        <v>6915</v>
      </c>
    </row>
    <row r="2446" spans="2:8" ht="15" x14ac:dyDescent="0.35">
      <c r="B2446" s="544" t="s">
        <v>6263</v>
      </c>
      <c r="C2446" s="517" t="s">
        <v>6339</v>
      </c>
      <c r="D2446" s="518">
        <v>11990</v>
      </c>
      <c r="E2446" s="517" t="s">
        <v>4865</v>
      </c>
      <c r="F2446" s="518" t="s">
        <v>29</v>
      </c>
      <c r="G2446" s="519">
        <v>132637</v>
      </c>
      <c r="H2446" s="517" t="s">
        <v>6425</v>
      </c>
    </row>
    <row r="2447" spans="2:8" ht="15" x14ac:dyDescent="0.35">
      <c r="B2447" s="544" t="s">
        <v>6263</v>
      </c>
      <c r="C2447" s="517" t="s">
        <v>6388</v>
      </c>
      <c r="D2447" s="518">
        <v>11991</v>
      </c>
      <c r="E2447" s="517" t="s">
        <v>4866</v>
      </c>
      <c r="F2447" s="518" t="s">
        <v>26</v>
      </c>
      <c r="G2447" s="519">
        <v>757125</v>
      </c>
      <c r="H2447" s="517" t="s">
        <v>6915</v>
      </c>
    </row>
    <row r="2448" spans="2:8" ht="15" x14ac:dyDescent="0.35">
      <c r="B2448" s="544" t="s">
        <v>6263</v>
      </c>
      <c r="C2448" s="517" t="s">
        <v>6388</v>
      </c>
      <c r="D2448" s="518">
        <v>11992</v>
      </c>
      <c r="E2448" s="517" t="s">
        <v>4867</v>
      </c>
      <c r="F2448" s="518" t="s">
        <v>26</v>
      </c>
      <c r="G2448" s="519">
        <v>1999200</v>
      </c>
      <c r="H2448" s="517" t="s">
        <v>6915</v>
      </c>
    </row>
    <row r="2449" spans="2:8" ht="15" x14ac:dyDescent="0.35">
      <c r="B2449" s="544" t="s">
        <v>6263</v>
      </c>
      <c r="C2449" s="517" t="s">
        <v>6345</v>
      </c>
      <c r="D2449" s="518">
        <v>11993</v>
      </c>
      <c r="E2449" s="517" t="s">
        <v>4868</v>
      </c>
      <c r="F2449" s="518" t="s">
        <v>29</v>
      </c>
      <c r="G2449" s="519">
        <v>6000</v>
      </c>
      <c r="H2449" s="517" t="s">
        <v>6425</v>
      </c>
    </row>
    <row r="2450" spans="2:8" ht="15" x14ac:dyDescent="0.35">
      <c r="B2450" s="544" t="s">
        <v>6263</v>
      </c>
      <c r="C2450" s="517" t="s">
        <v>6361</v>
      </c>
      <c r="D2450" s="518">
        <v>11994</v>
      </c>
      <c r="E2450" s="517" t="s">
        <v>4869</v>
      </c>
      <c r="F2450" s="518" t="s">
        <v>29</v>
      </c>
      <c r="G2450" s="519">
        <v>645934</v>
      </c>
      <c r="H2450" s="517" t="s">
        <v>6915</v>
      </c>
    </row>
    <row r="2451" spans="2:8" ht="15" x14ac:dyDescent="0.35">
      <c r="B2451" s="544" t="s">
        <v>6263</v>
      </c>
      <c r="C2451" s="517" t="s">
        <v>6361</v>
      </c>
      <c r="D2451" s="518">
        <v>11995</v>
      </c>
      <c r="E2451" s="517" t="s">
        <v>4870</v>
      </c>
      <c r="F2451" s="518" t="s">
        <v>29</v>
      </c>
      <c r="G2451" s="519">
        <v>226474</v>
      </c>
      <c r="H2451" s="517" t="s">
        <v>6915</v>
      </c>
    </row>
    <row r="2452" spans="2:8" ht="15" x14ac:dyDescent="0.35">
      <c r="B2452" s="544" t="s">
        <v>6263</v>
      </c>
      <c r="C2452" s="517" t="s">
        <v>6358</v>
      </c>
      <c r="D2452" s="518">
        <v>11996</v>
      </c>
      <c r="E2452" s="517" t="s">
        <v>6081</v>
      </c>
      <c r="F2452" s="518" t="s">
        <v>29</v>
      </c>
      <c r="G2452" s="519">
        <v>1711220</v>
      </c>
      <c r="H2452" s="517" t="s">
        <v>6915</v>
      </c>
    </row>
    <row r="2453" spans="2:8" ht="15" x14ac:dyDescent="0.35">
      <c r="B2453" s="544" t="s">
        <v>6263</v>
      </c>
      <c r="C2453" s="517" t="s">
        <v>6343</v>
      </c>
      <c r="D2453" s="518">
        <v>11997</v>
      </c>
      <c r="E2453" s="517" t="s">
        <v>4871</v>
      </c>
      <c r="F2453" s="518" t="s">
        <v>23</v>
      </c>
      <c r="G2453" s="519">
        <v>121380</v>
      </c>
      <c r="H2453" s="517" t="s">
        <v>6425</v>
      </c>
    </row>
    <row r="2454" spans="2:8" ht="15" x14ac:dyDescent="0.35">
      <c r="B2454" s="544" t="s">
        <v>6263</v>
      </c>
      <c r="C2454" s="517" t="s">
        <v>6359</v>
      </c>
      <c r="D2454" s="518">
        <v>11998</v>
      </c>
      <c r="E2454" s="517" t="s">
        <v>4872</v>
      </c>
      <c r="F2454" s="518" t="s">
        <v>29</v>
      </c>
      <c r="G2454" s="519">
        <v>92996</v>
      </c>
      <c r="H2454" s="517" t="s">
        <v>6915</v>
      </c>
    </row>
    <row r="2455" spans="2:8" ht="15" x14ac:dyDescent="0.35">
      <c r="B2455" s="544" t="s">
        <v>6263</v>
      </c>
      <c r="C2455" s="517" t="s">
        <v>6376</v>
      </c>
      <c r="D2455" s="518">
        <v>12002</v>
      </c>
      <c r="E2455" s="517" t="s">
        <v>6082</v>
      </c>
      <c r="F2455" s="518" t="s">
        <v>3172</v>
      </c>
      <c r="G2455" s="519">
        <v>27000</v>
      </c>
      <c r="H2455" s="517" t="s">
        <v>6915</v>
      </c>
    </row>
    <row r="2456" spans="2:8" ht="15" x14ac:dyDescent="0.35">
      <c r="B2456" s="544" t="s">
        <v>6263</v>
      </c>
      <c r="C2456" s="517" t="s">
        <v>6376</v>
      </c>
      <c r="D2456" s="518">
        <v>12003</v>
      </c>
      <c r="E2456" s="517" t="s">
        <v>4873</v>
      </c>
      <c r="F2456" s="518" t="s">
        <v>29</v>
      </c>
      <c r="G2456" s="519">
        <v>8287</v>
      </c>
      <c r="H2456" s="517" t="s">
        <v>6915</v>
      </c>
    </row>
    <row r="2457" spans="2:8" ht="15" x14ac:dyDescent="0.35">
      <c r="B2457" s="544" t="s">
        <v>6263</v>
      </c>
      <c r="C2457" s="517" t="s">
        <v>6376</v>
      </c>
      <c r="D2457" s="518">
        <v>12004</v>
      </c>
      <c r="E2457" s="517" t="s">
        <v>6083</v>
      </c>
      <c r="F2457" s="518" t="s">
        <v>29</v>
      </c>
      <c r="G2457" s="519">
        <v>59235</v>
      </c>
      <c r="H2457" s="517" t="s">
        <v>6915</v>
      </c>
    </row>
    <row r="2458" spans="2:8" ht="15" x14ac:dyDescent="0.35">
      <c r="B2458" s="544" t="s">
        <v>6263</v>
      </c>
      <c r="C2458" s="517" t="s">
        <v>6376</v>
      </c>
      <c r="D2458" s="518">
        <v>12005</v>
      </c>
      <c r="E2458" s="517" t="s">
        <v>4874</v>
      </c>
      <c r="F2458" s="518" t="s">
        <v>29</v>
      </c>
      <c r="G2458" s="519">
        <v>107900</v>
      </c>
      <c r="H2458" s="517" t="s">
        <v>6915</v>
      </c>
    </row>
    <row r="2459" spans="2:8" ht="15" x14ac:dyDescent="0.35">
      <c r="B2459" s="544" t="s">
        <v>6263</v>
      </c>
      <c r="C2459" s="517" t="s">
        <v>6376</v>
      </c>
      <c r="D2459" s="518">
        <v>12006</v>
      </c>
      <c r="E2459" s="517" t="s">
        <v>6084</v>
      </c>
      <c r="F2459" s="518" t="s">
        <v>29</v>
      </c>
      <c r="G2459" s="519">
        <v>78100</v>
      </c>
      <c r="H2459" s="517" t="s">
        <v>6915</v>
      </c>
    </row>
    <row r="2460" spans="2:8" ht="15" x14ac:dyDescent="0.35">
      <c r="B2460" s="544" t="s">
        <v>6263</v>
      </c>
      <c r="C2460" s="517" t="s">
        <v>6376</v>
      </c>
      <c r="D2460" s="518">
        <v>12010</v>
      </c>
      <c r="E2460" s="517" t="s">
        <v>6085</v>
      </c>
      <c r="F2460" s="518" t="s">
        <v>3172</v>
      </c>
      <c r="G2460" s="519">
        <v>26000</v>
      </c>
      <c r="H2460" s="517" t="s">
        <v>6915</v>
      </c>
    </row>
    <row r="2461" spans="2:8" ht="15" x14ac:dyDescent="0.35">
      <c r="B2461" s="544" t="s">
        <v>6263</v>
      </c>
      <c r="C2461" s="517" t="s">
        <v>6376</v>
      </c>
      <c r="D2461" s="518">
        <v>12011</v>
      </c>
      <c r="E2461" s="517" t="s">
        <v>4875</v>
      </c>
      <c r="F2461" s="518" t="s">
        <v>29</v>
      </c>
      <c r="G2461" s="519">
        <v>1100000</v>
      </c>
      <c r="H2461" s="517" t="s">
        <v>6915</v>
      </c>
    </row>
    <row r="2462" spans="2:8" ht="15" x14ac:dyDescent="0.35">
      <c r="B2462" s="544" t="s">
        <v>6263</v>
      </c>
      <c r="C2462" s="517" t="s">
        <v>6376</v>
      </c>
      <c r="D2462" s="518">
        <v>12015</v>
      </c>
      <c r="E2462" s="517" t="s">
        <v>6086</v>
      </c>
      <c r="F2462" s="518" t="s">
        <v>3189</v>
      </c>
      <c r="G2462" s="519">
        <v>13500</v>
      </c>
      <c r="H2462" s="517" t="s">
        <v>6915</v>
      </c>
    </row>
    <row r="2463" spans="2:8" ht="15" x14ac:dyDescent="0.35">
      <c r="B2463" s="544" t="s">
        <v>6263</v>
      </c>
      <c r="C2463" s="517" t="s">
        <v>6376</v>
      </c>
      <c r="D2463" s="518">
        <v>12017</v>
      </c>
      <c r="E2463" s="517" t="s">
        <v>6087</v>
      </c>
      <c r="F2463" s="518" t="s">
        <v>29</v>
      </c>
      <c r="G2463" s="519">
        <v>129900</v>
      </c>
      <c r="H2463" s="517" t="s">
        <v>6915</v>
      </c>
    </row>
    <row r="2464" spans="2:8" ht="15" x14ac:dyDescent="0.35">
      <c r="B2464" s="544" t="s">
        <v>6263</v>
      </c>
      <c r="C2464" s="517" t="s">
        <v>6376</v>
      </c>
      <c r="D2464" s="518">
        <v>12019</v>
      </c>
      <c r="E2464" s="517" t="s">
        <v>4876</v>
      </c>
      <c r="F2464" s="518" t="s">
        <v>29</v>
      </c>
      <c r="G2464" s="519">
        <v>59417</v>
      </c>
      <c r="H2464" s="517" t="s">
        <v>6915</v>
      </c>
    </row>
    <row r="2465" spans="2:8" ht="15" x14ac:dyDescent="0.35">
      <c r="B2465" s="544" t="s">
        <v>6263</v>
      </c>
      <c r="C2465" s="517" t="s">
        <v>6360</v>
      </c>
      <c r="D2465" s="518">
        <v>12020</v>
      </c>
      <c r="E2465" s="517" t="s">
        <v>4877</v>
      </c>
      <c r="F2465" s="518" t="s">
        <v>23</v>
      </c>
      <c r="G2465" s="519">
        <v>29691</v>
      </c>
      <c r="H2465" s="517" t="s">
        <v>6425</v>
      </c>
    </row>
    <row r="2466" spans="2:8" ht="15" x14ac:dyDescent="0.35">
      <c r="B2466" s="544" t="s">
        <v>6263</v>
      </c>
      <c r="C2466" s="517" t="s">
        <v>6360</v>
      </c>
      <c r="D2466" s="518">
        <v>12021</v>
      </c>
      <c r="E2466" s="517" t="s">
        <v>4878</v>
      </c>
      <c r="F2466" s="518" t="s">
        <v>367</v>
      </c>
      <c r="G2466" s="519">
        <v>1071</v>
      </c>
      <c r="H2466" s="517" t="s">
        <v>6425</v>
      </c>
    </row>
    <row r="2467" spans="2:8" ht="15" x14ac:dyDescent="0.35">
      <c r="B2467" s="544" t="s">
        <v>6263</v>
      </c>
      <c r="C2467" s="517" t="s">
        <v>6376</v>
      </c>
      <c r="D2467" s="518">
        <v>12022</v>
      </c>
      <c r="E2467" s="517" t="s">
        <v>4879</v>
      </c>
      <c r="F2467" s="518" t="s">
        <v>29</v>
      </c>
      <c r="G2467" s="519">
        <v>32900</v>
      </c>
      <c r="H2467" s="517" t="s">
        <v>6915</v>
      </c>
    </row>
    <row r="2468" spans="2:8" ht="15" x14ac:dyDescent="0.35">
      <c r="B2468" s="544" t="s">
        <v>6263</v>
      </c>
      <c r="C2468" s="517" t="s">
        <v>6376</v>
      </c>
      <c r="D2468" s="518">
        <v>12023</v>
      </c>
      <c r="E2468" s="517" t="s">
        <v>4880</v>
      </c>
      <c r="F2468" s="518" t="s">
        <v>29</v>
      </c>
      <c r="G2468" s="519">
        <v>62475</v>
      </c>
      <c r="H2468" s="517" t="s">
        <v>6915</v>
      </c>
    </row>
    <row r="2469" spans="2:8" ht="15" x14ac:dyDescent="0.35">
      <c r="B2469" s="544" t="s">
        <v>6263</v>
      </c>
      <c r="C2469" s="517" t="s">
        <v>6376</v>
      </c>
      <c r="D2469" s="518">
        <v>12024</v>
      </c>
      <c r="E2469" s="517" t="s">
        <v>4881</v>
      </c>
      <c r="F2469" s="518" t="s">
        <v>3707</v>
      </c>
      <c r="G2469" s="519">
        <v>39000</v>
      </c>
      <c r="H2469" s="517" t="s">
        <v>6915</v>
      </c>
    </row>
    <row r="2470" spans="2:8" ht="15" x14ac:dyDescent="0.35">
      <c r="B2470" s="544" t="s">
        <v>6263</v>
      </c>
      <c r="C2470" s="517" t="s">
        <v>6376</v>
      </c>
      <c r="D2470" s="518">
        <v>12025</v>
      </c>
      <c r="E2470" s="517" t="s">
        <v>4882</v>
      </c>
      <c r="F2470" s="518" t="s">
        <v>3707</v>
      </c>
      <c r="G2470" s="519">
        <v>11100</v>
      </c>
      <c r="H2470" s="517" t="s">
        <v>6915</v>
      </c>
    </row>
    <row r="2471" spans="2:8" ht="15" x14ac:dyDescent="0.35">
      <c r="B2471" s="544" t="s">
        <v>6263</v>
      </c>
      <c r="C2471" s="517" t="s">
        <v>6376</v>
      </c>
      <c r="D2471" s="518">
        <v>12026</v>
      </c>
      <c r="E2471" s="517" t="s">
        <v>4883</v>
      </c>
      <c r="F2471" s="518" t="s">
        <v>29</v>
      </c>
      <c r="G2471" s="519">
        <v>268</v>
      </c>
      <c r="H2471" s="517" t="s">
        <v>6915</v>
      </c>
    </row>
    <row r="2472" spans="2:8" ht="15" x14ac:dyDescent="0.35">
      <c r="B2472" s="544" t="s">
        <v>6263</v>
      </c>
      <c r="C2472" s="517" t="s">
        <v>6376</v>
      </c>
      <c r="D2472" s="518">
        <v>12027</v>
      </c>
      <c r="E2472" s="517" t="s">
        <v>4884</v>
      </c>
      <c r="F2472" s="518" t="s">
        <v>3719</v>
      </c>
      <c r="G2472" s="519">
        <v>34140</v>
      </c>
      <c r="H2472" s="517" t="s">
        <v>6915</v>
      </c>
    </row>
    <row r="2473" spans="2:8" ht="15" x14ac:dyDescent="0.35">
      <c r="B2473" s="544" t="s">
        <v>6263</v>
      </c>
      <c r="C2473" s="517" t="s">
        <v>6376</v>
      </c>
      <c r="D2473" s="518">
        <v>12028</v>
      </c>
      <c r="E2473" s="517" t="s">
        <v>6088</v>
      </c>
      <c r="F2473" s="518" t="s">
        <v>367</v>
      </c>
      <c r="G2473" s="519">
        <v>2118</v>
      </c>
      <c r="H2473" s="517" t="s">
        <v>6915</v>
      </c>
    </row>
    <row r="2474" spans="2:8" ht="15" x14ac:dyDescent="0.35">
      <c r="B2474" s="544" t="s">
        <v>6263</v>
      </c>
      <c r="C2474" s="517" t="s">
        <v>6376</v>
      </c>
      <c r="D2474" s="518">
        <v>12029</v>
      </c>
      <c r="E2474" s="517" t="s">
        <v>4885</v>
      </c>
      <c r="F2474" s="518" t="s">
        <v>29</v>
      </c>
      <c r="G2474" s="519">
        <v>24364</v>
      </c>
      <c r="H2474" s="517" t="s">
        <v>6915</v>
      </c>
    </row>
    <row r="2475" spans="2:8" ht="15" x14ac:dyDescent="0.35">
      <c r="B2475" s="544" t="s">
        <v>6263</v>
      </c>
      <c r="C2475" s="517" t="s">
        <v>6376</v>
      </c>
      <c r="D2475" s="518">
        <v>12030</v>
      </c>
      <c r="E2475" s="517" t="s">
        <v>4886</v>
      </c>
      <c r="F2475" s="518" t="s">
        <v>29</v>
      </c>
      <c r="G2475" s="519">
        <v>65000</v>
      </c>
      <c r="H2475" s="517" t="s">
        <v>6915</v>
      </c>
    </row>
    <row r="2476" spans="2:8" ht="15" x14ac:dyDescent="0.35">
      <c r="B2476" s="544" t="s">
        <v>6263</v>
      </c>
      <c r="C2476" s="517" t="s">
        <v>6376</v>
      </c>
      <c r="D2476" s="518">
        <v>12031</v>
      </c>
      <c r="E2476" s="517" t="s">
        <v>6089</v>
      </c>
      <c r="F2476" s="518" t="s">
        <v>29</v>
      </c>
      <c r="G2476" s="519">
        <v>2800</v>
      </c>
      <c r="H2476" s="517" t="s">
        <v>6915</v>
      </c>
    </row>
    <row r="2477" spans="2:8" ht="15" x14ac:dyDescent="0.35">
      <c r="B2477" s="544" t="s">
        <v>6263</v>
      </c>
      <c r="C2477" s="517" t="s">
        <v>6376</v>
      </c>
      <c r="D2477" s="518">
        <v>12039</v>
      </c>
      <c r="E2477" s="517" t="s">
        <v>6090</v>
      </c>
      <c r="F2477" s="518" t="s">
        <v>29</v>
      </c>
      <c r="G2477" s="519">
        <v>336</v>
      </c>
      <c r="H2477" s="517" t="s">
        <v>6915</v>
      </c>
    </row>
    <row r="2478" spans="2:8" ht="15" x14ac:dyDescent="0.35">
      <c r="B2478" s="544" t="s">
        <v>6263</v>
      </c>
      <c r="C2478" s="517" t="s">
        <v>6376</v>
      </c>
      <c r="D2478" s="518">
        <v>12040</v>
      </c>
      <c r="E2478" s="517" t="s">
        <v>6091</v>
      </c>
      <c r="F2478" s="518" t="s">
        <v>3189</v>
      </c>
      <c r="G2478" s="519">
        <v>2800</v>
      </c>
      <c r="H2478" s="517" t="s">
        <v>6915</v>
      </c>
    </row>
    <row r="2479" spans="2:8" ht="15" x14ac:dyDescent="0.35">
      <c r="B2479" s="544" t="s">
        <v>6263</v>
      </c>
      <c r="C2479" s="517" t="s">
        <v>6361</v>
      </c>
      <c r="D2479" s="518">
        <v>12043</v>
      </c>
      <c r="E2479" s="517" t="s">
        <v>4887</v>
      </c>
      <c r="F2479" s="518" t="s">
        <v>29</v>
      </c>
      <c r="G2479" s="519">
        <v>3440464</v>
      </c>
      <c r="H2479" s="517" t="s">
        <v>6915</v>
      </c>
    </row>
    <row r="2480" spans="2:8" ht="15" x14ac:dyDescent="0.35">
      <c r="B2480" s="544" t="s">
        <v>6263</v>
      </c>
      <c r="C2480" s="517" t="s">
        <v>6367</v>
      </c>
      <c r="D2480" s="518">
        <v>12045</v>
      </c>
      <c r="E2480" s="517" t="s">
        <v>4888</v>
      </c>
      <c r="F2480" s="518" t="s">
        <v>21</v>
      </c>
      <c r="G2480" s="519">
        <v>1642</v>
      </c>
      <c r="H2480" s="517" t="s">
        <v>6915</v>
      </c>
    </row>
    <row r="2481" spans="2:8" ht="15" x14ac:dyDescent="0.35">
      <c r="B2481" s="544" t="s">
        <v>6263</v>
      </c>
      <c r="C2481" s="517" t="s">
        <v>6367</v>
      </c>
      <c r="D2481" s="518">
        <v>12046</v>
      </c>
      <c r="E2481" s="517" t="s">
        <v>4889</v>
      </c>
      <c r="F2481" s="518" t="s">
        <v>29</v>
      </c>
      <c r="G2481" s="519">
        <v>148043</v>
      </c>
      <c r="H2481" s="517" t="s">
        <v>6915</v>
      </c>
    </row>
    <row r="2482" spans="2:8" ht="15" x14ac:dyDescent="0.35">
      <c r="B2482" s="544" t="s">
        <v>6263</v>
      </c>
      <c r="C2482" s="517" t="s">
        <v>6339</v>
      </c>
      <c r="D2482" s="518">
        <v>12048</v>
      </c>
      <c r="E2482" s="517" t="s">
        <v>4890</v>
      </c>
      <c r="F2482" s="518" t="s">
        <v>367</v>
      </c>
      <c r="G2482" s="519">
        <v>17751</v>
      </c>
      <c r="H2482" s="517" t="s">
        <v>6425</v>
      </c>
    </row>
    <row r="2483" spans="2:8" ht="15" x14ac:dyDescent="0.35">
      <c r="B2483" s="544" t="s">
        <v>6263</v>
      </c>
      <c r="C2483" s="517" t="s">
        <v>6344</v>
      </c>
      <c r="D2483" s="518">
        <v>12050</v>
      </c>
      <c r="E2483" s="517" t="s">
        <v>4891</v>
      </c>
      <c r="F2483" s="518" t="s">
        <v>29</v>
      </c>
      <c r="G2483" s="519">
        <v>471796</v>
      </c>
      <c r="H2483" s="517" t="s">
        <v>6425</v>
      </c>
    </row>
    <row r="2484" spans="2:8" ht="15" x14ac:dyDescent="0.35">
      <c r="B2484" s="544" t="s">
        <v>6263</v>
      </c>
      <c r="C2484" s="517" t="s">
        <v>6353</v>
      </c>
      <c r="D2484" s="518">
        <v>12051</v>
      </c>
      <c r="E2484" s="517" t="s">
        <v>5678</v>
      </c>
      <c r="F2484" s="518" t="s">
        <v>26</v>
      </c>
      <c r="G2484" s="519">
        <v>226632</v>
      </c>
      <c r="H2484" s="517" t="s">
        <v>6425</v>
      </c>
    </row>
    <row r="2485" spans="2:8" ht="15" x14ac:dyDescent="0.35">
      <c r="B2485" s="544" t="s">
        <v>6263</v>
      </c>
      <c r="C2485" s="517" t="s">
        <v>6353</v>
      </c>
      <c r="D2485" s="518">
        <v>12052</v>
      </c>
      <c r="E2485" s="517" t="s">
        <v>4892</v>
      </c>
      <c r="F2485" s="518" t="s">
        <v>29</v>
      </c>
      <c r="G2485" s="519">
        <v>236284</v>
      </c>
      <c r="H2485" s="517" t="s">
        <v>6425</v>
      </c>
    </row>
    <row r="2486" spans="2:8" ht="15" x14ac:dyDescent="0.35">
      <c r="B2486" s="544" t="s">
        <v>6263</v>
      </c>
      <c r="C2486" s="517" t="s">
        <v>6363</v>
      </c>
      <c r="D2486" s="518">
        <v>12058</v>
      </c>
      <c r="E2486" s="517" t="s">
        <v>4893</v>
      </c>
      <c r="F2486" s="518" t="s">
        <v>367</v>
      </c>
      <c r="G2486" s="519">
        <v>6526</v>
      </c>
      <c r="H2486" s="517" t="s">
        <v>6915</v>
      </c>
    </row>
    <row r="2487" spans="2:8" ht="15" x14ac:dyDescent="0.35">
      <c r="B2487" s="544" t="s">
        <v>6263</v>
      </c>
      <c r="C2487" s="517" t="s">
        <v>6358</v>
      </c>
      <c r="D2487" s="518">
        <v>12059</v>
      </c>
      <c r="E2487" s="517" t="s">
        <v>4894</v>
      </c>
      <c r="F2487" s="518" t="s">
        <v>29</v>
      </c>
      <c r="G2487" s="519">
        <v>425987</v>
      </c>
      <c r="H2487" s="517" t="s">
        <v>6915</v>
      </c>
    </row>
    <row r="2488" spans="2:8" ht="15" x14ac:dyDescent="0.35">
      <c r="B2488" s="544" t="s">
        <v>6263</v>
      </c>
      <c r="C2488" s="517" t="s">
        <v>6354</v>
      </c>
      <c r="D2488" s="518">
        <v>12090</v>
      </c>
      <c r="E2488" s="517" t="s">
        <v>4895</v>
      </c>
      <c r="F2488" s="518" t="s">
        <v>367</v>
      </c>
      <c r="G2488" s="519">
        <v>160155</v>
      </c>
      <c r="H2488" s="517" t="s">
        <v>6915</v>
      </c>
    </row>
    <row r="2489" spans="2:8" ht="15" x14ac:dyDescent="0.35">
      <c r="B2489" s="544" t="s">
        <v>6263</v>
      </c>
      <c r="C2489" s="517" t="s">
        <v>6345</v>
      </c>
      <c r="D2489" s="518">
        <v>12091</v>
      </c>
      <c r="E2489" s="517" t="s">
        <v>4896</v>
      </c>
      <c r="F2489" s="518" t="s">
        <v>29</v>
      </c>
      <c r="G2489" s="519">
        <v>8330</v>
      </c>
      <c r="H2489" s="517" t="s">
        <v>6425</v>
      </c>
    </row>
    <row r="2490" spans="2:8" ht="15" x14ac:dyDescent="0.35">
      <c r="B2490" s="544" t="s">
        <v>6263</v>
      </c>
      <c r="C2490" s="517" t="s">
        <v>6345</v>
      </c>
      <c r="D2490" s="518">
        <v>12092</v>
      </c>
      <c r="E2490" s="517" t="s">
        <v>4897</v>
      </c>
      <c r="F2490" s="518" t="s">
        <v>29</v>
      </c>
      <c r="G2490" s="519">
        <v>14280</v>
      </c>
      <c r="H2490" s="517" t="s">
        <v>6425</v>
      </c>
    </row>
    <row r="2491" spans="2:8" ht="15" x14ac:dyDescent="0.35">
      <c r="B2491" s="544" t="s">
        <v>6263</v>
      </c>
      <c r="C2491" s="517" t="s">
        <v>6345</v>
      </c>
      <c r="D2491" s="518">
        <v>12093</v>
      </c>
      <c r="E2491" s="517" t="s">
        <v>4898</v>
      </c>
      <c r="F2491" s="518" t="s">
        <v>29</v>
      </c>
      <c r="G2491" s="519">
        <v>21420</v>
      </c>
      <c r="H2491" s="517" t="s">
        <v>6425</v>
      </c>
    </row>
    <row r="2492" spans="2:8" ht="15" x14ac:dyDescent="0.35">
      <c r="B2492" s="544" t="s">
        <v>6263</v>
      </c>
      <c r="C2492" s="517" t="s">
        <v>6345</v>
      </c>
      <c r="D2492" s="518">
        <v>12094</v>
      </c>
      <c r="E2492" s="517" t="s">
        <v>4899</v>
      </c>
      <c r="F2492" s="518" t="s">
        <v>29</v>
      </c>
      <c r="G2492" s="519">
        <v>26180</v>
      </c>
      <c r="H2492" s="517" t="s">
        <v>6425</v>
      </c>
    </row>
    <row r="2493" spans="2:8" ht="15" x14ac:dyDescent="0.35">
      <c r="B2493" s="544" t="s">
        <v>6263</v>
      </c>
      <c r="C2493" s="517" t="s">
        <v>6345</v>
      </c>
      <c r="D2493" s="518">
        <v>12095</v>
      </c>
      <c r="E2493" s="517" t="s">
        <v>4900</v>
      </c>
      <c r="F2493" s="518" t="s">
        <v>29</v>
      </c>
      <c r="G2493" s="519">
        <v>9520</v>
      </c>
      <c r="H2493" s="517" t="s">
        <v>6425</v>
      </c>
    </row>
    <row r="2494" spans="2:8" ht="15" x14ac:dyDescent="0.35">
      <c r="B2494" s="544" t="s">
        <v>6263</v>
      </c>
      <c r="C2494" s="517" t="s">
        <v>6345</v>
      </c>
      <c r="D2494" s="518">
        <v>12096</v>
      </c>
      <c r="E2494" s="517" t="s">
        <v>4901</v>
      </c>
      <c r="F2494" s="518" t="s">
        <v>29</v>
      </c>
      <c r="G2494" s="519">
        <v>16660</v>
      </c>
      <c r="H2494" s="517" t="s">
        <v>6425</v>
      </c>
    </row>
    <row r="2495" spans="2:8" ht="15" x14ac:dyDescent="0.35">
      <c r="B2495" s="544" t="s">
        <v>6263</v>
      </c>
      <c r="C2495" s="517" t="s">
        <v>6345</v>
      </c>
      <c r="D2495" s="518">
        <v>12097</v>
      </c>
      <c r="E2495" s="517" t="s">
        <v>4902</v>
      </c>
      <c r="F2495" s="518" t="s">
        <v>29</v>
      </c>
      <c r="G2495" s="519">
        <v>29750</v>
      </c>
      <c r="H2495" s="517" t="s">
        <v>6425</v>
      </c>
    </row>
    <row r="2496" spans="2:8" ht="15" x14ac:dyDescent="0.35">
      <c r="B2496" s="544" t="s">
        <v>6263</v>
      </c>
      <c r="C2496" s="517" t="s">
        <v>6345</v>
      </c>
      <c r="D2496" s="518">
        <v>12098</v>
      </c>
      <c r="E2496" s="517" t="s">
        <v>4903</v>
      </c>
      <c r="F2496" s="518" t="s">
        <v>29</v>
      </c>
      <c r="G2496" s="519">
        <v>32130</v>
      </c>
      <c r="H2496" s="517" t="s">
        <v>6425</v>
      </c>
    </row>
    <row r="2497" spans="2:8" ht="15" x14ac:dyDescent="0.35">
      <c r="B2497" s="544" t="s">
        <v>6263</v>
      </c>
      <c r="C2497" s="517" t="s">
        <v>6407</v>
      </c>
      <c r="D2497" s="518">
        <v>12229</v>
      </c>
      <c r="E2497" s="517" t="s">
        <v>6462</v>
      </c>
      <c r="F2497" s="518" t="s">
        <v>29</v>
      </c>
      <c r="G2497" s="519">
        <v>510345</v>
      </c>
      <c r="H2497" s="517" t="s">
        <v>6425</v>
      </c>
    </row>
    <row r="2498" spans="2:8" ht="15" x14ac:dyDescent="0.35">
      <c r="B2498" s="544" t="s">
        <v>6263</v>
      </c>
      <c r="C2498" s="517" t="s">
        <v>6342</v>
      </c>
      <c r="D2498" s="518">
        <v>12234</v>
      </c>
      <c r="E2498" s="517" t="s">
        <v>4904</v>
      </c>
      <c r="F2498" s="518" t="s">
        <v>29</v>
      </c>
      <c r="G2498" s="519">
        <v>2350</v>
      </c>
      <c r="H2498" s="517" t="s">
        <v>6425</v>
      </c>
    </row>
    <row r="2499" spans="2:8" ht="15" x14ac:dyDescent="0.35">
      <c r="B2499" s="544" t="s">
        <v>6263</v>
      </c>
      <c r="C2499" s="517" t="s">
        <v>6363</v>
      </c>
      <c r="D2499" s="518">
        <v>12235</v>
      </c>
      <c r="E2499" s="517" t="s">
        <v>4905</v>
      </c>
      <c r="F2499" s="518" t="s">
        <v>367</v>
      </c>
      <c r="G2499" s="519">
        <v>55692</v>
      </c>
      <c r="H2499" s="517" t="s">
        <v>6915</v>
      </c>
    </row>
    <row r="2500" spans="2:8" ht="15" x14ac:dyDescent="0.35">
      <c r="B2500" s="544" t="s">
        <v>6263</v>
      </c>
      <c r="C2500" s="517" t="s">
        <v>6415</v>
      </c>
      <c r="D2500" s="518">
        <v>12236</v>
      </c>
      <c r="E2500" s="517" t="s">
        <v>6092</v>
      </c>
      <c r="F2500" s="518" t="s">
        <v>29</v>
      </c>
      <c r="G2500" s="519">
        <v>241770</v>
      </c>
      <c r="H2500" s="517" t="s">
        <v>6915</v>
      </c>
    </row>
    <row r="2501" spans="2:8" ht="15" x14ac:dyDescent="0.35">
      <c r="B2501" s="544" t="s">
        <v>6263</v>
      </c>
      <c r="C2501" s="517" t="s">
        <v>6412</v>
      </c>
      <c r="D2501" s="518">
        <v>12237</v>
      </c>
      <c r="E2501" s="517" t="s">
        <v>6093</v>
      </c>
      <c r="F2501" s="518" t="s">
        <v>29</v>
      </c>
      <c r="G2501" s="519">
        <v>134884</v>
      </c>
      <c r="H2501" s="517" t="s">
        <v>6915</v>
      </c>
    </row>
    <row r="2502" spans="2:8" ht="15" x14ac:dyDescent="0.35">
      <c r="B2502" s="544" t="s">
        <v>6263</v>
      </c>
      <c r="C2502" s="517" t="s">
        <v>6412</v>
      </c>
      <c r="D2502" s="518">
        <v>12238</v>
      </c>
      <c r="E2502" s="517" t="s">
        <v>6094</v>
      </c>
      <c r="F2502" s="518" t="s">
        <v>29</v>
      </c>
      <c r="G2502" s="519">
        <v>159460</v>
      </c>
      <c r="H2502" s="517" t="s">
        <v>6915</v>
      </c>
    </row>
    <row r="2503" spans="2:8" ht="15" x14ac:dyDescent="0.35">
      <c r="B2503" s="544" t="s">
        <v>6263</v>
      </c>
      <c r="C2503" s="517" t="s">
        <v>6343</v>
      </c>
      <c r="D2503" s="518">
        <v>12239</v>
      </c>
      <c r="E2503" s="517" t="s">
        <v>4906</v>
      </c>
      <c r="F2503" s="518" t="s">
        <v>23</v>
      </c>
      <c r="G2503" s="519">
        <v>80920</v>
      </c>
      <c r="H2503" s="517" t="s">
        <v>6425</v>
      </c>
    </row>
    <row r="2504" spans="2:8" ht="15" x14ac:dyDescent="0.35">
      <c r="B2504" s="544" t="s">
        <v>6263</v>
      </c>
      <c r="C2504" s="517" t="s">
        <v>6343</v>
      </c>
      <c r="D2504" s="518">
        <v>12240</v>
      </c>
      <c r="E2504" s="517" t="s">
        <v>4907</v>
      </c>
      <c r="F2504" s="518" t="s">
        <v>23</v>
      </c>
      <c r="G2504" s="519">
        <v>80920</v>
      </c>
      <c r="H2504" s="517" t="s">
        <v>6425</v>
      </c>
    </row>
    <row r="2505" spans="2:8" ht="15" x14ac:dyDescent="0.35">
      <c r="B2505" s="544" t="s">
        <v>6263</v>
      </c>
      <c r="C2505" s="517" t="s">
        <v>6343</v>
      </c>
      <c r="D2505" s="518">
        <v>12241</v>
      </c>
      <c r="E2505" s="517" t="s">
        <v>4908</v>
      </c>
      <c r="F2505" s="518" t="s">
        <v>23</v>
      </c>
      <c r="G2505" s="519">
        <v>80920</v>
      </c>
      <c r="H2505" s="517" t="s">
        <v>6425</v>
      </c>
    </row>
    <row r="2506" spans="2:8" ht="15" x14ac:dyDescent="0.35">
      <c r="B2506" s="544" t="s">
        <v>6263</v>
      </c>
      <c r="C2506" s="517" t="s">
        <v>6343</v>
      </c>
      <c r="D2506" s="518">
        <v>12243</v>
      </c>
      <c r="E2506" s="517" t="s">
        <v>4909</v>
      </c>
      <c r="F2506" s="518" t="s">
        <v>23</v>
      </c>
      <c r="G2506" s="519">
        <v>80920</v>
      </c>
      <c r="H2506" s="517" t="s">
        <v>6425</v>
      </c>
    </row>
    <row r="2507" spans="2:8" ht="15" x14ac:dyDescent="0.35">
      <c r="B2507" s="544" t="s">
        <v>6263</v>
      </c>
      <c r="C2507" s="517" t="s">
        <v>6343</v>
      </c>
      <c r="D2507" s="518">
        <v>12244</v>
      </c>
      <c r="E2507" s="517" t="s">
        <v>4910</v>
      </c>
      <c r="F2507" s="518" t="s">
        <v>23</v>
      </c>
      <c r="G2507" s="519">
        <v>19969</v>
      </c>
      <c r="H2507" s="517" t="s">
        <v>6425</v>
      </c>
    </row>
    <row r="2508" spans="2:8" ht="15" x14ac:dyDescent="0.35">
      <c r="B2508" s="544" t="s">
        <v>6263</v>
      </c>
      <c r="C2508" s="517" t="s">
        <v>6343</v>
      </c>
      <c r="D2508" s="518">
        <v>12245</v>
      </c>
      <c r="E2508" s="517" t="s">
        <v>4911</v>
      </c>
      <c r="F2508" s="518" t="s">
        <v>23</v>
      </c>
      <c r="G2508" s="519">
        <v>121380</v>
      </c>
      <c r="H2508" s="517" t="s">
        <v>6425</v>
      </c>
    </row>
    <row r="2509" spans="2:8" ht="15" x14ac:dyDescent="0.35">
      <c r="B2509" s="544" t="s">
        <v>6263</v>
      </c>
      <c r="C2509" s="517" t="s">
        <v>6343</v>
      </c>
      <c r="D2509" s="518">
        <v>12246</v>
      </c>
      <c r="E2509" s="517" t="s">
        <v>4912</v>
      </c>
      <c r="F2509" s="518" t="s">
        <v>23</v>
      </c>
      <c r="G2509" s="519">
        <v>121380</v>
      </c>
      <c r="H2509" s="517" t="s">
        <v>6425</v>
      </c>
    </row>
    <row r="2510" spans="2:8" ht="15" x14ac:dyDescent="0.35">
      <c r="B2510" s="544" t="s">
        <v>6263</v>
      </c>
      <c r="C2510" s="517" t="s">
        <v>6343</v>
      </c>
      <c r="D2510" s="518">
        <v>12247</v>
      </c>
      <c r="E2510" s="517" t="s">
        <v>4913</v>
      </c>
      <c r="F2510" s="518" t="s">
        <v>23</v>
      </c>
      <c r="G2510" s="519">
        <v>80920</v>
      </c>
      <c r="H2510" s="517" t="s">
        <v>6425</v>
      </c>
    </row>
    <row r="2511" spans="2:8" ht="15" x14ac:dyDescent="0.35">
      <c r="B2511" s="544" t="s">
        <v>6263</v>
      </c>
      <c r="C2511" s="517" t="s">
        <v>6343</v>
      </c>
      <c r="D2511" s="518">
        <v>12248</v>
      </c>
      <c r="E2511" s="517" t="s">
        <v>4914</v>
      </c>
      <c r="F2511" s="518" t="s">
        <v>23</v>
      </c>
      <c r="G2511" s="519">
        <v>80920</v>
      </c>
      <c r="H2511" s="517" t="s">
        <v>6425</v>
      </c>
    </row>
    <row r="2512" spans="2:8" ht="15" x14ac:dyDescent="0.35">
      <c r="B2512" s="544" t="s">
        <v>6263</v>
      </c>
      <c r="C2512" s="517" t="s">
        <v>6347</v>
      </c>
      <c r="D2512" s="518">
        <v>12249</v>
      </c>
      <c r="E2512" s="517" t="s">
        <v>4915</v>
      </c>
      <c r="F2512" s="518" t="s">
        <v>367</v>
      </c>
      <c r="G2512" s="519">
        <v>3000</v>
      </c>
      <c r="H2512" s="517" t="s">
        <v>6425</v>
      </c>
    </row>
    <row r="2513" spans="2:8" ht="15" x14ac:dyDescent="0.35">
      <c r="B2513" s="544" t="s">
        <v>6263</v>
      </c>
      <c r="C2513" s="517" t="s">
        <v>6337</v>
      </c>
      <c r="D2513" s="518">
        <v>12250</v>
      </c>
      <c r="E2513" s="517" t="s">
        <v>6463</v>
      </c>
      <c r="F2513" s="518" t="s">
        <v>23</v>
      </c>
      <c r="G2513" s="519">
        <v>678771</v>
      </c>
      <c r="H2513" s="517" t="s">
        <v>6425</v>
      </c>
    </row>
    <row r="2514" spans="2:8" ht="15" x14ac:dyDescent="0.35">
      <c r="B2514" s="544" t="s">
        <v>6263</v>
      </c>
      <c r="C2514" s="517" t="s">
        <v>6337</v>
      </c>
      <c r="D2514" s="518">
        <v>12251</v>
      </c>
      <c r="E2514" s="517" t="s">
        <v>6464</v>
      </c>
      <c r="F2514" s="518" t="s">
        <v>23</v>
      </c>
      <c r="G2514" s="519">
        <v>687324</v>
      </c>
      <c r="H2514" s="517" t="s">
        <v>6425</v>
      </c>
    </row>
    <row r="2515" spans="2:8" ht="15" x14ac:dyDescent="0.35">
      <c r="B2515" s="544" t="s">
        <v>6263</v>
      </c>
      <c r="C2515" s="517" t="s">
        <v>6337</v>
      </c>
      <c r="D2515" s="518">
        <v>12252</v>
      </c>
      <c r="E2515" s="517" t="s">
        <v>6465</v>
      </c>
      <c r="F2515" s="518" t="s">
        <v>23</v>
      </c>
      <c r="G2515" s="519">
        <v>844781</v>
      </c>
      <c r="H2515" s="517" t="s">
        <v>6425</v>
      </c>
    </row>
    <row r="2516" spans="2:8" ht="15" x14ac:dyDescent="0.35">
      <c r="B2516" s="544" t="s">
        <v>6263</v>
      </c>
      <c r="C2516" s="517" t="s">
        <v>6372</v>
      </c>
      <c r="D2516" s="518">
        <v>12255</v>
      </c>
      <c r="E2516" s="517" t="s">
        <v>6095</v>
      </c>
      <c r="F2516" s="518" t="s">
        <v>2360</v>
      </c>
      <c r="G2516" s="519">
        <v>356584</v>
      </c>
      <c r="H2516" s="517" t="s">
        <v>6915</v>
      </c>
    </row>
    <row r="2517" spans="2:8" ht="15" x14ac:dyDescent="0.35">
      <c r="B2517" s="544" t="s">
        <v>6263</v>
      </c>
      <c r="C2517" s="517" t="s">
        <v>6369</v>
      </c>
      <c r="D2517" s="518">
        <v>12257</v>
      </c>
      <c r="E2517" s="517" t="s">
        <v>4916</v>
      </c>
      <c r="F2517" s="518" t="s">
        <v>29</v>
      </c>
      <c r="G2517" s="519">
        <v>107100</v>
      </c>
      <c r="H2517" s="517" t="s">
        <v>6915</v>
      </c>
    </row>
    <row r="2518" spans="2:8" ht="15" x14ac:dyDescent="0.35">
      <c r="B2518" s="544" t="s">
        <v>6263</v>
      </c>
      <c r="C2518" s="517" t="s">
        <v>6408</v>
      </c>
      <c r="D2518" s="518">
        <v>12258</v>
      </c>
      <c r="E2518" s="517" t="s">
        <v>4917</v>
      </c>
      <c r="F2518" s="518" t="s">
        <v>3175</v>
      </c>
      <c r="G2518" s="519">
        <v>1725500</v>
      </c>
      <c r="H2518" s="517" t="s">
        <v>6915</v>
      </c>
    </row>
    <row r="2519" spans="2:8" ht="15" x14ac:dyDescent="0.35">
      <c r="B2519" s="544" t="s">
        <v>6263</v>
      </c>
      <c r="C2519" s="517" t="s">
        <v>6408</v>
      </c>
      <c r="D2519" s="518">
        <v>12259</v>
      </c>
      <c r="E2519" s="517" t="s">
        <v>4918</v>
      </c>
      <c r="F2519" s="518" t="s">
        <v>3175</v>
      </c>
      <c r="G2519" s="519">
        <v>873650</v>
      </c>
      <c r="H2519" s="517" t="s">
        <v>6915</v>
      </c>
    </row>
    <row r="2520" spans="2:8" ht="15" x14ac:dyDescent="0.35">
      <c r="B2520" s="544" t="s">
        <v>6263</v>
      </c>
      <c r="C2520" s="517" t="s">
        <v>6409</v>
      </c>
      <c r="D2520" s="518">
        <v>12260</v>
      </c>
      <c r="E2520" s="517" t="s">
        <v>4919</v>
      </c>
      <c r="F2520" s="518" t="s">
        <v>3175</v>
      </c>
      <c r="G2520" s="519">
        <v>919632</v>
      </c>
      <c r="H2520" s="517" t="s">
        <v>6915</v>
      </c>
    </row>
    <row r="2521" spans="2:8" ht="15" x14ac:dyDescent="0.35">
      <c r="B2521" s="544" t="s">
        <v>6263</v>
      </c>
      <c r="C2521" s="517" t="s">
        <v>6409</v>
      </c>
      <c r="D2521" s="518">
        <v>12261</v>
      </c>
      <c r="E2521" s="517" t="s">
        <v>6096</v>
      </c>
      <c r="F2521" s="518" t="s">
        <v>3175</v>
      </c>
      <c r="G2521" s="519">
        <v>1029988</v>
      </c>
      <c r="H2521" s="517" t="s">
        <v>6915</v>
      </c>
    </row>
    <row r="2522" spans="2:8" ht="15" x14ac:dyDescent="0.35">
      <c r="B2522" s="544" t="s">
        <v>6263</v>
      </c>
      <c r="C2522" s="517" t="s">
        <v>6409</v>
      </c>
      <c r="D2522" s="518">
        <v>12263</v>
      </c>
      <c r="E2522" s="517" t="s">
        <v>4920</v>
      </c>
      <c r="F2522" s="518" t="s">
        <v>3175</v>
      </c>
      <c r="G2522" s="519">
        <v>1029988</v>
      </c>
      <c r="H2522" s="517" t="s">
        <v>6915</v>
      </c>
    </row>
    <row r="2523" spans="2:8" ht="15" x14ac:dyDescent="0.35">
      <c r="B2523" s="544" t="s">
        <v>6263</v>
      </c>
      <c r="C2523" s="517" t="s">
        <v>6368</v>
      </c>
      <c r="D2523" s="518">
        <v>12264</v>
      </c>
      <c r="E2523" s="517" t="s">
        <v>4921</v>
      </c>
      <c r="F2523" s="518" t="s">
        <v>29</v>
      </c>
      <c r="G2523" s="519">
        <v>87227</v>
      </c>
      <c r="H2523" s="517" t="s">
        <v>6915</v>
      </c>
    </row>
    <row r="2524" spans="2:8" ht="15" x14ac:dyDescent="0.35">
      <c r="B2524" s="544" t="s">
        <v>6263</v>
      </c>
      <c r="C2524" s="517" t="s">
        <v>6386</v>
      </c>
      <c r="D2524" s="518">
        <v>12265</v>
      </c>
      <c r="E2524" s="517" t="s">
        <v>6097</v>
      </c>
      <c r="F2524" s="518" t="s">
        <v>26</v>
      </c>
      <c r="G2524" s="519">
        <v>134708</v>
      </c>
      <c r="H2524" s="517" t="s">
        <v>6915</v>
      </c>
    </row>
    <row r="2525" spans="2:8" ht="15" x14ac:dyDescent="0.35">
      <c r="B2525" s="544" t="s">
        <v>6263</v>
      </c>
      <c r="C2525" s="517" t="s">
        <v>6408</v>
      </c>
      <c r="D2525" s="518">
        <v>12266</v>
      </c>
      <c r="E2525" s="517" t="s">
        <v>4922</v>
      </c>
      <c r="F2525" s="518" t="s">
        <v>3175</v>
      </c>
      <c r="G2525" s="519">
        <v>946455</v>
      </c>
      <c r="H2525" s="517" t="s">
        <v>6915</v>
      </c>
    </row>
    <row r="2526" spans="2:8" ht="15" x14ac:dyDescent="0.35">
      <c r="B2526" s="544" t="s">
        <v>6263</v>
      </c>
      <c r="C2526" s="517" t="s">
        <v>6376</v>
      </c>
      <c r="D2526" s="518">
        <v>12267</v>
      </c>
      <c r="E2526" s="517" t="s">
        <v>4923</v>
      </c>
      <c r="F2526" s="518" t="s">
        <v>29</v>
      </c>
      <c r="G2526" s="519">
        <v>1097900</v>
      </c>
      <c r="H2526" s="517" t="s">
        <v>6915</v>
      </c>
    </row>
    <row r="2527" spans="2:8" ht="15" x14ac:dyDescent="0.35">
      <c r="B2527" s="544" t="s">
        <v>6263</v>
      </c>
      <c r="C2527" s="517" t="s">
        <v>6376</v>
      </c>
      <c r="D2527" s="518">
        <v>12268</v>
      </c>
      <c r="E2527" s="517" t="s">
        <v>4924</v>
      </c>
      <c r="F2527" s="518" t="s">
        <v>29</v>
      </c>
      <c r="G2527" s="519">
        <v>207012</v>
      </c>
      <c r="H2527" s="517" t="s">
        <v>6915</v>
      </c>
    </row>
    <row r="2528" spans="2:8" ht="15" x14ac:dyDescent="0.35">
      <c r="B2528" s="544" t="s">
        <v>6263</v>
      </c>
      <c r="C2528" s="517" t="s">
        <v>6376</v>
      </c>
      <c r="D2528" s="518">
        <v>12269</v>
      </c>
      <c r="E2528" s="517" t="s">
        <v>4925</v>
      </c>
      <c r="F2528" s="518" t="s">
        <v>29</v>
      </c>
      <c r="G2528" s="519">
        <v>78100</v>
      </c>
      <c r="H2528" s="517" t="s">
        <v>6915</v>
      </c>
    </row>
    <row r="2529" spans="2:8" ht="15" x14ac:dyDescent="0.35">
      <c r="B2529" s="544" t="s">
        <v>6263</v>
      </c>
      <c r="C2529" s="517" t="s">
        <v>6376</v>
      </c>
      <c r="D2529" s="518">
        <v>12270</v>
      </c>
      <c r="E2529" s="517" t="s">
        <v>4926</v>
      </c>
      <c r="F2529" s="518" t="s">
        <v>29</v>
      </c>
      <c r="G2529" s="519">
        <v>143999</v>
      </c>
      <c r="H2529" s="517" t="s">
        <v>6915</v>
      </c>
    </row>
    <row r="2530" spans="2:8" ht="15" x14ac:dyDescent="0.35">
      <c r="B2530" s="544" t="s">
        <v>6263</v>
      </c>
      <c r="C2530" s="517" t="s">
        <v>6376</v>
      </c>
      <c r="D2530" s="518">
        <v>12271</v>
      </c>
      <c r="E2530" s="517" t="s">
        <v>2911</v>
      </c>
      <c r="F2530" s="518" t="s">
        <v>23</v>
      </c>
      <c r="G2530" s="519">
        <v>399826</v>
      </c>
      <c r="H2530" s="517" t="s">
        <v>6915</v>
      </c>
    </row>
    <row r="2531" spans="2:8" ht="15" x14ac:dyDescent="0.35">
      <c r="B2531" s="544" t="s">
        <v>6263</v>
      </c>
      <c r="C2531" s="517" t="s">
        <v>6376</v>
      </c>
      <c r="D2531" s="518">
        <v>12272</v>
      </c>
      <c r="E2531" s="517" t="s">
        <v>6098</v>
      </c>
      <c r="F2531" s="518" t="s">
        <v>29</v>
      </c>
      <c r="G2531" s="519">
        <v>387900</v>
      </c>
      <c r="H2531" s="517" t="s">
        <v>6915</v>
      </c>
    </row>
    <row r="2532" spans="2:8" ht="15" x14ac:dyDescent="0.35">
      <c r="B2532" s="544" t="s">
        <v>6263</v>
      </c>
      <c r="C2532" s="517" t="s">
        <v>6418</v>
      </c>
      <c r="D2532" s="518">
        <v>12277</v>
      </c>
      <c r="E2532" s="517" t="s">
        <v>4927</v>
      </c>
      <c r="F2532" s="518" t="s">
        <v>676</v>
      </c>
      <c r="G2532" s="519">
        <v>251285</v>
      </c>
      <c r="H2532" s="517" t="s">
        <v>6915</v>
      </c>
    </row>
    <row r="2533" spans="2:8" ht="15" x14ac:dyDescent="0.35">
      <c r="B2533" s="544" t="s">
        <v>6263</v>
      </c>
      <c r="C2533" s="517" t="s">
        <v>6406</v>
      </c>
      <c r="D2533" s="518">
        <v>12319</v>
      </c>
      <c r="E2533" s="517" t="s">
        <v>4928</v>
      </c>
      <c r="F2533" s="518" t="s">
        <v>26</v>
      </c>
      <c r="G2533" s="519">
        <v>142800</v>
      </c>
      <c r="H2533" s="517" t="s">
        <v>6915</v>
      </c>
    </row>
    <row r="2534" spans="2:8" ht="15" x14ac:dyDescent="0.35">
      <c r="B2534" s="544" t="s">
        <v>6263</v>
      </c>
      <c r="C2534" s="517" t="s">
        <v>6406</v>
      </c>
      <c r="D2534" s="518">
        <v>12320</v>
      </c>
      <c r="E2534" s="517" t="s">
        <v>4929</v>
      </c>
      <c r="F2534" s="518" t="s">
        <v>26</v>
      </c>
      <c r="G2534" s="519">
        <v>250590</v>
      </c>
      <c r="H2534" s="517" t="s">
        <v>6915</v>
      </c>
    </row>
    <row r="2535" spans="2:8" ht="15" x14ac:dyDescent="0.35">
      <c r="B2535" s="544" t="s">
        <v>6263</v>
      </c>
      <c r="C2535" s="517" t="s">
        <v>6406</v>
      </c>
      <c r="D2535" s="518">
        <v>12321</v>
      </c>
      <c r="E2535" s="517" t="s">
        <v>4930</v>
      </c>
      <c r="F2535" s="518" t="s">
        <v>26</v>
      </c>
      <c r="G2535" s="519">
        <v>313238</v>
      </c>
      <c r="H2535" s="517" t="s">
        <v>6915</v>
      </c>
    </row>
    <row r="2536" spans="2:8" ht="15" x14ac:dyDescent="0.35">
      <c r="B2536" s="544" t="s">
        <v>6263</v>
      </c>
      <c r="C2536" s="517" t="s">
        <v>6406</v>
      </c>
      <c r="D2536" s="518">
        <v>12322</v>
      </c>
      <c r="E2536" s="517" t="s">
        <v>4931</v>
      </c>
      <c r="F2536" s="518" t="s">
        <v>26</v>
      </c>
      <c r="G2536" s="519">
        <v>289813</v>
      </c>
      <c r="H2536" s="517" t="s">
        <v>6915</v>
      </c>
    </row>
    <row r="2537" spans="2:8" ht="15" x14ac:dyDescent="0.35">
      <c r="B2537" s="544" t="s">
        <v>6263</v>
      </c>
      <c r="C2537" s="517" t="s">
        <v>6406</v>
      </c>
      <c r="D2537" s="518">
        <v>12323</v>
      </c>
      <c r="E2537" s="517" t="s">
        <v>4932</v>
      </c>
      <c r="F2537" s="518" t="s">
        <v>26</v>
      </c>
      <c r="G2537" s="519">
        <v>226100</v>
      </c>
      <c r="H2537" s="517" t="s">
        <v>6915</v>
      </c>
    </row>
    <row r="2538" spans="2:8" ht="15" x14ac:dyDescent="0.35">
      <c r="B2538" s="544" t="s">
        <v>6263</v>
      </c>
      <c r="C2538" s="517" t="s">
        <v>6406</v>
      </c>
      <c r="D2538" s="518">
        <v>12324</v>
      </c>
      <c r="E2538" s="517" t="s">
        <v>4933</v>
      </c>
      <c r="F2538" s="518" t="s">
        <v>26</v>
      </c>
      <c r="G2538" s="519">
        <v>297500</v>
      </c>
      <c r="H2538" s="517" t="s">
        <v>6915</v>
      </c>
    </row>
    <row r="2539" spans="2:8" ht="15" x14ac:dyDescent="0.35">
      <c r="B2539" s="544" t="s">
        <v>6263</v>
      </c>
      <c r="C2539" s="517" t="s">
        <v>6406</v>
      </c>
      <c r="D2539" s="518">
        <v>12325</v>
      </c>
      <c r="E2539" s="517" t="s">
        <v>4934</v>
      </c>
      <c r="F2539" s="518" t="s">
        <v>26</v>
      </c>
      <c r="G2539" s="519">
        <v>286790</v>
      </c>
      <c r="H2539" s="517" t="s">
        <v>6915</v>
      </c>
    </row>
    <row r="2540" spans="2:8" ht="15" x14ac:dyDescent="0.35">
      <c r="B2540" s="544" t="s">
        <v>6263</v>
      </c>
      <c r="C2540" s="517" t="s">
        <v>6406</v>
      </c>
      <c r="D2540" s="518">
        <v>12326</v>
      </c>
      <c r="E2540" s="517" t="s">
        <v>4935</v>
      </c>
      <c r="F2540" s="518" t="s">
        <v>26</v>
      </c>
      <c r="G2540" s="519">
        <v>476000</v>
      </c>
      <c r="H2540" s="517" t="s">
        <v>6915</v>
      </c>
    </row>
    <row r="2541" spans="2:8" ht="15" x14ac:dyDescent="0.35">
      <c r="B2541" s="544" t="s">
        <v>6263</v>
      </c>
      <c r="C2541" s="517" t="s">
        <v>6406</v>
      </c>
      <c r="D2541" s="518">
        <v>12327</v>
      </c>
      <c r="E2541" s="517" t="s">
        <v>6099</v>
      </c>
      <c r="F2541" s="518" t="s">
        <v>26</v>
      </c>
      <c r="G2541" s="519">
        <v>666400</v>
      </c>
      <c r="H2541" s="517" t="s">
        <v>6915</v>
      </c>
    </row>
    <row r="2542" spans="2:8" ht="15" x14ac:dyDescent="0.35">
      <c r="B2542" s="544" t="s">
        <v>6263</v>
      </c>
      <c r="C2542" s="517" t="s">
        <v>6406</v>
      </c>
      <c r="D2542" s="518">
        <v>12328</v>
      </c>
      <c r="E2542" s="517" t="s">
        <v>6100</v>
      </c>
      <c r="F2542" s="518" t="s">
        <v>26</v>
      </c>
      <c r="G2542" s="519">
        <v>821100</v>
      </c>
      <c r="H2542" s="517" t="s">
        <v>6915</v>
      </c>
    </row>
    <row r="2543" spans="2:8" ht="15" x14ac:dyDescent="0.35">
      <c r="B2543" s="544" t="s">
        <v>6263</v>
      </c>
      <c r="C2543" s="517" t="s">
        <v>6403</v>
      </c>
      <c r="D2543" s="518">
        <v>12329</v>
      </c>
      <c r="E2543" s="517" t="s">
        <v>6101</v>
      </c>
      <c r="F2543" s="518" t="s">
        <v>29</v>
      </c>
      <c r="G2543" s="519">
        <v>3451000</v>
      </c>
      <c r="H2543" s="517" t="s">
        <v>6915</v>
      </c>
    </row>
    <row r="2544" spans="2:8" ht="15" x14ac:dyDescent="0.35">
      <c r="B2544" s="544" t="s">
        <v>6263</v>
      </c>
      <c r="C2544" s="517" t="s">
        <v>6403</v>
      </c>
      <c r="D2544" s="518">
        <v>12330</v>
      </c>
      <c r="E2544" s="517" t="s">
        <v>4936</v>
      </c>
      <c r="F2544" s="518" t="s">
        <v>29</v>
      </c>
      <c r="G2544" s="519">
        <v>3451000</v>
      </c>
      <c r="H2544" s="517" t="s">
        <v>6915</v>
      </c>
    </row>
    <row r="2545" spans="2:8" ht="15" x14ac:dyDescent="0.35">
      <c r="B2545" s="544" t="s">
        <v>6263</v>
      </c>
      <c r="C2545" s="517" t="s">
        <v>6403</v>
      </c>
      <c r="D2545" s="518">
        <v>12331</v>
      </c>
      <c r="E2545" s="517" t="s">
        <v>4937</v>
      </c>
      <c r="F2545" s="518" t="s">
        <v>29</v>
      </c>
      <c r="G2545" s="519">
        <v>4760000</v>
      </c>
      <c r="H2545" s="517" t="s">
        <v>6915</v>
      </c>
    </row>
    <row r="2546" spans="2:8" ht="15" x14ac:dyDescent="0.35">
      <c r="B2546" s="544" t="s">
        <v>6263</v>
      </c>
      <c r="C2546" s="517" t="s">
        <v>6369</v>
      </c>
      <c r="D2546" s="518">
        <v>12332</v>
      </c>
      <c r="E2546" s="517" t="s">
        <v>4938</v>
      </c>
      <c r="F2546" s="518" t="s">
        <v>29</v>
      </c>
      <c r="G2546" s="519">
        <v>1963500</v>
      </c>
      <c r="H2546" s="517" t="s">
        <v>6915</v>
      </c>
    </row>
    <row r="2547" spans="2:8" ht="15" x14ac:dyDescent="0.35">
      <c r="B2547" s="544" t="s">
        <v>6263</v>
      </c>
      <c r="C2547" s="517" t="s">
        <v>6369</v>
      </c>
      <c r="D2547" s="518">
        <v>12333</v>
      </c>
      <c r="E2547" s="517" t="s">
        <v>4939</v>
      </c>
      <c r="F2547" s="518" t="s">
        <v>29</v>
      </c>
      <c r="G2547" s="519">
        <v>2134444</v>
      </c>
      <c r="H2547" s="517" t="s">
        <v>6915</v>
      </c>
    </row>
    <row r="2548" spans="2:8" ht="15" x14ac:dyDescent="0.35">
      <c r="B2548" s="544" t="s">
        <v>6263</v>
      </c>
      <c r="C2548" s="517" t="s">
        <v>6369</v>
      </c>
      <c r="D2548" s="518">
        <v>12334</v>
      </c>
      <c r="E2548" s="517" t="s">
        <v>4940</v>
      </c>
      <c r="F2548" s="518" t="s">
        <v>29</v>
      </c>
      <c r="G2548" s="519">
        <v>429000</v>
      </c>
      <c r="H2548" s="517" t="s">
        <v>6915</v>
      </c>
    </row>
    <row r="2549" spans="2:8" ht="15" x14ac:dyDescent="0.35">
      <c r="B2549" s="544" t="s">
        <v>6263</v>
      </c>
      <c r="C2549" s="517" t="s">
        <v>6369</v>
      </c>
      <c r="D2549" s="518">
        <v>12335</v>
      </c>
      <c r="E2549" s="517" t="s">
        <v>4941</v>
      </c>
      <c r="F2549" s="518" t="s">
        <v>29</v>
      </c>
      <c r="G2549" s="519">
        <v>332010</v>
      </c>
      <c r="H2549" s="517" t="s">
        <v>6915</v>
      </c>
    </row>
    <row r="2550" spans="2:8" ht="15" x14ac:dyDescent="0.35">
      <c r="B2550" s="544" t="s">
        <v>6263</v>
      </c>
      <c r="C2550" s="517" t="s">
        <v>6369</v>
      </c>
      <c r="D2550" s="518">
        <v>12336</v>
      </c>
      <c r="E2550" s="517" t="s">
        <v>4942</v>
      </c>
      <c r="F2550" s="518" t="s">
        <v>29</v>
      </c>
      <c r="G2550" s="519">
        <v>53550</v>
      </c>
      <c r="H2550" s="517" t="s">
        <v>6915</v>
      </c>
    </row>
    <row r="2551" spans="2:8" ht="15" x14ac:dyDescent="0.35">
      <c r="B2551" s="544" t="s">
        <v>6263</v>
      </c>
      <c r="C2551" s="517" t="s">
        <v>6344</v>
      </c>
      <c r="D2551" s="518">
        <v>12341</v>
      </c>
      <c r="E2551" s="517" t="s">
        <v>4943</v>
      </c>
      <c r="F2551" s="518" t="s">
        <v>29</v>
      </c>
      <c r="G2551" s="519">
        <v>3798837</v>
      </c>
      <c r="H2551" s="517" t="s">
        <v>6425</v>
      </c>
    </row>
    <row r="2552" spans="2:8" ht="15" x14ac:dyDescent="0.35">
      <c r="B2552" s="544" t="s">
        <v>6263</v>
      </c>
      <c r="C2552" s="517" t="s">
        <v>6340</v>
      </c>
      <c r="D2552" s="518">
        <v>12350</v>
      </c>
      <c r="E2552" s="517" t="s">
        <v>4944</v>
      </c>
      <c r="F2552" s="518" t="s">
        <v>3175</v>
      </c>
      <c r="G2552" s="519">
        <v>33618</v>
      </c>
      <c r="H2552" s="517" t="s">
        <v>6425</v>
      </c>
    </row>
    <row r="2553" spans="2:8" ht="15" x14ac:dyDescent="0.35">
      <c r="B2553" s="544" t="s">
        <v>6263</v>
      </c>
      <c r="C2553" s="517" t="s">
        <v>6363</v>
      </c>
      <c r="D2553" s="518">
        <v>12352</v>
      </c>
      <c r="E2553" s="517" t="s">
        <v>4945</v>
      </c>
      <c r="F2553" s="518" t="s">
        <v>3960</v>
      </c>
      <c r="G2553" s="519">
        <v>259635</v>
      </c>
      <c r="H2553" s="517" t="s">
        <v>6915</v>
      </c>
    </row>
    <row r="2554" spans="2:8" ht="15" x14ac:dyDescent="0.35">
      <c r="B2554" s="544" t="s">
        <v>6263</v>
      </c>
      <c r="C2554" s="517" t="s">
        <v>6340</v>
      </c>
      <c r="D2554" s="518">
        <v>12355</v>
      </c>
      <c r="E2554" s="517" t="s">
        <v>4946</v>
      </c>
      <c r="F2554" s="518" t="s">
        <v>3175</v>
      </c>
      <c r="G2554" s="519">
        <v>43197</v>
      </c>
      <c r="H2554" s="517" t="s">
        <v>6425</v>
      </c>
    </row>
    <row r="2555" spans="2:8" ht="15" x14ac:dyDescent="0.35">
      <c r="B2555" s="544" t="s">
        <v>6263</v>
      </c>
      <c r="C2555" s="517" t="s">
        <v>6275</v>
      </c>
      <c r="D2555" s="518">
        <v>12356</v>
      </c>
      <c r="E2555" s="517" t="s">
        <v>4947</v>
      </c>
      <c r="F2555" s="518" t="s">
        <v>367</v>
      </c>
      <c r="G2555" s="519">
        <v>13804</v>
      </c>
      <c r="H2555" s="517" t="s">
        <v>6425</v>
      </c>
    </row>
    <row r="2556" spans="2:8" ht="15" x14ac:dyDescent="0.35">
      <c r="B2556" s="544" t="s">
        <v>6263</v>
      </c>
      <c r="C2556" s="517" t="s">
        <v>6376</v>
      </c>
      <c r="D2556" s="518">
        <v>12357</v>
      </c>
      <c r="E2556" s="517" t="s">
        <v>6102</v>
      </c>
      <c r="F2556" s="518" t="s">
        <v>29</v>
      </c>
      <c r="G2556" s="519">
        <v>91610</v>
      </c>
      <c r="H2556" s="517" t="s">
        <v>6915</v>
      </c>
    </row>
    <row r="2557" spans="2:8" ht="15" x14ac:dyDescent="0.35">
      <c r="B2557" s="544" t="s">
        <v>6263</v>
      </c>
      <c r="C2557" s="517" t="s">
        <v>6401</v>
      </c>
      <c r="D2557" s="518">
        <v>12358</v>
      </c>
      <c r="E2557" s="517" t="s">
        <v>4948</v>
      </c>
      <c r="F2557" s="518" t="s">
        <v>29</v>
      </c>
      <c r="G2557" s="519">
        <v>582990</v>
      </c>
      <c r="H2557" s="517" t="s">
        <v>6915</v>
      </c>
    </row>
    <row r="2558" spans="2:8" ht="15" x14ac:dyDescent="0.35">
      <c r="B2558" s="544" t="s">
        <v>6263</v>
      </c>
      <c r="C2558" s="517" t="s">
        <v>6337</v>
      </c>
      <c r="D2558" s="518">
        <v>12373</v>
      </c>
      <c r="E2558" s="517" t="s">
        <v>4949</v>
      </c>
      <c r="F2558" s="518" t="s">
        <v>23</v>
      </c>
      <c r="G2558" s="519">
        <v>801006</v>
      </c>
      <c r="H2558" s="517" t="s">
        <v>6425</v>
      </c>
    </row>
    <row r="2559" spans="2:8" ht="15" x14ac:dyDescent="0.35">
      <c r="B2559" s="544" t="s">
        <v>6263</v>
      </c>
      <c r="C2559" s="517" t="s">
        <v>6404</v>
      </c>
      <c r="D2559" s="518">
        <v>12375</v>
      </c>
      <c r="E2559" s="517" t="s">
        <v>6103</v>
      </c>
      <c r="F2559" s="518" t="s">
        <v>29</v>
      </c>
      <c r="G2559" s="519">
        <v>11055705</v>
      </c>
      <c r="H2559" s="517" t="s">
        <v>6915</v>
      </c>
    </row>
    <row r="2560" spans="2:8" ht="15" x14ac:dyDescent="0.35">
      <c r="B2560" s="544" t="s">
        <v>6263</v>
      </c>
      <c r="C2560" s="517" t="s">
        <v>6404</v>
      </c>
      <c r="D2560" s="518">
        <v>12376</v>
      </c>
      <c r="E2560" s="517" t="s">
        <v>6104</v>
      </c>
      <c r="F2560" s="518" t="s">
        <v>29</v>
      </c>
      <c r="G2560" s="519">
        <v>809557</v>
      </c>
      <c r="H2560" s="517" t="s">
        <v>6915</v>
      </c>
    </row>
    <row r="2561" spans="2:8" ht="15" x14ac:dyDescent="0.35">
      <c r="B2561" s="544" t="s">
        <v>6263</v>
      </c>
      <c r="C2561" s="517" t="s">
        <v>6404</v>
      </c>
      <c r="D2561" s="518">
        <v>12377</v>
      </c>
      <c r="E2561" s="517" t="s">
        <v>6105</v>
      </c>
      <c r="F2561" s="518" t="s">
        <v>29</v>
      </c>
      <c r="G2561" s="519">
        <v>3037470</v>
      </c>
      <c r="H2561" s="517" t="s">
        <v>6915</v>
      </c>
    </row>
    <row r="2562" spans="2:8" ht="15" x14ac:dyDescent="0.35">
      <c r="B2562" s="544" t="s">
        <v>6263</v>
      </c>
      <c r="C2562" s="517" t="s">
        <v>6401</v>
      </c>
      <c r="D2562" s="518">
        <v>12383</v>
      </c>
      <c r="E2562" s="517" t="s">
        <v>4950</v>
      </c>
      <c r="F2562" s="518" t="s">
        <v>26</v>
      </c>
      <c r="G2562" s="519">
        <v>3905675</v>
      </c>
      <c r="H2562" s="517" t="s">
        <v>6915</v>
      </c>
    </row>
    <row r="2563" spans="2:8" ht="15" x14ac:dyDescent="0.35">
      <c r="B2563" s="544" t="s">
        <v>6263</v>
      </c>
      <c r="C2563" s="517" t="s">
        <v>6401</v>
      </c>
      <c r="D2563" s="518">
        <v>12384</v>
      </c>
      <c r="E2563" s="517" t="s">
        <v>4951</v>
      </c>
      <c r="F2563" s="518" t="s">
        <v>26</v>
      </c>
      <c r="G2563" s="519">
        <v>7042024</v>
      </c>
      <c r="H2563" s="517" t="s">
        <v>6915</v>
      </c>
    </row>
    <row r="2564" spans="2:8" ht="15" x14ac:dyDescent="0.35">
      <c r="B2564" s="544" t="s">
        <v>6263</v>
      </c>
      <c r="C2564" s="517" t="s">
        <v>6314</v>
      </c>
      <c r="D2564" s="518">
        <v>12390</v>
      </c>
      <c r="E2564" s="517" t="s">
        <v>4952</v>
      </c>
      <c r="F2564" s="518" t="s">
        <v>29</v>
      </c>
      <c r="G2564" s="519">
        <v>2320500</v>
      </c>
      <c r="H2564" s="517" t="s">
        <v>6425</v>
      </c>
    </row>
    <row r="2565" spans="2:8" ht="15" x14ac:dyDescent="0.35">
      <c r="B2565" s="544" t="s">
        <v>6263</v>
      </c>
      <c r="C2565" s="517" t="s">
        <v>6314</v>
      </c>
      <c r="D2565" s="518">
        <v>12391</v>
      </c>
      <c r="E2565" s="517" t="s">
        <v>4953</v>
      </c>
      <c r="F2565" s="518" t="s">
        <v>29</v>
      </c>
      <c r="G2565" s="519">
        <v>3702428</v>
      </c>
      <c r="H2565" s="517" t="s">
        <v>6425</v>
      </c>
    </row>
    <row r="2566" spans="2:8" ht="15" x14ac:dyDescent="0.35">
      <c r="B2566" s="544" t="s">
        <v>6263</v>
      </c>
      <c r="C2566" s="517" t="s">
        <v>6314</v>
      </c>
      <c r="D2566" s="518">
        <v>12392</v>
      </c>
      <c r="E2566" s="517" t="s">
        <v>4954</v>
      </c>
      <c r="F2566" s="518" t="s">
        <v>29</v>
      </c>
      <c r="G2566" s="519">
        <v>1346190</v>
      </c>
      <c r="H2566" s="517" t="s">
        <v>6425</v>
      </c>
    </row>
    <row r="2567" spans="2:8" ht="15" x14ac:dyDescent="0.35">
      <c r="B2567" s="544" t="s">
        <v>6263</v>
      </c>
      <c r="C2567" s="517" t="s">
        <v>6314</v>
      </c>
      <c r="D2567" s="518">
        <v>12393</v>
      </c>
      <c r="E2567" s="517" t="s">
        <v>4955</v>
      </c>
      <c r="F2567" s="518" t="s">
        <v>4562</v>
      </c>
      <c r="G2567" s="519">
        <v>1433935</v>
      </c>
      <c r="H2567" s="517" t="s">
        <v>6425</v>
      </c>
    </row>
    <row r="2568" spans="2:8" ht="15" x14ac:dyDescent="0.35">
      <c r="B2568" s="544" t="s">
        <v>6263</v>
      </c>
      <c r="C2568" s="517" t="s">
        <v>6371</v>
      </c>
      <c r="D2568" s="518">
        <v>12394</v>
      </c>
      <c r="E2568" s="517" t="s">
        <v>6106</v>
      </c>
      <c r="F2568" s="518" t="s">
        <v>29</v>
      </c>
      <c r="G2568" s="519">
        <v>19499839</v>
      </c>
      <c r="H2568" s="517" t="s">
        <v>6915</v>
      </c>
    </row>
    <row r="2569" spans="2:8" ht="15" x14ac:dyDescent="0.35">
      <c r="B2569" s="544" t="s">
        <v>6263</v>
      </c>
      <c r="C2569" s="517" t="s">
        <v>6314</v>
      </c>
      <c r="D2569" s="518">
        <v>12396</v>
      </c>
      <c r="E2569" s="517" t="s">
        <v>4956</v>
      </c>
      <c r="F2569" s="518" t="s">
        <v>29</v>
      </c>
      <c r="G2569" s="519">
        <v>2750000</v>
      </c>
      <c r="H2569" s="517" t="s">
        <v>6425</v>
      </c>
    </row>
    <row r="2570" spans="2:8" ht="15" x14ac:dyDescent="0.35">
      <c r="B2570" s="544" t="s">
        <v>6263</v>
      </c>
      <c r="C2570" s="517" t="s">
        <v>6317</v>
      </c>
      <c r="D2570" s="518">
        <v>12428</v>
      </c>
      <c r="E2570" s="517" t="s">
        <v>4957</v>
      </c>
      <c r="F2570" s="518" t="s">
        <v>29</v>
      </c>
      <c r="G2570" s="519">
        <v>119328</v>
      </c>
      <c r="H2570" s="517" t="s">
        <v>6915</v>
      </c>
    </row>
    <row r="2571" spans="2:8" ht="15" x14ac:dyDescent="0.35">
      <c r="B2571" s="544" t="s">
        <v>6263</v>
      </c>
      <c r="C2571" s="517" t="s">
        <v>6317</v>
      </c>
      <c r="D2571" s="518">
        <v>12429</v>
      </c>
      <c r="E2571" s="517" t="s">
        <v>4958</v>
      </c>
      <c r="F2571" s="518" t="s">
        <v>29</v>
      </c>
      <c r="G2571" s="519">
        <v>2353</v>
      </c>
      <c r="H2571" s="517" t="s">
        <v>6915</v>
      </c>
    </row>
    <row r="2572" spans="2:8" ht="15" x14ac:dyDescent="0.35">
      <c r="B2572" s="544" t="s">
        <v>6263</v>
      </c>
      <c r="C2572" s="517" t="s">
        <v>6317</v>
      </c>
      <c r="D2572" s="518">
        <v>12430</v>
      </c>
      <c r="E2572" s="517" t="s">
        <v>4959</v>
      </c>
      <c r="F2572" s="518" t="s">
        <v>3189</v>
      </c>
      <c r="G2572" s="519">
        <v>11345</v>
      </c>
      <c r="H2572" s="517" t="s">
        <v>6915</v>
      </c>
    </row>
    <row r="2573" spans="2:8" ht="15" x14ac:dyDescent="0.35">
      <c r="B2573" s="544" t="s">
        <v>6263</v>
      </c>
      <c r="C2573" s="517" t="s">
        <v>6317</v>
      </c>
      <c r="D2573" s="518">
        <v>12431</v>
      </c>
      <c r="E2573" s="517" t="s">
        <v>4960</v>
      </c>
      <c r="F2573" s="518" t="s">
        <v>29</v>
      </c>
      <c r="G2573" s="519">
        <v>10949</v>
      </c>
      <c r="H2573" s="517" t="s">
        <v>6915</v>
      </c>
    </row>
    <row r="2574" spans="2:8" ht="15" x14ac:dyDescent="0.35">
      <c r="B2574" s="544" t="s">
        <v>6263</v>
      </c>
      <c r="C2574" s="517" t="s">
        <v>6419</v>
      </c>
      <c r="D2574" s="518">
        <v>12432</v>
      </c>
      <c r="E2574" s="517" t="s">
        <v>2949</v>
      </c>
      <c r="F2574" s="518" t="s">
        <v>23</v>
      </c>
      <c r="G2574" s="519">
        <v>335988</v>
      </c>
      <c r="H2574" s="517" t="s">
        <v>6915</v>
      </c>
    </row>
    <row r="2575" spans="2:8" ht="15" x14ac:dyDescent="0.35">
      <c r="B2575" s="544" t="s">
        <v>6263</v>
      </c>
      <c r="C2575" s="517" t="s">
        <v>6317</v>
      </c>
      <c r="D2575" s="518">
        <v>12434</v>
      </c>
      <c r="E2575" s="517" t="s">
        <v>4961</v>
      </c>
      <c r="F2575" s="518" t="s">
        <v>3189</v>
      </c>
      <c r="G2575" s="519">
        <v>2353</v>
      </c>
      <c r="H2575" s="517" t="s">
        <v>6915</v>
      </c>
    </row>
    <row r="2576" spans="2:8" ht="15" x14ac:dyDescent="0.35">
      <c r="B2576" s="544" t="s">
        <v>6263</v>
      </c>
      <c r="C2576" s="517" t="s">
        <v>6317</v>
      </c>
      <c r="D2576" s="518">
        <v>12435</v>
      </c>
      <c r="E2576" s="517" t="s">
        <v>4962</v>
      </c>
      <c r="F2576" s="518" t="s">
        <v>29</v>
      </c>
      <c r="G2576" s="519">
        <v>76983</v>
      </c>
      <c r="H2576" s="517" t="s">
        <v>6915</v>
      </c>
    </row>
    <row r="2577" spans="2:8" ht="15" x14ac:dyDescent="0.35">
      <c r="B2577" s="544" t="s">
        <v>6263</v>
      </c>
      <c r="C2577" s="517" t="s">
        <v>6317</v>
      </c>
      <c r="D2577" s="518">
        <v>12436</v>
      </c>
      <c r="E2577" s="517" t="s">
        <v>4963</v>
      </c>
      <c r="F2577" s="518" t="s">
        <v>3172</v>
      </c>
      <c r="G2577" s="519">
        <v>21849</v>
      </c>
      <c r="H2577" s="517" t="s">
        <v>6915</v>
      </c>
    </row>
    <row r="2578" spans="2:8" ht="15" x14ac:dyDescent="0.35">
      <c r="B2578" s="544" t="s">
        <v>6263</v>
      </c>
      <c r="C2578" s="517" t="s">
        <v>6317</v>
      </c>
      <c r="D2578" s="518">
        <v>12437</v>
      </c>
      <c r="E2578" s="517" t="s">
        <v>4964</v>
      </c>
      <c r="F2578" s="518" t="s">
        <v>29</v>
      </c>
      <c r="G2578" s="519">
        <v>52500</v>
      </c>
      <c r="H2578" s="517" t="s">
        <v>6915</v>
      </c>
    </row>
    <row r="2579" spans="2:8" ht="15" x14ac:dyDescent="0.35">
      <c r="B2579" s="544" t="s">
        <v>6263</v>
      </c>
      <c r="C2579" s="517" t="s">
        <v>6317</v>
      </c>
      <c r="D2579" s="518">
        <v>12438</v>
      </c>
      <c r="E2579" s="517" t="s">
        <v>4965</v>
      </c>
      <c r="F2579" s="518" t="s">
        <v>29</v>
      </c>
      <c r="G2579" s="519">
        <v>325966</v>
      </c>
      <c r="H2579" s="517" t="s">
        <v>6915</v>
      </c>
    </row>
    <row r="2580" spans="2:8" ht="15" x14ac:dyDescent="0.35">
      <c r="B2580" s="544" t="s">
        <v>6263</v>
      </c>
      <c r="C2580" s="517" t="s">
        <v>6317</v>
      </c>
      <c r="D2580" s="518">
        <v>12439</v>
      </c>
      <c r="E2580" s="517" t="s">
        <v>6107</v>
      </c>
      <c r="F2580" s="518" t="s">
        <v>29</v>
      </c>
      <c r="G2580" s="519">
        <v>924370</v>
      </c>
      <c r="H2580" s="517" t="s">
        <v>6915</v>
      </c>
    </row>
    <row r="2581" spans="2:8" ht="15" x14ac:dyDescent="0.35">
      <c r="B2581" s="544" t="s">
        <v>6263</v>
      </c>
      <c r="C2581" s="517" t="s">
        <v>6317</v>
      </c>
      <c r="D2581" s="518">
        <v>12440</v>
      </c>
      <c r="E2581" s="517" t="s">
        <v>4966</v>
      </c>
      <c r="F2581" s="518" t="s">
        <v>29</v>
      </c>
      <c r="G2581" s="519">
        <v>173960</v>
      </c>
      <c r="H2581" s="517" t="s">
        <v>6915</v>
      </c>
    </row>
    <row r="2582" spans="2:8" ht="15" x14ac:dyDescent="0.35">
      <c r="B2582" s="544" t="s">
        <v>6263</v>
      </c>
      <c r="C2582" s="517" t="s">
        <v>6317</v>
      </c>
      <c r="D2582" s="518">
        <v>12441</v>
      </c>
      <c r="E2582" s="517" t="s">
        <v>6108</v>
      </c>
      <c r="F2582" s="518" t="s">
        <v>29</v>
      </c>
      <c r="G2582" s="519">
        <v>125126</v>
      </c>
      <c r="H2582" s="517" t="s">
        <v>6915</v>
      </c>
    </row>
    <row r="2583" spans="2:8" ht="15" x14ac:dyDescent="0.35">
      <c r="B2583" s="544" t="s">
        <v>6263</v>
      </c>
      <c r="C2583" s="517" t="s">
        <v>6317</v>
      </c>
      <c r="D2583" s="518">
        <v>12442</v>
      </c>
      <c r="E2583" s="517" t="s">
        <v>4967</v>
      </c>
      <c r="F2583" s="518" t="s">
        <v>29</v>
      </c>
      <c r="G2583" s="519">
        <v>54622</v>
      </c>
      <c r="H2583" s="517" t="s">
        <v>6915</v>
      </c>
    </row>
    <row r="2584" spans="2:8" ht="15" x14ac:dyDescent="0.35">
      <c r="B2584" s="544" t="s">
        <v>6263</v>
      </c>
      <c r="C2584" s="517" t="s">
        <v>6317</v>
      </c>
      <c r="D2584" s="518">
        <v>12443</v>
      </c>
      <c r="E2584" s="517" t="s">
        <v>4968</v>
      </c>
      <c r="F2584" s="518" t="s">
        <v>29</v>
      </c>
      <c r="G2584" s="519">
        <v>1715000</v>
      </c>
      <c r="H2584" s="517" t="s">
        <v>6915</v>
      </c>
    </row>
    <row r="2585" spans="2:8" ht="15" x14ac:dyDescent="0.35">
      <c r="B2585" s="544" t="s">
        <v>6263</v>
      </c>
      <c r="C2585" s="517" t="s">
        <v>6317</v>
      </c>
      <c r="D2585" s="518">
        <v>12444</v>
      </c>
      <c r="E2585" s="517" t="s">
        <v>4969</v>
      </c>
      <c r="F2585" s="518" t="s">
        <v>1147</v>
      </c>
      <c r="G2585" s="519">
        <v>320460</v>
      </c>
      <c r="H2585" s="517" t="s">
        <v>6915</v>
      </c>
    </row>
    <row r="2586" spans="2:8" ht="15" x14ac:dyDescent="0.35">
      <c r="B2586" s="544" t="s">
        <v>6263</v>
      </c>
      <c r="C2586" s="517" t="s">
        <v>6317</v>
      </c>
      <c r="D2586" s="518">
        <v>12445</v>
      </c>
      <c r="E2586" s="517" t="s">
        <v>4970</v>
      </c>
      <c r="F2586" s="518" t="s">
        <v>29</v>
      </c>
      <c r="G2586" s="519">
        <v>23500</v>
      </c>
      <c r="H2586" s="517" t="s">
        <v>6915</v>
      </c>
    </row>
    <row r="2587" spans="2:8" ht="15" x14ac:dyDescent="0.35">
      <c r="B2587" s="544" t="s">
        <v>6263</v>
      </c>
      <c r="C2587" s="517" t="s">
        <v>6317</v>
      </c>
      <c r="D2587" s="518">
        <v>12446</v>
      </c>
      <c r="E2587" s="517" t="s">
        <v>4971</v>
      </c>
      <c r="F2587" s="518" t="s">
        <v>29</v>
      </c>
      <c r="G2587" s="519">
        <v>65630</v>
      </c>
      <c r="H2587" s="517" t="s">
        <v>6915</v>
      </c>
    </row>
    <row r="2588" spans="2:8" ht="15" x14ac:dyDescent="0.35">
      <c r="B2588" s="544" t="s">
        <v>6263</v>
      </c>
      <c r="C2588" s="517" t="s">
        <v>6317</v>
      </c>
      <c r="D2588" s="518">
        <v>12447</v>
      </c>
      <c r="E2588" s="517" t="s">
        <v>4972</v>
      </c>
      <c r="F2588" s="518" t="s">
        <v>29</v>
      </c>
      <c r="G2588" s="519">
        <v>65630</v>
      </c>
      <c r="H2588" s="517" t="s">
        <v>6915</v>
      </c>
    </row>
    <row r="2589" spans="2:8" ht="15" x14ac:dyDescent="0.35">
      <c r="B2589" s="544" t="s">
        <v>6263</v>
      </c>
      <c r="C2589" s="517" t="s">
        <v>6317</v>
      </c>
      <c r="D2589" s="518">
        <v>12448</v>
      </c>
      <c r="E2589" s="517" t="s">
        <v>6109</v>
      </c>
      <c r="F2589" s="518" t="s">
        <v>29</v>
      </c>
      <c r="G2589" s="519">
        <v>6964</v>
      </c>
      <c r="H2589" s="517" t="s">
        <v>6915</v>
      </c>
    </row>
    <row r="2590" spans="2:8" ht="15" x14ac:dyDescent="0.35">
      <c r="B2590" s="544" t="s">
        <v>6263</v>
      </c>
      <c r="C2590" s="517" t="s">
        <v>6317</v>
      </c>
      <c r="D2590" s="518">
        <v>12450</v>
      </c>
      <c r="E2590" s="517" t="s">
        <v>4973</v>
      </c>
      <c r="F2590" s="518" t="s">
        <v>29</v>
      </c>
      <c r="G2590" s="519">
        <v>20474</v>
      </c>
      <c r="H2590" s="517" t="s">
        <v>6915</v>
      </c>
    </row>
    <row r="2591" spans="2:8" ht="15" x14ac:dyDescent="0.35">
      <c r="B2591" s="544" t="s">
        <v>6263</v>
      </c>
      <c r="C2591" s="517" t="s">
        <v>6317</v>
      </c>
      <c r="D2591" s="518">
        <v>12451</v>
      </c>
      <c r="E2591" s="517" t="s">
        <v>4974</v>
      </c>
      <c r="F2591" s="518" t="s">
        <v>3707</v>
      </c>
      <c r="G2591" s="519">
        <v>9328</v>
      </c>
      <c r="H2591" s="517" t="s">
        <v>6915</v>
      </c>
    </row>
    <row r="2592" spans="2:8" ht="15" x14ac:dyDescent="0.35">
      <c r="B2592" s="544" t="s">
        <v>6263</v>
      </c>
      <c r="C2592" s="517" t="s">
        <v>6350</v>
      </c>
      <c r="D2592" s="518">
        <v>12452</v>
      </c>
      <c r="E2592" s="517" t="s">
        <v>4975</v>
      </c>
      <c r="F2592" s="518" t="s">
        <v>3175</v>
      </c>
      <c r="G2592" s="519">
        <v>60473</v>
      </c>
      <c r="H2592" s="517" t="s">
        <v>6425</v>
      </c>
    </row>
    <row r="2593" spans="2:8" ht="15" x14ac:dyDescent="0.35">
      <c r="B2593" s="544" t="s">
        <v>6263</v>
      </c>
      <c r="C2593" s="517" t="s">
        <v>6317</v>
      </c>
      <c r="D2593" s="518">
        <v>12453</v>
      </c>
      <c r="E2593" s="517" t="s">
        <v>4976</v>
      </c>
      <c r="F2593" s="518" t="s">
        <v>3719</v>
      </c>
      <c r="G2593" s="519">
        <v>28690</v>
      </c>
      <c r="H2593" s="517" t="s">
        <v>6915</v>
      </c>
    </row>
    <row r="2594" spans="2:8" ht="15" x14ac:dyDescent="0.35">
      <c r="B2594" s="544" t="s">
        <v>6263</v>
      </c>
      <c r="C2594" s="517" t="s">
        <v>6338</v>
      </c>
      <c r="D2594" s="518">
        <v>12454</v>
      </c>
      <c r="E2594" s="517" t="s">
        <v>4977</v>
      </c>
      <c r="F2594" s="518" t="s">
        <v>676</v>
      </c>
      <c r="G2594" s="519">
        <v>142095</v>
      </c>
      <c r="H2594" s="517" t="s">
        <v>6425</v>
      </c>
    </row>
    <row r="2595" spans="2:8" ht="15" x14ac:dyDescent="0.35">
      <c r="B2595" s="544" t="s">
        <v>6263</v>
      </c>
      <c r="C2595" s="517" t="s">
        <v>6317</v>
      </c>
      <c r="D2595" s="518">
        <v>12456</v>
      </c>
      <c r="E2595" s="517" t="s">
        <v>4978</v>
      </c>
      <c r="F2595" s="518" t="s">
        <v>29</v>
      </c>
      <c r="G2595" s="519">
        <v>922606</v>
      </c>
      <c r="H2595" s="517" t="s">
        <v>6915</v>
      </c>
    </row>
    <row r="2596" spans="2:8" ht="15" x14ac:dyDescent="0.35">
      <c r="B2596" s="544" t="s">
        <v>6263</v>
      </c>
      <c r="C2596" s="517" t="s">
        <v>6317</v>
      </c>
      <c r="D2596" s="518">
        <v>12457</v>
      </c>
      <c r="E2596" s="517" t="s">
        <v>4979</v>
      </c>
      <c r="F2596" s="518" t="s">
        <v>29</v>
      </c>
      <c r="G2596" s="519">
        <v>49930</v>
      </c>
      <c r="H2596" s="517" t="s">
        <v>6915</v>
      </c>
    </row>
    <row r="2597" spans="2:8" ht="15" x14ac:dyDescent="0.35">
      <c r="B2597" s="544" t="s">
        <v>6263</v>
      </c>
      <c r="C2597" s="517" t="s">
        <v>6350</v>
      </c>
      <c r="D2597" s="518">
        <v>12458</v>
      </c>
      <c r="E2597" s="517" t="s">
        <v>4980</v>
      </c>
      <c r="F2597" s="518" t="s">
        <v>676</v>
      </c>
      <c r="G2597" s="519">
        <v>11454</v>
      </c>
      <c r="H2597" s="517" t="s">
        <v>6425</v>
      </c>
    </row>
    <row r="2598" spans="2:8" ht="15" x14ac:dyDescent="0.35">
      <c r="B2598" s="544" t="s">
        <v>6263</v>
      </c>
      <c r="C2598" s="517" t="s">
        <v>6338</v>
      </c>
      <c r="D2598" s="518">
        <v>12460</v>
      </c>
      <c r="E2598" s="517" t="s">
        <v>4981</v>
      </c>
      <c r="F2598" s="518" t="s">
        <v>676</v>
      </c>
      <c r="G2598" s="519">
        <v>379526</v>
      </c>
      <c r="H2598" s="517" t="s">
        <v>6425</v>
      </c>
    </row>
    <row r="2599" spans="2:8" ht="15" x14ac:dyDescent="0.35">
      <c r="B2599" s="544" t="s">
        <v>6263</v>
      </c>
      <c r="C2599" s="517" t="s">
        <v>6338</v>
      </c>
      <c r="D2599" s="518">
        <v>12461</v>
      </c>
      <c r="E2599" s="517" t="s">
        <v>4982</v>
      </c>
      <c r="F2599" s="518" t="s">
        <v>676</v>
      </c>
      <c r="G2599" s="519">
        <v>286178</v>
      </c>
      <c r="H2599" s="517" t="s">
        <v>6425</v>
      </c>
    </row>
    <row r="2600" spans="2:8" ht="15" x14ac:dyDescent="0.35">
      <c r="B2600" s="544" t="s">
        <v>6263</v>
      </c>
      <c r="C2600" s="517" t="s">
        <v>6337</v>
      </c>
      <c r="D2600" s="518">
        <v>12464</v>
      </c>
      <c r="E2600" s="517" t="s">
        <v>4983</v>
      </c>
      <c r="F2600" s="518" t="s">
        <v>23</v>
      </c>
      <c r="G2600" s="519">
        <v>688832</v>
      </c>
      <c r="H2600" s="517" t="s">
        <v>6425</v>
      </c>
    </row>
    <row r="2601" spans="2:8" ht="15" x14ac:dyDescent="0.35">
      <c r="B2601" s="544" t="s">
        <v>6263</v>
      </c>
      <c r="C2601" s="517" t="s">
        <v>6337</v>
      </c>
      <c r="D2601" s="518">
        <v>12465</v>
      </c>
      <c r="E2601" s="517" t="s">
        <v>4984</v>
      </c>
      <c r="F2601" s="518" t="s">
        <v>23</v>
      </c>
      <c r="G2601" s="519">
        <v>705037</v>
      </c>
      <c r="H2601" s="517" t="s">
        <v>6425</v>
      </c>
    </row>
    <row r="2602" spans="2:8" ht="15" x14ac:dyDescent="0.35">
      <c r="B2602" s="544" t="s">
        <v>6263</v>
      </c>
      <c r="C2602" s="517" t="s">
        <v>6343</v>
      </c>
      <c r="D2602" s="518">
        <v>12466</v>
      </c>
      <c r="E2602" s="517" t="s">
        <v>4985</v>
      </c>
      <c r="F2602" s="518" t="s">
        <v>23</v>
      </c>
      <c r="G2602" s="519">
        <v>104720</v>
      </c>
      <c r="H2602" s="517" t="s">
        <v>6425</v>
      </c>
    </row>
    <row r="2603" spans="2:8" ht="15" x14ac:dyDescent="0.35">
      <c r="B2603" s="544" t="s">
        <v>6263</v>
      </c>
      <c r="C2603" s="517" t="s">
        <v>6343</v>
      </c>
      <c r="D2603" s="518">
        <v>12467</v>
      </c>
      <c r="E2603" s="517" t="s">
        <v>4986</v>
      </c>
      <c r="F2603" s="518" t="s">
        <v>23</v>
      </c>
      <c r="G2603" s="519">
        <v>104720</v>
      </c>
      <c r="H2603" s="517" t="s">
        <v>6425</v>
      </c>
    </row>
    <row r="2604" spans="2:8" ht="15" x14ac:dyDescent="0.35">
      <c r="B2604" s="544" t="s">
        <v>6263</v>
      </c>
      <c r="C2604" s="517" t="s">
        <v>6397</v>
      </c>
      <c r="D2604" s="518">
        <v>12468</v>
      </c>
      <c r="E2604" s="517" t="s">
        <v>4987</v>
      </c>
      <c r="F2604" s="518" t="s">
        <v>29</v>
      </c>
      <c r="G2604" s="519">
        <v>1071000</v>
      </c>
      <c r="H2604" s="517" t="s">
        <v>6915</v>
      </c>
    </row>
    <row r="2605" spans="2:8" ht="15" x14ac:dyDescent="0.35">
      <c r="B2605" s="544" t="s">
        <v>6263</v>
      </c>
      <c r="C2605" s="517" t="s">
        <v>6397</v>
      </c>
      <c r="D2605" s="518">
        <v>12469</v>
      </c>
      <c r="E2605" s="517" t="s">
        <v>6110</v>
      </c>
      <c r="F2605" s="518" t="s">
        <v>29</v>
      </c>
      <c r="G2605" s="519">
        <v>333200</v>
      </c>
      <c r="H2605" s="517" t="s">
        <v>6915</v>
      </c>
    </row>
    <row r="2606" spans="2:8" ht="15" x14ac:dyDescent="0.35">
      <c r="B2606" s="544" t="s">
        <v>6263</v>
      </c>
      <c r="C2606" s="517" t="s">
        <v>6397</v>
      </c>
      <c r="D2606" s="518">
        <v>12470</v>
      </c>
      <c r="E2606" s="517" t="s">
        <v>4988</v>
      </c>
      <c r="F2606" s="518" t="s">
        <v>29</v>
      </c>
      <c r="G2606" s="519">
        <v>444108</v>
      </c>
      <c r="H2606" s="517" t="s">
        <v>6915</v>
      </c>
    </row>
    <row r="2607" spans="2:8" ht="15" x14ac:dyDescent="0.35">
      <c r="B2607" s="544" t="s">
        <v>6263</v>
      </c>
      <c r="C2607" s="517" t="s">
        <v>6408</v>
      </c>
      <c r="D2607" s="518">
        <v>12471</v>
      </c>
      <c r="E2607" s="517" t="s">
        <v>4989</v>
      </c>
      <c r="F2607" s="518" t="s">
        <v>29</v>
      </c>
      <c r="G2607" s="519">
        <v>981750</v>
      </c>
      <c r="H2607" s="517" t="s">
        <v>6915</v>
      </c>
    </row>
    <row r="2608" spans="2:8" ht="15" x14ac:dyDescent="0.35">
      <c r="B2608" s="544" t="s">
        <v>6263</v>
      </c>
      <c r="C2608" s="517" t="s">
        <v>6412</v>
      </c>
      <c r="D2608" s="518">
        <v>12472</v>
      </c>
      <c r="E2608" s="517" t="s">
        <v>6111</v>
      </c>
      <c r="F2608" s="518" t="s">
        <v>29</v>
      </c>
      <c r="G2608" s="519">
        <v>1119304</v>
      </c>
      <c r="H2608" s="517" t="s">
        <v>6915</v>
      </c>
    </row>
    <row r="2609" spans="2:8" ht="15" x14ac:dyDescent="0.35">
      <c r="B2609" s="544" t="s">
        <v>6263</v>
      </c>
      <c r="C2609" s="517" t="s">
        <v>6317</v>
      </c>
      <c r="D2609" s="518">
        <v>12473</v>
      </c>
      <c r="E2609" s="517" t="s">
        <v>6112</v>
      </c>
      <c r="F2609" s="518" t="s">
        <v>367</v>
      </c>
      <c r="G2609" s="519">
        <v>1780</v>
      </c>
      <c r="H2609" s="517" t="s">
        <v>6915</v>
      </c>
    </row>
    <row r="2610" spans="2:8" ht="15" x14ac:dyDescent="0.35">
      <c r="B2610" s="544" t="s">
        <v>6263</v>
      </c>
      <c r="C2610" s="517" t="s">
        <v>6374</v>
      </c>
      <c r="D2610" s="518">
        <v>12474</v>
      </c>
      <c r="E2610" s="517" t="s">
        <v>4990</v>
      </c>
      <c r="F2610" s="518" t="s">
        <v>29</v>
      </c>
      <c r="G2610" s="519">
        <v>650000</v>
      </c>
      <c r="H2610" s="517" t="s">
        <v>6915</v>
      </c>
    </row>
    <row r="2611" spans="2:8" ht="15" x14ac:dyDescent="0.35">
      <c r="B2611" s="544" t="s">
        <v>6263</v>
      </c>
      <c r="C2611" s="517" t="s">
        <v>6375</v>
      </c>
      <c r="D2611" s="518">
        <v>12475</v>
      </c>
      <c r="E2611" s="517" t="s">
        <v>6924</v>
      </c>
      <c r="F2611" s="518" t="s">
        <v>29</v>
      </c>
      <c r="G2611" s="519">
        <v>54740</v>
      </c>
      <c r="H2611" s="517" t="s">
        <v>6915</v>
      </c>
    </row>
    <row r="2612" spans="2:8" ht="15" x14ac:dyDescent="0.35">
      <c r="B2612" s="544" t="s">
        <v>6263</v>
      </c>
      <c r="C2612" s="517" t="s">
        <v>6380</v>
      </c>
      <c r="D2612" s="518">
        <v>12476</v>
      </c>
      <c r="E2612" s="517" t="s">
        <v>6113</v>
      </c>
      <c r="F2612" s="518" t="s">
        <v>29</v>
      </c>
      <c r="G2612" s="519">
        <v>38080</v>
      </c>
      <c r="H2612" s="517" t="s">
        <v>6915</v>
      </c>
    </row>
    <row r="2613" spans="2:8" ht="15" x14ac:dyDescent="0.35">
      <c r="B2613" s="544" t="s">
        <v>6263</v>
      </c>
      <c r="C2613" s="517" t="s">
        <v>6380</v>
      </c>
      <c r="D2613" s="518">
        <v>12477</v>
      </c>
      <c r="E2613" s="517" t="s">
        <v>6114</v>
      </c>
      <c r="F2613" s="518" t="s">
        <v>29</v>
      </c>
      <c r="G2613" s="519">
        <v>48266</v>
      </c>
      <c r="H2613" s="517" t="s">
        <v>6915</v>
      </c>
    </row>
    <row r="2614" spans="2:8" ht="15" x14ac:dyDescent="0.35">
      <c r="B2614" s="544" t="s">
        <v>6263</v>
      </c>
      <c r="C2614" s="517" t="s">
        <v>6380</v>
      </c>
      <c r="D2614" s="518">
        <v>12478</v>
      </c>
      <c r="E2614" s="517" t="s">
        <v>4991</v>
      </c>
      <c r="F2614" s="518" t="s">
        <v>29</v>
      </c>
      <c r="G2614" s="519">
        <v>31924</v>
      </c>
      <c r="H2614" s="517" t="s">
        <v>6915</v>
      </c>
    </row>
    <row r="2615" spans="2:8" ht="15" x14ac:dyDescent="0.35">
      <c r="B2615" s="544" t="s">
        <v>6263</v>
      </c>
      <c r="C2615" s="517" t="s">
        <v>6317</v>
      </c>
      <c r="D2615" s="518">
        <v>12479</v>
      </c>
      <c r="E2615" s="517" t="s">
        <v>4992</v>
      </c>
      <c r="F2615" s="518" t="s">
        <v>3707</v>
      </c>
      <c r="G2615" s="519">
        <v>32774</v>
      </c>
      <c r="H2615" s="517" t="s">
        <v>6915</v>
      </c>
    </row>
    <row r="2616" spans="2:8" ht="15" x14ac:dyDescent="0.35">
      <c r="B2616" s="544" t="s">
        <v>6263</v>
      </c>
      <c r="C2616" s="517" t="s">
        <v>6380</v>
      </c>
      <c r="D2616" s="518">
        <v>12480</v>
      </c>
      <c r="E2616" s="517" t="s">
        <v>4993</v>
      </c>
      <c r="F2616" s="518" t="s">
        <v>29</v>
      </c>
      <c r="G2616" s="519">
        <v>31924</v>
      </c>
      <c r="H2616" s="517" t="s">
        <v>6915</v>
      </c>
    </row>
    <row r="2617" spans="2:8" ht="15" x14ac:dyDescent="0.35">
      <c r="B2617" s="544" t="s">
        <v>6263</v>
      </c>
      <c r="C2617" s="517" t="s">
        <v>6375</v>
      </c>
      <c r="D2617" s="518">
        <v>12481</v>
      </c>
      <c r="E2617" s="517" t="s">
        <v>4994</v>
      </c>
      <c r="F2617" s="518" t="s">
        <v>29</v>
      </c>
      <c r="G2617" s="519">
        <v>183268</v>
      </c>
      <c r="H2617" s="517" t="s">
        <v>6915</v>
      </c>
    </row>
    <row r="2618" spans="2:8" ht="15" x14ac:dyDescent="0.35">
      <c r="B2618" s="544" t="s">
        <v>6263</v>
      </c>
      <c r="C2618" s="517" t="s">
        <v>6317</v>
      </c>
      <c r="D2618" s="518">
        <v>12482</v>
      </c>
      <c r="E2618" s="517" t="s">
        <v>4995</v>
      </c>
      <c r="F2618" s="518" t="s">
        <v>29</v>
      </c>
      <c r="G2618" s="519">
        <v>225</v>
      </c>
      <c r="H2618" s="517" t="s">
        <v>6915</v>
      </c>
    </row>
    <row r="2619" spans="2:8" ht="15" x14ac:dyDescent="0.35">
      <c r="B2619" s="544" t="s">
        <v>6263</v>
      </c>
      <c r="C2619" s="517" t="s">
        <v>6338</v>
      </c>
      <c r="D2619" s="518">
        <v>12485</v>
      </c>
      <c r="E2619" s="517" t="s">
        <v>4996</v>
      </c>
      <c r="F2619" s="518" t="s">
        <v>676</v>
      </c>
      <c r="G2619" s="519">
        <v>249405</v>
      </c>
      <c r="H2619" s="517" t="s">
        <v>6425</v>
      </c>
    </row>
    <row r="2620" spans="2:8" ht="15" x14ac:dyDescent="0.35">
      <c r="B2620" s="544" t="s">
        <v>6263</v>
      </c>
      <c r="C2620" s="517" t="s">
        <v>6342</v>
      </c>
      <c r="D2620" s="518">
        <v>12487</v>
      </c>
      <c r="E2620" s="517" t="s">
        <v>4997</v>
      </c>
      <c r="F2620" s="518" t="s">
        <v>29</v>
      </c>
      <c r="G2620" s="519">
        <v>2180</v>
      </c>
      <c r="H2620" s="517" t="s">
        <v>6425</v>
      </c>
    </row>
    <row r="2621" spans="2:8" ht="15" x14ac:dyDescent="0.35">
      <c r="B2621" s="544" t="s">
        <v>6263</v>
      </c>
      <c r="C2621" s="517" t="s">
        <v>6350</v>
      </c>
      <c r="D2621" s="518">
        <v>12488</v>
      </c>
      <c r="E2621" s="517" t="s">
        <v>4998</v>
      </c>
      <c r="F2621" s="518" t="s">
        <v>3175</v>
      </c>
      <c r="G2621" s="519">
        <v>142575</v>
      </c>
      <c r="H2621" s="517" t="s">
        <v>6425</v>
      </c>
    </row>
    <row r="2622" spans="2:8" ht="15" x14ac:dyDescent="0.35">
      <c r="B2622" s="544" t="s">
        <v>6263</v>
      </c>
      <c r="C2622" s="517" t="s">
        <v>6342</v>
      </c>
      <c r="D2622" s="518">
        <v>12489</v>
      </c>
      <c r="E2622" s="517" t="s">
        <v>4999</v>
      </c>
      <c r="F2622" s="518" t="s">
        <v>29</v>
      </c>
      <c r="G2622" s="519">
        <v>1093</v>
      </c>
      <c r="H2622" s="517" t="s">
        <v>6425</v>
      </c>
    </row>
    <row r="2623" spans="2:8" ht="15" x14ac:dyDescent="0.35">
      <c r="B2623" s="544" t="s">
        <v>6263</v>
      </c>
      <c r="C2623" s="517" t="s">
        <v>6350</v>
      </c>
      <c r="D2623" s="518">
        <v>12491</v>
      </c>
      <c r="E2623" s="517" t="s">
        <v>5000</v>
      </c>
      <c r="F2623" s="518" t="s">
        <v>3175</v>
      </c>
      <c r="G2623" s="519">
        <v>217965</v>
      </c>
      <c r="H2623" s="517" t="s">
        <v>6425</v>
      </c>
    </row>
    <row r="2624" spans="2:8" ht="15" x14ac:dyDescent="0.35">
      <c r="B2624" s="544" t="s">
        <v>6263</v>
      </c>
      <c r="C2624" s="517" t="s">
        <v>6338</v>
      </c>
      <c r="D2624" s="518">
        <v>12492</v>
      </c>
      <c r="E2624" s="517" t="s">
        <v>5001</v>
      </c>
      <c r="F2624" s="518" t="s">
        <v>676</v>
      </c>
      <c r="G2624" s="519">
        <v>290219</v>
      </c>
      <c r="H2624" s="517" t="s">
        <v>6425</v>
      </c>
    </row>
    <row r="2625" spans="2:8" ht="15" x14ac:dyDescent="0.35">
      <c r="B2625" s="544" t="s">
        <v>6263</v>
      </c>
      <c r="C2625" s="517" t="s">
        <v>6338</v>
      </c>
      <c r="D2625" s="518">
        <v>12493</v>
      </c>
      <c r="E2625" s="517" t="s">
        <v>5002</v>
      </c>
      <c r="F2625" s="518" t="s">
        <v>676</v>
      </c>
      <c r="G2625" s="519">
        <v>346876</v>
      </c>
      <c r="H2625" s="517" t="s">
        <v>6425</v>
      </c>
    </row>
    <row r="2626" spans="2:8" ht="15" x14ac:dyDescent="0.35">
      <c r="B2626" s="544" t="s">
        <v>6263</v>
      </c>
      <c r="C2626" s="517" t="s">
        <v>6338</v>
      </c>
      <c r="D2626" s="518">
        <v>12494</v>
      </c>
      <c r="E2626" s="517" t="s">
        <v>5003</v>
      </c>
      <c r="F2626" s="518" t="s">
        <v>676</v>
      </c>
      <c r="G2626" s="519">
        <v>235620</v>
      </c>
      <c r="H2626" s="517" t="s">
        <v>6425</v>
      </c>
    </row>
    <row r="2627" spans="2:8" ht="15" x14ac:dyDescent="0.35">
      <c r="B2627" s="544" t="s">
        <v>6263</v>
      </c>
      <c r="C2627" s="517" t="s">
        <v>6338</v>
      </c>
      <c r="D2627" s="518">
        <v>12495</v>
      </c>
      <c r="E2627" s="517" t="s">
        <v>5004</v>
      </c>
      <c r="F2627" s="518" t="s">
        <v>676</v>
      </c>
      <c r="G2627" s="519">
        <v>136850</v>
      </c>
      <c r="H2627" s="517" t="s">
        <v>6425</v>
      </c>
    </row>
    <row r="2628" spans="2:8" ht="15" x14ac:dyDescent="0.35">
      <c r="B2628" s="544" t="s">
        <v>6263</v>
      </c>
      <c r="C2628" s="517" t="s">
        <v>6317</v>
      </c>
      <c r="D2628" s="518">
        <v>12496</v>
      </c>
      <c r="E2628" s="517" t="s">
        <v>5005</v>
      </c>
      <c r="F2628" s="518" t="s">
        <v>29</v>
      </c>
      <c r="G2628" s="519">
        <v>282</v>
      </c>
      <c r="H2628" s="517" t="s">
        <v>6915</v>
      </c>
    </row>
    <row r="2629" spans="2:8" ht="15" x14ac:dyDescent="0.35">
      <c r="B2629" s="544" t="s">
        <v>6263</v>
      </c>
      <c r="C2629" s="517" t="s">
        <v>6317</v>
      </c>
      <c r="D2629" s="518">
        <v>12497</v>
      </c>
      <c r="E2629" s="517" t="s">
        <v>5006</v>
      </c>
      <c r="F2629" s="518" t="s">
        <v>29</v>
      </c>
      <c r="G2629" s="519">
        <v>121008</v>
      </c>
      <c r="H2629" s="517" t="s">
        <v>6915</v>
      </c>
    </row>
    <row r="2630" spans="2:8" ht="15" x14ac:dyDescent="0.35">
      <c r="B2630" s="544" t="s">
        <v>6263</v>
      </c>
      <c r="C2630" s="517" t="s">
        <v>6317</v>
      </c>
      <c r="D2630" s="518">
        <v>12498</v>
      </c>
      <c r="E2630" s="517" t="s">
        <v>5007</v>
      </c>
      <c r="F2630" s="518" t="s">
        <v>3172</v>
      </c>
      <c r="G2630" s="519">
        <v>22690</v>
      </c>
      <c r="H2630" s="517" t="s">
        <v>6915</v>
      </c>
    </row>
    <row r="2631" spans="2:8" ht="15" x14ac:dyDescent="0.35">
      <c r="B2631" s="544" t="s">
        <v>6263</v>
      </c>
      <c r="C2631" s="517" t="s">
        <v>6317</v>
      </c>
      <c r="D2631" s="518">
        <v>12499</v>
      </c>
      <c r="E2631" s="517" t="s">
        <v>5008</v>
      </c>
      <c r="F2631" s="518" t="s">
        <v>29</v>
      </c>
      <c r="G2631" s="519">
        <v>95301</v>
      </c>
      <c r="H2631" s="517" t="s">
        <v>6915</v>
      </c>
    </row>
    <row r="2632" spans="2:8" ht="15" x14ac:dyDescent="0.35">
      <c r="B2632" s="544" t="s">
        <v>6263</v>
      </c>
      <c r="C2632" s="517" t="s">
        <v>6317</v>
      </c>
      <c r="D2632" s="518">
        <v>12500</v>
      </c>
      <c r="E2632" s="517" t="s">
        <v>5009</v>
      </c>
      <c r="F2632" s="518" t="s">
        <v>3189</v>
      </c>
      <c r="G2632" s="519">
        <v>24</v>
      </c>
      <c r="H2632" s="517" t="s">
        <v>6915</v>
      </c>
    </row>
    <row r="2633" spans="2:8" ht="15" x14ac:dyDescent="0.35">
      <c r="B2633" s="544" t="s">
        <v>6263</v>
      </c>
      <c r="C2633" s="517" t="s">
        <v>6317</v>
      </c>
      <c r="D2633" s="518">
        <v>12501</v>
      </c>
      <c r="E2633" s="517" t="s">
        <v>5010</v>
      </c>
      <c r="F2633" s="518" t="s">
        <v>29</v>
      </c>
      <c r="G2633" s="519">
        <v>36128</v>
      </c>
      <c r="H2633" s="517" t="s">
        <v>6915</v>
      </c>
    </row>
    <row r="2634" spans="2:8" ht="15" x14ac:dyDescent="0.35">
      <c r="B2634" s="544" t="s">
        <v>6263</v>
      </c>
      <c r="C2634" s="517" t="s">
        <v>6317</v>
      </c>
      <c r="D2634" s="518">
        <v>12502</v>
      </c>
      <c r="E2634" s="517" t="s">
        <v>5011</v>
      </c>
      <c r="F2634" s="518" t="s">
        <v>29</v>
      </c>
      <c r="G2634" s="519">
        <v>631</v>
      </c>
      <c r="H2634" s="517" t="s">
        <v>6915</v>
      </c>
    </row>
    <row r="2635" spans="2:8" ht="15" x14ac:dyDescent="0.35">
      <c r="B2635" s="544" t="s">
        <v>6263</v>
      </c>
      <c r="C2635" s="517" t="s">
        <v>6317</v>
      </c>
      <c r="D2635" s="518">
        <v>12503</v>
      </c>
      <c r="E2635" s="517" t="s">
        <v>5012</v>
      </c>
      <c r="F2635" s="518" t="s">
        <v>29</v>
      </c>
      <c r="G2635" s="519">
        <v>90673</v>
      </c>
      <c r="H2635" s="517" t="s">
        <v>6915</v>
      </c>
    </row>
    <row r="2636" spans="2:8" ht="15" x14ac:dyDescent="0.35">
      <c r="B2636" s="544" t="s">
        <v>6263</v>
      </c>
      <c r="C2636" s="517" t="s">
        <v>6317</v>
      </c>
      <c r="D2636" s="518">
        <v>12504</v>
      </c>
      <c r="E2636" s="517" t="s">
        <v>5013</v>
      </c>
      <c r="F2636" s="518" t="s">
        <v>29</v>
      </c>
      <c r="G2636" s="519">
        <v>30763</v>
      </c>
      <c r="H2636" s="517" t="s">
        <v>6915</v>
      </c>
    </row>
    <row r="2637" spans="2:8" ht="15" x14ac:dyDescent="0.35">
      <c r="B2637" s="544" t="s">
        <v>6263</v>
      </c>
      <c r="C2637" s="517" t="s">
        <v>6317</v>
      </c>
      <c r="D2637" s="518">
        <v>12505</v>
      </c>
      <c r="E2637" s="517" t="s">
        <v>6115</v>
      </c>
      <c r="F2637" s="518" t="s">
        <v>29</v>
      </c>
      <c r="G2637" s="519">
        <v>49777</v>
      </c>
      <c r="H2637" s="517" t="s">
        <v>6915</v>
      </c>
    </row>
    <row r="2638" spans="2:8" ht="15" x14ac:dyDescent="0.35">
      <c r="B2638" s="544" t="s">
        <v>6263</v>
      </c>
      <c r="C2638" s="517" t="s">
        <v>6317</v>
      </c>
      <c r="D2638" s="518">
        <v>12506</v>
      </c>
      <c r="E2638" s="517" t="s">
        <v>5014</v>
      </c>
      <c r="F2638" s="518" t="s">
        <v>29</v>
      </c>
      <c r="G2638" s="519">
        <v>61404</v>
      </c>
      <c r="H2638" s="517" t="s">
        <v>6915</v>
      </c>
    </row>
    <row r="2639" spans="2:8" ht="15" x14ac:dyDescent="0.35">
      <c r="B2639" s="544" t="s">
        <v>6263</v>
      </c>
      <c r="C2639" s="517" t="s">
        <v>6317</v>
      </c>
      <c r="D2639" s="518">
        <v>12507</v>
      </c>
      <c r="E2639" s="517" t="s">
        <v>5015</v>
      </c>
      <c r="F2639" s="518" t="s">
        <v>1106</v>
      </c>
      <c r="G2639" s="519">
        <v>725500</v>
      </c>
      <c r="H2639" s="517" t="s">
        <v>6915</v>
      </c>
    </row>
    <row r="2640" spans="2:8" ht="15" x14ac:dyDescent="0.35">
      <c r="B2640" s="544" t="s">
        <v>6263</v>
      </c>
      <c r="C2640" s="517" t="s">
        <v>6317</v>
      </c>
      <c r="D2640" s="518">
        <v>12508</v>
      </c>
      <c r="E2640" s="517" t="s">
        <v>5016</v>
      </c>
      <c r="F2640" s="518" t="s">
        <v>29</v>
      </c>
      <c r="G2640" s="519">
        <v>27648</v>
      </c>
      <c r="H2640" s="517" t="s">
        <v>6915</v>
      </c>
    </row>
    <row r="2641" spans="2:8" ht="15" x14ac:dyDescent="0.35">
      <c r="B2641" s="544" t="s">
        <v>6263</v>
      </c>
      <c r="C2641" s="517" t="s">
        <v>6395</v>
      </c>
      <c r="D2641" s="518">
        <v>12509</v>
      </c>
      <c r="E2641" s="517" t="s">
        <v>5017</v>
      </c>
      <c r="F2641" s="518" t="s">
        <v>3158</v>
      </c>
      <c r="G2641" s="519">
        <v>218413</v>
      </c>
      <c r="H2641" s="517" t="s">
        <v>6915</v>
      </c>
    </row>
    <row r="2642" spans="2:8" ht="15" x14ac:dyDescent="0.35">
      <c r="B2642" s="544" t="s">
        <v>6263</v>
      </c>
      <c r="C2642" s="517" t="s">
        <v>6395</v>
      </c>
      <c r="D2642" s="518">
        <v>12510</v>
      </c>
      <c r="E2642" s="517" t="s">
        <v>5018</v>
      </c>
      <c r="F2642" s="518" t="s">
        <v>3158</v>
      </c>
      <c r="G2642" s="519">
        <v>236715</v>
      </c>
      <c r="H2642" s="517" t="s">
        <v>6915</v>
      </c>
    </row>
    <row r="2643" spans="2:8" ht="15" x14ac:dyDescent="0.35">
      <c r="B2643" s="544" t="s">
        <v>6263</v>
      </c>
      <c r="C2643" s="517" t="s">
        <v>6405</v>
      </c>
      <c r="D2643" s="518">
        <v>12511</v>
      </c>
      <c r="E2643" s="517" t="s">
        <v>5019</v>
      </c>
      <c r="F2643" s="518" t="s">
        <v>29</v>
      </c>
      <c r="G2643" s="519">
        <v>1080695</v>
      </c>
      <c r="H2643" s="517" t="s">
        <v>6915</v>
      </c>
    </row>
    <row r="2644" spans="2:8" ht="15" x14ac:dyDescent="0.35">
      <c r="B2644" s="544" t="s">
        <v>6263</v>
      </c>
      <c r="C2644" s="517" t="s">
        <v>6317</v>
      </c>
      <c r="D2644" s="518">
        <v>12512</v>
      </c>
      <c r="E2644" s="517" t="s">
        <v>5020</v>
      </c>
      <c r="F2644" s="518" t="s">
        <v>29</v>
      </c>
      <c r="G2644" s="519">
        <v>119328</v>
      </c>
      <c r="H2644" s="517" t="s">
        <v>6915</v>
      </c>
    </row>
    <row r="2645" spans="2:8" ht="15" x14ac:dyDescent="0.35">
      <c r="B2645" s="544" t="s">
        <v>6263</v>
      </c>
      <c r="C2645" s="517" t="s">
        <v>6317</v>
      </c>
      <c r="D2645" s="518">
        <v>12513</v>
      </c>
      <c r="E2645" s="517" t="s">
        <v>5021</v>
      </c>
      <c r="F2645" s="518" t="s">
        <v>3189</v>
      </c>
      <c r="G2645" s="519">
        <v>2353</v>
      </c>
      <c r="H2645" s="517" t="s">
        <v>6915</v>
      </c>
    </row>
    <row r="2646" spans="2:8" ht="15" x14ac:dyDescent="0.35">
      <c r="B2646" s="544" t="s">
        <v>6263</v>
      </c>
      <c r="C2646" s="517" t="s">
        <v>6317</v>
      </c>
      <c r="D2646" s="518">
        <v>12514</v>
      </c>
      <c r="E2646" s="517" t="s">
        <v>5022</v>
      </c>
      <c r="F2646" s="518" t="s">
        <v>3172</v>
      </c>
      <c r="G2646" s="519">
        <v>21849</v>
      </c>
      <c r="H2646" s="517" t="s">
        <v>6915</v>
      </c>
    </row>
    <row r="2647" spans="2:8" ht="15" x14ac:dyDescent="0.35">
      <c r="B2647" s="544" t="s">
        <v>6263</v>
      </c>
      <c r="C2647" s="517" t="s">
        <v>6317</v>
      </c>
      <c r="D2647" s="518">
        <v>12515</v>
      </c>
      <c r="E2647" s="517" t="s">
        <v>5023</v>
      </c>
      <c r="F2647" s="518" t="s">
        <v>1147</v>
      </c>
      <c r="G2647" s="519">
        <v>320460</v>
      </c>
      <c r="H2647" s="517" t="s">
        <v>6915</v>
      </c>
    </row>
    <row r="2648" spans="2:8" ht="15" x14ac:dyDescent="0.35">
      <c r="B2648" s="544" t="s">
        <v>6263</v>
      </c>
      <c r="C2648" s="517" t="s">
        <v>6317</v>
      </c>
      <c r="D2648" s="518">
        <v>12516</v>
      </c>
      <c r="E2648" s="517" t="s">
        <v>5024</v>
      </c>
      <c r="F2648" s="518" t="s">
        <v>29</v>
      </c>
      <c r="G2648" s="519">
        <v>23500</v>
      </c>
      <c r="H2648" s="517" t="s">
        <v>6915</v>
      </c>
    </row>
    <row r="2649" spans="2:8" ht="15" x14ac:dyDescent="0.35">
      <c r="B2649" s="544" t="s">
        <v>6263</v>
      </c>
      <c r="C2649" s="517" t="s">
        <v>6317</v>
      </c>
      <c r="D2649" s="518">
        <v>12517</v>
      </c>
      <c r="E2649" s="517" t="s">
        <v>6116</v>
      </c>
      <c r="F2649" s="518" t="s">
        <v>29</v>
      </c>
      <c r="G2649" s="519">
        <v>6964</v>
      </c>
      <c r="H2649" s="517" t="s">
        <v>6915</v>
      </c>
    </row>
    <row r="2650" spans="2:8" ht="15" x14ac:dyDescent="0.35">
      <c r="B2650" s="544" t="s">
        <v>6263</v>
      </c>
      <c r="C2650" s="517" t="s">
        <v>6317</v>
      </c>
      <c r="D2650" s="518">
        <v>12518</v>
      </c>
      <c r="E2650" s="517" t="s">
        <v>5025</v>
      </c>
      <c r="F2650" s="518" t="s">
        <v>29</v>
      </c>
      <c r="G2650" s="519">
        <v>922606</v>
      </c>
      <c r="H2650" s="517" t="s">
        <v>6915</v>
      </c>
    </row>
    <row r="2651" spans="2:8" ht="15" x14ac:dyDescent="0.35">
      <c r="B2651" s="544" t="s">
        <v>6263</v>
      </c>
      <c r="C2651" s="517" t="s">
        <v>6419</v>
      </c>
      <c r="D2651" s="518">
        <v>12519</v>
      </c>
      <c r="E2651" s="517" t="s">
        <v>5026</v>
      </c>
      <c r="F2651" s="518" t="s">
        <v>23</v>
      </c>
      <c r="G2651" s="519">
        <v>335988</v>
      </c>
      <c r="H2651" s="517" t="s">
        <v>6915</v>
      </c>
    </row>
    <row r="2652" spans="2:8" ht="15" x14ac:dyDescent="0.35">
      <c r="B2652" s="544" t="s">
        <v>6263</v>
      </c>
      <c r="C2652" s="517" t="s">
        <v>6317</v>
      </c>
      <c r="D2652" s="518">
        <v>12520</v>
      </c>
      <c r="E2652" s="517" t="s">
        <v>5027</v>
      </c>
      <c r="F2652" s="518" t="s">
        <v>29</v>
      </c>
      <c r="G2652" s="519">
        <v>282</v>
      </c>
      <c r="H2652" s="517" t="s">
        <v>6915</v>
      </c>
    </row>
    <row r="2653" spans="2:8" ht="15" x14ac:dyDescent="0.35">
      <c r="B2653" s="544" t="s">
        <v>6263</v>
      </c>
      <c r="C2653" s="517" t="s">
        <v>6317</v>
      </c>
      <c r="D2653" s="518">
        <v>12521</v>
      </c>
      <c r="E2653" s="517" t="s">
        <v>5028</v>
      </c>
      <c r="F2653" s="518" t="s">
        <v>29</v>
      </c>
      <c r="G2653" s="519">
        <v>631</v>
      </c>
      <c r="H2653" s="517" t="s">
        <v>6915</v>
      </c>
    </row>
    <row r="2654" spans="2:8" ht="15" x14ac:dyDescent="0.35">
      <c r="B2654" s="544" t="s">
        <v>6263</v>
      </c>
      <c r="C2654" s="517" t="s">
        <v>6317</v>
      </c>
      <c r="D2654" s="518">
        <v>12522</v>
      </c>
      <c r="E2654" s="517" t="s">
        <v>5029</v>
      </c>
      <c r="F2654" s="518" t="s">
        <v>29</v>
      </c>
      <c r="G2654" s="519">
        <v>49777</v>
      </c>
      <c r="H2654" s="517" t="s">
        <v>6915</v>
      </c>
    </row>
    <row r="2655" spans="2:8" ht="15" x14ac:dyDescent="0.35">
      <c r="B2655" s="544" t="s">
        <v>6263</v>
      </c>
      <c r="C2655" s="517" t="s">
        <v>6317</v>
      </c>
      <c r="D2655" s="518">
        <v>12523</v>
      </c>
      <c r="E2655" s="517" t="s">
        <v>5030</v>
      </c>
      <c r="F2655" s="518" t="s">
        <v>29</v>
      </c>
      <c r="G2655" s="519">
        <v>61404</v>
      </c>
      <c r="H2655" s="517" t="s">
        <v>6915</v>
      </c>
    </row>
    <row r="2656" spans="2:8" ht="15" x14ac:dyDescent="0.35">
      <c r="B2656" s="544" t="s">
        <v>6263</v>
      </c>
      <c r="C2656" s="517" t="s">
        <v>6317</v>
      </c>
      <c r="D2656" s="518">
        <v>12524</v>
      </c>
      <c r="E2656" s="517" t="s">
        <v>5031</v>
      </c>
      <c r="F2656" s="518" t="s">
        <v>3189</v>
      </c>
      <c r="G2656" s="519">
        <v>8824</v>
      </c>
      <c r="H2656" s="517" t="s">
        <v>6915</v>
      </c>
    </row>
    <row r="2657" spans="2:8" ht="15" x14ac:dyDescent="0.35">
      <c r="B2657" s="544" t="s">
        <v>6263</v>
      </c>
      <c r="C2657" s="517" t="s">
        <v>6317</v>
      </c>
      <c r="D2657" s="518">
        <v>12525</v>
      </c>
      <c r="E2657" s="517" t="s">
        <v>5032</v>
      </c>
      <c r="F2657" s="518" t="s">
        <v>29</v>
      </c>
      <c r="G2657" s="519">
        <v>121008</v>
      </c>
      <c r="H2657" s="517" t="s">
        <v>6915</v>
      </c>
    </row>
    <row r="2658" spans="2:8" ht="15" x14ac:dyDescent="0.35">
      <c r="B2658" s="544" t="s">
        <v>6263</v>
      </c>
      <c r="C2658" s="517" t="s">
        <v>6317</v>
      </c>
      <c r="D2658" s="518">
        <v>12526</v>
      </c>
      <c r="E2658" s="517" t="s">
        <v>5033</v>
      </c>
      <c r="F2658" s="518" t="s">
        <v>3189</v>
      </c>
      <c r="G2658" s="519">
        <v>24</v>
      </c>
      <c r="H2658" s="517" t="s">
        <v>6915</v>
      </c>
    </row>
    <row r="2659" spans="2:8" ht="15" x14ac:dyDescent="0.35">
      <c r="B2659" s="544" t="s">
        <v>6263</v>
      </c>
      <c r="C2659" s="517" t="s">
        <v>6392</v>
      </c>
      <c r="D2659" s="518">
        <v>12668</v>
      </c>
      <c r="E2659" s="517" t="s">
        <v>5034</v>
      </c>
      <c r="F2659" s="518" t="s">
        <v>21</v>
      </c>
      <c r="G2659" s="519">
        <v>1951173</v>
      </c>
      <c r="H2659" s="517" t="s">
        <v>6915</v>
      </c>
    </row>
    <row r="2660" spans="2:8" ht="15" x14ac:dyDescent="0.35">
      <c r="B2660" s="544" t="s">
        <v>6263</v>
      </c>
      <c r="C2660" s="517" t="s">
        <v>6392</v>
      </c>
      <c r="D2660" s="518">
        <v>12669</v>
      </c>
      <c r="E2660" s="517" t="s">
        <v>5035</v>
      </c>
      <c r="F2660" s="518" t="s">
        <v>26</v>
      </c>
      <c r="G2660" s="519">
        <v>964971</v>
      </c>
      <c r="H2660" s="517" t="s">
        <v>6915</v>
      </c>
    </row>
    <row r="2661" spans="2:8" ht="15" x14ac:dyDescent="0.35">
      <c r="B2661" s="544" t="s">
        <v>6263</v>
      </c>
      <c r="C2661" s="517" t="s">
        <v>6392</v>
      </c>
      <c r="D2661" s="518">
        <v>12670</v>
      </c>
      <c r="E2661" s="517" t="s">
        <v>5036</v>
      </c>
      <c r="F2661" s="518" t="s">
        <v>26</v>
      </c>
      <c r="G2661" s="519">
        <v>145436</v>
      </c>
      <c r="H2661" s="517" t="s">
        <v>6915</v>
      </c>
    </row>
    <row r="2662" spans="2:8" ht="15" x14ac:dyDescent="0.35">
      <c r="B2662" s="544" t="s">
        <v>6263</v>
      </c>
      <c r="C2662" s="517" t="s">
        <v>6404</v>
      </c>
      <c r="D2662" s="518">
        <v>12744</v>
      </c>
      <c r="E2662" s="517" t="s">
        <v>6117</v>
      </c>
      <c r="F2662" s="518" t="s">
        <v>26</v>
      </c>
      <c r="G2662" s="519">
        <v>1102773</v>
      </c>
      <c r="H2662" s="517" t="s">
        <v>6915</v>
      </c>
    </row>
    <row r="2663" spans="2:8" ht="15" x14ac:dyDescent="0.35">
      <c r="B2663" s="544" t="s">
        <v>6263</v>
      </c>
      <c r="C2663" s="517" t="s">
        <v>6404</v>
      </c>
      <c r="D2663" s="518">
        <v>12745</v>
      </c>
      <c r="E2663" s="517" t="s">
        <v>6118</v>
      </c>
      <c r="F2663" s="518" t="s">
        <v>26</v>
      </c>
      <c r="G2663" s="519">
        <v>1102773</v>
      </c>
      <c r="H2663" s="517" t="s">
        <v>6915</v>
      </c>
    </row>
    <row r="2664" spans="2:8" ht="15" x14ac:dyDescent="0.35">
      <c r="B2664" s="544" t="s">
        <v>6263</v>
      </c>
      <c r="C2664" s="517" t="s">
        <v>6404</v>
      </c>
      <c r="D2664" s="518">
        <v>12746</v>
      </c>
      <c r="E2664" s="517" t="s">
        <v>6119</v>
      </c>
      <c r="F2664" s="518" t="s">
        <v>26</v>
      </c>
      <c r="G2664" s="519">
        <v>1102773</v>
      </c>
      <c r="H2664" s="517" t="s">
        <v>6915</v>
      </c>
    </row>
    <row r="2665" spans="2:8" ht="15" x14ac:dyDescent="0.35">
      <c r="B2665" s="544" t="s">
        <v>6263</v>
      </c>
      <c r="C2665" s="517" t="s">
        <v>6404</v>
      </c>
      <c r="D2665" s="518">
        <v>12747</v>
      </c>
      <c r="E2665" s="517" t="s">
        <v>6120</v>
      </c>
      <c r="F2665" s="518" t="s">
        <v>26</v>
      </c>
      <c r="G2665" s="519">
        <v>2109632</v>
      </c>
      <c r="H2665" s="517" t="s">
        <v>6915</v>
      </c>
    </row>
    <row r="2666" spans="2:8" ht="15" x14ac:dyDescent="0.35">
      <c r="B2666" s="544" t="s">
        <v>6263</v>
      </c>
      <c r="C2666" s="517" t="s">
        <v>6404</v>
      </c>
      <c r="D2666" s="518">
        <v>12748</v>
      </c>
      <c r="E2666" s="517" t="s">
        <v>6121</v>
      </c>
      <c r="F2666" s="518" t="s">
        <v>26</v>
      </c>
      <c r="G2666" s="519">
        <v>2524003</v>
      </c>
      <c r="H2666" s="517" t="s">
        <v>6915</v>
      </c>
    </row>
    <row r="2667" spans="2:8" ht="15" x14ac:dyDescent="0.35">
      <c r="B2667" s="544" t="s">
        <v>6263</v>
      </c>
      <c r="C2667" s="517" t="s">
        <v>6404</v>
      </c>
      <c r="D2667" s="518">
        <v>12778</v>
      </c>
      <c r="E2667" s="517" t="s">
        <v>6122</v>
      </c>
      <c r="F2667" s="518" t="s">
        <v>26</v>
      </c>
      <c r="G2667" s="519">
        <v>2717841</v>
      </c>
      <c r="H2667" s="517" t="s">
        <v>6915</v>
      </c>
    </row>
    <row r="2668" spans="2:8" ht="15" x14ac:dyDescent="0.35">
      <c r="B2668" s="544" t="s">
        <v>6263</v>
      </c>
      <c r="C2668" s="517" t="s">
        <v>6387</v>
      </c>
      <c r="D2668" s="518">
        <v>12781</v>
      </c>
      <c r="E2668" s="517" t="s">
        <v>6123</v>
      </c>
      <c r="F2668" s="518" t="s">
        <v>3175</v>
      </c>
      <c r="G2668" s="519">
        <v>230000</v>
      </c>
      <c r="H2668" s="517" t="s">
        <v>5686</v>
      </c>
    </row>
    <row r="2669" spans="2:8" ht="15" x14ac:dyDescent="0.35">
      <c r="B2669" s="544" t="s">
        <v>6263</v>
      </c>
      <c r="C2669" s="517" t="s">
        <v>6387</v>
      </c>
      <c r="D2669" s="518">
        <v>12782</v>
      </c>
      <c r="E2669" s="517" t="s">
        <v>6124</v>
      </c>
      <c r="F2669" s="518" t="s">
        <v>1628</v>
      </c>
      <c r="G2669" s="519">
        <v>6997000</v>
      </c>
      <c r="H2669" s="517" t="s">
        <v>5686</v>
      </c>
    </row>
    <row r="2670" spans="2:8" ht="15" x14ac:dyDescent="0.35">
      <c r="B2670" s="544" t="s">
        <v>6263</v>
      </c>
      <c r="C2670" s="517" t="s">
        <v>6387</v>
      </c>
      <c r="D2670" s="518">
        <v>12783</v>
      </c>
      <c r="E2670" s="517" t="s">
        <v>6125</v>
      </c>
      <c r="F2670" s="518" t="s">
        <v>3175</v>
      </c>
      <c r="G2670" s="519">
        <v>331000</v>
      </c>
      <c r="H2670" s="517" t="s">
        <v>5686</v>
      </c>
    </row>
    <row r="2671" spans="2:8" ht="15" x14ac:dyDescent="0.35">
      <c r="B2671" s="544" t="s">
        <v>6263</v>
      </c>
      <c r="C2671" s="517" t="s">
        <v>6387</v>
      </c>
      <c r="D2671" s="518">
        <v>12784</v>
      </c>
      <c r="E2671" s="517" t="s">
        <v>6126</v>
      </c>
      <c r="F2671" s="518" t="s">
        <v>1628</v>
      </c>
      <c r="G2671" s="519">
        <v>10036000</v>
      </c>
      <c r="H2671" s="517" t="s">
        <v>5686</v>
      </c>
    </row>
    <row r="2672" spans="2:8" ht="15" x14ac:dyDescent="0.35">
      <c r="B2672" s="544" t="s">
        <v>6263</v>
      </c>
      <c r="C2672" s="517" t="s">
        <v>6387</v>
      </c>
      <c r="D2672" s="518">
        <v>12785</v>
      </c>
      <c r="E2672" s="517" t="s">
        <v>6127</v>
      </c>
      <c r="F2672" s="518" t="s">
        <v>3175</v>
      </c>
      <c r="G2672" s="519">
        <v>315000</v>
      </c>
      <c r="H2672" s="517" t="s">
        <v>5686</v>
      </c>
    </row>
    <row r="2673" spans="2:8" ht="15" x14ac:dyDescent="0.35">
      <c r="B2673" s="544" t="s">
        <v>6263</v>
      </c>
      <c r="C2673" s="517" t="s">
        <v>6387</v>
      </c>
      <c r="D2673" s="518">
        <v>12786</v>
      </c>
      <c r="E2673" s="517" t="s">
        <v>6128</v>
      </c>
      <c r="F2673" s="518" t="s">
        <v>1628</v>
      </c>
      <c r="G2673" s="519">
        <v>9405000</v>
      </c>
      <c r="H2673" s="517" t="s">
        <v>5686</v>
      </c>
    </row>
    <row r="2674" spans="2:8" ht="15" x14ac:dyDescent="0.35">
      <c r="B2674" s="544" t="s">
        <v>6263</v>
      </c>
      <c r="C2674" s="517" t="s">
        <v>6387</v>
      </c>
      <c r="D2674" s="518">
        <v>12787</v>
      </c>
      <c r="E2674" s="517" t="s">
        <v>6129</v>
      </c>
      <c r="F2674" s="518" t="s">
        <v>3175</v>
      </c>
      <c r="G2674" s="519">
        <v>455000</v>
      </c>
      <c r="H2674" s="517" t="s">
        <v>5686</v>
      </c>
    </row>
    <row r="2675" spans="2:8" ht="15" x14ac:dyDescent="0.35">
      <c r="B2675" s="544" t="s">
        <v>6263</v>
      </c>
      <c r="C2675" s="517" t="s">
        <v>6387</v>
      </c>
      <c r="D2675" s="518">
        <v>12788</v>
      </c>
      <c r="E2675" s="517" t="s">
        <v>6130</v>
      </c>
      <c r="F2675" s="518" t="s">
        <v>1628</v>
      </c>
      <c r="G2675" s="519">
        <v>13649000</v>
      </c>
      <c r="H2675" s="517" t="s">
        <v>5686</v>
      </c>
    </row>
    <row r="2676" spans="2:8" ht="15" x14ac:dyDescent="0.35">
      <c r="B2676" s="544" t="s">
        <v>6263</v>
      </c>
      <c r="C2676" s="517" t="s">
        <v>6317</v>
      </c>
      <c r="D2676" s="518">
        <v>12830</v>
      </c>
      <c r="E2676" s="517" t="s">
        <v>5037</v>
      </c>
      <c r="F2676" s="518" t="s">
        <v>29</v>
      </c>
      <c r="G2676" s="519">
        <v>282</v>
      </c>
      <c r="H2676" s="517" t="s">
        <v>6915</v>
      </c>
    </row>
    <row r="2677" spans="2:8" ht="15" x14ac:dyDescent="0.35">
      <c r="B2677" s="544" t="s">
        <v>6263</v>
      </c>
      <c r="C2677" s="517" t="s">
        <v>6317</v>
      </c>
      <c r="D2677" s="518">
        <v>12831</v>
      </c>
      <c r="E2677" s="517" t="s">
        <v>5038</v>
      </c>
      <c r="F2677" s="518" t="s">
        <v>29</v>
      </c>
      <c r="G2677" s="519">
        <v>631</v>
      </c>
      <c r="H2677" s="517" t="s">
        <v>6915</v>
      </c>
    </row>
    <row r="2678" spans="2:8" ht="15" x14ac:dyDescent="0.35">
      <c r="B2678" s="544" t="s">
        <v>6263</v>
      </c>
      <c r="C2678" s="517" t="s">
        <v>6317</v>
      </c>
      <c r="D2678" s="518">
        <v>12832</v>
      </c>
      <c r="E2678" s="517" t="s">
        <v>5039</v>
      </c>
      <c r="F2678" s="518" t="s">
        <v>3172</v>
      </c>
      <c r="G2678" s="519">
        <v>21849</v>
      </c>
      <c r="H2678" s="517" t="s">
        <v>6915</v>
      </c>
    </row>
    <row r="2679" spans="2:8" ht="15" x14ac:dyDescent="0.35">
      <c r="B2679" s="544" t="s">
        <v>6263</v>
      </c>
      <c r="C2679" s="517" t="s">
        <v>6317</v>
      </c>
      <c r="D2679" s="518">
        <v>12833</v>
      </c>
      <c r="E2679" s="517" t="s">
        <v>5040</v>
      </c>
      <c r="F2679" s="518" t="s">
        <v>1147</v>
      </c>
      <c r="G2679" s="519">
        <v>320460</v>
      </c>
      <c r="H2679" s="517" t="s">
        <v>6915</v>
      </c>
    </row>
    <row r="2680" spans="2:8" ht="15" x14ac:dyDescent="0.35">
      <c r="B2680" s="544" t="s">
        <v>6263</v>
      </c>
      <c r="C2680" s="517" t="s">
        <v>6317</v>
      </c>
      <c r="D2680" s="518">
        <v>12834</v>
      </c>
      <c r="E2680" s="517" t="s">
        <v>6131</v>
      </c>
      <c r="F2680" s="518" t="s">
        <v>29</v>
      </c>
      <c r="G2680" s="519">
        <v>6964</v>
      </c>
      <c r="H2680" s="517" t="s">
        <v>6915</v>
      </c>
    </row>
    <row r="2681" spans="2:8" ht="15" x14ac:dyDescent="0.35">
      <c r="B2681" s="544" t="s">
        <v>6263</v>
      </c>
      <c r="C2681" s="517" t="s">
        <v>6317</v>
      </c>
      <c r="D2681" s="518">
        <v>12835</v>
      </c>
      <c r="E2681" s="517" t="s">
        <v>5041</v>
      </c>
      <c r="F2681" s="518" t="s">
        <v>29</v>
      </c>
      <c r="G2681" s="519">
        <v>121008</v>
      </c>
      <c r="H2681" s="517" t="s">
        <v>6915</v>
      </c>
    </row>
    <row r="2682" spans="2:8" ht="15" x14ac:dyDescent="0.35">
      <c r="B2682" s="544" t="s">
        <v>6263</v>
      </c>
      <c r="C2682" s="517" t="s">
        <v>6419</v>
      </c>
      <c r="D2682" s="518">
        <v>12836</v>
      </c>
      <c r="E2682" s="517" t="s">
        <v>5042</v>
      </c>
      <c r="F2682" s="518" t="s">
        <v>23</v>
      </c>
      <c r="G2682" s="519">
        <v>335988</v>
      </c>
      <c r="H2682" s="517" t="s">
        <v>6915</v>
      </c>
    </row>
    <row r="2683" spans="2:8" ht="15" x14ac:dyDescent="0.35">
      <c r="B2683" s="544" t="s">
        <v>6263</v>
      </c>
      <c r="C2683" s="517" t="s">
        <v>6317</v>
      </c>
      <c r="D2683" s="518">
        <v>12837</v>
      </c>
      <c r="E2683" s="517" t="s">
        <v>5043</v>
      </c>
      <c r="F2683" s="518" t="s">
        <v>29</v>
      </c>
      <c r="G2683" s="519">
        <v>922606</v>
      </c>
      <c r="H2683" s="517" t="s">
        <v>6915</v>
      </c>
    </row>
    <row r="2684" spans="2:8" ht="15" x14ac:dyDescent="0.35">
      <c r="B2684" s="544" t="s">
        <v>6263</v>
      </c>
      <c r="C2684" s="517" t="s">
        <v>6317</v>
      </c>
      <c r="D2684" s="518">
        <v>12838</v>
      </c>
      <c r="E2684" s="517" t="s">
        <v>5044</v>
      </c>
      <c r="F2684" s="518" t="s">
        <v>3189</v>
      </c>
      <c r="G2684" s="519">
        <v>8824</v>
      </c>
      <c r="H2684" s="517" t="s">
        <v>6915</v>
      </c>
    </row>
    <row r="2685" spans="2:8" ht="15" x14ac:dyDescent="0.35">
      <c r="B2685" s="544" t="s">
        <v>6263</v>
      </c>
      <c r="C2685" s="517" t="s">
        <v>6317</v>
      </c>
      <c r="D2685" s="518">
        <v>12839</v>
      </c>
      <c r="E2685" s="517" t="s">
        <v>5045</v>
      </c>
      <c r="F2685" s="518" t="s">
        <v>29</v>
      </c>
      <c r="G2685" s="519">
        <v>49777</v>
      </c>
      <c r="H2685" s="517" t="s">
        <v>6915</v>
      </c>
    </row>
    <row r="2686" spans="2:8" ht="15" x14ac:dyDescent="0.35">
      <c r="B2686" s="544" t="s">
        <v>6263</v>
      </c>
      <c r="C2686" s="517" t="s">
        <v>6361</v>
      </c>
      <c r="D2686" s="518">
        <v>12896</v>
      </c>
      <c r="E2686" s="517" t="s">
        <v>5046</v>
      </c>
      <c r="F2686" s="518" t="s">
        <v>26</v>
      </c>
      <c r="G2686" s="519">
        <v>5484690</v>
      </c>
      <c r="H2686" s="517" t="s">
        <v>6915</v>
      </c>
    </row>
    <row r="2687" spans="2:8" ht="15" x14ac:dyDescent="0.35">
      <c r="B2687" s="544" t="s">
        <v>6263</v>
      </c>
      <c r="C2687" s="517" t="s">
        <v>6350</v>
      </c>
      <c r="D2687" s="518">
        <v>12918</v>
      </c>
      <c r="E2687" s="517" t="s">
        <v>5679</v>
      </c>
      <c r="F2687" s="518" t="s">
        <v>676</v>
      </c>
      <c r="G2687" s="519">
        <v>21404</v>
      </c>
      <c r="H2687" s="517" t="s">
        <v>6425</v>
      </c>
    </row>
    <row r="2688" spans="2:8" ht="15" x14ac:dyDescent="0.35">
      <c r="B2688" s="544" t="s">
        <v>6263</v>
      </c>
      <c r="C2688" s="517" t="s">
        <v>6340</v>
      </c>
      <c r="D2688" s="518">
        <v>12919</v>
      </c>
      <c r="E2688" s="517" t="s">
        <v>5047</v>
      </c>
      <c r="F2688" s="518" t="s">
        <v>1628</v>
      </c>
      <c r="G2688" s="519">
        <v>10996</v>
      </c>
      <c r="H2688" s="517" t="s">
        <v>6425</v>
      </c>
    </row>
    <row r="2689" spans="2:8" ht="15" x14ac:dyDescent="0.35">
      <c r="B2689" s="544" t="s">
        <v>6263</v>
      </c>
      <c r="C2689" s="517" t="s">
        <v>6340</v>
      </c>
      <c r="D2689" s="518">
        <v>12920</v>
      </c>
      <c r="E2689" s="517" t="s">
        <v>5048</v>
      </c>
      <c r="F2689" s="518" t="s">
        <v>3175</v>
      </c>
      <c r="G2689" s="519">
        <v>79195</v>
      </c>
      <c r="H2689" s="517" t="s">
        <v>6425</v>
      </c>
    </row>
    <row r="2690" spans="2:8" ht="15" x14ac:dyDescent="0.35">
      <c r="B2690" s="544" t="s">
        <v>6263</v>
      </c>
      <c r="C2690" s="517" t="s">
        <v>6372</v>
      </c>
      <c r="D2690" s="518">
        <v>12925</v>
      </c>
      <c r="E2690" s="517" t="s">
        <v>6132</v>
      </c>
      <c r="F2690" s="518" t="s">
        <v>29</v>
      </c>
      <c r="G2690" s="519">
        <v>85680</v>
      </c>
      <c r="H2690" s="517" t="s">
        <v>6915</v>
      </c>
    </row>
    <row r="2691" spans="2:8" ht="15" x14ac:dyDescent="0.35">
      <c r="B2691" s="544" t="s">
        <v>6263</v>
      </c>
      <c r="C2691" s="517" t="s">
        <v>6375</v>
      </c>
      <c r="D2691" s="518">
        <v>12926</v>
      </c>
      <c r="E2691" s="517" t="s">
        <v>5049</v>
      </c>
      <c r="F2691" s="518" t="s">
        <v>29</v>
      </c>
      <c r="G2691" s="519">
        <v>20230</v>
      </c>
      <c r="H2691" s="517" t="s">
        <v>6915</v>
      </c>
    </row>
    <row r="2692" spans="2:8" ht="15" x14ac:dyDescent="0.35">
      <c r="B2692" s="544" t="s">
        <v>6263</v>
      </c>
      <c r="C2692" s="517" t="s">
        <v>6375</v>
      </c>
      <c r="D2692" s="518">
        <v>12927</v>
      </c>
      <c r="E2692" s="517" t="s">
        <v>5050</v>
      </c>
      <c r="F2692" s="518" t="s">
        <v>3175</v>
      </c>
      <c r="G2692" s="519">
        <v>773500</v>
      </c>
      <c r="H2692" s="517" t="s">
        <v>6915</v>
      </c>
    </row>
    <row r="2693" spans="2:8" ht="15" x14ac:dyDescent="0.35">
      <c r="B2693" s="544" t="s">
        <v>6263</v>
      </c>
      <c r="C2693" s="517" t="s">
        <v>6420</v>
      </c>
      <c r="D2693" s="518">
        <v>13188</v>
      </c>
      <c r="E2693" s="517" t="s">
        <v>6133</v>
      </c>
      <c r="F2693" s="518" t="s">
        <v>3892</v>
      </c>
      <c r="G2693" s="519">
        <v>496212</v>
      </c>
      <c r="H2693" s="517" t="s">
        <v>6915</v>
      </c>
    </row>
    <row r="2694" spans="2:8" ht="15" x14ac:dyDescent="0.35">
      <c r="B2694" s="544" t="s">
        <v>6263</v>
      </c>
      <c r="C2694" s="517" t="s">
        <v>6421</v>
      </c>
      <c r="D2694" s="518">
        <v>13189</v>
      </c>
      <c r="E2694" s="517" t="s">
        <v>6134</v>
      </c>
      <c r="F2694" s="518" t="s">
        <v>5051</v>
      </c>
      <c r="G2694" s="519">
        <v>44524697</v>
      </c>
      <c r="H2694" s="517" t="s">
        <v>6915</v>
      </c>
    </row>
    <row r="2695" spans="2:8" ht="15" x14ac:dyDescent="0.35">
      <c r="B2695" s="544" t="s">
        <v>6263</v>
      </c>
      <c r="C2695" s="517" t="s">
        <v>6417</v>
      </c>
      <c r="D2695" s="518">
        <v>13190</v>
      </c>
      <c r="E2695" s="517" t="s">
        <v>5052</v>
      </c>
      <c r="F2695" s="518" t="s">
        <v>29</v>
      </c>
      <c r="G2695" s="519">
        <v>10670152</v>
      </c>
      <c r="H2695" s="517" t="s">
        <v>6915</v>
      </c>
    </row>
    <row r="2696" spans="2:8" ht="15" x14ac:dyDescent="0.35">
      <c r="B2696" s="544" t="s">
        <v>6263</v>
      </c>
      <c r="C2696" s="517" t="s">
        <v>6421</v>
      </c>
      <c r="D2696" s="518">
        <v>13191</v>
      </c>
      <c r="E2696" s="517" t="s">
        <v>5053</v>
      </c>
      <c r="F2696" s="518" t="s">
        <v>29</v>
      </c>
      <c r="G2696" s="519">
        <v>10115000</v>
      </c>
      <c r="H2696" s="517" t="s">
        <v>6915</v>
      </c>
    </row>
    <row r="2697" spans="2:8" ht="15" x14ac:dyDescent="0.35">
      <c r="B2697" s="544" t="s">
        <v>6263</v>
      </c>
      <c r="C2697" s="517" t="s">
        <v>6392</v>
      </c>
      <c r="D2697" s="518">
        <v>13221</v>
      </c>
      <c r="E2697" s="517" t="s">
        <v>5054</v>
      </c>
      <c r="F2697" s="518" t="s">
        <v>21</v>
      </c>
      <c r="G2697" s="519">
        <v>136138</v>
      </c>
      <c r="H2697" s="517" t="s">
        <v>6915</v>
      </c>
    </row>
    <row r="2698" spans="2:8" ht="15" x14ac:dyDescent="0.35">
      <c r="B2698" s="544" t="s">
        <v>6263</v>
      </c>
      <c r="C2698" s="517" t="s">
        <v>6372</v>
      </c>
      <c r="D2698" s="518">
        <v>13222</v>
      </c>
      <c r="E2698" s="517" t="s">
        <v>6135</v>
      </c>
      <c r="F2698" s="518" t="s">
        <v>990</v>
      </c>
      <c r="G2698" s="519">
        <v>5538141</v>
      </c>
      <c r="H2698" s="517" t="s">
        <v>6915</v>
      </c>
    </row>
    <row r="2699" spans="2:8" ht="15" x14ac:dyDescent="0.35">
      <c r="B2699" s="544" t="s">
        <v>6263</v>
      </c>
      <c r="C2699" s="517" t="s">
        <v>6362</v>
      </c>
      <c r="D2699" s="518">
        <v>13249</v>
      </c>
      <c r="E2699" s="517" t="s">
        <v>5055</v>
      </c>
      <c r="F2699" s="518" t="s">
        <v>23</v>
      </c>
      <c r="G2699" s="519">
        <v>978447</v>
      </c>
      <c r="H2699" s="517" t="s">
        <v>6425</v>
      </c>
    </row>
    <row r="2700" spans="2:8" ht="15" x14ac:dyDescent="0.35">
      <c r="B2700" s="544" t="s">
        <v>6263</v>
      </c>
      <c r="C2700" s="517" t="s">
        <v>6362</v>
      </c>
      <c r="D2700" s="518">
        <v>13250</v>
      </c>
      <c r="E2700" s="517" t="s">
        <v>5056</v>
      </c>
      <c r="F2700" s="518" t="s">
        <v>23</v>
      </c>
      <c r="G2700" s="519">
        <v>892262</v>
      </c>
      <c r="H2700" s="517" t="s">
        <v>6425</v>
      </c>
    </row>
    <row r="2701" spans="2:8" ht="15" x14ac:dyDescent="0.35">
      <c r="B2701" s="544" t="s">
        <v>6263</v>
      </c>
      <c r="C2701" s="517" t="s">
        <v>6362</v>
      </c>
      <c r="D2701" s="518">
        <v>13251</v>
      </c>
      <c r="E2701" s="517" t="s">
        <v>5057</v>
      </c>
      <c r="F2701" s="518" t="s">
        <v>23</v>
      </c>
      <c r="G2701" s="519">
        <v>1167251</v>
      </c>
      <c r="H2701" s="517" t="s">
        <v>6425</v>
      </c>
    </row>
    <row r="2702" spans="2:8" ht="15" x14ac:dyDescent="0.35">
      <c r="B2702" s="544" t="s">
        <v>6263</v>
      </c>
      <c r="C2702" s="517" t="s">
        <v>6343</v>
      </c>
      <c r="D2702" s="518">
        <v>13300</v>
      </c>
      <c r="E2702" s="517" t="s">
        <v>5058</v>
      </c>
      <c r="F2702" s="518" t="s">
        <v>23</v>
      </c>
      <c r="G2702" s="519">
        <v>95200</v>
      </c>
      <c r="H2702" s="517" t="s">
        <v>6425</v>
      </c>
    </row>
    <row r="2703" spans="2:8" ht="15" x14ac:dyDescent="0.35">
      <c r="B2703" s="544" t="s">
        <v>6263</v>
      </c>
      <c r="C2703" s="517" t="s">
        <v>6383</v>
      </c>
      <c r="D2703" s="518">
        <v>13302</v>
      </c>
      <c r="E2703" s="517" t="s">
        <v>3004</v>
      </c>
      <c r="F2703" s="518" t="s">
        <v>29</v>
      </c>
      <c r="G2703" s="519">
        <v>7360812</v>
      </c>
      <c r="H2703" s="517" t="s">
        <v>6915</v>
      </c>
    </row>
    <row r="2704" spans="2:8" ht="15" x14ac:dyDescent="0.35">
      <c r="B2704" s="544" t="s">
        <v>6263</v>
      </c>
      <c r="C2704" s="517" t="s">
        <v>6383</v>
      </c>
      <c r="D2704" s="518">
        <v>13303</v>
      </c>
      <c r="E2704" s="517" t="s">
        <v>3005</v>
      </c>
      <c r="F2704" s="518" t="s">
        <v>29</v>
      </c>
      <c r="G2704" s="519">
        <v>9812204</v>
      </c>
      <c r="H2704" s="517" t="s">
        <v>6915</v>
      </c>
    </row>
    <row r="2705" spans="2:8" ht="15" x14ac:dyDescent="0.35">
      <c r="B2705" s="544" t="s">
        <v>6263</v>
      </c>
      <c r="C2705" s="517" t="s">
        <v>6338</v>
      </c>
      <c r="D2705" s="518">
        <v>13318</v>
      </c>
      <c r="E2705" s="517" t="s">
        <v>5680</v>
      </c>
      <c r="F2705" s="518" t="s">
        <v>676</v>
      </c>
      <c r="G2705" s="519">
        <v>261318</v>
      </c>
      <c r="H2705" s="517" t="s">
        <v>6425</v>
      </c>
    </row>
    <row r="2706" spans="2:8" ht="15" x14ac:dyDescent="0.35">
      <c r="B2706" s="544" t="s">
        <v>6263</v>
      </c>
      <c r="C2706" s="517" t="s">
        <v>6361</v>
      </c>
      <c r="D2706" s="518">
        <v>13319</v>
      </c>
      <c r="E2706" s="517" t="s">
        <v>5059</v>
      </c>
      <c r="F2706" s="518" t="s">
        <v>29</v>
      </c>
      <c r="G2706" s="519">
        <v>927111</v>
      </c>
      <c r="H2706" s="517" t="s">
        <v>6915</v>
      </c>
    </row>
    <row r="2707" spans="2:8" ht="15" x14ac:dyDescent="0.35">
      <c r="B2707" s="544" t="s">
        <v>6263</v>
      </c>
      <c r="C2707" s="517" t="s">
        <v>6361</v>
      </c>
      <c r="D2707" s="518">
        <v>13320</v>
      </c>
      <c r="E2707" s="517" t="s">
        <v>5060</v>
      </c>
      <c r="F2707" s="518" t="s">
        <v>29</v>
      </c>
      <c r="G2707" s="519">
        <v>367410</v>
      </c>
      <c r="H2707" s="517" t="s">
        <v>6915</v>
      </c>
    </row>
    <row r="2708" spans="2:8" ht="15" x14ac:dyDescent="0.35">
      <c r="B2708" s="544" t="s">
        <v>6263</v>
      </c>
      <c r="C2708" s="517" t="s">
        <v>6361</v>
      </c>
      <c r="D2708" s="518">
        <v>13321</v>
      </c>
      <c r="E2708" s="517" t="s">
        <v>5061</v>
      </c>
      <c r="F2708" s="518" t="s">
        <v>29</v>
      </c>
      <c r="G2708" s="519">
        <v>2410534</v>
      </c>
      <c r="H2708" s="517" t="s">
        <v>6915</v>
      </c>
    </row>
    <row r="2709" spans="2:8" ht="15" x14ac:dyDescent="0.35">
      <c r="B2709" s="544" t="s">
        <v>6263</v>
      </c>
      <c r="C2709" s="517" t="s">
        <v>6361</v>
      </c>
      <c r="D2709" s="518">
        <v>13322</v>
      </c>
      <c r="E2709" s="517" t="s">
        <v>5062</v>
      </c>
      <c r="F2709" s="518" t="s">
        <v>29</v>
      </c>
      <c r="G2709" s="519">
        <v>782479</v>
      </c>
      <c r="H2709" s="517" t="s">
        <v>6915</v>
      </c>
    </row>
    <row r="2710" spans="2:8" ht="15" x14ac:dyDescent="0.35">
      <c r="B2710" s="544" t="s">
        <v>6263</v>
      </c>
      <c r="C2710" s="517" t="s">
        <v>6361</v>
      </c>
      <c r="D2710" s="518">
        <v>13323</v>
      </c>
      <c r="E2710" s="517" t="s">
        <v>5063</v>
      </c>
      <c r="F2710" s="518" t="s">
        <v>29</v>
      </c>
      <c r="G2710" s="519">
        <v>462413</v>
      </c>
      <c r="H2710" s="517" t="s">
        <v>6915</v>
      </c>
    </row>
    <row r="2711" spans="2:8" ht="15" x14ac:dyDescent="0.35">
      <c r="B2711" s="544" t="s">
        <v>6263</v>
      </c>
      <c r="C2711" s="517" t="s">
        <v>6361</v>
      </c>
      <c r="D2711" s="518">
        <v>13324</v>
      </c>
      <c r="E2711" s="517" t="s">
        <v>5064</v>
      </c>
      <c r="F2711" s="518" t="s">
        <v>29</v>
      </c>
      <c r="G2711" s="519">
        <v>937299</v>
      </c>
      <c r="H2711" s="517" t="s">
        <v>6915</v>
      </c>
    </row>
    <row r="2712" spans="2:8" ht="15" x14ac:dyDescent="0.35">
      <c r="B2712" s="544" t="s">
        <v>6263</v>
      </c>
      <c r="C2712" s="517" t="s">
        <v>6361</v>
      </c>
      <c r="D2712" s="518">
        <v>13325</v>
      </c>
      <c r="E2712" s="517" t="s">
        <v>5065</v>
      </c>
      <c r="F2712" s="518" t="s">
        <v>29</v>
      </c>
      <c r="G2712" s="519">
        <v>388496</v>
      </c>
      <c r="H2712" s="517" t="s">
        <v>6915</v>
      </c>
    </row>
    <row r="2713" spans="2:8" ht="15" x14ac:dyDescent="0.35">
      <c r="B2713" s="544" t="s">
        <v>6263</v>
      </c>
      <c r="C2713" s="517" t="s">
        <v>6361</v>
      </c>
      <c r="D2713" s="518">
        <v>13326</v>
      </c>
      <c r="E2713" s="517" t="s">
        <v>5066</v>
      </c>
      <c r="F2713" s="518" t="s">
        <v>29</v>
      </c>
      <c r="G2713" s="519">
        <v>208678</v>
      </c>
      <c r="H2713" s="517" t="s">
        <v>6915</v>
      </c>
    </row>
    <row r="2714" spans="2:8" ht="15" x14ac:dyDescent="0.35">
      <c r="B2714" s="544" t="s">
        <v>6263</v>
      </c>
      <c r="C2714" s="517" t="s">
        <v>6361</v>
      </c>
      <c r="D2714" s="518">
        <v>13327</v>
      </c>
      <c r="E2714" s="517" t="s">
        <v>5067</v>
      </c>
      <c r="F2714" s="518" t="s">
        <v>29</v>
      </c>
      <c r="G2714" s="519">
        <v>37577</v>
      </c>
      <c r="H2714" s="517" t="s">
        <v>6915</v>
      </c>
    </row>
    <row r="2715" spans="2:8" ht="15" x14ac:dyDescent="0.35">
      <c r="B2715" s="544" t="s">
        <v>6263</v>
      </c>
      <c r="C2715" s="517" t="s">
        <v>6361</v>
      </c>
      <c r="D2715" s="518">
        <v>13328</v>
      </c>
      <c r="E2715" s="517" t="s">
        <v>5068</v>
      </c>
      <c r="F2715" s="518" t="s">
        <v>29</v>
      </c>
      <c r="G2715" s="519">
        <v>567657</v>
      </c>
      <c r="H2715" s="517" t="s">
        <v>6915</v>
      </c>
    </row>
    <row r="2716" spans="2:8" ht="15" x14ac:dyDescent="0.35">
      <c r="B2716" s="544" t="s">
        <v>6263</v>
      </c>
      <c r="C2716" s="517" t="s">
        <v>6361</v>
      </c>
      <c r="D2716" s="518">
        <v>13329</v>
      </c>
      <c r="E2716" s="517" t="s">
        <v>5069</v>
      </c>
      <c r="F2716" s="518" t="s">
        <v>29</v>
      </c>
      <c r="G2716" s="519">
        <v>1283518</v>
      </c>
      <c r="H2716" s="517" t="s">
        <v>6915</v>
      </c>
    </row>
    <row r="2717" spans="2:8" ht="15" x14ac:dyDescent="0.35">
      <c r="B2717" s="544" t="s">
        <v>6263</v>
      </c>
      <c r="C2717" s="517" t="s">
        <v>6361</v>
      </c>
      <c r="D2717" s="518">
        <v>13330</v>
      </c>
      <c r="E2717" s="517" t="s">
        <v>5070</v>
      </c>
      <c r="F2717" s="518" t="s">
        <v>29</v>
      </c>
      <c r="G2717" s="519">
        <v>1710026</v>
      </c>
      <c r="H2717" s="517" t="s">
        <v>6915</v>
      </c>
    </row>
    <row r="2718" spans="2:8" ht="15" x14ac:dyDescent="0.35">
      <c r="B2718" s="544" t="s">
        <v>6263</v>
      </c>
      <c r="C2718" s="517" t="s">
        <v>6361</v>
      </c>
      <c r="D2718" s="518">
        <v>13331</v>
      </c>
      <c r="E2718" s="517" t="s">
        <v>5071</v>
      </c>
      <c r="F2718" s="518" t="s">
        <v>29</v>
      </c>
      <c r="G2718" s="519">
        <v>2198573</v>
      </c>
      <c r="H2718" s="517" t="s">
        <v>6915</v>
      </c>
    </row>
    <row r="2719" spans="2:8" ht="15" x14ac:dyDescent="0.35">
      <c r="B2719" s="544" t="s">
        <v>6263</v>
      </c>
      <c r="C2719" s="517" t="s">
        <v>6361</v>
      </c>
      <c r="D2719" s="518">
        <v>13332</v>
      </c>
      <c r="E2719" s="517" t="s">
        <v>5072</v>
      </c>
      <c r="F2719" s="518" t="s">
        <v>29</v>
      </c>
      <c r="G2719" s="519">
        <v>708541</v>
      </c>
      <c r="H2719" s="517" t="s">
        <v>6915</v>
      </c>
    </row>
    <row r="2720" spans="2:8" ht="15" x14ac:dyDescent="0.35">
      <c r="B2720" s="544" t="s">
        <v>6263</v>
      </c>
      <c r="C2720" s="517" t="s">
        <v>6361</v>
      </c>
      <c r="D2720" s="518">
        <v>13333</v>
      </c>
      <c r="E2720" s="517" t="s">
        <v>5073</v>
      </c>
      <c r="F2720" s="518" t="s">
        <v>29</v>
      </c>
      <c r="G2720" s="519">
        <v>132453</v>
      </c>
      <c r="H2720" s="517" t="s">
        <v>6915</v>
      </c>
    </row>
    <row r="2721" spans="2:8" ht="15" x14ac:dyDescent="0.35">
      <c r="B2721" s="544" t="s">
        <v>6263</v>
      </c>
      <c r="C2721" s="517" t="s">
        <v>6361</v>
      </c>
      <c r="D2721" s="518">
        <v>13336</v>
      </c>
      <c r="E2721" s="517" t="s">
        <v>5074</v>
      </c>
      <c r="F2721" s="518" t="s">
        <v>29</v>
      </c>
      <c r="G2721" s="519">
        <v>271964</v>
      </c>
      <c r="H2721" s="517" t="s">
        <v>6915</v>
      </c>
    </row>
    <row r="2722" spans="2:8" ht="15" x14ac:dyDescent="0.35">
      <c r="B2722" s="544" t="s">
        <v>6263</v>
      </c>
      <c r="C2722" s="517" t="s">
        <v>6363</v>
      </c>
      <c r="D2722" s="518">
        <v>13372</v>
      </c>
      <c r="E2722" s="517" t="s">
        <v>5075</v>
      </c>
      <c r="F2722" s="518" t="s">
        <v>21</v>
      </c>
      <c r="G2722" s="519">
        <v>10239</v>
      </c>
      <c r="H2722" s="517" t="s">
        <v>6915</v>
      </c>
    </row>
    <row r="2723" spans="2:8" ht="15" x14ac:dyDescent="0.35">
      <c r="B2723" s="544" t="s">
        <v>6263</v>
      </c>
      <c r="C2723" s="517" t="s">
        <v>6363</v>
      </c>
      <c r="D2723" s="518">
        <v>13373</v>
      </c>
      <c r="E2723" s="517" t="s">
        <v>5076</v>
      </c>
      <c r="F2723" s="518" t="s">
        <v>21</v>
      </c>
      <c r="G2723" s="519">
        <v>13090</v>
      </c>
      <c r="H2723" s="517" t="s">
        <v>6915</v>
      </c>
    </row>
    <row r="2724" spans="2:8" ht="15" x14ac:dyDescent="0.35">
      <c r="B2724" s="544" t="s">
        <v>6263</v>
      </c>
      <c r="C2724" s="517" t="s">
        <v>6363</v>
      </c>
      <c r="D2724" s="518">
        <v>13374</v>
      </c>
      <c r="E2724" s="517" t="s">
        <v>5077</v>
      </c>
      <c r="F2724" s="518" t="s">
        <v>21</v>
      </c>
      <c r="G2724" s="519">
        <v>14033</v>
      </c>
      <c r="H2724" s="517" t="s">
        <v>6915</v>
      </c>
    </row>
    <row r="2725" spans="2:8" ht="15" x14ac:dyDescent="0.35">
      <c r="B2725" s="544" t="s">
        <v>6263</v>
      </c>
      <c r="C2725" s="517" t="s">
        <v>6363</v>
      </c>
      <c r="D2725" s="518">
        <v>13375</v>
      </c>
      <c r="E2725" s="517" t="s">
        <v>5078</v>
      </c>
      <c r="F2725" s="518" t="s">
        <v>21</v>
      </c>
      <c r="G2725" s="519">
        <v>12604</v>
      </c>
      <c r="H2725" s="517" t="s">
        <v>6915</v>
      </c>
    </row>
    <row r="2726" spans="2:8" ht="15" x14ac:dyDescent="0.35">
      <c r="B2726" s="544" t="s">
        <v>6263</v>
      </c>
      <c r="C2726" s="517" t="s">
        <v>6389</v>
      </c>
      <c r="D2726" s="518">
        <v>13376</v>
      </c>
      <c r="E2726" s="517" t="s">
        <v>6925</v>
      </c>
      <c r="F2726" s="518" t="s">
        <v>29</v>
      </c>
      <c r="G2726" s="519">
        <v>137740664</v>
      </c>
      <c r="H2726" s="517" t="s">
        <v>6425</v>
      </c>
    </row>
    <row r="2727" spans="2:8" ht="15" x14ac:dyDescent="0.35">
      <c r="B2727" s="544" t="s">
        <v>6263</v>
      </c>
      <c r="C2727" s="517" t="s">
        <v>6389</v>
      </c>
      <c r="D2727" s="518">
        <v>13377</v>
      </c>
      <c r="E2727" s="517" t="s">
        <v>6926</v>
      </c>
      <c r="F2727" s="518" t="s">
        <v>29</v>
      </c>
      <c r="G2727" s="519">
        <v>156453836</v>
      </c>
      <c r="H2727" s="517" t="s">
        <v>6425</v>
      </c>
    </row>
    <row r="2728" spans="2:8" ht="15" x14ac:dyDescent="0.35">
      <c r="B2728" s="544" t="s">
        <v>6263</v>
      </c>
      <c r="C2728" s="517" t="s">
        <v>6389</v>
      </c>
      <c r="D2728" s="518">
        <v>13378</v>
      </c>
      <c r="E2728" s="517" t="s">
        <v>6927</v>
      </c>
      <c r="F2728" s="518" t="s">
        <v>29</v>
      </c>
      <c r="G2728" s="519">
        <v>174056651</v>
      </c>
      <c r="H2728" s="517" t="s">
        <v>6425</v>
      </c>
    </row>
    <row r="2729" spans="2:8" ht="15" x14ac:dyDescent="0.35">
      <c r="B2729" s="544" t="s">
        <v>6263</v>
      </c>
      <c r="C2729" s="517" t="s">
        <v>6389</v>
      </c>
      <c r="D2729" s="518">
        <v>13379</v>
      </c>
      <c r="E2729" s="517" t="s">
        <v>6928</v>
      </c>
      <c r="F2729" s="518" t="s">
        <v>29</v>
      </c>
      <c r="G2729" s="519">
        <v>1848266</v>
      </c>
      <c r="H2729" s="517" t="s">
        <v>6425</v>
      </c>
    </row>
    <row r="2730" spans="2:8" ht="15" x14ac:dyDescent="0.35">
      <c r="B2730" s="544" t="s">
        <v>6263</v>
      </c>
      <c r="C2730" s="517" t="s">
        <v>6329</v>
      </c>
      <c r="D2730" s="518">
        <v>13400</v>
      </c>
      <c r="E2730" s="517" t="s">
        <v>5079</v>
      </c>
      <c r="F2730" s="518" t="s">
        <v>29</v>
      </c>
      <c r="G2730" s="519">
        <v>57566</v>
      </c>
      <c r="H2730" s="517" t="s">
        <v>6425</v>
      </c>
    </row>
    <row r="2731" spans="2:8" ht="15" x14ac:dyDescent="0.35">
      <c r="B2731" s="544" t="s">
        <v>6263</v>
      </c>
      <c r="C2731" s="517" t="s">
        <v>6329</v>
      </c>
      <c r="D2731" s="518">
        <v>13401</v>
      </c>
      <c r="E2731" s="517" t="s">
        <v>5080</v>
      </c>
      <c r="F2731" s="518" t="s">
        <v>29</v>
      </c>
      <c r="G2731" s="519">
        <v>83072</v>
      </c>
      <c r="H2731" s="517" t="s">
        <v>6425</v>
      </c>
    </row>
    <row r="2732" spans="2:8" ht="15" x14ac:dyDescent="0.35">
      <c r="B2732" s="544" t="s">
        <v>6263</v>
      </c>
      <c r="C2732" s="517" t="s">
        <v>6329</v>
      </c>
      <c r="D2732" s="518">
        <v>13402</v>
      </c>
      <c r="E2732" s="517" t="s">
        <v>5081</v>
      </c>
      <c r="F2732" s="518" t="s">
        <v>29</v>
      </c>
      <c r="G2732" s="519">
        <v>63003</v>
      </c>
      <c r="H2732" s="517" t="s">
        <v>6425</v>
      </c>
    </row>
    <row r="2733" spans="2:8" ht="15" x14ac:dyDescent="0.35">
      <c r="B2733" s="544" t="s">
        <v>6263</v>
      </c>
      <c r="C2733" s="517" t="s">
        <v>6329</v>
      </c>
      <c r="D2733" s="518">
        <v>13403</v>
      </c>
      <c r="E2733" s="517" t="s">
        <v>5082</v>
      </c>
      <c r="F2733" s="518" t="s">
        <v>29</v>
      </c>
      <c r="G2733" s="519">
        <v>262470</v>
      </c>
      <c r="H2733" s="517" t="s">
        <v>6425</v>
      </c>
    </row>
    <row r="2734" spans="2:8" ht="15" x14ac:dyDescent="0.35">
      <c r="B2734" s="544" t="s">
        <v>6263</v>
      </c>
      <c r="C2734" s="517" t="s">
        <v>6329</v>
      </c>
      <c r="D2734" s="518">
        <v>13404</v>
      </c>
      <c r="E2734" s="517" t="s">
        <v>5083</v>
      </c>
      <c r="F2734" s="518" t="s">
        <v>26</v>
      </c>
      <c r="G2734" s="519">
        <v>265615</v>
      </c>
      <c r="H2734" s="517" t="s">
        <v>6425</v>
      </c>
    </row>
    <row r="2735" spans="2:8" ht="15" x14ac:dyDescent="0.35">
      <c r="B2735" s="544" t="s">
        <v>6263</v>
      </c>
      <c r="C2735" s="517" t="s">
        <v>6329</v>
      </c>
      <c r="D2735" s="518">
        <v>13405</v>
      </c>
      <c r="E2735" s="517" t="s">
        <v>5084</v>
      </c>
      <c r="F2735" s="518" t="s">
        <v>29</v>
      </c>
      <c r="G2735" s="519">
        <v>1707455</v>
      </c>
      <c r="H2735" s="517" t="s">
        <v>6425</v>
      </c>
    </row>
    <row r="2736" spans="2:8" ht="15" x14ac:dyDescent="0.35">
      <c r="B2736" s="544" t="s">
        <v>6263</v>
      </c>
      <c r="C2736" s="517" t="s">
        <v>6329</v>
      </c>
      <c r="D2736" s="518">
        <v>13406</v>
      </c>
      <c r="E2736" s="517" t="s">
        <v>5085</v>
      </c>
      <c r="F2736" s="518" t="s">
        <v>29</v>
      </c>
      <c r="G2736" s="519">
        <v>1468835</v>
      </c>
      <c r="H2736" s="517" t="s">
        <v>6425</v>
      </c>
    </row>
    <row r="2737" spans="2:8" ht="15" x14ac:dyDescent="0.35">
      <c r="B2737" s="544" t="s">
        <v>6263</v>
      </c>
      <c r="C2737" s="517" t="s">
        <v>6329</v>
      </c>
      <c r="D2737" s="518">
        <v>13407</v>
      </c>
      <c r="E2737" s="517" t="s">
        <v>5086</v>
      </c>
      <c r="F2737" s="518" t="s">
        <v>29</v>
      </c>
      <c r="G2737" s="519">
        <v>1383189</v>
      </c>
      <c r="H2737" s="517" t="s">
        <v>6425</v>
      </c>
    </row>
    <row r="2738" spans="2:8" ht="15" x14ac:dyDescent="0.35">
      <c r="B2738" s="544" t="s">
        <v>6263</v>
      </c>
      <c r="C2738" s="517" t="s">
        <v>6329</v>
      </c>
      <c r="D2738" s="518">
        <v>13408</v>
      </c>
      <c r="E2738" s="517" t="s">
        <v>5087</v>
      </c>
      <c r="F2738" s="518" t="s">
        <v>29</v>
      </c>
      <c r="G2738" s="519">
        <v>1407846</v>
      </c>
      <c r="H2738" s="517" t="s">
        <v>6425</v>
      </c>
    </row>
    <row r="2739" spans="2:8" ht="15" x14ac:dyDescent="0.35">
      <c r="B2739" s="544" t="s">
        <v>6263</v>
      </c>
      <c r="C2739" s="517" t="s">
        <v>6329</v>
      </c>
      <c r="D2739" s="518">
        <v>13409</v>
      </c>
      <c r="E2739" s="517" t="s">
        <v>5088</v>
      </c>
      <c r="F2739" s="518" t="s">
        <v>29</v>
      </c>
      <c r="G2739" s="519">
        <v>1407846</v>
      </c>
      <c r="H2739" s="517" t="s">
        <v>6425</v>
      </c>
    </row>
    <row r="2740" spans="2:8" ht="15" x14ac:dyDescent="0.35">
      <c r="B2740" s="544" t="s">
        <v>6263</v>
      </c>
      <c r="C2740" s="517" t="s">
        <v>6329</v>
      </c>
      <c r="D2740" s="518">
        <v>13410</v>
      </c>
      <c r="E2740" s="517" t="s">
        <v>5089</v>
      </c>
      <c r="F2740" s="518" t="s">
        <v>29</v>
      </c>
      <c r="G2740" s="519">
        <v>3703234</v>
      </c>
      <c r="H2740" s="517" t="s">
        <v>6425</v>
      </c>
    </row>
    <row r="2741" spans="2:8" ht="15" x14ac:dyDescent="0.35">
      <c r="B2741" s="544" t="s">
        <v>6263</v>
      </c>
      <c r="C2741" s="517" t="s">
        <v>6329</v>
      </c>
      <c r="D2741" s="518">
        <v>13411</v>
      </c>
      <c r="E2741" s="517" t="s">
        <v>5090</v>
      </c>
      <c r="F2741" s="518" t="s">
        <v>29</v>
      </c>
      <c r="G2741" s="519">
        <v>4281858</v>
      </c>
      <c r="H2741" s="517" t="s">
        <v>6425</v>
      </c>
    </row>
    <row r="2742" spans="2:8" ht="15" x14ac:dyDescent="0.35">
      <c r="B2742" s="544" t="s">
        <v>6263</v>
      </c>
      <c r="C2742" s="517" t="s">
        <v>6329</v>
      </c>
      <c r="D2742" s="518">
        <v>13412</v>
      </c>
      <c r="E2742" s="517" t="s">
        <v>5091</v>
      </c>
      <c r="F2742" s="518" t="s">
        <v>29</v>
      </c>
      <c r="G2742" s="519">
        <v>4768460</v>
      </c>
      <c r="H2742" s="517" t="s">
        <v>6425</v>
      </c>
    </row>
    <row r="2743" spans="2:8" ht="15" x14ac:dyDescent="0.35">
      <c r="B2743" s="544" t="s">
        <v>6263</v>
      </c>
      <c r="C2743" s="517" t="s">
        <v>6329</v>
      </c>
      <c r="D2743" s="518">
        <v>13413</v>
      </c>
      <c r="E2743" s="517" t="s">
        <v>5092</v>
      </c>
      <c r="F2743" s="518" t="s">
        <v>29</v>
      </c>
      <c r="G2743" s="519">
        <v>5035408</v>
      </c>
      <c r="H2743" s="517" t="s">
        <v>6425</v>
      </c>
    </row>
    <row r="2744" spans="2:8" ht="15" x14ac:dyDescent="0.35">
      <c r="B2744" s="544" t="s">
        <v>6263</v>
      </c>
      <c r="C2744" s="517" t="s">
        <v>6329</v>
      </c>
      <c r="D2744" s="518">
        <v>13414</v>
      </c>
      <c r="E2744" s="517" t="s">
        <v>5093</v>
      </c>
      <c r="F2744" s="518" t="s">
        <v>29</v>
      </c>
      <c r="G2744" s="519">
        <v>14096122</v>
      </c>
      <c r="H2744" s="517" t="s">
        <v>6425</v>
      </c>
    </row>
    <row r="2745" spans="2:8" ht="15" x14ac:dyDescent="0.35">
      <c r="B2745" s="544" t="s">
        <v>6263</v>
      </c>
      <c r="C2745" s="517" t="s">
        <v>6329</v>
      </c>
      <c r="D2745" s="518">
        <v>13415</v>
      </c>
      <c r="E2745" s="517" t="s">
        <v>5094</v>
      </c>
      <c r="F2745" s="518" t="s">
        <v>29</v>
      </c>
      <c r="G2745" s="519">
        <v>18038517</v>
      </c>
      <c r="H2745" s="517" t="s">
        <v>6425</v>
      </c>
    </row>
    <row r="2746" spans="2:8" ht="15" x14ac:dyDescent="0.35">
      <c r="B2746" s="544" t="s">
        <v>6263</v>
      </c>
      <c r="C2746" s="517" t="s">
        <v>6338</v>
      </c>
      <c r="D2746" s="518">
        <v>13416</v>
      </c>
      <c r="E2746" s="517" t="s">
        <v>5681</v>
      </c>
      <c r="F2746" s="518" t="s">
        <v>676</v>
      </c>
      <c r="G2746" s="519">
        <v>65614</v>
      </c>
      <c r="H2746" s="517" t="s">
        <v>6425</v>
      </c>
    </row>
    <row r="2747" spans="2:8" ht="15" x14ac:dyDescent="0.35">
      <c r="B2747" s="544" t="s">
        <v>6263</v>
      </c>
      <c r="C2747" s="517" t="s">
        <v>6399</v>
      </c>
      <c r="D2747" s="518">
        <v>13417</v>
      </c>
      <c r="E2747" s="517" t="s">
        <v>5095</v>
      </c>
      <c r="F2747" s="518" t="s">
        <v>23</v>
      </c>
      <c r="G2747" s="519">
        <v>120000</v>
      </c>
      <c r="H2747" s="517" t="s">
        <v>6915</v>
      </c>
    </row>
    <row r="2748" spans="2:8" ht="15" x14ac:dyDescent="0.35">
      <c r="B2748" s="544" t="s">
        <v>6263</v>
      </c>
      <c r="C2748" s="517" t="s">
        <v>6422</v>
      </c>
      <c r="D2748" s="518">
        <v>13418</v>
      </c>
      <c r="E2748" s="517" t="s">
        <v>5096</v>
      </c>
      <c r="F2748" s="518" t="s">
        <v>1628</v>
      </c>
      <c r="G2748" s="519">
        <v>2261000</v>
      </c>
      <c r="H2748" s="517" t="s">
        <v>6425</v>
      </c>
    </row>
    <row r="2749" spans="2:8" ht="15" x14ac:dyDescent="0.35">
      <c r="B2749" s="544" t="s">
        <v>6263</v>
      </c>
      <c r="C2749" s="517" t="s">
        <v>6422</v>
      </c>
      <c r="D2749" s="518">
        <v>13419</v>
      </c>
      <c r="E2749" s="517" t="s">
        <v>5097</v>
      </c>
      <c r="F2749" s="518" t="s">
        <v>3175</v>
      </c>
      <c r="G2749" s="519">
        <v>142800</v>
      </c>
      <c r="H2749" s="517" t="s">
        <v>6425</v>
      </c>
    </row>
    <row r="2750" spans="2:8" ht="15" x14ac:dyDescent="0.35">
      <c r="B2750" s="544" t="s">
        <v>6263</v>
      </c>
      <c r="C2750" s="517" t="s">
        <v>6422</v>
      </c>
      <c r="D2750" s="518">
        <v>13420</v>
      </c>
      <c r="E2750" s="517" t="s">
        <v>5098</v>
      </c>
      <c r="F2750" s="518" t="s">
        <v>1628</v>
      </c>
      <c r="G2750" s="519">
        <v>3451000</v>
      </c>
      <c r="H2750" s="517" t="s">
        <v>6425</v>
      </c>
    </row>
    <row r="2751" spans="2:8" ht="15" x14ac:dyDescent="0.35">
      <c r="B2751" s="544" t="s">
        <v>6263</v>
      </c>
      <c r="C2751" s="517" t="s">
        <v>6422</v>
      </c>
      <c r="D2751" s="518">
        <v>13421</v>
      </c>
      <c r="E2751" s="517" t="s">
        <v>5099</v>
      </c>
      <c r="F2751" s="518" t="s">
        <v>1628</v>
      </c>
      <c r="G2751" s="519">
        <v>1071000</v>
      </c>
      <c r="H2751" s="517" t="s">
        <v>6425</v>
      </c>
    </row>
    <row r="2752" spans="2:8" ht="15" x14ac:dyDescent="0.35">
      <c r="B2752" s="544" t="s">
        <v>6263</v>
      </c>
      <c r="C2752" s="517" t="s">
        <v>6422</v>
      </c>
      <c r="D2752" s="518">
        <v>13422</v>
      </c>
      <c r="E2752" s="517" t="s">
        <v>5100</v>
      </c>
      <c r="F2752" s="518" t="s">
        <v>3175</v>
      </c>
      <c r="G2752" s="519">
        <v>71400</v>
      </c>
      <c r="H2752" s="517" t="s">
        <v>6425</v>
      </c>
    </row>
    <row r="2753" spans="2:8" ht="15" x14ac:dyDescent="0.35">
      <c r="B2753" s="544" t="s">
        <v>6263</v>
      </c>
      <c r="C2753" s="517" t="s">
        <v>6422</v>
      </c>
      <c r="D2753" s="518">
        <v>13423</v>
      </c>
      <c r="E2753" s="517" t="s">
        <v>5101</v>
      </c>
      <c r="F2753" s="518" t="s">
        <v>3175</v>
      </c>
      <c r="G2753" s="519">
        <v>321300</v>
      </c>
      <c r="H2753" s="517" t="s">
        <v>6425</v>
      </c>
    </row>
    <row r="2754" spans="2:8" ht="15" x14ac:dyDescent="0.35">
      <c r="B2754" s="544" t="s">
        <v>6263</v>
      </c>
      <c r="C2754" s="517" t="s">
        <v>6405</v>
      </c>
      <c r="D2754" s="518">
        <v>13424</v>
      </c>
      <c r="E2754" s="517" t="s">
        <v>3058</v>
      </c>
      <c r="F2754" s="518" t="s">
        <v>29</v>
      </c>
      <c r="G2754" s="519">
        <v>273700</v>
      </c>
      <c r="H2754" s="517" t="s">
        <v>6915</v>
      </c>
    </row>
    <row r="2755" spans="2:8" ht="15" x14ac:dyDescent="0.35">
      <c r="B2755" s="544" t="s">
        <v>6263</v>
      </c>
      <c r="C2755" s="517" t="s">
        <v>6405</v>
      </c>
      <c r="D2755" s="518">
        <v>13425</v>
      </c>
      <c r="E2755" s="517" t="s">
        <v>3059</v>
      </c>
      <c r="F2755" s="518" t="s">
        <v>29</v>
      </c>
      <c r="G2755" s="519">
        <v>196350</v>
      </c>
      <c r="H2755" s="517" t="s">
        <v>6915</v>
      </c>
    </row>
    <row r="2756" spans="2:8" ht="15" x14ac:dyDescent="0.35">
      <c r="B2756" s="544" t="s">
        <v>6263</v>
      </c>
      <c r="C2756" s="517" t="s">
        <v>6405</v>
      </c>
      <c r="D2756" s="518">
        <v>13426</v>
      </c>
      <c r="E2756" s="517" t="s">
        <v>3061</v>
      </c>
      <c r="F2756" s="518" t="s">
        <v>29</v>
      </c>
      <c r="G2756" s="519">
        <v>1225700</v>
      </c>
      <c r="H2756" s="517" t="s">
        <v>6915</v>
      </c>
    </row>
    <row r="2757" spans="2:8" ht="15" x14ac:dyDescent="0.35">
      <c r="B2757" s="544" t="s">
        <v>6263</v>
      </c>
      <c r="C2757" s="517" t="s">
        <v>6405</v>
      </c>
      <c r="D2757" s="518">
        <v>13427</v>
      </c>
      <c r="E2757" s="517" t="s">
        <v>3060</v>
      </c>
      <c r="F2757" s="518" t="s">
        <v>29</v>
      </c>
      <c r="G2757" s="519">
        <v>856800</v>
      </c>
      <c r="H2757" s="517" t="s">
        <v>6915</v>
      </c>
    </row>
    <row r="2758" spans="2:8" ht="15" x14ac:dyDescent="0.35">
      <c r="B2758" s="544" t="s">
        <v>6263</v>
      </c>
      <c r="C2758" s="517" t="s">
        <v>6383</v>
      </c>
      <c r="D2758" s="518">
        <v>13428</v>
      </c>
      <c r="E2758" s="517" t="s">
        <v>5102</v>
      </c>
      <c r="F2758" s="518" t="s">
        <v>29</v>
      </c>
      <c r="G2758" s="519">
        <v>364407</v>
      </c>
      <c r="H2758" s="517" t="s">
        <v>6915</v>
      </c>
    </row>
    <row r="2759" spans="2:8" ht="15" x14ac:dyDescent="0.35">
      <c r="B2759" s="544" t="s">
        <v>6263</v>
      </c>
      <c r="C2759" s="517" t="s">
        <v>6367</v>
      </c>
      <c r="D2759" s="518">
        <v>13429</v>
      </c>
      <c r="E2759" s="517" t="s">
        <v>5103</v>
      </c>
      <c r="F2759" s="518" t="s">
        <v>21</v>
      </c>
      <c r="G2759" s="519">
        <v>29888</v>
      </c>
      <c r="H2759" s="517" t="s">
        <v>6915</v>
      </c>
    </row>
    <row r="2760" spans="2:8" ht="15" x14ac:dyDescent="0.35">
      <c r="B2760" s="544" t="s">
        <v>6263</v>
      </c>
      <c r="C2760" s="517" t="s">
        <v>6275</v>
      </c>
      <c r="D2760" s="518">
        <v>13430</v>
      </c>
      <c r="E2760" s="517" t="s">
        <v>5104</v>
      </c>
      <c r="F2760" s="518" t="s">
        <v>26</v>
      </c>
      <c r="G2760" s="519">
        <v>12317</v>
      </c>
      <c r="H2760" s="517" t="s">
        <v>6425</v>
      </c>
    </row>
    <row r="2761" spans="2:8" ht="15" x14ac:dyDescent="0.35">
      <c r="B2761" s="544" t="s">
        <v>6263</v>
      </c>
      <c r="C2761" s="517" t="s">
        <v>6360</v>
      </c>
      <c r="D2761" s="518">
        <v>13431</v>
      </c>
      <c r="E2761" s="517" t="s">
        <v>6136</v>
      </c>
      <c r="F2761" s="518" t="s">
        <v>1147</v>
      </c>
      <c r="G2761" s="519">
        <v>1904000</v>
      </c>
      <c r="H2761" s="517" t="s">
        <v>6425</v>
      </c>
    </row>
    <row r="2762" spans="2:8" ht="15" x14ac:dyDescent="0.35">
      <c r="B2762" s="544" t="s">
        <v>6263</v>
      </c>
      <c r="C2762" s="517" t="s">
        <v>6360</v>
      </c>
      <c r="D2762" s="518">
        <v>13432</v>
      </c>
      <c r="E2762" s="517" t="s">
        <v>6137</v>
      </c>
      <c r="F2762" s="518" t="s">
        <v>1147</v>
      </c>
      <c r="G2762" s="519">
        <v>2856000</v>
      </c>
      <c r="H2762" s="517" t="s">
        <v>6425</v>
      </c>
    </row>
    <row r="2763" spans="2:8" ht="15" x14ac:dyDescent="0.35">
      <c r="B2763" s="544" t="s">
        <v>6263</v>
      </c>
      <c r="C2763" s="517" t="s">
        <v>6360</v>
      </c>
      <c r="D2763" s="518">
        <v>13433</v>
      </c>
      <c r="E2763" s="517" t="s">
        <v>6138</v>
      </c>
      <c r="F2763" s="518" t="s">
        <v>1147</v>
      </c>
      <c r="G2763" s="519">
        <v>3332000</v>
      </c>
      <c r="H2763" s="517" t="s">
        <v>6425</v>
      </c>
    </row>
    <row r="2764" spans="2:8" ht="15" x14ac:dyDescent="0.35">
      <c r="B2764" s="544" t="s">
        <v>6263</v>
      </c>
      <c r="C2764" s="517" t="s">
        <v>6360</v>
      </c>
      <c r="D2764" s="518">
        <v>13434</v>
      </c>
      <c r="E2764" s="517" t="s">
        <v>6139</v>
      </c>
      <c r="F2764" s="518" t="s">
        <v>1147</v>
      </c>
      <c r="G2764" s="519">
        <v>4522000</v>
      </c>
      <c r="H2764" s="517" t="s">
        <v>6425</v>
      </c>
    </row>
    <row r="2765" spans="2:8" ht="15" x14ac:dyDescent="0.35">
      <c r="B2765" s="544" t="s">
        <v>6263</v>
      </c>
      <c r="C2765" s="517" t="s">
        <v>6360</v>
      </c>
      <c r="D2765" s="518">
        <v>13435</v>
      </c>
      <c r="E2765" s="517" t="s">
        <v>6140</v>
      </c>
      <c r="F2765" s="518" t="s">
        <v>1147</v>
      </c>
      <c r="G2765" s="519">
        <v>5355000</v>
      </c>
      <c r="H2765" s="517" t="s">
        <v>6425</v>
      </c>
    </row>
    <row r="2766" spans="2:8" ht="15" x14ac:dyDescent="0.35">
      <c r="B2766" s="544" t="s">
        <v>6263</v>
      </c>
      <c r="C2766" s="517" t="s">
        <v>6360</v>
      </c>
      <c r="D2766" s="518">
        <v>13436</v>
      </c>
      <c r="E2766" s="517" t="s">
        <v>6141</v>
      </c>
      <c r="F2766" s="518" t="s">
        <v>1147</v>
      </c>
      <c r="G2766" s="519">
        <v>9520000</v>
      </c>
      <c r="H2766" s="517" t="s">
        <v>6425</v>
      </c>
    </row>
    <row r="2767" spans="2:8" ht="15" x14ac:dyDescent="0.35">
      <c r="B2767" s="544" t="s">
        <v>6263</v>
      </c>
      <c r="C2767" s="517" t="s">
        <v>6343</v>
      </c>
      <c r="D2767" s="518">
        <v>13437</v>
      </c>
      <c r="E2767" s="517" t="s">
        <v>5105</v>
      </c>
      <c r="F2767" s="518" t="s">
        <v>23</v>
      </c>
      <c r="G2767" s="519">
        <v>132090</v>
      </c>
      <c r="H2767" s="517" t="s">
        <v>6425</v>
      </c>
    </row>
    <row r="2768" spans="2:8" ht="15" x14ac:dyDescent="0.35">
      <c r="B2768" s="544" t="s">
        <v>6263</v>
      </c>
      <c r="C2768" s="517" t="s">
        <v>6343</v>
      </c>
      <c r="D2768" s="518">
        <v>13438</v>
      </c>
      <c r="E2768" s="517" t="s">
        <v>5106</v>
      </c>
      <c r="F2768" s="518" t="s">
        <v>23</v>
      </c>
      <c r="G2768" s="519">
        <v>132090</v>
      </c>
      <c r="H2768" s="517" t="s">
        <v>6425</v>
      </c>
    </row>
    <row r="2769" spans="2:8" ht="15" x14ac:dyDescent="0.35">
      <c r="B2769" s="544" t="s">
        <v>6263</v>
      </c>
      <c r="C2769" s="517" t="s">
        <v>6337</v>
      </c>
      <c r="D2769" s="518">
        <v>13439</v>
      </c>
      <c r="E2769" s="517" t="s">
        <v>5107</v>
      </c>
      <c r="F2769" s="518" t="s">
        <v>23</v>
      </c>
      <c r="G2769" s="519">
        <v>825091</v>
      </c>
      <c r="H2769" s="517" t="s">
        <v>6425</v>
      </c>
    </row>
    <row r="2770" spans="2:8" ht="15" x14ac:dyDescent="0.35">
      <c r="B2770" s="544" t="s">
        <v>6263</v>
      </c>
      <c r="C2770" s="517" t="s">
        <v>6337</v>
      </c>
      <c r="D2770" s="518">
        <v>13440</v>
      </c>
      <c r="E2770" s="517" t="s">
        <v>5108</v>
      </c>
      <c r="F2770" s="518" t="s">
        <v>23</v>
      </c>
      <c r="G2770" s="519">
        <v>839665</v>
      </c>
      <c r="H2770" s="517" t="s">
        <v>6425</v>
      </c>
    </row>
    <row r="2771" spans="2:8" ht="15" x14ac:dyDescent="0.35">
      <c r="B2771" s="544" t="s">
        <v>6263</v>
      </c>
      <c r="C2771" s="517" t="s">
        <v>6337</v>
      </c>
      <c r="D2771" s="518">
        <v>13441</v>
      </c>
      <c r="E2771" s="517" t="s">
        <v>5109</v>
      </c>
      <c r="F2771" s="518" t="s">
        <v>23</v>
      </c>
      <c r="G2771" s="519">
        <v>892915</v>
      </c>
      <c r="H2771" s="517" t="s">
        <v>6425</v>
      </c>
    </row>
    <row r="2772" spans="2:8" ht="15" x14ac:dyDescent="0.35">
      <c r="B2772" s="544" t="s">
        <v>6263</v>
      </c>
      <c r="C2772" s="517" t="s">
        <v>6351</v>
      </c>
      <c r="D2772" s="518">
        <v>13442</v>
      </c>
      <c r="E2772" s="517" t="s">
        <v>5110</v>
      </c>
      <c r="F2772" s="518" t="s">
        <v>1628</v>
      </c>
      <c r="G2772" s="519">
        <v>7361890</v>
      </c>
      <c r="H2772" s="517" t="s">
        <v>5686</v>
      </c>
    </row>
    <row r="2773" spans="2:8" ht="15" x14ac:dyDescent="0.35">
      <c r="B2773" s="544" t="s">
        <v>6263</v>
      </c>
      <c r="C2773" s="517" t="s">
        <v>6351</v>
      </c>
      <c r="D2773" s="518">
        <v>13443</v>
      </c>
      <c r="E2773" s="517" t="s">
        <v>5111</v>
      </c>
      <c r="F2773" s="518" t="s">
        <v>1628</v>
      </c>
      <c r="G2773" s="519">
        <v>4467317</v>
      </c>
      <c r="H2773" s="517" t="s">
        <v>5686</v>
      </c>
    </row>
    <row r="2774" spans="2:8" ht="15" x14ac:dyDescent="0.35">
      <c r="B2774" s="544" t="s">
        <v>6263</v>
      </c>
      <c r="C2774" s="517" t="s">
        <v>6351</v>
      </c>
      <c r="D2774" s="518">
        <v>13444</v>
      </c>
      <c r="E2774" s="517" t="s">
        <v>5112</v>
      </c>
      <c r="F2774" s="518" t="s">
        <v>1628</v>
      </c>
      <c r="G2774" s="519">
        <v>5835615</v>
      </c>
      <c r="H2774" s="517" t="s">
        <v>5686</v>
      </c>
    </row>
    <row r="2775" spans="2:8" ht="15" x14ac:dyDescent="0.35">
      <c r="B2775" s="544" t="s">
        <v>6263</v>
      </c>
      <c r="C2775" s="517" t="s">
        <v>6351</v>
      </c>
      <c r="D2775" s="518">
        <v>13445</v>
      </c>
      <c r="E2775" s="517" t="s">
        <v>5113</v>
      </c>
      <c r="F2775" s="518" t="s">
        <v>1628</v>
      </c>
      <c r="G2775" s="519">
        <v>3945223</v>
      </c>
      <c r="H2775" s="517" t="s">
        <v>5686</v>
      </c>
    </row>
    <row r="2776" spans="2:8" ht="15" x14ac:dyDescent="0.35">
      <c r="B2776" s="544" t="s">
        <v>6263</v>
      </c>
      <c r="C2776" s="517" t="s">
        <v>6401</v>
      </c>
      <c r="D2776" s="518">
        <v>13513</v>
      </c>
      <c r="E2776" s="517" t="s">
        <v>5114</v>
      </c>
      <c r="F2776" s="518" t="s">
        <v>26</v>
      </c>
      <c r="G2776" s="519">
        <v>1106330</v>
      </c>
      <c r="H2776" s="517" t="s">
        <v>6915</v>
      </c>
    </row>
    <row r="2777" spans="2:8" ht="15" x14ac:dyDescent="0.35">
      <c r="B2777" s="544" t="s">
        <v>6263</v>
      </c>
      <c r="C2777" s="517" t="s">
        <v>6401</v>
      </c>
      <c r="D2777" s="518">
        <v>13514</v>
      </c>
      <c r="E2777" s="517" t="s">
        <v>5115</v>
      </c>
      <c r="F2777" s="518" t="s">
        <v>26</v>
      </c>
      <c r="G2777" s="519">
        <v>1425618</v>
      </c>
      <c r="H2777" s="517" t="s">
        <v>6915</v>
      </c>
    </row>
    <row r="2778" spans="2:8" ht="15" x14ac:dyDescent="0.35">
      <c r="B2778" s="544" t="s">
        <v>6263</v>
      </c>
      <c r="C2778" s="517" t="s">
        <v>6401</v>
      </c>
      <c r="D2778" s="518">
        <v>13515</v>
      </c>
      <c r="E2778" s="517" t="s">
        <v>5116</v>
      </c>
      <c r="F2778" s="518" t="s">
        <v>26</v>
      </c>
      <c r="G2778" s="519">
        <v>1903835</v>
      </c>
      <c r="H2778" s="517" t="s">
        <v>6915</v>
      </c>
    </row>
    <row r="2779" spans="2:8" ht="15" x14ac:dyDescent="0.35">
      <c r="B2779" s="544" t="s">
        <v>6263</v>
      </c>
      <c r="C2779" s="517" t="s">
        <v>6401</v>
      </c>
      <c r="D2779" s="518">
        <v>13516</v>
      </c>
      <c r="E2779" s="517" t="s">
        <v>5117</v>
      </c>
      <c r="F2779" s="518" t="s">
        <v>26</v>
      </c>
      <c r="G2779" s="519">
        <v>2673582</v>
      </c>
      <c r="H2779" s="517" t="s">
        <v>6915</v>
      </c>
    </row>
    <row r="2780" spans="2:8" ht="15" x14ac:dyDescent="0.35">
      <c r="B2780" s="544" t="s">
        <v>6263</v>
      </c>
      <c r="C2780" s="517" t="s">
        <v>6401</v>
      </c>
      <c r="D2780" s="518">
        <v>13517</v>
      </c>
      <c r="E2780" s="517" t="s">
        <v>5118</v>
      </c>
      <c r="F2780" s="518" t="s">
        <v>26</v>
      </c>
      <c r="G2780" s="519">
        <v>4296242</v>
      </c>
      <c r="H2780" s="517" t="s">
        <v>6915</v>
      </c>
    </row>
    <row r="2781" spans="2:8" ht="15" x14ac:dyDescent="0.35">
      <c r="B2781" s="544" t="s">
        <v>6263</v>
      </c>
      <c r="C2781" s="517" t="s">
        <v>6401</v>
      </c>
      <c r="D2781" s="518">
        <v>13518</v>
      </c>
      <c r="E2781" s="517" t="s">
        <v>5119</v>
      </c>
      <c r="F2781" s="518" t="s">
        <v>26</v>
      </c>
      <c r="G2781" s="519">
        <v>7042024</v>
      </c>
      <c r="H2781" s="517" t="s">
        <v>6915</v>
      </c>
    </row>
    <row r="2782" spans="2:8" ht="15" x14ac:dyDescent="0.35">
      <c r="B2782" s="544" t="s">
        <v>6263</v>
      </c>
      <c r="C2782" s="517" t="s">
        <v>6401</v>
      </c>
      <c r="D2782" s="518">
        <v>13519</v>
      </c>
      <c r="E2782" s="517" t="s">
        <v>5120</v>
      </c>
      <c r="F2782" s="518" t="s">
        <v>26</v>
      </c>
      <c r="G2782" s="519">
        <v>7042024</v>
      </c>
      <c r="H2782" s="517" t="s">
        <v>6915</v>
      </c>
    </row>
    <row r="2783" spans="2:8" ht="15" x14ac:dyDescent="0.35">
      <c r="B2783" s="544" t="s">
        <v>6263</v>
      </c>
      <c r="C2783" s="517" t="s">
        <v>6401</v>
      </c>
      <c r="D2783" s="518">
        <v>13520</v>
      </c>
      <c r="E2783" s="517" t="s">
        <v>5121</v>
      </c>
      <c r="F2783" s="518" t="s">
        <v>26</v>
      </c>
      <c r="G2783" s="519">
        <v>8296515</v>
      </c>
      <c r="H2783" s="517" t="s">
        <v>6915</v>
      </c>
    </row>
    <row r="2784" spans="2:8" ht="15" x14ac:dyDescent="0.35">
      <c r="B2784" s="544" t="s">
        <v>6263</v>
      </c>
      <c r="C2784" s="517" t="s">
        <v>6346</v>
      </c>
      <c r="D2784" s="518">
        <v>13531</v>
      </c>
      <c r="E2784" s="517" t="s">
        <v>5682</v>
      </c>
      <c r="F2784" s="518" t="s">
        <v>29</v>
      </c>
      <c r="G2784" s="519">
        <v>848852</v>
      </c>
      <c r="H2784" s="517" t="s">
        <v>6425</v>
      </c>
    </row>
    <row r="2785" spans="2:8" ht="15" x14ac:dyDescent="0.35">
      <c r="B2785" s="544" t="s">
        <v>6263</v>
      </c>
      <c r="C2785" s="517" t="s">
        <v>6346</v>
      </c>
      <c r="D2785" s="518">
        <v>13532</v>
      </c>
      <c r="E2785" s="517" t="s">
        <v>5683</v>
      </c>
      <c r="F2785" s="518" t="s">
        <v>29</v>
      </c>
      <c r="G2785" s="519">
        <v>55942</v>
      </c>
      <c r="H2785" s="517" t="s">
        <v>6425</v>
      </c>
    </row>
    <row r="2786" spans="2:8" ht="15" x14ac:dyDescent="0.35">
      <c r="B2786" s="544" t="s">
        <v>6263</v>
      </c>
      <c r="C2786" s="517" t="s">
        <v>6346</v>
      </c>
      <c r="D2786" s="518">
        <v>13533</v>
      </c>
      <c r="E2786" s="517" t="s">
        <v>5684</v>
      </c>
      <c r="F2786" s="518" t="s">
        <v>29</v>
      </c>
      <c r="G2786" s="519">
        <v>28715</v>
      </c>
      <c r="H2786" s="517" t="s">
        <v>6425</v>
      </c>
    </row>
    <row r="2787" spans="2:8" ht="15" x14ac:dyDescent="0.35">
      <c r="B2787" s="544" t="s">
        <v>6263</v>
      </c>
      <c r="C2787" s="517" t="s">
        <v>6352</v>
      </c>
      <c r="D2787" s="518">
        <v>13535</v>
      </c>
      <c r="E2787" s="517" t="s">
        <v>5685</v>
      </c>
      <c r="F2787" s="518" t="s">
        <v>26</v>
      </c>
      <c r="G2787" s="519">
        <v>212750</v>
      </c>
      <c r="H2787" s="517" t="s">
        <v>6425</v>
      </c>
    </row>
    <row r="2788" spans="2:8" ht="15" x14ac:dyDescent="0.35">
      <c r="B2788" s="544" t="s">
        <v>6263</v>
      </c>
      <c r="C2788" s="517" t="s">
        <v>6401</v>
      </c>
      <c r="D2788" s="518">
        <v>13564</v>
      </c>
      <c r="E2788" s="517" t="s">
        <v>6142</v>
      </c>
      <c r="F2788" s="518" t="s">
        <v>29</v>
      </c>
      <c r="G2788" s="519">
        <v>279890</v>
      </c>
      <c r="H2788" s="517" t="s">
        <v>6915</v>
      </c>
    </row>
    <row r="2789" spans="2:8" ht="15" x14ac:dyDescent="0.35">
      <c r="B2789" s="544" t="s">
        <v>6263</v>
      </c>
      <c r="C2789" s="517" t="s">
        <v>6401</v>
      </c>
      <c r="D2789" s="518">
        <v>13565</v>
      </c>
      <c r="E2789" s="517" t="s">
        <v>6143</v>
      </c>
      <c r="F2789" s="518" t="s">
        <v>29</v>
      </c>
      <c r="G2789" s="519">
        <v>194705</v>
      </c>
      <c r="H2789" s="517" t="s">
        <v>6915</v>
      </c>
    </row>
    <row r="2790" spans="2:8" ht="15" x14ac:dyDescent="0.35">
      <c r="B2790" s="544" t="s">
        <v>6263</v>
      </c>
      <c r="C2790" s="517" t="s">
        <v>6401</v>
      </c>
      <c r="D2790" s="518">
        <v>13566</v>
      </c>
      <c r="E2790" s="517" t="s">
        <v>6144</v>
      </c>
      <c r="F2790" s="518" t="s">
        <v>29</v>
      </c>
      <c r="G2790" s="519">
        <v>292058</v>
      </c>
      <c r="H2790" s="517" t="s">
        <v>6915</v>
      </c>
    </row>
    <row r="2791" spans="2:8" ht="15" x14ac:dyDescent="0.35">
      <c r="B2791" s="544" t="s">
        <v>6263</v>
      </c>
      <c r="C2791" s="517" t="s">
        <v>6401</v>
      </c>
      <c r="D2791" s="518">
        <v>13567</v>
      </c>
      <c r="E2791" s="517" t="s">
        <v>6145</v>
      </c>
      <c r="F2791" s="518" t="s">
        <v>29</v>
      </c>
      <c r="G2791" s="519">
        <v>83445</v>
      </c>
      <c r="H2791" s="517" t="s">
        <v>6915</v>
      </c>
    </row>
    <row r="2792" spans="2:8" ht="15" x14ac:dyDescent="0.35">
      <c r="B2792" s="544" t="s">
        <v>6263</v>
      </c>
      <c r="C2792" s="517" t="s">
        <v>6401</v>
      </c>
      <c r="D2792" s="518">
        <v>13568</v>
      </c>
      <c r="E2792" s="517" t="s">
        <v>6146</v>
      </c>
      <c r="F2792" s="518" t="s">
        <v>29</v>
      </c>
      <c r="G2792" s="519">
        <v>69538</v>
      </c>
      <c r="H2792" s="517" t="s">
        <v>6915</v>
      </c>
    </row>
    <row r="2793" spans="2:8" ht="15" x14ac:dyDescent="0.35">
      <c r="B2793" s="544" t="s">
        <v>6263</v>
      </c>
      <c r="C2793" s="517" t="s">
        <v>6401</v>
      </c>
      <c r="D2793" s="518">
        <v>13569</v>
      </c>
      <c r="E2793" s="517" t="s">
        <v>6147</v>
      </c>
      <c r="F2793" s="518" t="s">
        <v>29</v>
      </c>
      <c r="G2793" s="519">
        <v>205680</v>
      </c>
      <c r="H2793" s="517" t="s">
        <v>6915</v>
      </c>
    </row>
    <row r="2794" spans="2:8" ht="15" x14ac:dyDescent="0.35">
      <c r="B2794" s="544" t="s">
        <v>6263</v>
      </c>
      <c r="C2794" s="517" t="s">
        <v>6401</v>
      </c>
      <c r="D2794" s="518">
        <v>13570</v>
      </c>
      <c r="E2794" s="517" t="s">
        <v>6148</v>
      </c>
      <c r="F2794" s="518" t="s">
        <v>29</v>
      </c>
      <c r="G2794" s="519">
        <v>78229</v>
      </c>
      <c r="H2794" s="517" t="s">
        <v>6915</v>
      </c>
    </row>
    <row r="2795" spans="2:8" ht="15" x14ac:dyDescent="0.35">
      <c r="B2795" s="544" t="s">
        <v>6263</v>
      </c>
      <c r="C2795" s="517" t="s">
        <v>6401</v>
      </c>
      <c r="D2795" s="518">
        <v>13571</v>
      </c>
      <c r="E2795" s="517" t="s">
        <v>6149</v>
      </c>
      <c r="F2795" s="518" t="s">
        <v>29</v>
      </c>
      <c r="G2795" s="519">
        <v>706933</v>
      </c>
      <c r="H2795" s="517" t="s">
        <v>6915</v>
      </c>
    </row>
    <row r="2796" spans="2:8" ht="15" x14ac:dyDescent="0.35">
      <c r="B2796" s="544" t="s">
        <v>6263</v>
      </c>
      <c r="C2796" s="517" t="s">
        <v>6401</v>
      </c>
      <c r="D2796" s="518">
        <v>13572</v>
      </c>
      <c r="E2796" s="517" t="s">
        <v>6150</v>
      </c>
      <c r="F2796" s="518" t="s">
        <v>29</v>
      </c>
      <c r="G2796" s="519">
        <v>672945</v>
      </c>
      <c r="H2796" s="517" t="s">
        <v>6915</v>
      </c>
    </row>
    <row r="2797" spans="2:8" ht="15" x14ac:dyDescent="0.35">
      <c r="B2797" s="544" t="s">
        <v>6263</v>
      </c>
      <c r="C2797" s="517" t="s">
        <v>6401</v>
      </c>
      <c r="D2797" s="518">
        <v>13573</v>
      </c>
      <c r="E2797" s="517" t="s">
        <v>6151</v>
      </c>
      <c r="F2797" s="518" t="s">
        <v>29</v>
      </c>
      <c r="G2797" s="519">
        <v>349125</v>
      </c>
      <c r="H2797" s="517" t="s">
        <v>6915</v>
      </c>
    </row>
    <row r="2798" spans="2:8" ht="15" x14ac:dyDescent="0.35">
      <c r="B2798" s="544" t="s">
        <v>6263</v>
      </c>
      <c r="C2798" s="517" t="s">
        <v>6401</v>
      </c>
      <c r="D2798" s="518">
        <v>13574</v>
      </c>
      <c r="E2798" s="517" t="s">
        <v>6152</v>
      </c>
      <c r="F2798" s="518" t="s">
        <v>29</v>
      </c>
      <c r="G2798" s="519">
        <v>146637</v>
      </c>
      <c r="H2798" s="517" t="s">
        <v>6915</v>
      </c>
    </row>
    <row r="2799" spans="2:8" ht="15" x14ac:dyDescent="0.35">
      <c r="B2799" s="544" t="s">
        <v>6263</v>
      </c>
      <c r="C2799" s="517" t="s">
        <v>6401</v>
      </c>
      <c r="D2799" s="518">
        <v>13575</v>
      </c>
      <c r="E2799" s="517" t="s">
        <v>6153</v>
      </c>
      <c r="F2799" s="518" t="s">
        <v>29</v>
      </c>
      <c r="G2799" s="519">
        <v>919612</v>
      </c>
      <c r="H2799" s="517" t="s">
        <v>6915</v>
      </c>
    </row>
    <row r="2800" spans="2:8" ht="15" x14ac:dyDescent="0.35">
      <c r="B2800" s="544" t="s">
        <v>6263</v>
      </c>
      <c r="C2800" s="517" t="s">
        <v>6372</v>
      </c>
      <c r="D2800" s="518">
        <v>13576</v>
      </c>
      <c r="E2800" s="517" t="s">
        <v>6154</v>
      </c>
      <c r="F2800" s="518" t="s">
        <v>2360</v>
      </c>
      <c r="G2800" s="519">
        <v>229019</v>
      </c>
      <c r="H2800" s="517" t="s">
        <v>6915</v>
      </c>
    </row>
    <row r="2801" spans="2:8" ht="15" x14ac:dyDescent="0.35">
      <c r="B2801" s="544" t="s">
        <v>6263</v>
      </c>
      <c r="C2801" s="517" t="s">
        <v>6372</v>
      </c>
      <c r="D2801" s="518">
        <v>13577</v>
      </c>
      <c r="E2801" s="517" t="s">
        <v>6155</v>
      </c>
      <c r="F2801" s="518" t="s">
        <v>389</v>
      </c>
      <c r="G2801" s="519">
        <v>3507205</v>
      </c>
      <c r="H2801" s="517" t="s">
        <v>6915</v>
      </c>
    </row>
    <row r="2802" spans="2:8" ht="15" x14ac:dyDescent="0.35">
      <c r="B2802" s="544" t="s">
        <v>6263</v>
      </c>
      <c r="C2802" s="517" t="s">
        <v>6401</v>
      </c>
      <c r="D2802" s="518">
        <v>13578</v>
      </c>
      <c r="E2802" s="517" t="s">
        <v>6156</v>
      </c>
      <c r="F2802" s="518" t="s">
        <v>29</v>
      </c>
      <c r="G2802" s="519">
        <v>825455</v>
      </c>
      <c r="H2802" s="517" t="s">
        <v>6915</v>
      </c>
    </row>
    <row r="2803" spans="2:8" ht="15" x14ac:dyDescent="0.35">
      <c r="B2803" s="544" t="s">
        <v>6263</v>
      </c>
      <c r="C2803" s="517" t="s">
        <v>6372</v>
      </c>
      <c r="D2803" s="518">
        <v>13579</v>
      </c>
      <c r="E2803" s="517" t="s">
        <v>6157</v>
      </c>
      <c r="F2803" s="518" t="s">
        <v>389</v>
      </c>
      <c r="G2803" s="519">
        <v>3566832</v>
      </c>
      <c r="H2803" s="517" t="s">
        <v>6915</v>
      </c>
    </row>
    <row r="2804" spans="2:8" ht="15" x14ac:dyDescent="0.35">
      <c r="B2804" s="544" t="s">
        <v>6263</v>
      </c>
      <c r="C2804" s="517" t="s">
        <v>6372</v>
      </c>
      <c r="D2804" s="518">
        <v>13580</v>
      </c>
      <c r="E2804" s="517" t="s">
        <v>6158</v>
      </c>
      <c r="F2804" s="518" t="s">
        <v>389</v>
      </c>
      <c r="G2804" s="519">
        <v>1428000</v>
      </c>
      <c r="H2804" s="517" t="s">
        <v>6915</v>
      </c>
    </row>
    <row r="2805" spans="2:8" ht="15" x14ac:dyDescent="0.35">
      <c r="B2805" s="544" t="s">
        <v>6263</v>
      </c>
      <c r="C2805" s="517" t="s">
        <v>6401</v>
      </c>
      <c r="D2805" s="518">
        <v>13581</v>
      </c>
      <c r="E2805" s="517" t="s">
        <v>6159</v>
      </c>
      <c r="F2805" s="518" t="s">
        <v>29</v>
      </c>
      <c r="G2805" s="519">
        <v>919612</v>
      </c>
      <c r="H2805" s="517" t="s">
        <v>6915</v>
      </c>
    </row>
    <row r="2806" spans="2:8" ht="15" x14ac:dyDescent="0.35">
      <c r="B2806" s="544" t="s">
        <v>6263</v>
      </c>
      <c r="C2806" s="517" t="s">
        <v>6372</v>
      </c>
      <c r="D2806" s="518">
        <v>13582</v>
      </c>
      <c r="E2806" s="517" t="s">
        <v>6160</v>
      </c>
      <c r="F2806" s="518" t="s">
        <v>2360</v>
      </c>
      <c r="G2806" s="519">
        <v>139871</v>
      </c>
      <c r="H2806" s="517" t="s">
        <v>6915</v>
      </c>
    </row>
    <row r="2807" spans="2:8" ht="15" x14ac:dyDescent="0.35">
      <c r="B2807" s="544" t="s">
        <v>6263</v>
      </c>
      <c r="C2807" s="517" t="s">
        <v>6401</v>
      </c>
      <c r="D2807" s="518">
        <v>13583</v>
      </c>
      <c r="E2807" s="517" t="s">
        <v>6161</v>
      </c>
      <c r="F2807" s="518" t="s">
        <v>29</v>
      </c>
      <c r="G2807" s="519">
        <v>106134</v>
      </c>
      <c r="H2807" s="517" t="s">
        <v>6915</v>
      </c>
    </row>
    <row r="2808" spans="2:8" ht="15" x14ac:dyDescent="0.35">
      <c r="B2808" s="544" t="s">
        <v>6263</v>
      </c>
      <c r="C2808" s="517" t="s">
        <v>6372</v>
      </c>
      <c r="D2808" s="518">
        <v>13584</v>
      </c>
      <c r="E2808" s="517" t="s">
        <v>6162</v>
      </c>
      <c r="F2808" s="518" t="s">
        <v>2360</v>
      </c>
      <c r="G2808" s="519">
        <v>392551</v>
      </c>
      <c r="H2808" s="517" t="s">
        <v>6915</v>
      </c>
    </row>
    <row r="2809" spans="2:8" ht="15" x14ac:dyDescent="0.35">
      <c r="B2809" s="544" t="s">
        <v>6263</v>
      </c>
      <c r="C2809" s="517" t="s">
        <v>6372</v>
      </c>
      <c r="D2809" s="518">
        <v>13585</v>
      </c>
      <c r="E2809" s="517" t="s">
        <v>6163</v>
      </c>
      <c r="F2809" s="518" t="s">
        <v>2360</v>
      </c>
      <c r="G2809" s="519">
        <v>175538</v>
      </c>
      <c r="H2809" s="517" t="s">
        <v>6915</v>
      </c>
    </row>
    <row r="2810" spans="2:8" ht="15" x14ac:dyDescent="0.35">
      <c r="B2810" s="544" t="s">
        <v>6263</v>
      </c>
      <c r="C2810" s="517" t="s">
        <v>6372</v>
      </c>
      <c r="D2810" s="518">
        <v>13586</v>
      </c>
      <c r="E2810" s="517" t="s">
        <v>6164</v>
      </c>
      <c r="F2810" s="518" t="s">
        <v>2360</v>
      </c>
      <c r="G2810" s="519">
        <v>185440</v>
      </c>
      <c r="H2810" s="517" t="s">
        <v>6915</v>
      </c>
    </row>
    <row r="2811" spans="2:8" ht="15" x14ac:dyDescent="0.35">
      <c r="B2811" s="544" t="s">
        <v>6263</v>
      </c>
      <c r="C2811" s="517" t="s">
        <v>6372</v>
      </c>
      <c r="D2811" s="518">
        <v>13587</v>
      </c>
      <c r="E2811" s="517" t="s">
        <v>6165</v>
      </c>
      <c r="F2811" s="518" t="s">
        <v>2360</v>
      </c>
      <c r="G2811" s="519">
        <v>229019</v>
      </c>
      <c r="H2811" s="517" t="s">
        <v>6915</v>
      </c>
    </row>
    <row r="2812" spans="2:8" ht="15" x14ac:dyDescent="0.35">
      <c r="B2812" s="544" t="s">
        <v>6263</v>
      </c>
      <c r="C2812" s="517" t="s">
        <v>6372</v>
      </c>
      <c r="D2812" s="518">
        <v>13588</v>
      </c>
      <c r="E2812" s="517" t="s">
        <v>6166</v>
      </c>
      <c r="F2812" s="518" t="s">
        <v>2360</v>
      </c>
      <c r="G2812" s="519">
        <v>246449</v>
      </c>
      <c r="H2812" s="517" t="s">
        <v>6915</v>
      </c>
    </row>
    <row r="2813" spans="2:8" ht="15" x14ac:dyDescent="0.35">
      <c r="B2813" s="544" t="s">
        <v>6263</v>
      </c>
      <c r="C2813" s="517" t="s">
        <v>6372</v>
      </c>
      <c r="D2813" s="518">
        <v>13589</v>
      </c>
      <c r="E2813" s="517" t="s">
        <v>6167</v>
      </c>
      <c r="F2813" s="518" t="s">
        <v>2360</v>
      </c>
      <c r="G2813" s="519">
        <v>327971</v>
      </c>
      <c r="H2813" s="517" t="s">
        <v>6915</v>
      </c>
    </row>
    <row r="2814" spans="2:8" ht="15" x14ac:dyDescent="0.35">
      <c r="B2814" s="557" t="s">
        <v>6263</v>
      </c>
      <c r="C2814" s="558" t="s">
        <v>6258</v>
      </c>
      <c r="D2814" s="559">
        <v>13590</v>
      </c>
      <c r="E2814" s="558" t="s">
        <v>6168</v>
      </c>
      <c r="F2814" s="559" t="s">
        <v>21</v>
      </c>
      <c r="G2814" s="560">
        <v>18568</v>
      </c>
      <c r="H2814" s="558" t="s">
        <v>6915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0F079-8138-462F-8A8E-43DC3D8566A2}">
  <sheetPr codeName="Hoja4"/>
  <dimension ref="A1:X143"/>
  <sheetViews>
    <sheetView zoomScale="71" zoomScaleNormal="85" workbookViewId="0">
      <selection activeCell="C3" sqref="C3"/>
    </sheetView>
  </sheetViews>
  <sheetFormatPr baseColWidth="10" defaultColWidth="11.44140625" defaultRowHeight="14.4" x14ac:dyDescent="0.3"/>
  <cols>
    <col min="1" max="1" width="11.44140625" style="595"/>
    <col min="2" max="2" width="32.33203125" style="595" customWidth="1"/>
    <col min="3" max="3" width="81.109375" style="595" customWidth="1"/>
    <col min="4" max="4" width="11.44140625" style="595"/>
    <col min="5" max="5" width="18.44140625" style="595" customWidth="1"/>
    <col min="6" max="6" width="13.33203125" style="595" customWidth="1"/>
    <col min="7" max="7" width="15.88671875" style="595" customWidth="1"/>
    <col min="8" max="8" width="18.33203125" style="595" customWidth="1"/>
    <col min="9" max="9" width="11.44140625" style="595" customWidth="1"/>
    <col min="10" max="10" width="12.109375" style="595" customWidth="1"/>
    <col min="11" max="15" width="11.44140625" style="595" customWidth="1"/>
    <col min="16" max="16" width="18.5546875" style="595" customWidth="1"/>
    <col min="17" max="17" width="15.5546875" style="595" customWidth="1"/>
    <col min="18" max="18" width="14.6640625" style="595" customWidth="1"/>
    <col min="19" max="19" width="15.6640625" style="595" customWidth="1"/>
    <col min="20" max="16384" width="11.44140625" style="595"/>
  </cols>
  <sheetData>
    <row r="1" spans="1:24" ht="28.8" x14ac:dyDescent="0.3">
      <c r="A1" s="591" t="s">
        <v>15</v>
      </c>
      <c r="B1" s="592" t="s">
        <v>6218</v>
      </c>
      <c r="C1" s="592" t="s">
        <v>16</v>
      </c>
      <c r="D1" s="593" t="s">
        <v>17</v>
      </c>
      <c r="E1" s="594" t="s">
        <v>18</v>
      </c>
      <c r="F1" s="594" t="s">
        <v>6466</v>
      </c>
      <c r="G1" s="594" t="s">
        <v>6467</v>
      </c>
      <c r="H1" s="594" t="s">
        <v>6468</v>
      </c>
      <c r="I1" s="594" t="s">
        <v>6469</v>
      </c>
      <c r="J1" s="594" t="s">
        <v>6470</v>
      </c>
      <c r="K1" s="594" t="s">
        <v>6471</v>
      </c>
      <c r="L1" s="594" t="s">
        <v>6472</v>
      </c>
      <c r="M1" s="594" t="s">
        <v>6473</v>
      </c>
      <c r="N1" s="594" t="s">
        <v>6474</v>
      </c>
      <c r="O1" s="594" t="s">
        <v>6475</v>
      </c>
      <c r="P1" s="594" t="s">
        <v>6476</v>
      </c>
      <c r="Q1" s="594" t="s">
        <v>6477</v>
      </c>
      <c r="R1" s="594" t="s">
        <v>6478</v>
      </c>
      <c r="S1" s="594" t="s">
        <v>6479</v>
      </c>
      <c r="T1" s="594" t="s">
        <v>6480</v>
      </c>
      <c r="U1" s="594" t="s">
        <v>6481</v>
      </c>
      <c r="V1" s="594" t="s">
        <v>6482</v>
      </c>
      <c r="W1" s="594" t="s">
        <v>6483</v>
      </c>
      <c r="X1" s="594" t="s">
        <v>6484</v>
      </c>
    </row>
    <row r="2" spans="1:24" ht="75" x14ac:dyDescent="0.35">
      <c r="A2" s="596">
        <v>4583</v>
      </c>
      <c r="B2" s="597" t="s">
        <v>6564</v>
      </c>
      <c r="C2" s="598" t="s">
        <v>6564</v>
      </c>
      <c r="D2" s="596" t="s">
        <v>21</v>
      </c>
      <c r="E2" s="601">
        <v>46968</v>
      </c>
      <c r="T2" s="595" t="s">
        <v>6485</v>
      </c>
      <c r="U2" s="595" t="s">
        <v>6486</v>
      </c>
      <c r="V2" s="595" t="s">
        <v>6487</v>
      </c>
      <c r="W2" s="595" t="s">
        <v>6488</v>
      </c>
      <c r="X2" s="595" t="s">
        <v>6489</v>
      </c>
    </row>
    <row r="3" spans="1:24" ht="135" x14ac:dyDescent="0.35">
      <c r="A3" s="596">
        <v>7825</v>
      </c>
      <c r="B3" s="597" t="s">
        <v>6565</v>
      </c>
      <c r="C3" s="598" t="s">
        <v>6565</v>
      </c>
      <c r="D3" s="596" t="s">
        <v>21</v>
      </c>
      <c r="E3" s="601">
        <v>78995</v>
      </c>
      <c r="T3" s="595" t="s">
        <v>6490</v>
      </c>
      <c r="U3" s="595" t="s">
        <v>6491</v>
      </c>
      <c r="V3" s="595" t="s">
        <v>6492</v>
      </c>
      <c r="W3" s="595" t="s">
        <v>6486</v>
      </c>
      <c r="X3" s="595" t="s">
        <v>6493</v>
      </c>
    </row>
    <row r="4" spans="1:24" ht="165" x14ac:dyDescent="0.35">
      <c r="A4" s="596">
        <v>10094</v>
      </c>
      <c r="B4" s="597" t="s">
        <v>6566</v>
      </c>
      <c r="C4" s="598" t="s">
        <v>6566</v>
      </c>
      <c r="D4" s="596" t="s">
        <v>21</v>
      </c>
      <c r="E4" s="601">
        <v>637941</v>
      </c>
      <c r="T4" s="595" t="s">
        <v>6490</v>
      </c>
      <c r="U4" s="595" t="s">
        <v>6491</v>
      </c>
      <c r="V4" s="595" t="s">
        <v>6494</v>
      </c>
      <c r="W4" s="595" t="s">
        <v>6495</v>
      </c>
      <c r="X4" s="595" t="s">
        <v>6496</v>
      </c>
    </row>
    <row r="5" spans="1:24" ht="165" x14ac:dyDescent="0.35">
      <c r="A5" s="596">
        <v>10095</v>
      </c>
      <c r="B5" s="597" t="s">
        <v>6567</v>
      </c>
      <c r="C5" s="598" t="s">
        <v>6567</v>
      </c>
      <c r="D5" s="596" t="s">
        <v>21</v>
      </c>
      <c r="E5" s="601">
        <v>657579</v>
      </c>
      <c r="T5" s="595" t="s">
        <v>6490</v>
      </c>
      <c r="U5" s="595" t="s">
        <v>6491</v>
      </c>
      <c r="V5" s="595" t="s">
        <v>6497</v>
      </c>
      <c r="W5" s="595" t="s">
        <v>6498</v>
      </c>
      <c r="X5" s="595" t="s">
        <v>6499</v>
      </c>
    </row>
    <row r="6" spans="1:24" ht="165" x14ac:dyDescent="0.35">
      <c r="A6" s="596">
        <v>10096</v>
      </c>
      <c r="B6" s="597" t="s">
        <v>6568</v>
      </c>
      <c r="C6" s="598" t="s">
        <v>6568</v>
      </c>
      <c r="D6" s="596" t="s">
        <v>21</v>
      </c>
      <c r="E6" s="601">
        <v>581990</v>
      </c>
      <c r="T6" s="595" t="s">
        <v>6485</v>
      </c>
      <c r="U6" s="595" t="s">
        <v>6500</v>
      </c>
      <c r="V6" s="595" t="s">
        <v>6487</v>
      </c>
      <c r="W6" s="595" t="s">
        <v>6486</v>
      </c>
      <c r="X6" s="595" t="s">
        <v>6501</v>
      </c>
    </row>
    <row r="7" spans="1:24" ht="120" x14ac:dyDescent="0.35">
      <c r="A7" s="596">
        <v>10097</v>
      </c>
      <c r="B7" s="597" t="s">
        <v>6569</v>
      </c>
      <c r="C7" s="598" t="s">
        <v>6569</v>
      </c>
      <c r="D7" s="596" t="s">
        <v>21</v>
      </c>
      <c r="E7" s="601">
        <v>353402</v>
      </c>
      <c r="T7" s="595" t="s">
        <v>6490</v>
      </c>
      <c r="U7" s="595" t="s">
        <v>6491</v>
      </c>
      <c r="V7" s="595" t="s">
        <v>6502</v>
      </c>
      <c r="W7" s="595" t="s">
        <v>6498</v>
      </c>
      <c r="X7" s="595" t="s">
        <v>6503</v>
      </c>
    </row>
    <row r="8" spans="1:24" ht="150" x14ac:dyDescent="0.35">
      <c r="A8" s="596">
        <v>10098</v>
      </c>
      <c r="B8" s="597" t="s">
        <v>6570</v>
      </c>
      <c r="C8" s="598" t="s">
        <v>6570</v>
      </c>
      <c r="D8" s="596" t="s">
        <v>21</v>
      </c>
      <c r="E8" s="601">
        <v>605555</v>
      </c>
      <c r="T8" s="595" t="s">
        <v>6490</v>
      </c>
      <c r="U8" s="595" t="s">
        <v>6491</v>
      </c>
      <c r="V8" s="595" t="s">
        <v>6504</v>
      </c>
      <c r="W8" s="595" t="s">
        <v>6488</v>
      </c>
      <c r="X8" s="595" t="s">
        <v>6505</v>
      </c>
    </row>
    <row r="9" spans="1:24" ht="165" x14ac:dyDescent="0.35">
      <c r="A9" s="596">
        <v>10099</v>
      </c>
      <c r="B9" s="597" t="s">
        <v>6571</v>
      </c>
      <c r="C9" s="598" t="s">
        <v>6571</v>
      </c>
      <c r="D9" s="596" t="s">
        <v>21</v>
      </c>
      <c r="E9" s="601">
        <v>194033</v>
      </c>
      <c r="T9" s="595" t="s">
        <v>6490</v>
      </c>
      <c r="U9" s="595" t="s">
        <v>6491</v>
      </c>
      <c r="V9" s="595" t="s">
        <v>6487</v>
      </c>
      <c r="W9" s="595" t="s">
        <v>6488</v>
      </c>
      <c r="X9" s="595" t="s">
        <v>6506</v>
      </c>
    </row>
    <row r="10" spans="1:24" ht="165" x14ac:dyDescent="0.35">
      <c r="A10" s="596">
        <v>10100</v>
      </c>
      <c r="B10" s="597" t="s">
        <v>6572</v>
      </c>
      <c r="C10" s="598" t="s">
        <v>6572</v>
      </c>
      <c r="D10" s="596" t="s">
        <v>21</v>
      </c>
      <c r="E10" s="601">
        <v>440324</v>
      </c>
      <c r="T10" s="595" t="s">
        <v>6485</v>
      </c>
      <c r="U10" s="595" t="s">
        <v>6500</v>
      </c>
      <c r="V10" s="595" t="s">
        <v>6487</v>
      </c>
      <c r="W10" s="595" t="s">
        <v>6486</v>
      </c>
      <c r="X10" s="595" t="s">
        <v>6501</v>
      </c>
    </row>
    <row r="11" spans="1:24" ht="150" x14ac:dyDescent="0.35">
      <c r="A11" s="596">
        <v>10101</v>
      </c>
      <c r="B11" s="597" t="s">
        <v>6573</v>
      </c>
      <c r="C11" s="598" t="s">
        <v>6573</v>
      </c>
      <c r="D11" s="596" t="s">
        <v>21</v>
      </c>
      <c r="E11" s="601">
        <v>350461</v>
      </c>
      <c r="T11" s="595" t="s">
        <v>6485</v>
      </c>
      <c r="U11" s="595" t="s">
        <v>6507</v>
      </c>
      <c r="V11" s="595" t="s">
        <v>6487</v>
      </c>
      <c r="W11" s="595" t="s">
        <v>6486</v>
      </c>
      <c r="X11" s="595" t="s">
        <v>6508</v>
      </c>
    </row>
    <row r="12" spans="1:24" ht="165" x14ac:dyDescent="0.35">
      <c r="A12" s="596">
        <v>10102</v>
      </c>
      <c r="B12" s="597" t="s">
        <v>6574</v>
      </c>
      <c r="C12" s="598" t="s">
        <v>6574</v>
      </c>
      <c r="D12" s="596" t="s">
        <v>21</v>
      </c>
      <c r="E12" s="601">
        <v>368618</v>
      </c>
      <c r="T12" s="595" t="s">
        <v>6485</v>
      </c>
      <c r="U12" s="595" t="s">
        <v>6507</v>
      </c>
      <c r="V12" s="595" t="s">
        <v>6487</v>
      </c>
      <c r="W12" s="595" t="s">
        <v>6486</v>
      </c>
      <c r="X12" s="595" t="s">
        <v>6508</v>
      </c>
    </row>
    <row r="13" spans="1:24" ht="165" x14ac:dyDescent="0.35">
      <c r="A13" s="596">
        <v>10103</v>
      </c>
      <c r="B13" s="597" t="s">
        <v>6575</v>
      </c>
      <c r="C13" s="598" t="s">
        <v>6575</v>
      </c>
      <c r="D13" s="596" t="s">
        <v>21</v>
      </c>
      <c r="E13" s="601">
        <v>381286</v>
      </c>
      <c r="T13" s="595" t="s">
        <v>6510</v>
      </c>
      <c r="U13" s="595" t="s">
        <v>6491</v>
      </c>
      <c r="V13" s="595" t="s">
        <v>6487</v>
      </c>
      <c r="W13" s="595" t="s">
        <v>6500</v>
      </c>
      <c r="X13" s="595" t="s">
        <v>6511</v>
      </c>
    </row>
    <row r="14" spans="1:24" ht="105" x14ac:dyDescent="0.35">
      <c r="A14" s="596">
        <v>10104</v>
      </c>
      <c r="B14" s="597" t="s">
        <v>6509</v>
      </c>
      <c r="C14" s="598" t="s">
        <v>6509</v>
      </c>
      <c r="D14" s="596" t="s">
        <v>21</v>
      </c>
      <c r="E14" s="601">
        <v>4243</v>
      </c>
      <c r="T14" s="595" t="s">
        <v>6510</v>
      </c>
      <c r="U14" s="595" t="s">
        <v>6491</v>
      </c>
      <c r="V14" s="595" t="s">
        <v>6487</v>
      </c>
      <c r="W14" s="595" t="s">
        <v>6500</v>
      </c>
      <c r="X14" s="595" t="s">
        <v>6511</v>
      </c>
    </row>
    <row r="15" spans="1:24" ht="105" x14ac:dyDescent="0.35">
      <c r="A15" s="596">
        <v>10105</v>
      </c>
      <c r="B15" s="597" t="s">
        <v>6576</v>
      </c>
      <c r="C15" s="598" t="s">
        <v>6576</v>
      </c>
      <c r="D15" s="596" t="s">
        <v>21</v>
      </c>
      <c r="E15" s="601">
        <v>17626</v>
      </c>
      <c r="T15" s="595" t="s">
        <v>6510</v>
      </c>
      <c r="U15" s="595" t="s">
        <v>6491</v>
      </c>
      <c r="V15" s="595" t="s">
        <v>6487</v>
      </c>
      <c r="W15" s="595" t="s">
        <v>6500</v>
      </c>
      <c r="X15" s="595" t="s">
        <v>6511</v>
      </c>
    </row>
    <row r="16" spans="1:24" ht="75" x14ac:dyDescent="0.35">
      <c r="A16" s="596">
        <v>10106</v>
      </c>
      <c r="B16" s="597" t="s">
        <v>6512</v>
      </c>
      <c r="C16" s="598" t="s">
        <v>6512</v>
      </c>
      <c r="D16" s="596" t="s">
        <v>21</v>
      </c>
      <c r="E16" s="601">
        <v>22796</v>
      </c>
      <c r="T16" s="595" t="s">
        <v>6510</v>
      </c>
      <c r="U16" s="595" t="s">
        <v>6491</v>
      </c>
      <c r="V16" s="595" t="s">
        <v>6487</v>
      </c>
      <c r="W16" s="595" t="s">
        <v>6488</v>
      </c>
      <c r="X16" s="595" t="s">
        <v>6513</v>
      </c>
    </row>
    <row r="17" spans="1:24" ht="135" x14ac:dyDescent="0.35">
      <c r="A17" s="596">
        <v>10107</v>
      </c>
      <c r="B17" s="597" t="s">
        <v>6577</v>
      </c>
      <c r="C17" s="598" t="s">
        <v>6577</v>
      </c>
      <c r="D17" s="596" t="s">
        <v>21</v>
      </c>
      <c r="E17" s="601">
        <v>110438</v>
      </c>
      <c r="T17" s="595" t="s">
        <v>6510</v>
      </c>
      <c r="U17" s="595" t="s">
        <v>6491</v>
      </c>
      <c r="V17" s="595" t="s">
        <v>6487</v>
      </c>
      <c r="W17" s="595" t="s">
        <v>6488</v>
      </c>
      <c r="X17" s="595" t="s">
        <v>6513</v>
      </c>
    </row>
    <row r="18" spans="1:24" ht="135" x14ac:dyDescent="0.35">
      <c r="A18" s="596">
        <v>10108</v>
      </c>
      <c r="B18" s="597" t="s">
        <v>6578</v>
      </c>
      <c r="C18" s="598" t="s">
        <v>6578</v>
      </c>
      <c r="D18" s="596" t="s">
        <v>21</v>
      </c>
      <c r="E18" s="601">
        <v>112328</v>
      </c>
      <c r="T18" s="595" t="s">
        <v>6510</v>
      </c>
      <c r="U18" s="595" t="s">
        <v>6491</v>
      </c>
      <c r="V18" s="595" t="s">
        <v>6487</v>
      </c>
      <c r="W18" s="595" t="s">
        <v>6488</v>
      </c>
      <c r="X18" s="595" t="s">
        <v>6513</v>
      </c>
    </row>
    <row r="19" spans="1:24" ht="120" x14ac:dyDescent="0.35">
      <c r="A19" s="596">
        <v>10109</v>
      </c>
      <c r="B19" s="597" t="s">
        <v>6579</v>
      </c>
      <c r="C19" s="598" t="s">
        <v>6579</v>
      </c>
      <c r="D19" s="596" t="s">
        <v>21</v>
      </c>
      <c r="E19" s="601">
        <v>146448</v>
      </c>
      <c r="T19" s="595" t="s">
        <v>6510</v>
      </c>
      <c r="U19" s="595" t="s">
        <v>6491</v>
      </c>
      <c r="V19" s="595" t="s">
        <v>6487</v>
      </c>
      <c r="W19" s="595" t="s">
        <v>6488</v>
      </c>
      <c r="X19" s="595" t="s">
        <v>6513</v>
      </c>
    </row>
    <row r="20" spans="1:24" ht="120" x14ac:dyDescent="0.35">
      <c r="A20" s="596">
        <v>10110</v>
      </c>
      <c r="B20" s="597" t="s">
        <v>6580</v>
      </c>
      <c r="C20" s="598" t="s">
        <v>6580</v>
      </c>
      <c r="D20" s="596" t="s">
        <v>21</v>
      </c>
      <c r="E20" s="601">
        <v>177574</v>
      </c>
      <c r="T20" s="595" t="s">
        <v>6510</v>
      </c>
      <c r="U20" s="595" t="s">
        <v>6491</v>
      </c>
      <c r="V20" s="595" t="s">
        <v>6487</v>
      </c>
      <c r="W20" s="595" t="s">
        <v>6498</v>
      </c>
      <c r="X20" s="595" t="s">
        <v>6514</v>
      </c>
    </row>
    <row r="21" spans="1:24" ht="150" x14ac:dyDescent="0.35">
      <c r="A21" s="596">
        <v>10111</v>
      </c>
      <c r="B21" s="597" t="s">
        <v>6581</v>
      </c>
      <c r="C21" s="598" t="s">
        <v>6581</v>
      </c>
      <c r="D21" s="596" t="s">
        <v>21</v>
      </c>
      <c r="E21" s="601">
        <v>256259</v>
      </c>
      <c r="T21" s="595" t="s">
        <v>6485</v>
      </c>
      <c r="U21" s="595" t="s">
        <v>6486</v>
      </c>
      <c r="V21" s="595" t="s">
        <v>6487</v>
      </c>
      <c r="W21" s="595" t="s">
        <v>6486</v>
      </c>
      <c r="X21" s="595" t="s">
        <v>6515</v>
      </c>
    </row>
    <row r="22" spans="1:24" ht="135" x14ac:dyDescent="0.35">
      <c r="A22" s="596">
        <v>10112</v>
      </c>
      <c r="B22" s="597" t="s">
        <v>6582</v>
      </c>
      <c r="C22" s="598" t="s">
        <v>6582</v>
      </c>
      <c r="D22" s="596" t="s">
        <v>21</v>
      </c>
      <c r="E22" s="601">
        <v>393598</v>
      </c>
      <c r="T22" s="595" t="s">
        <v>6485</v>
      </c>
      <c r="U22" s="595" t="s">
        <v>6486</v>
      </c>
      <c r="V22" s="595" t="s">
        <v>6487</v>
      </c>
      <c r="W22" s="595" t="s">
        <v>6486</v>
      </c>
      <c r="X22" s="595" t="s">
        <v>6515</v>
      </c>
    </row>
    <row r="23" spans="1:24" ht="135" x14ac:dyDescent="0.35">
      <c r="A23" s="596">
        <v>10113</v>
      </c>
      <c r="B23" s="597" t="s">
        <v>6583</v>
      </c>
      <c r="C23" s="598" t="s">
        <v>6583</v>
      </c>
      <c r="D23" s="596" t="s">
        <v>21</v>
      </c>
      <c r="E23" s="601">
        <v>423437</v>
      </c>
      <c r="T23" s="595" t="s">
        <v>6485</v>
      </c>
      <c r="U23" s="595" t="s">
        <v>6486</v>
      </c>
      <c r="V23" s="595" t="s">
        <v>6487</v>
      </c>
      <c r="W23" s="595" t="s">
        <v>6486</v>
      </c>
      <c r="X23" s="595" t="s">
        <v>6515</v>
      </c>
    </row>
    <row r="24" spans="1:24" ht="105" x14ac:dyDescent="0.35">
      <c r="A24" s="596">
        <v>10114</v>
      </c>
      <c r="B24" s="597" t="s">
        <v>6584</v>
      </c>
      <c r="C24" s="598" t="s">
        <v>6584</v>
      </c>
      <c r="D24" s="596" t="s">
        <v>21</v>
      </c>
      <c r="E24" s="601">
        <v>401118</v>
      </c>
      <c r="T24" s="595" t="s">
        <v>6490</v>
      </c>
      <c r="U24" s="595" t="s">
        <v>6491</v>
      </c>
      <c r="V24" s="595" t="s">
        <v>6487</v>
      </c>
      <c r="W24" s="595" t="s">
        <v>6500</v>
      </c>
      <c r="X24" s="595" t="s">
        <v>6516</v>
      </c>
    </row>
    <row r="25" spans="1:24" ht="135" x14ac:dyDescent="0.35">
      <c r="A25" s="596">
        <v>10116</v>
      </c>
      <c r="B25" s="597" t="s">
        <v>6585</v>
      </c>
      <c r="C25" s="598" t="s">
        <v>6585</v>
      </c>
      <c r="D25" s="596" t="s">
        <v>21</v>
      </c>
      <c r="E25" s="601">
        <v>260221</v>
      </c>
      <c r="T25" s="595" t="s">
        <v>6510</v>
      </c>
      <c r="U25" s="595" t="s">
        <v>6491</v>
      </c>
      <c r="V25" s="595" t="s">
        <v>6487</v>
      </c>
      <c r="W25" s="595" t="s">
        <v>6498</v>
      </c>
      <c r="X25" s="595" t="s">
        <v>6514</v>
      </c>
    </row>
    <row r="26" spans="1:24" ht="135" x14ac:dyDescent="0.35">
      <c r="A26" s="596">
        <v>10117</v>
      </c>
      <c r="B26" s="597" t="s">
        <v>6586</v>
      </c>
      <c r="C26" s="598" t="s">
        <v>6586</v>
      </c>
      <c r="D26" s="596" t="s">
        <v>21</v>
      </c>
      <c r="E26" s="601">
        <v>277095</v>
      </c>
      <c r="T26" s="595" t="s">
        <v>6510</v>
      </c>
      <c r="U26" s="595" t="s">
        <v>6491</v>
      </c>
      <c r="V26" s="595" t="s">
        <v>6487</v>
      </c>
      <c r="W26" s="595" t="s">
        <v>6498</v>
      </c>
      <c r="X26" s="595" t="s">
        <v>6514</v>
      </c>
    </row>
    <row r="27" spans="1:24" ht="135" x14ac:dyDescent="0.35">
      <c r="A27" s="596">
        <v>10118</v>
      </c>
      <c r="B27" s="597" t="s">
        <v>6587</v>
      </c>
      <c r="C27" s="598" t="s">
        <v>6587</v>
      </c>
      <c r="D27" s="596" t="s">
        <v>21</v>
      </c>
      <c r="E27" s="601">
        <v>286524</v>
      </c>
      <c r="T27" s="595" t="s">
        <v>6510</v>
      </c>
      <c r="U27" s="595" t="s">
        <v>6491</v>
      </c>
      <c r="V27" s="595" t="s">
        <v>6487</v>
      </c>
      <c r="W27" s="595" t="s">
        <v>6498</v>
      </c>
      <c r="X27" s="595" t="s">
        <v>6514</v>
      </c>
    </row>
    <row r="28" spans="1:24" ht="120" x14ac:dyDescent="0.35">
      <c r="A28" s="596">
        <v>10119</v>
      </c>
      <c r="B28" s="597" t="s">
        <v>6588</v>
      </c>
      <c r="C28" s="598" t="s">
        <v>6588</v>
      </c>
      <c r="D28" s="596" t="s">
        <v>21</v>
      </c>
      <c r="E28" s="601">
        <v>23849</v>
      </c>
      <c r="T28" s="595" t="s">
        <v>6490</v>
      </c>
      <c r="U28" s="595" t="s">
        <v>6491</v>
      </c>
      <c r="V28" s="595" t="s">
        <v>6487</v>
      </c>
      <c r="W28" s="595" t="s">
        <v>6500</v>
      </c>
      <c r="X28" s="595" t="s">
        <v>6516</v>
      </c>
    </row>
    <row r="29" spans="1:24" ht="180" x14ac:dyDescent="0.35">
      <c r="A29" s="596">
        <v>10120</v>
      </c>
      <c r="B29" s="597" t="s">
        <v>6589</v>
      </c>
      <c r="C29" s="598" t="s">
        <v>6589</v>
      </c>
      <c r="D29" s="596" t="s">
        <v>21</v>
      </c>
      <c r="E29" s="601">
        <v>264444</v>
      </c>
      <c r="T29" s="595" t="s">
        <v>6510</v>
      </c>
      <c r="U29" s="595" t="s">
        <v>6491</v>
      </c>
      <c r="V29" s="595" t="s">
        <v>6487</v>
      </c>
      <c r="W29" s="595" t="s">
        <v>6486</v>
      </c>
      <c r="X29" s="595" t="s">
        <v>6517</v>
      </c>
    </row>
    <row r="30" spans="1:24" ht="150" x14ac:dyDescent="0.35">
      <c r="A30" s="596">
        <v>10124</v>
      </c>
      <c r="B30" s="597" t="s">
        <v>6590</v>
      </c>
      <c r="C30" s="598" t="s">
        <v>6590</v>
      </c>
      <c r="D30" s="596" t="s">
        <v>21</v>
      </c>
      <c r="E30" s="601">
        <v>400946</v>
      </c>
      <c r="T30" s="595" t="s">
        <v>6510</v>
      </c>
      <c r="U30" s="595" t="s">
        <v>6491</v>
      </c>
      <c r="V30" s="595" t="s">
        <v>6487</v>
      </c>
      <c r="W30" s="595" t="s">
        <v>6486</v>
      </c>
      <c r="X30" s="595" t="s">
        <v>6517</v>
      </c>
    </row>
    <row r="31" spans="1:24" ht="180" x14ac:dyDescent="0.35">
      <c r="A31" s="596">
        <v>10126</v>
      </c>
      <c r="B31" s="597" t="s">
        <v>6591</v>
      </c>
      <c r="C31" s="598" t="s">
        <v>6591</v>
      </c>
      <c r="D31" s="596" t="s">
        <v>21</v>
      </c>
      <c r="E31" s="601">
        <v>394293</v>
      </c>
      <c r="T31" s="595" t="s">
        <v>6510</v>
      </c>
      <c r="U31" s="595" t="s">
        <v>6491</v>
      </c>
      <c r="V31" s="595" t="s">
        <v>6487</v>
      </c>
      <c r="W31" s="595" t="s">
        <v>6486</v>
      </c>
      <c r="X31" s="595" t="s">
        <v>6517</v>
      </c>
    </row>
    <row r="32" spans="1:24" ht="135" x14ac:dyDescent="0.35">
      <c r="A32" s="596">
        <v>10127</v>
      </c>
      <c r="B32" s="597" t="s">
        <v>6592</v>
      </c>
      <c r="C32" s="598" t="s">
        <v>6592</v>
      </c>
      <c r="D32" s="596" t="s">
        <v>21</v>
      </c>
      <c r="E32" s="601">
        <v>632700</v>
      </c>
      <c r="T32" s="595" t="s">
        <v>6510</v>
      </c>
      <c r="U32" s="595" t="s">
        <v>6491</v>
      </c>
      <c r="V32" s="595" t="s">
        <v>6487</v>
      </c>
      <c r="W32" s="595" t="s">
        <v>6486</v>
      </c>
      <c r="X32" s="595" t="s">
        <v>6517</v>
      </c>
    </row>
    <row r="33" spans="1:24" ht="150" x14ac:dyDescent="0.35">
      <c r="A33" s="596">
        <v>10128</v>
      </c>
      <c r="B33" s="597" t="s">
        <v>6593</v>
      </c>
      <c r="C33" s="598" t="s">
        <v>6593</v>
      </c>
      <c r="D33" s="596" t="s">
        <v>21</v>
      </c>
      <c r="E33" s="601">
        <v>653017</v>
      </c>
      <c r="T33" s="595" t="s">
        <v>6485</v>
      </c>
      <c r="U33" s="595" t="s">
        <v>6486</v>
      </c>
      <c r="V33" s="595" t="s">
        <v>6487</v>
      </c>
      <c r="W33" s="595" t="s">
        <v>6486</v>
      </c>
      <c r="X33" s="595" t="s">
        <v>6515</v>
      </c>
    </row>
    <row r="34" spans="1:24" ht="120" x14ac:dyDescent="0.35">
      <c r="A34" s="596">
        <v>10129</v>
      </c>
      <c r="B34" s="597" t="s">
        <v>6594</v>
      </c>
      <c r="C34" s="598" t="s">
        <v>6594</v>
      </c>
      <c r="D34" s="596" t="s">
        <v>21</v>
      </c>
      <c r="E34" s="601">
        <v>577197</v>
      </c>
      <c r="T34" s="595" t="s">
        <v>6485</v>
      </c>
      <c r="U34" s="595" t="s">
        <v>6486</v>
      </c>
      <c r="V34" s="595" t="s">
        <v>6487</v>
      </c>
      <c r="W34" s="595" t="s">
        <v>6486</v>
      </c>
      <c r="X34" s="595" t="s">
        <v>6515</v>
      </c>
    </row>
    <row r="35" spans="1:24" ht="135" x14ac:dyDescent="0.35">
      <c r="A35" s="596">
        <v>10130</v>
      </c>
      <c r="B35" s="597" t="s">
        <v>6595</v>
      </c>
      <c r="C35" s="598" t="s">
        <v>6595</v>
      </c>
      <c r="D35" s="596" t="s">
        <v>21</v>
      </c>
      <c r="E35" s="601">
        <v>598375</v>
      </c>
      <c r="T35" s="595" t="s">
        <v>6485</v>
      </c>
      <c r="U35" s="595" t="s">
        <v>6486</v>
      </c>
      <c r="V35" s="595" t="s">
        <v>6487</v>
      </c>
      <c r="W35" s="595" t="s">
        <v>6486</v>
      </c>
      <c r="X35" s="595" t="s">
        <v>6515</v>
      </c>
    </row>
    <row r="36" spans="1:24" ht="150" x14ac:dyDescent="0.35">
      <c r="A36" s="596">
        <v>10132</v>
      </c>
      <c r="B36" s="597" t="s">
        <v>6596</v>
      </c>
      <c r="C36" s="598" t="s">
        <v>6596</v>
      </c>
      <c r="D36" s="596" t="s">
        <v>21</v>
      </c>
      <c r="E36" s="601">
        <v>252603</v>
      </c>
      <c r="T36" s="595" t="s">
        <v>6490</v>
      </c>
      <c r="U36" s="595" t="s">
        <v>6491</v>
      </c>
      <c r="V36" s="595" t="s">
        <v>6487</v>
      </c>
      <c r="W36" s="595" t="s">
        <v>6495</v>
      </c>
      <c r="X36" s="595" t="s">
        <v>6518</v>
      </c>
    </row>
    <row r="37" spans="1:24" ht="150" x14ac:dyDescent="0.35">
      <c r="A37" s="596">
        <v>10135</v>
      </c>
      <c r="B37" s="597" t="s">
        <v>6597</v>
      </c>
      <c r="C37" s="598" t="s">
        <v>6597</v>
      </c>
      <c r="D37" s="596" t="s">
        <v>21</v>
      </c>
      <c r="E37" s="601">
        <v>551764</v>
      </c>
      <c r="T37" s="595" t="s">
        <v>6490</v>
      </c>
      <c r="U37" s="595" t="s">
        <v>6491</v>
      </c>
      <c r="V37" s="595" t="s">
        <v>6487</v>
      </c>
      <c r="W37" s="595" t="s">
        <v>6495</v>
      </c>
      <c r="X37" s="595" t="s">
        <v>6518</v>
      </c>
    </row>
    <row r="38" spans="1:24" ht="180" x14ac:dyDescent="0.35">
      <c r="A38" s="596">
        <v>10136</v>
      </c>
      <c r="B38" s="597" t="s">
        <v>6598</v>
      </c>
      <c r="C38" s="598" t="s">
        <v>6598</v>
      </c>
      <c r="D38" s="596" t="s">
        <v>21</v>
      </c>
      <c r="E38" s="601">
        <v>604824</v>
      </c>
      <c r="T38" s="595" t="s">
        <v>6490</v>
      </c>
      <c r="U38" s="595" t="s">
        <v>6491</v>
      </c>
      <c r="V38" s="595" t="s">
        <v>6487</v>
      </c>
      <c r="W38" s="595" t="s">
        <v>6498</v>
      </c>
      <c r="X38" s="595" t="s">
        <v>6519</v>
      </c>
    </row>
    <row r="39" spans="1:24" ht="120" x14ac:dyDescent="0.35">
      <c r="A39" s="596">
        <v>10137</v>
      </c>
      <c r="B39" s="597" t="s">
        <v>6599</v>
      </c>
      <c r="C39" s="598" t="s">
        <v>6599</v>
      </c>
      <c r="D39" s="596" t="s">
        <v>21</v>
      </c>
      <c r="E39" s="601">
        <v>442045</v>
      </c>
      <c r="T39" s="595" t="s">
        <v>6490</v>
      </c>
      <c r="U39" s="595" t="s">
        <v>6491</v>
      </c>
      <c r="V39" s="595" t="s">
        <v>6487</v>
      </c>
      <c r="W39" s="595" t="s">
        <v>6498</v>
      </c>
      <c r="X39" s="595" t="s">
        <v>6519</v>
      </c>
    </row>
    <row r="40" spans="1:24" ht="165" x14ac:dyDescent="0.35">
      <c r="A40" s="596">
        <v>10138</v>
      </c>
      <c r="B40" s="597" t="s">
        <v>6600</v>
      </c>
      <c r="C40" s="598" t="s">
        <v>6600</v>
      </c>
      <c r="D40" s="596" t="s">
        <v>21</v>
      </c>
      <c r="E40" s="601">
        <v>558095</v>
      </c>
      <c r="T40" s="595" t="s">
        <v>6490</v>
      </c>
      <c r="U40" s="595" t="s">
        <v>6491</v>
      </c>
      <c r="V40" s="595" t="s">
        <v>6487</v>
      </c>
      <c r="W40" s="595" t="s">
        <v>6488</v>
      </c>
      <c r="X40" s="595" t="s">
        <v>6506</v>
      </c>
    </row>
    <row r="41" spans="1:24" ht="150" x14ac:dyDescent="0.35">
      <c r="A41" s="596">
        <v>10140</v>
      </c>
      <c r="B41" s="597" t="s">
        <v>6601</v>
      </c>
      <c r="C41" s="598" t="s">
        <v>6601</v>
      </c>
      <c r="D41" s="596" t="s">
        <v>21</v>
      </c>
      <c r="E41" s="601">
        <v>251959</v>
      </c>
      <c r="T41" s="595" t="s">
        <v>6490</v>
      </c>
      <c r="U41" s="595" t="s">
        <v>6491</v>
      </c>
      <c r="V41" s="595" t="s">
        <v>6487</v>
      </c>
      <c r="W41" s="595" t="s">
        <v>6488</v>
      </c>
      <c r="X41" s="595" t="s">
        <v>6506</v>
      </c>
    </row>
    <row r="42" spans="1:24" ht="90" x14ac:dyDescent="0.35">
      <c r="A42" s="596">
        <v>10142</v>
      </c>
      <c r="B42" s="597" t="s">
        <v>6602</v>
      </c>
      <c r="C42" s="598" t="s">
        <v>6602</v>
      </c>
      <c r="D42" s="596" t="s">
        <v>21</v>
      </c>
      <c r="E42" s="601">
        <v>14552</v>
      </c>
      <c r="T42" s="595" t="s">
        <v>6490</v>
      </c>
      <c r="U42" s="595" t="s">
        <v>6491</v>
      </c>
      <c r="V42" s="595" t="s">
        <v>6487</v>
      </c>
      <c r="W42" s="595" t="s">
        <v>6500</v>
      </c>
      <c r="X42" s="595" t="s">
        <v>6516</v>
      </c>
    </row>
    <row r="43" spans="1:24" ht="120" x14ac:dyDescent="0.35">
      <c r="A43" s="596">
        <v>10143</v>
      </c>
      <c r="B43" s="597" t="s">
        <v>6603</v>
      </c>
      <c r="C43" s="598" t="s">
        <v>6603</v>
      </c>
      <c r="D43" s="596" t="s">
        <v>21</v>
      </c>
      <c r="E43" s="601">
        <v>324594</v>
      </c>
      <c r="T43" s="595" t="s">
        <v>6490</v>
      </c>
      <c r="U43" s="595" t="s">
        <v>6491</v>
      </c>
      <c r="V43" s="595" t="s">
        <v>6487</v>
      </c>
      <c r="W43" s="595" t="s">
        <v>6500</v>
      </c>
      <c r="X43" s="595" t="s">
        <v>6516</v>
      </c>
    </row>
    <row r="44" spans="1:24" ht="135" x14ac:dyDescent="0.35">
      <c r="A44" s="596">
        <v>10144</v>
      </c>
      <c r="B44" s="597" t="s">
        <v>6604</v>
      </c>
      <c r="C44" s="598" t="s">
        <v>6604</v>
      </c>
      <c r="D44" s="596" t="s">
        <v>21</v>
      </c>
      <c r="E44" s="601">
        <v>508287</v>
      </c>
      <c r="T44" s="595" t="s">
        <v>6490</v>
      </c>
      <c r="U44" s="595" t="s">
        <v>6488</v>
      </c>
      <c r="V44" s="595" t="s">
        <v>6497</v>
      </c>
      <c r="W44" s="595" t="s">
        <v>6486</v>
      </c>
      <c r="X44" s="595" t="s">
        <v>6520</v>
      </c>
    </row>
    <row r="45" spans="1:24" ht="150" x14ac:dyDescent="0.35">
      <c r="A45" s="596">
        <v>10145</v>
      </c>
      <c r="B45" s="597" t="s">
        <v>6605</v>
      </c>
      <c r="C45" s="598" t="s">
        <v>6605</v>
      </c>
      <c r="D45" s="596" t="s">
        <v>21</v>
      </c>
      <c r="E45" s="601">
        <v>333544</v>
      </c>
      <c r="T45" s="595" t="s">
        <v>6490</v>
      </c>
      <c r="U45" s="595" t="s">
        <v>6500</v>
      </c>
      <c r="V45" s="595" t="s">
        <v>6497</v>
      </c>
      <c r="W45" s="595" t="s">
        <v>6486</v>
      </c>
      <c r="X45" s="595" t="s">
        <v>6521</v>
      </c>
    </row>
    <row r="46" spans="1:24" ht="135" x14ac:dyDescent="0.35">
      <c r="A46" s="596">
        <v>10146</v>
      </c>
      <c r="B46" s="597" t="s">
        <v>6606</v>
      </c>
      <c r="C46" s="598" t="s">
        <v>6606</v>
      </c>
      <c r="D46" s="596" t="s">
        <v>21</v>
      </c>
      <c r="E46" s="601">
        <v>339810</v>
      </c>
      <c r="T46" s="595" t="s">
        <v>6490</v>
      </c>
      <c r="U46" s="595" t="s">
        <v>6488</v>
      </c>
      <c r="V46" s="595" t="s">
        <v>6497</v>
      </c>
      <c r="W46" s="595" t="s">
        <v>6498</v>
      </c>
      <c r="X46" s="595" t="s">
        <v>6522</v>
      </c>
    </row>
    <row r="47" spans="1:24" ht="165" x14ac:dyDescent="0.35">
      <c r="A47" s="596">
        <v>10147</v>
      </c>
      <c r="B47" s="597" t="s">
        <v>6607</v>
      </c>
      <c r="C47" s="598" t="s">
        <v>6607</v>
      </c>
      <c r="D47" s="596" t="s">
        <v>21</v>
      </c>
      <c r="E47" s="601">
        <v>538114</v>
      </c>
      <c r="T47" s="595" t="s">
        <v>6490</v>
      </c>
      <c r="U47" s="595" t="s">
        <v>6500</v>
      </c>
      <c r="V47" s="595" t="s">
        <v>6497</v>
      </c>
      <c r="W47" s="595" t="s">
        <v>6498</v>
      </c>
      <c r="X47" s="595" t="s">
        <v>6523</v>
      </c>
    </row>
    <row r="48" spans="1:24" ht="135" x14ac:dyDescent="0.35">
      <c r="A48" s="596">
        <v>10148</v>
      </c>
      <c r="B48" s="597" t="s">
        <v>6608</v>
      </c>
      <c r="C48" s="598" t="s">
        <v>6608</v>
      </c>
      <c r="D48" s="596" t="s">
        <v>21</v>
      </c>
      <c r="E48" s="601">
        <v>364369</v>
      </c>
      <c r="T48" s="595" t="s">
        <v>6490</v>
      </c>
      <c r="U48" s="595" t="s">
        <v>6488</v>
      </c>
      <c r="V48" s="595" t="s">
        <v>6497</v>
      </c>
      <c r="W48" s="595" t="s">
        <v>6488</v>
      </c>
      <c r="X48" s="595" t="s">
        <v>6524</v>
      </c>
    </row>
    <row r="49" spans="1:24" ht="135" x14ac:dyDescent="0.35">
      <c r="A49" s="596">
        <v>10149</v>
      </c>
      <c r="B49" s="597" t="s">
        <v>6609</v>
      </c>
      <c r="C49" s="598" t="s">
        <v>6609</v>
      </c>
      <c r="D49" s="596" t="s">
        <v>21</v>
      </c>
      <c r="E49" s="601">
        <v>375173</v>
      </c>
      <c r="T49" s="595" t="s">
        <v>6490</v>
      </c>
      <c r="U49" s="595" t="s">
        <v>6500</v>
      </c>
      <c r="V49" s="595" t="s">
        <v>6497</v>
      </c>
      <c r="W49" s="595" t="s">
        <v>6488</v>
      </c>
      <c r="X49" s="595" t="s">
        <v>6525</v>
      </c>
    </row>
    <row r="50" spans="1:24" ht="135" x14ac:dyDescent="0.35">
      <c r="A50" s="596">
        <v>10150</v>
      </c>
      <c r="B50" s="597" t="s">
        <v>6610</v>
      </c>
      <c r="C50" s="598" t="s">
        <v>6610</v>
      </c>
      <c r="D50" s="596" t="s">
        <v>21</v>
      </c>
      <c r="E50" s="601">
        <v>405012</v>
      </c>
      <c r="T50" s="595" t="s">
        <v>6490</v>
      </c>
      <c r="U50" s="595" t="s">
        <v>6488</v>
      </c>
      <c r="V50" s="595" t="s">
        <v>6497</v>
      </c>
      <c r="W50" s="595" t="s">
        <v>6500</v>
      </c>
      <c r="X50" s="595" t="s">
        <v>6526</v>
      </c>
    </row>
    <row r="51" spans="1:24" ht="120" x14ac:dyDescent="0.35">
      <c r="A51" s="596">
        <v>10151</v>
      </c>
      <c r="B51" s="597" t="s">
        <v>6611</v>
      </c>
      <c r="C51" s="598" t="s">
        <v>6611</v>
      </c>
      <c r="D51" s="596" t="s">
        <v>21</v>
      </c>
      <c r="E51" s="601">
        <v>368926</v>
      </c>
      <c r="T51" s="595" t="s">
        <v>6490</v>
      </c>
      <c r="U51" s="595" t="s">
        <v>6500</v>
      </c>
      <c r="V51" s="595" t="s">
        <v>6497</v>
      </c>
      <c r="W51" s="595" t="s">
        <v>6500</v>
      </c>
      <c r="X51" s="595" t="s">
        <v>6527</v>
      </c>
    </row>
    <row r="52" spans="1:24" ht="120" x14ac:dyDescent="0.35">
      <c r="A52" s="596">
        <v>10152</v>
      </c>
      <c r="B52" s="597" t="s">
        <v>6612</v>
      </c>
      <c r="C52" s="598" t="s">
        <v>6612</v>
      </c>
      <c r="D52" s="596" t="s">
        <v>21</v>
      </c>
      <c r="E52" s="601">
        <v>431795</v>
      </c>
      <c r="T52" s="595" t="s">
        <v>6485</v>
      </c>
      <c r="U52" s="595" t="s">
        <v>6500</v>
      </c>
      <c r="V52" s="595" t="s">
        <v>6487</v>
      </c>
      <c r="W52" s="595" t="s">
        <v>6498</v>
      </c>
      <c r="X52" s="595" t="s">
        <v>6528</v>
      </c>
    </row>
    <row r="53" spans="1:24" ht="135" x14ac:dyDescent="0.35">
      <c r="A53" s="596">
        <v>10153</v>
      </c>
      <c r="B53" s="597" t="s">
        <v>6613</v>
      </c>
      <c r="C53" s="598" t="s">
        <v>6613</v>
      </c>
      <c r="D53" s="596" t="s">
        <v>21</v>
      </c>
      <c r="E53" s="601">
        <v>398669</v>
      </c>
      <c r="T53" s="595" t="s">
        <v>6490</v>
      </c>
      <c r="U53" s="595" t="s">
        <v>6488</v>
      </c>
      <c r="V53" s="595" t="s">
        <v>6494</v>
      </c>
      <c r="W53" s="595" t="s">
        <v>6486</v>
      </c>
      <c r="X53" s="595" t="s">
        <v>6529</v>
      </c>
    </row>
    <row r="54" spans="1:24" ht="150" x14ac:dyDescent="0.35">
      <c r="A54" s="596">
        <v>10154</v>
      </c>
      <c r="B54" s="597" t="s">
        <v>6614</v>
      </c>
      <c r="C54" s="598" t="s">
        <v>6614</v>
      </c>
      <c r="D54" s="596" t="s">
        <v>21</v>
      </c>
      <c r="E54" s="601">
        <v>482163</v>
      </c>
      <c r="T54" s="595" t="s">
        <v>6485</v>
      </c>
      <c r="U54" s="595" t="s">
        <v>6500</v>
      </c>
      <c r="V54" s="595" t="s">
        <v>6487</v>
      </c>
      <c r="W54" s="595" t="s">
        <v>6498</v>
      </c>
      <c r="X54" s="595" t="s">
        <v>6528</v>
      </c>
    </row>
    <row r="55" spans="1:24" ht="135" x14ac:dyDescent="0.35">
      <c r="A55" s="596">
        <v>10156</v>
      </c>
      <c r="B55" s="597" t="s">
        <v>6615</v>
      </c>
      <c r="C55" s="598" t="s">
        <v>6615</v>
      </c>
      <c r="D55" s="596" t="s">
        <v>21</v>
      </c>
      <c r="E55" s="601">
        <v>248945</v>
      </c>
      <c r="T55" s="595" t="s">
        <v>6485</v>
      </c>
      <c r="U55" s="595" t="s">
        <v>6507</v>
      </c>
      <c r="V55" s="595" t="s">
        <v>6487</v>
      </c>
      <c r="W55" s="595" t="s">
        <v>6498</v>
      </c>
      <c r="X55" s="595" t="s">
        <v>6530</v>
      </c>
    </row>
    <row r="56" spans="1:24" ht="90" x14ac:dyDescent="0.35">
      <c r="A56" s="596">
        <v>10158</v>
      </c>
      <c r="B56" s="597" t="s">
        <v>6616</v>
      </c>
      <c r="C56" s="598" t="s">
        <v>6616</v>
      </c>
      <c r="D56" s="596" t="s">
        <v>21</v>
      </c>
      <c r="E56" s="601">
        <v>14552</v>
      </c>
      <c r="T56" s="595" t="s">
        <v>6490</v>
      </c>
      <c r="U56" s="595" t="s">
        <v>6500</v>
      </c>
      <c r="V56" s="595" t="s">
        <v>6494</v>
      </c>
      <c r="W56" s="595" t="s">
        <v>6486</v>
      </c>
      <c r="X56" s="595" t="s">
        <v>6531</v>
      </c>
    </row>
    <row r="57" spans="1:24" ht="120" x14ac:dyDescent="0.35">
      <c r="A57" s="596">
        <v>10159</v>
      </c>
      <c r="B57" s="597" t="s">
        <v>6617</v>
      </c>
      <c r="C57" s="598" t="s">
        <v>6617</v>
      </c>
      <c r="D57" s="596" t="s">
        <v>21</v>
      </c>
      <c r="E57" s="601">
        <v>368045</v>
      </c>
      <c r="T57" s="595" t="s">
        <v>6485</v>
      </c>
      <c r="U57" s="595" t="s">
        <v>6507</v>
      </c>
      <c r="V57" s="595" t="s">
        <v>6487</v>
      </c>
      <c r="W57" s="595" t="s">
        <v>6498</v>
      </c>
      <c r="X57" s="595" t="s">
        <v>6530</v>
      </c>
    </row>
    <row r="58" spans="1:24" ht="150" x14ac:dyDescent="0.35">
      <c r="A58" s="596">
        <v>10160</v>
      </c>
      <c r="B58" s="597" t="s">
        <v>6618</v>
      </c>
      <c r="C58" s="598" t="s">
        <v>6618</v>
      </c>
      <c r="D58" s="596" t="s">
        <v>21</v>
      </c>
      <c r="E58" s="601">
        <v>379481</v>
      </c>
      <c r="T58" s="595" t="s">
        <v>6485</v>
      </c>
      <c r="U58" s="595" t="s">
        <v>6486</v>
      </c>
      <c r="V58" s="595" t="s">
        <v>6487</v>
      </c>
      <c r="W58" s="595" t="s">
        <v>6498</v>
      </c>
      <c r="X58" s="595" t="s">
        <v>6532</v>
      </c>
    </row>
    <row r="59" spans="1:24" ht="105" x14ac:dyDescent="0.35">
      <c r="A59" s="596">
        <v>10161</v>
      </c>
      <c r="B59" s="597" t="s">
        <v>6619</v>
      </c>
      <c r="C59" s="598" t="s">
        <v>6619</v>
      </c>
      <c r="D59" s="596" t="s">
        <v>21</v>
      </c>
      <c r="E59" s="601">
        <v>129991</v>
      </c>
      <c r="T59" s="595" t="s">
        <v>6485</v>
      </c>
      <c r="U59" s="595" t="s">
        <v>6486</v>
      </c>
      <c r="V59" s="595" t="s">
        <v>6487</v>
      </c>
      <c r="W59" s="595" t="s">
        <v>6498</v>
      </c>
      <c r="X59" s="595" t="s">
        <v>6532</v>
      </c>
    </row>
    <row r="60" spans="1:24" ht="135" x14ac:dyDescent="0.35">
      <c r="A60" s="596">
        <v>10162</v>
      </c>
      <c r="B60" s="597" t="s">
        <v>6620</v>
      </c>
      <c r="C60" s="598" t="s">
        <v>6620</v>
      </c>
      <c r="D60" s="596" t="s">
        <v>21</v>
      </c>
      <c r="E60" s="601">
        <v>138941</v>
      </c>
      <c r="T60" s="595" t="s">
        <v>6485</v>
      </c>
      <c r="U60" s="595" t="s">
        <v>6486</v>
      </c>
      <c r="V60" s="595" t="s">
        <v>6487</v>
      </c>
      <c r="W60" s="595" t="s">
        <v>6498</v>
      </c>
      <c r="X60" s="595" t="s">
        <v>6532</v>
      </c>
    </row>
    <row r="61" spans="1:24" ht="120" x14ac:dyDescent="0.35">
      <c r="A61" s="596">
        <v>10164</v>
      </c>
      <c r="B61" s="597" t="s">
        <v>6542</v>
      </c>
      <c r="C61" s="598" t="s">
        <v>6542</v>
      </c>
      <c r="D61" s="596" t="s">
        <v>21</v>
      </c>
      <c r="E61" s="601">
        <v>147987</v>
      </c>
      <c r="T61" s="595" t="s">
        <v>6485</v>
      </c>
      <c r="U61" s="595" t="s">
        <v>6486</v>
      </c>
      <c r="V61" s="595" t="s">
        <v>6487</v>
      </c>
      <c r="W61" s="595" t="s">
        <v>6498</v>
      </c>
      <c r="X61" s="595" t="s">
        <v>6532</v>
      </c>
    </row>
    <row r="62" spans="1:24" ht="135" x14ac:dyDescent="0.35">
      <c r="A62" s="596">
        <v>10165</v>
      </c>
      <c r="B62" s="597" t="s">
        <v>6543</v>
      </c>
      <c r="C62" s="598" t="s">
        <v>6543</v>
      </c>
      <c r="D62" s="596" t="s">
        <v>21</v>
      </c>
      <c r="E62" s="601">
        <v>199539</v>
      </c>
      <c r="T62" s="595" t="s">
        <v>6490</v>
      </c>
      <c r="U62" s="595" t="s">
        <v>6488</v>
      </c>
      <c r="V62" s="595" t="s">
        <v>6494</v>
      </c>
      <c r="W62" s="595" t="s">
        <v>6498</v>
      </c>
      <c r="X62" s="595" t="s">
        <v>6533</v>
      </c>
    </row>
    <row r="63" spans="1:24" ht="90" x14ac:dyDescent="0.35">
      <c r="A63" s="596">
        <v>10166</v>
      </c>
      <c r="B63" s="597" t="s">
        <v>6544</v>
      </c>
      <c r="C63" s="598" t="s">
        <v>6544</v>
      </c>
      <c r="D63" s="596" t="s">
        <v>21</v>
      </c>
      <c r="E63" s="601">
        <v>169076</v>
      </c>
      <c r="T63" s="595" t="s">
        <v>6490</v>
      </c>
      <c r="U63" s="595" t="s">
        <v>6500</v>
      </c>
      <c r="V63" s="595" t="s">
        <v>6494</v>
      </c>
      <c r="W63" s="595" t="s">
        <v>6498</v>
      </c>
      <c r="X63" s="595" t="s">
        <v>6534</v>
      </c>
    </row>
    <row r="64" spans="1:24" ht="105" x14ac:dyDescent="0.35">
      <c r="A64" s="596">
        <v>10167</v>
      </c>
      <c r="B64" s="597" t="s">
        <v>6545</v>
      </c>
      <c r="C64" s="598" t="s">
        <v>6545</v>
      </c>
      <c r="D64" s="596" t="s">
        <v>21</v>
      </c>
      <c r="E64" s="601">
        <v>168027</v>
      </c>
      <c r="T64" s="595" t="s">
        <v>6490</v>
      </c>
      <c r="U64" s="595" t="s">
        <v>6488</v>
      </c>
      <c r="V64" s="595" t="s">
        <v>6494</v>
      </c>
      <c r="W64" s="595" t="s">
        <v>6488</v>
      </c>
      <c r="X64" s="595" t="s">
        <v>6535</v>
      </c>
    </row>
    <row r="65" spans="1:24" ht="105" x14ac:dyDescent="0.35">
      <c r="A65" s="596">
        <v>10168</v>
      </c>
      <c r="B65" s="597" t="s">
        <v>6547</v>
      </c>
      <c r="C65" s="598" t="s">
        <v>6547</v>
      </c>
      <c r="D65" s="596" t="s">
        <v>21</v>
      </c>
      <c r="E65" s="601">
        <v>244629</v>
      </c>
      <c r="T65" s="595" t="s">
        <v>6490</v>
      </c>
      <c r="U65" s="595" t="s">
        <v>6500</v>
      </c>
      <c r="V65" s="595" t="s">
        <v>6494</v>
      </c>
      <c r="W65" s="595" t="s">
        <v>6488</v>
      </c>
      <c r="X65" s="595" t="s">
        <v>6536</v>
      </c>
    </row>
    <row r="66" spans="1:24" ht="120" x14ac:dyDescent="0.35">
      <c r="A66" s="596">
        <v>10169</v>
      </c>
      <c r="B66" s="597" t="s">
        <v>6548</v>
      </c>
      <c r="C66" s="598" t="s">
        <v>6548</v>
      </c>
      <c r="D66" s="596" t="s">
        <v>21</v>
      </c>
      <c r="E66" s="601">
        <v>164723</v>
      </c>
      <c r="T66" s="595" t="s">
        <v>6490</v>
      </c>
      <c r="U66" s="595" t="s">
        <v>6488</v>
      </c>
      <c r="V66" s="595" t="s">
        <v>6494</v>
      </c>
      <c r="W66" s="595" t="s">
        <v>6500</v>
      </c>
      <c r="X66" s="595" t="s">
        <v>6537</v>
      </c>
    </row>
    <row r="67" spans="1:24" ht="105" x14ac:dyDescent="0.35">
      <c r="A67" s="596">
        <v>10170</v>
      </c>
      <c r="B67" s="597" t="s">
        <v>6549</v>
      </c>
      <c r="C67" s="598" t="s">
        <v>6549</v>
      </c>
      <c r="D67" s="596" t="s">
        <v>21</v>
      </c>
      <c r="E67" s="601">
        <v>4222</v>
      </c>
      <c r="T67" s="595" t="s">
        <v>6490</v>
      </c>
      <c r="U67" s="595" t="s">
        <v>6500</v>
      </c>
      <c r="V67" s="595" t="s">
        <v>6494</v>
      </c>
      <c r="W67" s="595" t="s">
        <v>6500</v>
      </c>
      <c r="X67" s="595" t="s">
        <v>6538</v>
      </c>
    </row>
    <row r="68" spans="1:24" ht="105" x14ac:dyDescent="0.35">
      <c r="A68" s="596">
        <v>10171</v>
      </c>
      <c r="B68" s="597" t="s">
        <v>6621</v>
      </c>
      <c r="C68" s="598" t="s">
        <v>6621</v>
      </c>
      <c r="D68" s="596" t="s">
        <v>21</v>
      </c>
      <c r="E68" s="601">
        <v>17639</v>
      </c>
      <c r="T68" s="595" t="s">
        <v>6485</v>
      </c>
      <c r="U68" s="595" t="s">
        <v>6486</v>
      </c>
      <c r="V68" s="595" t="s">
        <v>6487</v>
      </c>
      <c r="W68" s="595" t="s">
        <v>6498</v>
      </c>
      <c r="X68" s="595" t="s">
        <v>6532</v>
      </c>
    </row>
    <row r="69" spans="1:24" ht="120" x14ac:dyDescent="0.35">
      <c r="A69" s="596">
        <v>10173</v>
      </c>
      <c r="B69" s="597" t="s">
        <v>6622</v>
      </c>
      <c r="C69" s="598" t="s">
        <v>6622</v>
      </c>
      <c r="D69" s="596" t="s">
        <v>21</v>
      </c>
      <c r="E69" s="601">
        <v>17634</v>
      </c>
      <c r="T69" s="595" t="s">
        <v>6485</v>
      </c>
      <c r="U69" s="595" t="s">
        <v>6486</v>
      </c>
      <c r="V69" s="595" t="s">
        <v>6487</v>
      </c>
      <c r="W69" s="595" t="s">
        <v>6498</v>
      </c>
      <c r="X69" s="595" t="s">
        <v>6532</v>
      </c>
    </row>
    <row r="70" spans="1:24" ht="120" x14ac:dyDescent="0.35">
      <c r="A70" s="596">
        <v>10175</v>
      </c>
      <c r="B70" s="597" t="s">
        <v>6623</v>
      </c>
      <c r="C70" s="598" t="s">
        <v>6623</v>
      </c>
      <c r="D70" s="596" t="s">
        <v>21</v>
      </c>
      <c r="E70" s="601">
        <v>28234</v>
      </c>
      <c r="T70" s="595" t="s">
        <v>6485</v>
      </c>
      <c r="U70" s="595" t="s">
        <v>6500</v>
      </c>
      <c r="V70" s="595" t="s">
        <v>6487</v>
      </c>
      <c r="W70" s="595" t="s">
        <v>6488</v>
      </c>
      <c r="X70" s="595" t="s">
        <v>6539</v>
      </c>
    </row>
    <row r="71" spans="1:24" ht="90" x14ac:dyDescent="0.35">
      <c r="A71" s="596">
        <v>10176</v>
      </c>
      <c r="B71" s="597" t="s">
        <v>6551</v>
      </c>
      <c r="C71" s="598" t="s">
        <v>6551</v>
      </c>
      <c r="D71" s="596" t="s">
        <v>21</v>
      </c>
      <c r="E71" s="601">
        <v>4243</v>
      </c>
      <c r="T71" s="595" t="s">
        <v>6485</v>
      </c>
      <c r="U71" s="595" t="s">
        <v>6500</v>
      </c>
      <c r="V71" s="595" t="s">
        <v>6487</v>
      </c>
      <c r="W71" s="595" t="s">
        <v>6488</v>
      </c>
      <c r="X71" s="595" t="s">
        <v>6539</v>
      </c>
    </row>
    <row r="72" spans="1:24" ht="120" x14ac:dyDescent="0.35">
      <c r="A72" s="596">
        <v>10178</v>
      </c>
      <c r="B72" s="597" t="s">
        <v>6624</v>
      </c>
      <c r="C72" s="598" t="s">
        <v>6624</v>
      </c>
      <c r="D72" s="596" t="s">
        <v>21</v>
      </c>
      <c r="E72" s="601">
        <v>28234</v>
      </c>
      <c r="T72" s="595" t="s">
        <v>6485</v>
      </c>
      <c r="U72" s="595" t="s">
        <v>6507</v>
      </c>
      <c r="V72" s="595" t="s">
        <v>6487</v>
      </c>
      <c r="W72" s="595" t="s">
        <v>6488</v>
      </c>
      <c r="X72" s="595" t="s">
        <v>6541</v>
      </c>
    </row>
    <row r="73" spans="1:24" ht="120" x14ac:dyDescent="0.35">
      <c r="A73" s="596">
        <v>10180</v>
      </c>
      <c r="B73" s="597" t="s">
        <v>6625</v>
      </c>
      <c r="C73" s="598" t="s">
        <v>6625</v>
      </c>
      <c r="D73" s="596" t="s">
        <v>21</v>
      </c>
      <c r="E73" s="601">
        <v>28234</v>
      </c>
      <c r="T73" s="595" t="s">
        <v>6485</v>
      </c>
      <c r="U73" s="595" t="s">
        <v>6507</v>
      </c>
      <c r="V73" s="595" t="s">
        <v>6487</v>
      </c>
      <c r="W73" s="595" t="s">
        <v>6488</v>
      </c>
      <c r="X73" s="595" t="s">
        <v>6541</v>
      </c>
    </row>
    <row r="74" spans="1:24" ht="90" x14ac:dyDescent="0.35">
      <c r="A74" s="596">
        <v>10181</v>
      </c>
      <c r="B74" s="597" t="s">
        <v>6554</v>
      </c>
      <c r="C74" s="598" t="s">
        <v>6554</v>
      </c>
      <c r="D74" s="596" t="s">
        <v>21</v>
      </c>
      <c r="E74" s="601">
        <v>4243</v>
      </c>
      <c r="T74" s="595" t="s">
        <v>6485</v>
      </c>
      <c r="U74" s="595" t="s">
        <v>6486</v>
      </c>
      <c r="V74" s="595" t="s">
        <v>6487</v>
      </c>
      <c r="W74" s="595" t="s">
        <v>6488</v>
      </c>
      <c r="X74" s="595" t="s">
        <v>6489</v>
      </c>
    </row>
    <row r="75" spans="1:24" ht="135" x14ac:dyDescent="0.35">
      <c r="A75" s="596">
        <v>10183</v>
      </c>
      <c r="B75" s="597" t="s">
        <v>6626</v>
      </c>
      <c r="C75" s="598" t="s">
        <v>6626</v>
      </c>
      <c r="D75" s="596" t="s">
        <v>21</v>
      </c>
      <c r="E75" s="601">
        <v>537395</v>
      </c>
      <c r="T75" s="595" t="s">
        <v>6485</v>
      </c>
      <c r="U75" s="595" t="s">
        <v>6486</v>
      </c>
      <c r="V75" s="595" t="s">
        <v>6487</v>
      </c>
      <c r="W75" s="595" t="s">
        <v>6488</v>
      </c>
      <c r="X75" s="595" t="s">
        <v>6489</v>
      </c>
    </row>
    <row r="76" spans="1:24" ht="135" x14ac:dyDescent="0.35">
      <c r="A76" s="596">
        <v>10185</v>
      </c>
      <c r="B76" s="597" t="s">
        <v>6627</v>
      </c>
      <c r="C76" s="598" t="s">
        <v>6627</v>
      </c>
      <c r="D76" s="596" t="s">
        <v>21</v>
      </c>
      <c r="E76" s="601">
        <v>537395</v>
      </c>
      <c r="T76" s="595" t="s">
        <v>6485</v>
      </c>
      <c r="U76" s="595" t="s">
        <v>6491</v>
      </c>
      <c r="V76" s="595" t="s">
        <v>6487</v>
      </c>
      <c r="W76" s="595" t="s">
        <v>6488</v>
      </c>
      <c r="X76" s="595" t="s">
        <v>6546</v>
      </c>
    </row>
    <row r="77" spans="1:24" ht="135" x14ac:dyDescent="0.35">
      <c r="A77" s="596">
        <v>10186</v>
      </c>
      <c r="B77" s="597" t="s">
        <v>6628</v>
      </c>
      <c r="C77" s="598" t="s">
        <v>6628</v>
      </c>
      <c r="D77" s="596" t="s">
        <v>21</v>
      </c>
      <c r="E77" s="601">
        <v>198084</v>
      </c>
      <c r="T77" s="595" t="s">
        <v>6485</v>
      </c>
      <c r="U77" s="595" t="s">
        <v>6491</v>
      </c>
      <c r="V77" s="595" t="s">
        <v>6487</v>
      </c>
      <c r="W77" s="595" t="s">
        <v>6488</v>
      </c>
      <c r="X77" s="595" t="s">
        <v>6546</v>
      </c>
    </row>
    <row r="78" spans="1:24" ht="135" x14ac:dyDescent="0.35">
      <c r="A78" s="596">
        <v>10188</v>
      </c>
      <c r="B78" s="597" t="s">
        <v>6629</v>
      </c>
      <c r="C78" s="598" t="s">
        <v>6629</v>
      </c>
      <c r="D78" s="596" t="s">
        <v>21</v>
      </c>
      <c r="E78" s="601">
        <v>537395</v>
      </c>
      <c r="T78" s="595" t="s">
        <v>6485</v>
      </c>
      <c r="U78" s="595" t="s">
        <v>6486</v>
      </c>
      <c r="V78" s="595" t="s">
        <v>6487</v>
      </c>
      <c r="W78" s="595" t="s">
        <v>6488</v>
      </c>
      <c r="X78" s="595" t="s">
        <v>6489</v>
      </c>
    </row>
    <row r="79" spans="1:24" ht="135" x14ac:dyDescent="0.35">
      <c r="A79" s="596">
        <v>10190</v>
      </c>
      <c r="B79" s="597" t="s">
        <v>6630</v>
      </c>
      <c r="C79" s="598" t="s">
        <v>6630</v>
      </c>
      <c r="D79" s="596" t="s">
        <v>21</v>
      </c>
      <c r="E79" s="601">
        <v>537395</v>
      </c>
      <c r="T79" s="595" t="s">
        <v>6485</v>
      </c>
      <c r="U79" s="595" t="s">
        <v>6491</v>
      </c>
      <c r="V79" s="595" t="s">
        <v>6487</v>
      </c>
      <c r="W79" s="595" t="s">
        <v>6500</v>
      </c>
      <c r="X79" s="595" t="s">
        <v>6550</v>
      </c>
    </row>
    <row r="80" spans="1:24" ht="135" x14ac:dyDescent="0.35">
      <c r="A80" s="596">
        <v>10191</v>
      </c>
      <c r="B80" s="597" t="s">
        <v>6557</v>
      </c>
      <c r="C80" s="598" t="s">
        <v>6557</v>
      </c>
      <c r="D80" s="596" t="s">
        <v>21</v>
      </c>
      <c r="E80" s="601">
        <v>198084</v>
      </c>
      <c r="T80" s="595" t="s">
        <v>6485</v>
      </c>
      <c r="U80" s="595" t="s">
        <v>6491</v>
      </c>
      <c r="V80" s="595" t="s">
        <v>6487</v>
      </c>
      <c r="W80" s="595" t="s">
        <v>6500</v>
      </c>
      <c r="X80" s="595" t="s">
        <v>6550</v>
      </c>
    </row>
    <row r="81" spans="1:24" ht="135" x14ac:dyDescent="0.35">
      <c r="A81" s="596">
        <v>10192</v>
      </c>
      <c r="B81" s="597" t="s">
        <v>6631</v>
      </c>
      <c r="C81" s="598" t="s">
        <v>6631</v>
      </c>
      <c r="D81" s="596" t="s">
        <v>21</v>
      </c>
      <c r="E81" s="601">
        <v>797695</v>
      </c>
      <c r="T81" s="595" t="s">
        <v>6510</v>
      </c>
      <c r="U81" s="595" t="s">
        <v>6491</v>
      </c>
      <c r="V81" s="595" t="s">
        <v>6487</v>
      </c>
      <c r="W81" s="595" t="s">
        <v>6500</v>
      </c>
      <c r="X81" s="595" t="s">
        <v>6511</v>
      </c>
    </row>
    <row r="82" spans="1:24" ht="150" x14ac:dyDescent="0.35">
      <c r="A82" s="596">
        <v>10193</v>
      </c>
      <c r="B82" s="597" t="s">
        <v>6632</v>
      </c>
      <c r="C82" s="598" t="s">
        <v>6632</v>
      </c>
      <c r="D82" s="596" t="s">
        <v>21</v>
      </c>
      <c r="E82" s="601">
        <v>616511</v>
      </c>
      <c r="T82" s="595" t="s">
        <v>6510</v>
      </c>
      <c r="U82" s="595" t="s">
        <v>6491</v>
      </c>
      <c r="V82" s="595" t="s">
        <v>6487</v>
      </c>
      <c r="W82" s="595" t="s">
        <v>6500</v>
      </c>
      <c r="X82" s="595" t="s">
        <v>6511</v>
      </c>
    </row>
    <row r="83" spans="1:24" ht="135" x14ac:dyDescent="0.35">
      <c r="A83" s="596">
        <v>10194</v>
      </c>
      <c r="B83" s="597" t="s">
        <v>6633</v>
      </c>
      <c r="C83" s="598" t="s">
        <v>6633</v>
      </c>
      <c r="D83" s="596" t="s">
        <v>21</v>
      </c>
      <c r="E83" s="601">
        <v>814057</v>
      </c>
      <c r="T83" s="595" t="s">
        <v>6510</v>
      </c>
      <c r="U83" s="595" t="s">
        <v>6491</v>
      </c>
      <c r="V83" s="595" t="s">
        <v>6487</v>
      </c>
      <c r="W83" s="595" t="s">
        <v>6500</v>
      </c>
      <c r="X83" s="595" t="s">
        <v>6511</v>
      </c>
    </row>
    <row r="84" spans="1:24" ht="150" x14ac:dyDescent="0.35">
      <c r="A84" s="596">
        <v>10195</v>
      </c>
      <c r="B84" s="597" t="s">
        <v>6634</v>
      </c>
      <c r="C84" s="598" t="s">
        <v>6634</v>
      </c>
      <c r="D84" s="596" t="s">
        <v>21</v>
      </c>
      <c r="E84" s="601">
        <v>632873</v>
      </c>
      <c r="T84" s="595" t="s">
        <v>6510</v>
      </c>
      <c r="U84" s="595" t="s">
        <v>6491</v>
      </c>
      <c r="V84" s="595" t="s">
        <v>6487</v>
      </c>
      <c r="W84" s="595" t="s">
        <v>6500</v>
      </c>
      <c r="X84" s="595" t="s">
        <v>6511</v>
      </c>
    </row>
    <row r="85" spans="1:24" ht="150" x14ac:dyDescent="0.35">
      <c r="A85" s="596">
        <v>10196</v>
      </c>
      <c r="B85" s="597" t="s">
        <v>6635</v>
      </c>
      <c r="C85" s="598" t="s">
        <v>6635</v>
      </c>
      <c r="D85" s="596" t="s">
        <v>21</v>
      </c>
      <c r="E85" s="601">
        <v>492138</v>
      </c>
      <c r="T85" s="595" t="s">
        <v>6510</v>
      </c>
      <c r="U85" s="595" t="s">
        <v>6491</v>
      </c>
      <c r="V85" s="595" t="s">
        <v>6487</v>
      </c>
      <c r="W85" s="595" t="s">
        <v>6500</v>
      </c>
      <c r="X85" s="595" t="s">
        <v>6511</v>
      </c>
    </row>
    <row r="86" spans="1:24" ht="135" x14ac:dyDescent="0.35">
      <c r="A86" s="596">
        <v>10197</v>
      </c>
      <c r="B86" s="597" t="s">
        <v>6636</v>
      </c>
      <c r="C86" s="598" t="s">
        <v>6636</v>
      </c>
      <c r="D86" s="596" t="s">
        <v>21</v>
      </c>
      <c r="E86" s="601">
        <v>688327</v>
      </c>
      <c r="T86" s="595" t="s">
        <v>6510</v>
      </c>
      <c r="U86" s="595" t="s">
        <v>6491</v>
      </c>
      <c r="V86" s="595" t="s">
        <v>6497</v>
      </c>
      <c r="W86" s="595" t="s">
        <v>6500</v>
      </c>
      <c r="X86" s="595" t="s">
        <v>6552</v>
      </c>
    </row>
    <row r="87" spans="1:24" ht="150" x14ac:dyDescent="0.35">
      <c r="A87" s="596">
        <v>10198</v>
      </c>
      <c r="B87" s="597" t="s">
        <v>6637</v>
      </c>
      <c r="C87" s="598" t="s">
        <v>6637</v>
      </c>
      <c r="D87" s="596" t="s">
        <v>21</v>
      </c>
      <c r="E87" s="601">
        <v>668182</v>
      </c>
      <c r="T87" s="595" t="s">
        <v>6510</v>
      </c>
      <c r="U87" s="595" t="s">
        <v>6491</v>
      </c>
      <c r="V87" s="595" t="s">
        <v>6497</v>
      </c>
      <c r="W87" s="595" t="s">
        <v>6500</v>
      </c>
      <c r="X87" s="595" t="s">
        <v>6552</v>
      </c>
    </row>
    <row r="88" spans="1:24" ht="135" x14ac:dyDescent="0.35">
      <c r="A88" s="596">
        <v>10199</v>
      </c>
      <c r="B88" s="597" t="s">
        <v>6638</v>
      </c>
      <c r="C88" s="598" t="s">
        <v>6638</v>
      </c>
      <c r="D88" s="596" t="s">
        <v>21</v>
      </c>
      <c r="E88" s="601">
        <v>613386</v>
      </c>
      <c r="T88" s="595" t="s">
        <v>6510</v>
      </c>
      <c r="U88" s="595" t="s">
        <v>6491</v>
      </c>
      <c r="V88" s="595" t="s">
        <v>6494</v>
      </c>
      <c r="W88" s="595" t="s">
        <v>6500</v>
      </c>
      <c r="X88" s="595" t="s">
        <v>6553</v>
      </c>
    </row>
    <row r="89" spans="1:24" ht="150" x14ac:dyDescent="0.35">
      <c r="A89" s="596">
        <v>10200</v>
      </c>
      <c r="B89" s="597" t="s">
        <v>6639</v>
      </c>
      <c r="C89" s="598" t="s">
        <v>6639</v>
      </c>
      <c r="D89" s="596" t="s">
        <v>21</v>
      </c>
      <c r="E89" s="601">
        <v>634733</v>
      </c>
      <c r="T89" s="595" t="s">
        <v>6510</v>
      </c>
      <c r="U89" s="595" t="s">
        <v>6491</v>
      </c>
      <c r="V89" s="595" t="s">
        <v>6494</v>
      </c>
      <c r="W89" s="595" t="s">
        <v>6500</v>
      </c>
      <c r="X89" s="595" t="s">
        <v>6553</v>
      </c>
    </row>
    <row r="90" spans="1:24" ht="150" x14ac:dyDescent="0.35">
      <c r="A90" s="596">
        <v>10201</v>
      </c>
      <c r="B90" s="597" t="s">
        <v>6640</v>
      </c>
      <c r="C90" s="598" t="s">
        <v>6640</v>
      </c>
      <c r="D90" s="596" t="s">
        <v>21</v>
      </c>
      <c r="E90" s="601">
        <v>520921</v>
      </c>
      <c r="T90" s="595" t="s">
        <v>6510</v>
      </c>
      <c r="U90" s="595" t="s">
        <v>6491</v>
      </c>
      <c r="V90" s="595" t="s">
        <v>6494</v>
      </c>
      <c r="W90" s="595" t="s">
        <v>6500</v>
      </c>
      <c r="X90" s="595" t="s">
        <v>6553</v>
      </c>
    </row>
    <row r="91" spans="1:24" ht="165" x14ac:dyDescent="0.35">
      <c r="A91" s="596">
        <v>10202</v>
      </c>
      <c r="B91" s="597" t="s">
        <v>6641</v>
      </c>
      <c r="C91" s="598" t="s">
        <v>6641</v>
      </c>
      <c r="D91" s="596" t="s">
        <v>21</v>
      </c>
      <c r="E91" s="601">
        <v>917628</v>
      </c>
      <c r="T91" s="595" t="s">
        <v>6510</v>
      </c>
      <c r="U91" s="595" t="s">
        <v>6491</v>
      </c>
      <c r="V91" s="595" t="s">
        <v>6487</v>
      </c>
      <c r="W91" s="595" t="s">
        <v>6488</v>
      </c>
      <c r="X91" s="595" t="s">
        <v>6513</v>
      </c>
    </row>
    <row r="92" spans="1:24" ht="180" x14ac:dyDescent="0.35">
      <c r="A92" s="596">
        <v>10203</v>
      </c>
      <c r="B92" s="597" t="s">
        <v>6642</v>
      </c>
      <c r="C92" s="598" t="s">
        <v>6642</v>
      </c>
      <c r="D92" s="596" t="s">
        <v>21</v>
      </c>
      <c r="E92" s="601">
        <v>785413</v>
      </c>
      <c r="T92" s="595" t="s">
        <v>6510</v>
      </c>
      <c r="U92" s="595" t="s">
        <v>6491</v>
      </c>
      <c r="V92" s="595" t="s">
        <v>6487</v>
      </c>
      <c r="W92" s="595" t="s">
        <v>6488</v>
      </c>
      <c r="X92" s="595" t="s">
        <v>6513</v>
      </c>
    </row>
    <row r="93" spans="1:24" ht="165" x14ac:dyDescent="0.35">
      <c r="A93" s="596">
        <v>10204</v>
      </c>
      <c r="B93" s="597" t="s">
        <v>6643</v>
      </c>
      <c r="C93" s="598" t="s">
        <v>6643</v>
      </c>
      <c r="D93" s="596" t="s">
        <v>21</v>
      </c>
      <c r="E93" s="601">
        <v>917628</v>
      </c>
      <c r="T93" s="595" t="s">
        <v>6510</v>
      </c>
      <c r="U93" s="595" t="s">
        <v>6491</v>
      </c>
      <c r="V93" s="595" t="s">
        <v>6487</v>
      </c>
      <c r="W93" s="595" t="s">
        <v>6488</v>
      </c>
      <c r="X93" s="595" t="s">
        <v>6513</v>
      </c>
    </row>
    <row r="94" spans="1:24" ht="180" x14ac:dyDescent="0.35">
      <c r="A94" s="596">
        <v>10205</v>
      </c>
      <c r="B94" s="597" t="s">
        <v>6644</v>
      </c>
      <c r="C94" s="598" t="s">
        <v>6644</v>
      </c>
      <c r="D94" s="596" t="s">
        <v>21</v>
      </c>
      <c r="E94" s="601">
        <v>799939</v>
      </c>
      <c r="T94" s="595" t="s">
        <v>6510</v>
      </c>
      <c r="U94" s="595" t="s">
        <v>6491</v>
      </c>
      <c r="V94" s="595" t="s">
        <v>6487</v>
      </c>
      <c r="W94" s="595" t="s">
        <v>6488</v>
      </c>
      <c r="X94" s="595" t="s">
        <v>6513</v>
      </c>
    </row>
    <row r="95" spans="1:24" ht="180" x14ac:dyDescent="0.35">
      <c r="A95" s="596">
        <v>10206</v>
      </c>
      <c r="B95" s="597" t="s">
        <v>6645</v>
      </c>
      <c r="C95" s="598" t="s">
        <v>6645</v>
      </c>
      <c r="D95" s="596" t="s">
        <v>21</v>
      </c>
      <c r="E95" s="601">
        <v>632451</v>
      </c>
      <c r="T95" s="595" t="s">
        <v>6510</v>
      </c>
      <c r="U95" s="595" t="s">
        <v>6491</v>
      </c>
      <c r="V95" s="595" t="s">
        <v>6487</v>
      </c>
      <c r="W95" s="595" t="s">
        <v>6488</v>
      </c>
      <c r="X95" s="595" t="s">
        <v>6513</v>
      </c>
    </row>
    <row r="96" spans="1:24" ht="180" x14ac:dyDescent="0.35">
      <c r="A96" s="596">
        <v>10207</v>
      </c>
      <c r="B96" s="597" t="s">
        <v>6646</v>
      </c>
      <c r="C96" s="598" t="s">
        <v>6646</v>
      </c>
      <c r="D96" s="596" t="s">
        <v>21</v>
      </c>
      <c r="E96" s="601">
        <v>892103</v>
      </c>
      <c r="T96" s="595" t="s">
        <v>6510</v>
      </c>
      <c r="U96" s="595" t="s">
        <v>6491</v>
      </c>
      <c r="V96" s="595" t="s">
        <v>6497</v>
      </c>
      <c r="W96" s="595" t="s">
        <v>6488</v>
      </c>
      <c r="X96" s="595" t="s">
        <v>6555</v>
      </c>
    </row>
    <row r="97" spans="1:24" ht="180" x14ac:dyDescent="0.35">
      <c r="A97" s="596">
        <v>10208</v>
      </c>
      <c r="B97" s="597" t="s">
        <v>6647</v>
      </c>
      <c r="C97" s="598" t="s">
        <v>6647</v>
      </c>
      <c r="D97" s="596" t="s">
        <v>21</v>
      </c>
      <c r="E97" s="601">
        <v>771580</v>
      </c>
      <c r="T97" s="595" t="s">
        <v>6510</v>
      </c>
      <c r="U97" s="595" t="s">
        <v>6491</v>
      </c>
      <c r="V97" s="595" t="s">
        <v>6497</v>
      </c>
      <c r="W97" s="595" t="s">
        <v>6488</v>
      </c>
      <c r="X97" s="595" t="s">
        <v>6555</v>
      </c>
    </row>
    <row r="98" spans="1:24" ht="165" x14ac:dyDescent="0.35">
      <c r="A98" s="596">
        <v>10209</v>
      </c>
      <c r="B98" s="597" t="s">
        <v>6648</v>
      </c>
      <c r="C98" s="598" t="s">
        <v>6648</v>
      </c>
      <c r="D98" s="596" t="s">
        <v>21</v>
      </c>
      <c r="E98" s="601">
        <v>785706</v>
      </c>
      <c r="T98" s="595" t="s">
        <v>6510</v>
      </c>
      <c r="U98" s="595" t="s">
        <v>6491</v>
      </c>
      <c r="V98" s="595" t="s">
        <v>6494</v>
      </c>
      <c r="W98" s="595" t="s">
        <v>6488</v>
      </c>
      <c r="X98" s="595" t="s">
        <v>6556</v>
      </c>
    </row>
    <row r="99" spans="1:24" ht="180" x14ac:dyDescent="0.35">
      <c r="A99" s="596">
        <v>10210</v>
      </c>
      <c r="B99" s="597" t="s">
        <v>6649</v>
      </c>
      <c r="C99" s="598" t="s">
        <v>6649</v>
      </c>
      <c r="D99" s="596" t="s">
        <v>21</v>
      </c>
      <c r="E99" s="601">
        <v>839882</v>
      </c>
      <c r="T99" s="595" t="s">
        <v>6510</v>
      </c>
      <c r="U99" s="595" t="s">
        <v>6491</v>
      </c>
      <c r="V99" s="595" t="s">
        <v>6494</v>
      </c>
      <c r="W99" s="595" t="s">
        <v>6488</v>
      </c>
      <c r="X99" s="595" t="s">
        <v>6556</v>
      </c>
    </row>
    <row r="100" spans="1:24" ht="180" x14ac:dyDescent="0.35">
      <c r="A100" s="596">
        <v>10211</v>
      </c>
      <c r="B100" s="597" t="s">
        <v>6650</v>
      </c>
      <c r="C100" s="598" t="s">
        <v>6650</v>
      </c>
      <c r="D100" s="596" t="s">
        <v>21</v>
      </c>
      <c r="E100" s="601">
        <v>674593</v>
      </c>
      <c r="T100" s="595" t="s">
        <v>6510</v>
      </c>
      <c r="U100" s="595" t="s">
        <v>6491</v>
      </c>
      <c r="V100" s="595" t="s">
        <v>6494</v>
      </c>
      <c r="W100" s="595" t="s">
        <v>6488</v>
      </c>
      <c r="X100" s="595" t="s">
        <v>6556</v>
      </c>
    </row>
    <row r="101" spans="1:24" ht="90" x14ac:dyDescent="0.35">
      <c r="A101" s="599">
        <v>10337</v>
      </c>
      <c r="B101" s="597" t="s">
        <v>6651</v>
      </c>
      <c r="C101" s="598" t="s">
        <v>6651</v>
      </c>
      <c r="D101" s="596" t="s">
        <v>21</v>
      </c>
      <c r="E101" s="601">
        <v>4197</v>
      </c>
      <c r="T101" s="595" t="s">
        <v>6510</v>
      </c>
      <c r="U101" s="595" t="s">
        <v>6491</v>
      </c>
      <c r="V101" s="595" t="s">
        <v>6487</v>
      </c>
      <c r="W101" s="595" t="s">
        <v>6498</v>
      </c>
      <c r="X101" s="595" t="s">
        <v>6514</v>
      </c>
    </row>
    <row r="102" spans="1:24" ht="120" x14ac:dyDescent="0.35">
      <c r="A102" s="599">
        <v>10463</v>
      </c>
      <c r="B102" s="597" t="s">
        <v>6652</v>
      </c>
      <c r="C102" s="598" t="s">
        <v>6652</v>
      </c>
      <c r="D102" s="596" t="s">
        <v>21</v>
      </c>
      <c r="E102" s="601">
        <v>35826</v>
      </c>
      <c r="T102" s="595" t="s">
        <v>6510</v>
      </c>
      <c r="U102" s="595" t="s">
        <v>6491</v>
      </c>
      <c r="V102" s="595" t="s">
        <v>6487</v>
      </c>
      <c r="W102" s="595" t="s">
        <v>6498</v>
      </c>
      <c r="X102" s="595" t="s">
        <v>6514</v>
      </c>
    </row>
    <row r="103" spans="1:24" ht="120" x14ac:dyDescent="0.35">
      <c r="A103" s="599">
        <v>10464</v>
      </c>
      <c r="B103" s="597" t="s">
        <v>6653</v>
      </c>
      <c r="C103" s="598" t="s">
        <v>6653</v>
      </c>
      <c r="D103" s="596" t="s">
        <v>21</v>
      </c>
      <c r="E103" s="601">
        <v>311684</v>
      </c>
      <c r="T103" s="595" t="s">
        <v>6510</v>
      </c>
      <c r="U103" s="595" t="s">
        <v>6491</v>
      </c>
      <c r="V103" s="595" t="s">
        <v>6487</v>
      </c>
      <c r="W103" s="595" t="s">
        <v>6498</v>
      </c>
      <c r="X103" s="595" t="s">
        <v>6514</v>
      </c>
    </row>
    <row r="104" spans="1:24" ht="120" x14ac:dyDescent="0.35">
      <c r="A104" s="599">
        <v>10466</v>
      </c>
      <c r="B104" s="597" t="s">
        <v>6654</v>
      </c>
      <c r="C104" s="598" t="s">
        <v>6654</v>
      </c>
      <c r="D104" s="596" t="s">
        <v>21</v>
      </c>
      <c r="E104" s="601">
        <v>114780</v>
      </c>
      <c r="T104" s="595" t="s">
        <v>6510</v>
      </c>
      <c r="U104" s="595" t="s">
        <v>6491</v>
      </c>
      <c r="V104" s="595" t="s">
        <v>6487</v>
      </c>
      <c r="W104" s="595" t="s">
        <v>6498</v>
      </c>
      <c r="X104" s="595" t="s">
        <v>6514</v>
      </c>
    </row>
    <row r="105" spans="1:24" ht="135" x14ac:dyDescent="0.35">
      <c r="A105" s="599">
        <v>10467</v>
      </c>
      <c r="B105" s="597" t="s">
        <v>6655</v>
      </c>
      <c r="C105" s="598" t="s">
        <v>6655</v>
      </c>
      <c r="D105" s="596" t="s">
        <v>21</v>
      </c>
      <c r="E105" s="601">
        <v>139514</v>
      </c>
      <c r="T105" s="595" t="s">
        <v>6510</v>
      </c>
      <c r="U105" s="595" t="s">
        <v>6491</v>
      </c>
      <c r="V105" s="595" t="s">
        <v>6487</v>
      </c>
      <c r="W105" s="595" t="s">
        <v>6498</v>
      </c>
      <c r="X105" s="595" t="s">
        <v>6514</v>
      </c>
    </row>
    <row r="106" spans="1:24" ht="135" x14ac:dyDescent="0.35">
      <c r="A106" s="599">
        <v>10468</v>
      </c>
      <c r="B106" s="597" t="s">
        <v>6656</v>
      </c>
      <c r="C106" s="598" t="s">
        <v>6656</v>
      </c>
      <c r="D106" s="596" t="s">
        <v>21</v>
      </c>
      <c r="E106" s="601">
        <v>167278</v>
      </c>
      <c r="T106" s="595" t="s">
        <v>6510</v>
      </c>
      <c r="U106" s="595" t="s">
        <v>6491</v>
      </c>
      <c r="V106" s="595" t="s">
        <v>6497</v>
      </c>
      <c r="W106" s="595" t="s">
        <v>6498</v>
      </c>
      <c r="X106" s="595" t="s">
        <v>6558</v>
      </c>
    </row>
    <row r="107" spans="1:24" ht="120" x14ac:dyDescent="0.35">
      <c r="A107" s="599">
        <v>10469</v>
      </c>
      <c r="B107" s="597" t="s">
        <v>6657</v>
      </c>
      <c r="C107" s="598" t="s">
        <v>6657</v>
      </c>
      <c r="D107" s="596" t="s">
        <v>21</v>
      </c>
      <c r="E107" s="601">
        <v>336242</v>
      </c>
      <c r="T107" s="595" t="s">
        <v>6510</v>
      </c>
      <c r="U107" s="595" t="s">
        <v>6491</v>
      </c>
      <c r="V107" s="595" t="s">
        <v>6497</v>
      </c>
      <c r="W107" s="595" t="s">
        <v>6498</v>
      </c>
      <c r="X107" s="595" t="s">
        <v>6558</v>
      </c>
    </row>
    <row r="108" spans="1:24" ht="135" x14ac:dyDescent="0.35">
      <c r="A108" s="599">
        <v>10470</v>
      </c>
      <c r="B108" s="597" t="s">
        <v>6658</v>
      </c>
      <c r="C108" s="598" t="s">
        <v>6658</v>
      </c>
      <c r="D108" s="596" t="s">
        <v>21</v>
      </c>
      <c r="E108" s="601">
        <v>378393</v>
      </c>
      <c r="T108" s="595" t="s">
        <v>6510</v>
      </c>
      <c r="U108" s="595" t="s">
        <v>6491</v>
      </c>
      <c r="V108" s="595" t="s">
        <v>6494</v>
      </c>
      <c r="W108" s="595" t="s">
        <v>6498</v>
      </c>
      <c r="X108" s="595" t="s">
        <v>6559</v>
      </c>
    </row>
    <row r="109" spans="1:24" ht="135" x14ac:dyDescent="0.35">
      <c r="A109" s="599">
        <v>10471</v>
      </c>
      <c r="B109" s="597" t="s">
        <v>6659</v>
      </c>
      <c r="C109" s="598" t="s">
        <v>6659</v>
      </c>
      <c r="D109" s="596" t="s">
        <v>21</v>
      </c>
      <c r="E109" s="601">
        <v>356116</v>
      </c>
      <c r="T109" s="595" t="s">
        <v>6510</v>
      </c>
      <c r="U109" s="595" t="s">
        <v>6491</v>
      </c>
      <c r="V109" s="595" t="s">
        <v>6494</v>
      </c>
      <c r="W109" s="595" t="s">
        <v>6498</v>
      </c>
      <c r="X109" s="595" t="s">
        <v>6559</v>
      </c>
    </row>
    <row r="110" spans="1:24" ht="90" x14ac:dyDescent="0.35">
      <c r="A110" s="599">
        <v>10472</v>
      </c>
      <c r="B110" s="597" t="s">
        <v>6660</v>
      </c>
      <c r="C110" s="598" t="s">
        <v>6660</v>
      </c>
      <c r="D110" s="596" t="s">
        <v>21</v>
      </c>
      <c r="E110" s="601">
        <v>137219</v>
      </c>
      <c r="T110" s="595" t="s">
        <v>6510</v>
      </c>
      <c r="U110" s="595" t="s">
        <v>6491</v>
      </c>
      <c r="V110" s="595" t="s">
        <v>6494</v>
      </c>
      <c r="W110" s="595" t="s">
        <v>6498</v>
      </c>
      <c r="X110" s="595" t="s">
        <v>6559</v>
      </c>
    </row>
    <row r="111" spans="1:24" ht="135" x14ac:dyDescent="0.35">
      <c r="A111" s="599">
        <v>10473</v>
      </c>
      <c r="B111" s="597" t="s">
        <v>6661</v>
      </c>
      <c r="C111" s="598" t="s">
        <v>6661</v>
      </c>
      <c r="D111" s="596" t="s">
        <v>21</v>
      </c>
      <c r="E111" s="601">
        <v>320401</v>
      </c>
      <c r="T111" s="595" t="s">
        <v>6510</v>
      </c>
      <c r="U111" s="595" t="s">
        <v>6491</v>
      </c>
      <c r="V111" s="595" t="s">
        <v>6487</v>
      </c>
      <c r="W111" s="595" t="s">
        <v>6486</v>
      </c>
      <c r="X111" s="595" t="s">
        <v>6517</v>
      </c>
    </row>
    <row r="112" spans="1:24" ht="135" x14ac:dyDescent="0.35">
      <c r="A112" s="599">
        <v>10474</v>
      </c>
      <c r="B112" s="597" t="s">
        <v>6662</v>
      </c>
      <c r="C112" s="598" t="s">
        <v>6662</v>
      </c>
      <c r="D112" s="596" t="s">
        <v>21</v>
      </c>
      <c r="E112" s="601">
        <v>351778</v>
      </c>
      <c r="T112" s="595" t="s">
        <v>6510</v>
      </c>
      <c r="U112" s="595" t="s">
        <v>6491</v>
      </c>
      <c r="V112" s="595" t="s">
        <v>6487</v>
      </c>
      <c r="W112" s="595" t="s">
        <v>6486</v>
      </c>
      <c r="X112" s="595" t="s">
        <v>6517</v>
      </c>
    </row>
    <row r="113" spans="1:24" ht="150" x14ac:dyDescent="0.35">
      <c r="A113" s="599">
        <v>10475</v>
      </c>
      <c r="B113" s="597" t="s">
        <v>6663</v>
      </c>
      <c r="C113" s="598" t="s">
        <v>6663</v>
      </c>
      <c r="D113" s="596" t="s">
        <v>21</v>
      </c>
      <c r="E113" s="601">
        <v>334238</v>
      </c>
      <c r="T113" s="595" t="s">
        <v>6510</v>
      </c>
      <c r="U113" s="595" t="s">
        <v>6491</v>
      </c>
      <c r="V113" s="595" t="s">
        <v>6487</v>
      </c>
      <c r="W113" s="595" t="s">
        <v>6486</v>
      </c>
      <c r="X113" s="595" t="s">
        <v>6517</v>
      </c>
    </row>
    <row r="114" spans="1:24" ht="120" x14ac:dyDescent="0.35">
      <c r="A114" s="599">
        <v>10476</v>
      </c>
      <c r="B114" s="597" t="s">
        <v>6664</v>
      </c>
      <c r="C114" s="598" t="s">
        <v>6664</v>
      </c>
      <c r="D114" s="596" t="s">
        <v>21</v>
      </c>
      <c r="E114" s="601">
        <v>30518</v>
      </c>
      <c r="T114" s="595" t="s">
        <v>6510</v>
      </c>
      <c r="U114" s="595" t="s">
        <v>6491</v>
      </c>
      <c r="V114" s="595" t="s">
        <v>6487</v>
      </c>
      <c r="W114" s="595" t="s">
        <v>6486</v>
      </c>
      <c r="X114" s="595" t="s">
        <v>6517</v>
      </c>
    </row>
    <row r="115" spans="1:24" ht="90" x14ac:dyDescent="0.35">
      <c r="A115" s="599">
        <v>10477</v>
      </c>
      <c r="B115" s="597" t="s">
        <v>6665</v>
      </c>
      <c r="C115" s="598" t="s">
        <v>6665</v>
      </c>
      <c r="D115" s="596" t="s">
        <v>21</v>
      </c>
      <c r="E115" s="601">
        <v>31059</v>
      </c>
      <c r="T115" s="595" t="s">
        <v>6510</v>
      </c>
      <c r="U115" s="595" t="s">
        <v>6491</v>
      </c>
      <c r="V115" s="595" t="s">
        <v>6487</v>
      </c>
      <c r="W115" s="595" t="s">
        <v>6495</v>
      </c>
      <c r="X115" s="595" t="s">
        <v>6560</v>
      </c>
    </row>
    <row r="116" spans="1:24" ht="165" x14ac:dyDescent="0.35">
      <c r="A116" s="599">
        <v>10478</v>
      </c>
      <c r="B116" s="597" t="s">
        <v>6666</v>
      </c>
      <c r="C116" s="598" t="s">
        <v>6666</v>
      </c>
      <c r="D116" s="596" t="s">
        <v>21</v>
      </c>
      <c r="E116" s="601">
        <v>365801</v>
      </c>
      <c r="T116" s="595" t="s">
        <v>6510</v>
      </c>
      <c r="U116" s="595" t="s">
        <v>6491</v>
      </c>
      <c r="V116" s="595" t="s">
        <v>6497</v>
      </c>
      <c r="W116" s="595" t="s">
        <v>6486</v>
      </c>
      <c r="X116" s="595" t="s">
        <v>6561</v>
      </c>
    </row>
    <row r="117" spans="1:24" ht="150" x14ac:dyDescent="0.35">
      <c r="A117" s="599">
        <v>10479</v>
      </c>
      <c r="B117" s="597" t="s">
        <v>6667</v>
      </c>
      <c r="C117" s="598" t="s">
        <v>6667</v>
      </c>
      <c r="D117" s="596" t="s">
        <v>21</v>
      </c>
      <c r="E117" s="601">
        <v>351527</v>
      </c>
      <c r="T117" s="595" t="s">
        <v>6510</v>
      </c>
      <c r="U117" s="595" t="s">
        <v>6491</v>
      </c>
      <c r="V117" s="595" t="s">
        <v>6497</v>
      </c>
      <c r="W117" s="595" t="s">
        <v>6486</v>
      </c>
      <c r="X117" s="595" t="s">
        <v>6561</v>
      </c>
    </row>
    <row r="118" spans="1:24" ht="150" x14ac:dyDescent="0.35">
      <c r="A118" s="599">
        <v>10480</v>
      </c>
      <c r="B118" s="597" t="s">
        <v>6668</v>
      </c>
      <c r="C118" s="598" t="s">
        <v>6668</v>
      </c>
      <c r="D118" s="596" t="s">
        <v>21</v>
      </c>
      <c r="E118" s="601">
        <v>301871</v>
      </c>
      <c r="T118" s="595" t="s">
        <v>6510</v>
      </c>
      <c r="U118" s="595" t="s">
        <v>6491</v>
      </c>
      <c r="V118" s="595" t="s">
        <v>6494</v>
      </c>
      <c r="W118" s="595" t="s">
        <v>6486</v>
      </c>
      <c r="X118" s="595" t="s">
        <v>6562</v>
      </c>
    </row>
    <row r="119" spans="1:24" ht="120" x14ac:dyDescent="0.35">
      <c r="A119" s="599">
        <v>10481</v>
      </c>
      <c r="B119" s="597" t="s">
        <v>6669</v>
      </c>
      <c r="C119" s="598" t="s">
        <v>6669</v>
      </c>
      <c r="D119" s="596" t="s">
        <v>21</v>
      </c>
      <c r="E119" s="601">
        <v>402465</v>
      </c>
      <c r="T119" s="595" t="s">
        <v>6510</v>
      </c>
      <c r="U119" s="595" t="s">
        <v>6491</v>
      </c>
      <c r="V119" s="595" t="s">
        <v>6494</v>
      </c>
      <c r="W119" s="595" t="s">
        <v>6486</v>
      </c>
      <c r="X119" s="595" t="s">
        <v>6562</v>
      </c>
    </row>
    <row r="120" spans="1:24" ht="195" x14ac:dyDescent="0.35">
      <c r="A120" s="599">
        <v>10482</v>
      </c>
      <c r="B120" s="597" t="s">
        <v>6670</v>
      </c>
      <c r="C120" s="598" t="s">
        <v>6670</v>
      </c>
      <c r="D120" s="596" t="s">
        <v>21</v>
      </c>
      <c r="E120" s="601">
        <v>352965</v>
      </c>
      <c r="T120" s="595" t="s">
        <v>6510</v>
      </c>
      <c r="U120" s="595" t="s">
        <v>6491</v>
      </c>
      <c r="V120" s="595" t="s">
        <v>6494</v>
      </c>
      <c r="W120" s="595" t="s">
        <v>6495</v>
      </c>
      <c r="X120" s="595" t="s">
        <v>6563</v>
      </c>
    </row>
    <row r="121" spans="1:24" ht="210" x14ac:dyDescent="0.35">
      <c r="A121" s="599">
        <v>10483</v>
      </c>
      <c r="B121" s="597" t="s">
        <v>6671</v>
      </c>
      <c r="C121" s="598" t="s">
        <v>6671</v>
      </c>
      <c r="D121" s="596" t="s">
        <v>21</v>
      </c>
      <c r="E121" s="601">
        <v>328312</v>
      </c>
    </row>
    <row r="122" spans="1:24" ht="120" x14ac:dyDescent="0.35">
      <c r="A122" s="600">
        <v>10592</v>
      </c>
      <c r="B122" s="597" t="s">
        <v>6672</v>
      </c>
      <c r="C122" s="598" t="s">
        <v>6672</v>
      </c>
      <c r="D122" s="596" t="s">
        <v>21</v>
      </c>
      <c r="E122" s="601">
        <v>146861</v>
      </c>
    </row>
    <row r="123" spans="1:24" ht="105" x14ac:dyDescent="0.35">
      <c r="A123" s="600">
        <v>10928</v>
      </c>
      <c r="B123" s="597" t="s">
        <v>6673</v>
      </c>
      <c r="C123" s="598" t="s">
        <v>6673</v>
      </c>
      <c r="D123" s="596" t="s">
        <v>21</v>
      </c>
      <c r="E123" s="601">
        <v>43026</v>
      </c>
    </row>
    <row r="124" spans="1:24" ht="180" x14ac:dyDescent="0.35">
      <c r="A124" s="600">
        <v>10929</v>
      </c>
      <c r="B124" s="597" t="s">
        <v>6674</v>
      </c>
      <c r="C124" s="598" t="s">
        <v>6674</v>
      </c>
      <c r="D124" s="596" t="s">
        <v>21</v>
      </c>
      <c r="E124" s="601">
        <v>288888</v>
      </c>
    </row>
    <row r="125" spans="1:24" ht="165" x14ac:dyDescent="0.35">
      <c r="A125" s="600">
        <v>10930</v>
      </c>
      <c r="B125" s="597" t="s">
        <v>6675</v>
      </c>
      <c r="C125" s="598" t="s">
        <v>6675</v>
      </c>
      <c r="D125" s="596" t="s">
        <v>21</v>
      </c>
      <c r="E125" s="601">
        <v>288068</v>
      </c>
    </row>
    <row r="126" spans="1:24" ht="165" x14ac:dyDescent="0.35">
      <c r="A126" s="600">
        <v>10931</v>
      </c>
      <c r="B126" s="597" t="s">
        <v>6676</v>
      </c>
      <c r="C126" s="598" t="s">
        <v>6676</v>
      </c>
      <c r="D126" s="596" t="s">
        <v>21</v>
      </c>
      <c r="E126" s="601">
        <v>325167</v>
      </c>
    </row>
    <row r="127" spans="1:24" ht="105" x14ac:dyDescent="0.35">
      <c r="A127" s="600">
        <v>10932</v>
      </c>
      <c r="B127" s="597" t="s">
        <v>6677</v>
      </c>
      <c r="C127" s="598" t="s">
        <v>6677</v>
      </c>
      <c r="D127" s="596" t="s">
        <v>21</v>
      </c>
      <c r="E127" s="601">
        <v>461312</v>
      </c>
    </row>
    <row r="128" spans="1:24" ht="165" x14ac:dyDescent="0.35">
      <c r="A128" s="600">
        <v>10933</v>
      </c>
      <c r="B128" s="597" t="s">
        <v>6678</v>
      </c>
      <c r="C128" s="598" t="s">
        <v>6678</v>
      </c>
      <c r="D128" s="596" t="s">
        <v>21</v>
      </c>
      <c r="E128" s="601">
        <v>191954</v>
      </c>
    </row>
    <row r="129" spans="1:5" ht="105" x14ac:dyDescent="0.35">
      <c r="A129" s="600">
        <v>10934</v>
      </c>
      <c r="B129" s="597" t="s">
        <v>6679</v>
      </c>
      <c r="C129" s="598" t="s">
        <v>6679</v>
      </c>
      <c r="D129" s="596" t="s">
        <v>21</v>
      </c>
      <c r="E129" s="601">
        <v>41379</v>
      </c>
    </row>
    <row r="130" spans="1:5" ht="105" x14ac:dyDescent="0.35">
      <c r="A130" s="600">
        <v>10935</v>
      </c>
      <c r="B130" s="597" t="s">
        <v>6680</v>
      </c>
      <c r="C130" s="598" t="s">
        <v>6680</v>
      </c>
      <c r="D130" s="596" t="s">
        <v>21</v>
      </c>
      <c r="E130" s="601">
        <v>22736</v>
      </c>
    </row>
    <row r="131" spans="1:5" ht="150" x14ac:dyDescent="0.35">
      <c r="A131" s="600">
        <v>10936</v>
      </c>
      <c r="B131" s="597" t="s">
        <v>6681</v>
      </c>
      <c r="C131" s="598" t="s">
        <v>6681</v>
      </c>
      <c r="D131" s="596" t="s">
        <v>21</v>
      </c>
      <c r="E131" s="601">
        <v>129632</v>
      </c>
    </row>
    <row r="132" spans="1:5" ht="105" x14ac:dyDescent="0.35">
      <c r="A132" s="600">
        <v>10937</v>
      </c>
      <c r="B132" s="597" t="s">
        <v>6682</v>
      </c>
      <c r="C132" s="598" t="s">
        <v>6682</v>
      </c>
      <c r="D132" s="596" t="s">
        <v>21</v>
      </c>
      <c r="E132" s="601">
        <v>14764</v>
      </c>
    </row>
    <row r="133" spans="1:5" ht="135" x14ac:dyDescent="0.35">
      <c r="A133" s="600">
        <v>10938</v>
      </c>
      <c r="B133" s="597" t="s">
        <v>6683</v>
      </c>
      <c r="C133" s="598" t="s">
        <v>6683</v>
      </c>
      <c r="D133" s="596" t="s">
        <v>21</v>
      </c>
      <c r="E133" s="601">
        <v>111797</v>
      </c>
    </row>
    <row r="134" spans="1:5" ht="105" x14ac:dyDescent="0.35">
      <c r="A134" s="600">
        <v>10939</v>
      </c>
      <c r="B134" s="597" t="s">
        <v>6684</v>
      </c>
      <c r="C134" s="598" t="s">
        <v>6684</v>
      </c>
      <c r="D134" s="596" t="s">
        <v>21</v>
      </c>
      <c r="E134" s="601">
        <v>14755</v>
      </c>
    </row>
    <row r="135" spans="1:5" ht="120" x14ac:dyDescent="0.35">
      <c r="A135" s="600">
        <v>10940</v>
      </c>
      <c r="B135" s="597" t="s">
        <v>6540</v>
      </c>
      <c r="C135" s="598" t="s">
        <v>6540</v>
      </c>
      <c r="D135" s="596" t="s">
        <v>21</v>
      </c>
      <c r="E135" s="601">
        <v>132771</v>
      </c>
    </row>
    <row r="136" spans="1:5" ht="75" x14ac:dyDescent="0.35">
      <c r="A136" s="600">
        <v>10941</v>
      </c>
      <c r="B136" s="597" t="s">
        <v>6685</v>
      </c>
      <c r="C136" s="598" t="s">
        <v>6685</v>
      </c>
      <c r="D136" s="596" t="s">
        <v>21</v>
      </c>
      <c r="E136" s="601">
        <v>22796</v>
      </c>
    </row>
    <row r="137" spans="1:5" ht="75" x14ac:dyDescent="0.35">
      <c r="A137" s="600">
        <v>10942</v>
      </c>
      <c r="B137" s="597" t="s">
        <v>6686</v>
      </c>
      <c r="C137" s="598" t="s">
        <v>6686</v>
      </c>
      <c r="D137" s="596" t="s">
        <v>21</v>
      </c>
      <c r="E137" s="601">
        <v>22796</v>
      </c>
    </row>
    <row r="138" spans="1:5" ht="75" x14ac:dyDescent="0.35">
      <c r="A138" s="600">
        <v>10943</v>
      </c>
      <c r="B138" s="597" t="s">
        <v>6687</v>
      </c>
      <c r="C138" s="598" t="s">
        <v>6687</v>
      </c>
      <c r="D138" s="596" t="s">
        <v>21</v>
      </c>
      <c r="E138" s="601">
        <v>22796</v>
      </c>
    </row>
    <row r="139" spans="1:5" ht="75" x14ac:dyDescent="0.35">
      <c r="A139" s="600">
        <v>10944</v>
      </c>
      <c r="B139" s="597" t="s">
        <v>6688</v>
      </c>
      <c r="C139" s="598" t="s">
        <v>6688</v>
      </c>
      <c r="D139" s="596" t="s">
        <v>21</v>
      </c>
      <c r="E139" s="601">
        <v>22796</v>
      </c>
    </row>
    <row r="140" spans="1:5" ht="135" x14ac:dyDescent="0.35">
      <c r="A140" s="600">
        <v>10945</v>
      </c>
      <c r="B140" s="597" t="s">
        <v>6689</v>
      </c>
      <c r="C140" s="598" t="s">
        <v>6689</v>
      </c>
      <c r="D140" s="596" t="s">
        <v>21</v>
      </c>
      <c r="E140" s="601">
        <v>401634</v>
      </c>
    </row>
    <row r="141" spans="1:5" ht="150" x14ac:dyDescent="0.35">
      <c r="A141" s="600">
        <v>10946</v>
      </c>
      <c r="B141" s="597" t="s">
        <v>6690</v>
      </c>
      <c r="C141" s="598" t="s">
        <v>6690</v>
      </c>
      <c r="D141" s="596" t="s">
        <v>21</v>
      </c>
      <c r="E141" s="601">
        <v>460173</v>
      </c>
    </row>
    <row r="142" spans="1:5" ht="150" x14ac:dyDescent="0.35">
      <c r="A142" s="600">
        <v>10947</v>
      </c>
      <c r="B142" s="597" t="s">
        <v>6691</v>
      </c>
      <c r="C142" s="598" t="s">
        <v>6691</v>
      </c>
      <c r="D142" s="596" t="s">
        <v>21</v>
      </c>
      <c r="E142" s="601">
        <v>402095</v>
      </c>
    </row>
    <row r="143" spans="1:5" ht="150" x14ac:dyDescent="0.35">
      <c r="A143" s="600">
        <v>10948</v>
      </c>
      <c r="B143" s="597" t="s">
        <v>6692</v>
      </c>
      <c r="C143" s="598" t="s">
        <v>6692</v>
      </c>
      <c r="D143" s="596" t="s">
        <v>21</v>
      </c>
      <c r="E143" s="601">
        <v>402228</v>
      </c>
    </row>
  </sheetData>
  <dataConsolidate/>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7ECF8-4EFE-46C1-887B-BE033696A4BE}">
  <dimension ref="A1:F34"/>
  <sheetViews>
    <sheetView showGridLines="0" zoomScale="85" zoomScaleNormal="85" workbookViewId="0">
      <selection activeCell="B2" sqref="B2"/>
    </sheetView>
  </sheetViews>
  <sheetFormatPr baseColWidth="10" defaultColWidth="11.44140625" defaultRowHeight="10.199999999999999" x14ac:dyDescent="0.2"/>
  <cols>
    <col min="1" max="1" width="7.5546875" style="58" bestFit="1" customWidth="1"/>
    <col min="2" max="2" width="86.44140625" style="58" customWidth="1"/>
    <col min="3" max="3" width="14.88671875" style="58" customWidth="1"/>
    <col min="4" max="4" width="18.33203125" style="58" bestFit="1" customWidth="1"/>
    <col min="5" max="5" width="26.77734375" style="58" bestFit="1" customWidth="1"/>
    <col min="6" max="6" width="22.44140625" style="58" customWidth="1"/>
    <col min="7" max="7" width="19.88671875" style="58" customWidth="1"/>
    <col min="8" max="251" width="11.44140625" style="58"/>
    <col min="252" max="252" width="7.5546875" style="58" bestFit="1" customWidth="1"/>
    <col min="253" max="253" width="86.44140625" style="58" customWidth="1"/>
    <col min="254" max="254" width="15.109375" style="58" customWidth="1"/>
    <col min="255" max="255" width="18.33203125" style="58" bestFit="1" customWidth="1"/>
    <col min="256" max="256" width="14.33203125" style="58" bestFit="1" customWidth="1"/>
    <col min="257" max="257" width="28.88671875" style="58" bestFit="1" customWidth="1"/>
    <col min="258" max="259" width="14.33203125" style="58" bestFit="1" customWidth="1"/>
    <col min="260" max="260" width="17.44140625" style="58" bestFit="1" customWidth="1"/>
    <col min="261" max="261" width="20.33203125" style="58" customWidth="1"/>
    <col min="262" max="262" width="5" style="58" bestFit="1" customWidth="1"/>
    <col min="263" max="507" width="11.44140625" style="58"/>
    <col min="508" max="508" width="7.5546875" style="58" bestFit="1" customWidth="1"/>
    <col min="509" max="509" width="86.44140625" style="58" customWidth="1"/>
    <col min="510" max="510" width="15.109375" style="58" customWidth="1"/>
    <col min="511" max="511" width="18.33203125" style="58" bestFit="1" customWidth="1"/>
    <col min="512" max="512" width="14.33203125" style="58" bestFit="1" customWidth="1"/>
    <col min="513" max="513" width="28.88671875" style="58" bestFit="1" customWidth="1"/>
    <col min="514" max="515" width="14.33203125" style="58" bestFit="1" customWidth="1"/>
    <col min="516" max="516" width="17.44140625" style="58" bestFit="1" customWidth="1"/>
    <col min="517" max="517" width="20.33203125" style="58" customWidth="1"/>
    <col min="518" max="518" width="5" style="58" bestFit="1" customWidth="1"/>
    <col min="519" max="763" width="11.44140625" style="58"/>
    <col min="764" max="764" width="7.5546875" style="58" bestFit="1" customWidth="1"/>
    <col min="765" max="765" width="86.44140625" style="58" customWidth="1"/>
    <col min="766" max="766" width="15.109375" style="58" customWidth="1"/>
    <col min="767" max="767" width="18.33203125" style="58" bestFit="1" customWidth="1"/>
    <col min="768" max="768" width="14.33203125" style="58" bestFit="1" customWidth="1"/>
    <col min="769" max="769" width="28.88671875" style="58" bestFit="1" customWidth="1"/>
    <col min="770" max="771" width="14.33203125" style="58" bestFit="1" customWidth="1"/>
    <col min="772" max="772" width="17.44140625" style="58" bestFit="1" customWidth="1"/>
    <col min="773" max="773" width="20.33203125" style="58" customWidth="1"/>
    <col min="774" max="774" width="5" style="58" bestFit="1" customWidth="1"/>
    <col min="775" max="1019" width="11.44140625" style="58"/>
    <col min="1020" max="1020" width="7.5546875" style="58" bestFit="1" customWidth="1"/>
    <col min="1021" max="1021" width="86.44140625" style="58" customWidth="1"/>
    <col min="1022" max="1022" width="15.109375" style="58" customWidth="1"/>
    <col min="1023" max="1023" width="18.33203125" style="58" bestFit="1" customWidth="1"/>
    <col min="1024" max="1024" width="14.33203125" style="58" bestFit="1" customWidth="1"/>
    <col min="1025" max="1025" width="28.88671875" style="58" bestFit="1" customWidth="1"/>
    <col min="1026" max="1027" width="14.33203125" style="58" bestFit="1" customWidth="1"/>
    <col min="1028" max="1028" width="17.44140625" style="58" bestFit="1" customWidth="1"/>
    <col min="1029" max="1029" width="20.33203125" style="58" customWidth="1"/>
    <col min="1030" max="1030" width="5" style="58" bestFit="1" customWidth="1"/>
    <col min="1031" max="1275" width="11.44140625" style="58"/>
    <col min="1276" max="1276" width="7.5546875" style="58" bestFit="1" customWidth="1"/>
    <col min="1277" max="1277" width="86.44140625" style="58" customWidth="1"/>
    <col min="1278" max="1278" width="15.109375" style="58" customWidth="1"/>
    <col min="1279" max="1279" width="18.33203125" style="58" bestFit="1" customWidth="1"/>
    <col min="1280" max="1280" width="14.33203125" style="58" bestFit="1" customWidth="1"/>
    <col min="1281" max="1281" width="28.88671875" style="58" bestFit="1" customWidth="1"/>
    <col min="1282" max="1283" width="14.33203125" style="58" bestFit="1" customWidth="1"/>
    <col min="1284" max="1284" width="17.44140625" style="58" bestFit="1" customWidth="1"/>
    <col min="1285" max="1285" width="20.33203125" style="58" customWidth="1"/>
    <col min="1286" max="1286" width="5" style="58" bestFit="1" customWidth="1"/>
    <col min="1287" max="1531" width="11.44140625" style="58"/>
    <col min="1532" max="1532" width="7.5546875" style="58" bestFit="1" customWidth="1"/>
    <col min="1533" max="1533" width="86.44140625" style="58" customWidth="1"/>
    <col min="1534" max="1534" width="15.109375" style="58" customWidth="1"/>
    <col min="1535" max="1535" width="18.33203125" style="58" bestFit="1" customWidth="1"/>
    <col min="1536" max="1536" width="14.33203125" style="58" bestFit="1" customWidth="1"/>
    <col min="1537" max="1537" width="28.88671875" style="58" bestFit="1" customWidth="1"/>
    <col min="1538" max="1539" width="14.33203125" style="58" bestFit="1" customWidth="1"/>
    <col min="1540" max="1540" width="17.44140625" style="58" bestFit="1" customWidth="1"/>
    <col min="1541" max="1541" width="20.33203125" style="58" customWidth="1"/>
    <col min="1542" max="1542" width="5" style="58" bestFit="1" customWidth="1"/>
    <col min="1543" max="1787" width="11.44140625" style="58"/>
    <col min="1788" max="1788" width="7.5546875" style="58" bestFit="1" customWidth="1"/>
    <col min="1789" max="1789" width="86.44140625" style="58" customWidth="1"/>
    <col min="1790" max="1790" width="15.109375" style="58" customWidth="1"/>
    <col min="1791" max="1791" width="18.33203125" style="58" bestFit="1" customWidth="1"/>
    <col min="1792" max="1792" width="14.33203125" style="58" bestFit="1" customWidth="1"/>
    <col min="1793" max="1793" width="28.88671875" style="58" bestFit="1" customWidth="1"/>
    <col min="1794" max="1795" width="14.33203125" style="58" bestFit="1" customWidth="1"/>
    <col min="1796" max="1796" width="17.44140625" style="58" bestFit="1" customWidth="1"/>
    <col min="1797" max="1797" width="20.33203125" style="58" customWidth="1"/>
    <col min="1798" max="1798" width="5" style="58" bestFit="1" customWidth="1"/>
    <col min="1799" max="2043" width="11.44140625" style="58"/>
    <col min="2044" max="2044" width="7.5546875" style="58" bestFit="1" customWidth="1"/>
    <col min="2045" max="2045" width="86.44140625" style="58" customWidth="1"/>
    <col min="2046" max="2046" width="15.109375" style="58" customWidth="1"/>
    <col min="2047" max="2047" width="18.33203125" style="58" bestFit="1" customWidth="1"/>
    <col min="2048" max="2048" width="14.33203125" style="58" bestFit="1" customWidth="1"/>
    <col min="2049" max="2049" width="28.88671875" style="58" bestFit="1" customWidth="1"/>
    <col min="2050" max="2051" width="14.33203125" style="58" bestFit="1" customWidth="1"/>
    <col min="2052" max="2052" width="17.44140625" style="58" bestFit="1" customWidth="1"/>
    <col min="2053" max="2053" width="20.33203125" style="58" customWidth="1"/>
    <col min="2054" max="2054" width="5" style="58" bestFit="1" customWidth="1"/>
    <col min="2055" max="2299" width="11.44140625" style="58"/>
    <col min="2300" max="2300" width="7.5546875" style="58" bestFit="1" customWidth="1"/>
    <col min="2301" max="2301" width="86.44140625" style="58" customWidth="1"/>
    <col min="2302" max="2302" width="15.109375" style="58" customWidth="1"/>
    <col min="2303" max="2303" width="18.33203125" style="58" bestFit="1" customWidth="1"/>
    <col min="2304" max="2304" width="14.33203125" style="58" bestFit="1" customWidth="1"/>
    <col min="2305" max="2305" width="28.88671875" style="58" bestFit="1" customWidth="1"/>
    <col min="2306" max="2307" width="14.33203125" style="58" bestFit="1" customWidth="1"/>
    <col min="2308" max="2308" width="17.44140625" style="58" bestFit="1" customWidth="1"/>
    <col min="2309" max="2309" width="20.33203125" style="58" customWidth="1"/>
    <col min="2310" max="2310" width="5" style="58" bestFit="1" customWidth="1"/>
    <col min="2311" max="2555" width="11.44140625" style="58"/>
    <col min="2556" max="2556" width="7.5546875" style="58" bestFit="1" customWidth="1"/>
    <col min="2557" max="2557" width="86.44140625" style="58" customWidth="1"/>
    <col min="2558" max="2558" width="15.109375" style="58" customWidth="1"/>
    <col min="2559" max="2559" width="18.33203125" style="58" bestFit="1" customWidth="1"/>
    <col min="2560" max="2560" width="14.33203125" style="58" bestFit="1" customWidth="1"/>
    <col min="2561" max="2561" width="28.88671875" style="58" bestFit="1" customWidth="1"/>
    <col min="2562" max="2563" width="14.33203125" style="58" bestFit="1" customWidth="1"/>
    <col min="2564" max="2564" width="17.44140625" style="58" bestFit="1" customWidth="1"/>
    <col min="2565" max="2565" width="20.33203125" style="58" customWidth="1"/>
    <col min="2566" max="2566" width="5" style="58" bestFit="1" customWidth="1"/>
    <col min="2567" max="2811" width="11.44140625" style="58"/>
    <col min="2812" max="2812" width="7.5546875" style="58" bestFit="1" customWidth="1"/>
    <col min="2813" max="2813" width="86.44140625" style="58" customWidth="1"/>
    <col min="2814" max="2814" width="15.109375" style="58" customWidth="1"/>
    <col min="2815" max="2815" width="18.33203125" style="58" bestFit="1" customWidth="1"/>
    <col min="2816" max="2816" width="14.33203125" style="58" bestFit="1" customWidth="1"/>
    <col min="2817" max="2817" width="28.88671875" style="58" bestFit="1" customWidth="1"/>
    <col min="2818" max="2819" width="14.33203125" style="58" bestFit="1" customWidth="1"/>
    <col min="2820" max="2820" width="17.44140625" style="58" bestFit="1" customWidth="1"/>
    <col min="2821" max="2821" width="20.33203125" style="58" customWidth="1"/>
    <col min="2822" max="2822" width="5" style="58" bestFit="1" customWidth="1"/>
    <col min="2823" max="3067" width="11.44140625" style="58"/>
    <col min="3068" max="3068" width="7.5546875" style="58" bestFit="1" customWidth="1"/>
    <col min="3069" max="3069" width="86.44140625" style="58" customWidth="1"/>
    <col min="3070" max="3070" width="15.109375" style="58" customWidth="1"/>
    <col min="3071" max="3071" width="18.33203125" style="58" bestFit="1" customWidth="1"/>
    <col min="3072" max="3072" width="14.33203125" style="58" bestFit="1" customWidth="1"/>
    <col min="3073" max="3073" width="28.88671875" style="58" bestFit="1" customWidth="1"/>
    <col min="3074" max="3075" width="14.33203125" style="58" bestFit="1" customWidth="1"/>
    <col min="3076" max="3076" width="17.44140625" style="58" bestFit="1" customWidth="1"/>
    <col min="3077" max="3077" width="20.33203125" style="58" customWidth="1"/>
    <col min="3078" max="3078" width="5" style="58" bestFit="1" customWidth="1"/>
    <col min="3079" max="3323" width="11.44140625" style="58"/>
    <col min="3324" max="3324" width="7.5546875" style="58" bestFit="1" customWidth="1"/>
    <col min="3325" max="3325" width="86.44140625" style="58" customWidth="1"/>
    <col min="3326" max="3326" width="15.109375" style="58" customWidth="1"/>
    <col min="3327" max="3327" width="18.33203125" style="58" bestFit="1" customWidth="1"/>
    <col min="3328" max="3328" width="14.33203125" style="58" bestFit="1" customWidth="1"/>
    <col min="3329" max="3329" width="28.88671875" style="58" bestFit="1" customWidth="1"/>
    <col min="3330" max="3331" width="14.33203125" style="58" bestFit="1" customWidth="1"/>
    <col min="3332" max="3332" width="17.44140625" style="58" bestFit="1" customWidth="1"/>
    <col min="3333" max="3333" width="20.33203125" style="58" customWidth="1"/>
    <col min="3334" max="3334" width="5" style="58" bestFit="1" customWidth="1"/>
    <col min="3335" max="3579" width="11.44140625" style="58"/>
    <col min="3580" max="3580" width="7.5546875" style="58" bestFit="1" customWidth="1"/>
    <col min="3581" max="3581" width="86.44140625" style="58" customWidth="1"/>
    <col min="3582" max="3582" width="15.109375" style="58" customWidth="1"/>
    <col min="3583" max="3583" width="18.33203125" style="58" bestFit="1" customWidth="1"/>
    <col min="3584" max="3584" width="14.33203125" style="58" bestFit="1" customWidth="1"/>
    <col min="3585" max="3585" width="28.88671875" style="58" bestFit="1" customWidth="1"/>
    <col min="3586" max="3587" width="14.33203125" style="58" bestFit="1" customWidth="1"/>
    <col min="3588" max="3588" width="17.44140625" style="58" bestFit="1" customWidth="1"/>
    <col min="3589" max="3589" width="20.33203125" style="58" customWidth="1"/>
    <col min="3590" max="3590" width="5" style="58" bestFit="1" customWidth="1"/>
    <col min="3591" max="3835" width="11.44140625" style="58"/>
    <col min="3836" max="3836" width="7.5546875" style="58" bestFit="1" customWidth="1"/>
    <col min="3837" max="3837" width="86.44140625" style="58" customWidth="1"/>
    <col min="3838" max="3838" width="15.109375" style="58" customWidth="1"/>
    <col min="3839" max="3839" width="18.33203125" style="58" bestFit="1" customWidth="1"/>
    <col min="3840" max="3840" width="14.33203125" style="58" bestFit="1" customWidth="1"/>
    <col min="3841" max="3841" width="28.88671875" style="58" bestFit="1" customWidth="1"/>
    <col min="3842" max="3843" width="14.33203125" style="58" bestFit="1" customWidth="1"/>
    <col min="3844" max="3844" width="17.44140625" style="58" bestFit="1" customWidth="1"/>
    <col min="3845" max="3845" width="20.33203125" style="58" customWidth="1"/>
    <col min="3846" max="3846" width="5" style="58" bestFit="1" customWidth="1"/>
    <col min="3847" max="4091" width="11.44140625" style="58"/>
    <col min="4092" max="4092" width="7.5546875" style="58" bestFit="1" customWidth="1"/>
    <col min="4093" max="4093" width="86.44140625" style="58" customWidth="1"/>
    <col min="4094" max="4094" width="15.109375" style="58" customWidth="1"/>
    <col min="4095" max="4095" width="18.33203125" style="58" bestFit="1" customWidth="1"/>
    <col min="4096" max="4096" width="14.33203125" style="58" bestFit="1" customWidth="1"/>
    <col min="4097" max="4097" width="28.88671875" style="58" bestFit="1" customWidth="1"/>
    <col min="4098" max="4099" width="14.33203125" style="58" bestFit="1" customWidth="1"/>
    <col min="4100" max="4100" width="17.44140625" style="58" bestFit="1" customWidth="1"/>
    <col min="4101" max="4101" width="20.33203125" style="58" customWidth="1"/>
    <col min="4102" max="4102" width="5" style="58" bestFit="1" customWidth="1"/>
    <col min="4103" max="4347" width="11.44140625" style="58"/>
    <col min="4348" max="4348" width="7.5546875" style="58" bestFit="1" customWidth="1"/>
    <col min="4349" max="4349" width="86.44140625" style="58" customWidth="1"/>
    <col min="4350" max="4350" width="15.109375" style="58" customWidth="1"/>
    <col min="4351" max="4351" width="18.33203125" style="58" bestFit="1" customWidth="1"/>
    <col min="4352" max="4352" width="14.33203125" style="58" bestFit="1" customWidth="1"/>
    <col min="4353" max="4353" width="28.88671875" style="58" bestFit="1" customWidth="1"/>
    <col min="4354" max="4355" width="14.33203125" style="58" bestFit="1" customWidth="1"/>
    <col min="4356" max="4356" width="17.44140625" style="58" bestFit="1" customWidth="1"/>
    <col min="4357" max="4357" width="20.33203125" style="58" customWidth="1"/>
    <col min="4358" max="4358" width="5" style="58" bestFit="1" customWidth="1"/>
    <col min="4359" max="4603" width="11.44140625" style="58"/>
    <col min="4604" max="4604" width="7.5546875" style="58" bestFit="1" customWidth="1"/>
    <col min="4605" max="4605" width="86.44140625" style="58" customWidth="1"/>
    <col min="4606" max="4606" width="15.109375" style="58" customWidth="1"/>
    <col min="4607" max="4607" width="18.33203125" style="58" bestFit="1" customWidth="1"/>
    <col min="4608" max="4608" width="14.33203125" style="58" bestFit="1" customWidth="1"/>
    <col min="4609" max="4609" width="28.88671875" style="58" bestFit="1" customWidth="1"/>
    <col min="4610" max="4611" width="14.33203125" style="58" bestFit="1" customWidth="1"/>
    <col min="4612" max="4612" width="17.44140625" style="58" bestFit="1" customWidth="1"/>
    <col min="4613" max="4613" width="20.33203125" style="58" customWidth="1"/>
    <col min="4614" max="4614" width="5" style="58" bestFit="1" customWidth="1"/>
    <col min="4615" max="4859" width="11.44140625" style="58"/>
    <col min="4860" max="4860" width="7.5546875" style="58" bestFit="1" customWidth="1"/>
    <col min="4861" max="4861" width="86.44140625" style="58" customWidth="1"/>
    <col min="4862" max="4862" width="15.109375" style="58" customWidth="1"/>
    <col min="4863" max="4863" width="18.33203125" style="58" bestFit="1" customWidth="1"/>
    <col min="4864" max="4864" width="14.33203125" style="58" bestFit="1" customWidth="1"/>
    <col min="4865" max="4865" width="28.88671875" style="58" bestFit="1" customWidth="1"/>
    <col min="4866" max="4867" width="14.33203125" style="58" bestFit="1" customWidth="1"/>
    <col min="4868" max="4868" width="17.44140625" style="58" bestFit="1" customWidth="1"/>
    <col min="4869" max="4869" width="20.33203125" style="58" customWidth="1"/>
    <col min="4870" max="4870" width="5" style="58" bestFit="1" customWidth="1"/>
    <col min="4871" max="5115" width="11.44140625" style="58"/>
    <col min="5116" max="5116" width="7.5546875" style="58" bestFit="1" customWidth="1"/>
    <col min="5117" max="5117" width="86.44140625" style="58" customWidth="1"/>
    <col min="5118" max="5118" width="15.109375" style="58" customWidth="1"/>
    <col min="5119" max="5119" width="18.33203125" style="58" bestFit="1" customWidth="1"/>
    <col min="5120" max="5120" width="14.33203125" style="58" bestFit="1" customWidth="1"/>
    <col min="5121" max="5121" width="28.88671875" style="58" bestFit="1" customWidth="1"/>
    <col min="5122" max="5123" width="14.33203125" style="58" bestFit="1" customWidth="1"/>
    <col min="5124" max="5124" width="17.44140625" style="58" bestFit="1" customWidth="1"/>
    <col min="5125" max="5125" width="20.33203125" style="58" customWidth="1"/>
    <col min="5126" max="5126" width="5" style="58" bestFit="1" customWidth="1"/>
    <col min="5127" max="5371" width="11.44140625" style="58"/>
    <col min="5372" max="5372" width="7.5546875" style="58" bestFit="1" customWidth="1"/>
    <col min="5373" max="5373" width="86.44140625" style="58" customWidth="1"/>
    <col min="5374" max="5374" width="15.109375" style="58" customWidth="1"/>
    <col min="5375" max="5375" width="18.33203125" style="58" bestFit="1" customWidth="1"/>
    <col min="5376" max="5376" width="14.33203125" style="58" bestFit="1" customWidth="1"/>
    <col min="5377" max="5377" width="28.88671875" style="58" bestFit="1" customWidth="1"/>
    <col min="5378" max="5379" width="14.33203125" style="58" bestFit="1" customWidth="1"/>
    <col min="5380" max="5380" width="17.44140625" style="58" bestFit="1" customWidth="1"/>
    <col min="5381" max="5381" width="20.33203125" style="58" customWidth="1"/>
    <col min="5382" max="5382" width="5" style="58" bestFit="1" customWidth="1"/>
    <col min="5383" max="5627" width="11.44140625" style="58"/>
    <col min="5628" max="5628" width="7.5546875" style="58" bestFit="1" customWidth="1"/>
    <col min="5629" max="5629" width="86.44140625" style="58" customWidth="1"/>
    <col min="5630" max="5630" width="15.109375" style="58" customWidth="1"/>
    <col min="5631" max="5631" width="18.33203125" style="58" bestFit="1" customWidth="1"/>
    <col min="5632" max="5632" width="14.33203125" style="58" bestFit="1" customWidth="1"/>
    <col min="5633" max="5633" width="28.88671875" style="58" bestFit="1" customWidth="1"/>
    <col min="5634" max="5635" width="14.33203125" style="58" bestFit="1" customWidth="1"/>
    <col min="5636" max="5636" width="17.44140625" style="58" bestFit="1" customWidth="1"/>
    <col min="5637" max="5637" width="20.33203125" style="58" customWidth="1"/>
    <col min="5638" max="5638" width="5" style="58" bestFit="1" customWidth="1"/>
    <col min="5639" max="5883" width="11.44140625" style="58"/>
    <col min="5884" max="5884" width="7.5546875" style="58" bestFit="1" customWidth="1"/>
    <col min="5885" max="5885" width="86.44140625" style="58" customWidth="1"/>
    <col min="5886" max="5886" width="15.109375" style="58" customWidth="1"/>
    <col min="5887" max="5887" width="18.33203125" style="58" bestFit="1" customWidth="1"/>
    <col min="5888" max="5888" width="14.33203125" style="58" bestFit="1" customWidth="1"/>
    <col min="5889" max="5889" width="28.88671875" style="58" bestFit="1" customWidth="1"/>
    <col min="5890" max="5891" width="14.33203125" style="58" bestFit="1" customWidth="1"/>
    <col min="5892" max="5892" width="17.44140625" style="58" bestFit="1" customWidth="1"/>
    <col min="5893" max="5893" width="20.33203125" style="58" customWidth="1"/>
    <col min="5894" max="5894" width="5" style="58" bestFit="1" customWidth="1"/>
    <col min="5895" max="6139" width="11.44140625" style="58"/>
    <col min="6140" max="6140" width="7.5546875" style="58" bestFit="1" customWidth="1"/>
    <col min="6141" max="6141" width="86.44140625" style="58" customWidth="1"/>
    <col min="6142" max="6142" width="15.109375" style="58" customWidth="1"/>
    <col min="6143" max="6143" width="18.33203125" style="58" bestFit="1" customWidth="1"/>
    <col min="6144" max="6144" width="14.33203125" style="58" bestFit="1" customWidth="1"/>
    <col min="6145" max="6145" width="28.88671875" style="58" bestFit="1" customWidth="1"/>
    <col min="6146" max="6147" width="14.33203125" style="58" bestFit="1" customWidth="1"/>
    <col min="6148" max="6148" width="17.44140625" style="58" bestFit="1" customWidth="1"/>
    <col min="6149" max="6149" width="20.33203125" style="58" customWidth="1"/>
    <col min="6150" max="6150" width="5" style="58" bestFit="1" customWidth="1"/>
    <col min="6151" max="6395" width="11.44140625" style="58"/>
    <col min="6396" max="6396" width="7.5546875" style="58" bestFit="1" customWidth="1"/>
    <col min="6397" max="6397" width="86.44140625" style="58" customWidth="1"/>
    <col min="6398" max="6398" width="15.109375" style="58" customWidth="1"/>
    <col min="6399" max="6399" width="18.33203125" style="58" bestFit="1" customWidth="1"/>
    <col min="6400" max="6400" width="14.33203125" style="58" bestFit="1" customWidth="1"/>
    <col min="6401" max="6401" width="28.88671875" style="58" bestFit="1" customWidth="1"/>
    <col min="6402" max="6403" width="14.33203125" style="58" bestFit="1" customWidth="1"/>
    <col min="6404" max="6404" width="17.44140625" style="58" bestFit="1" customWidth="1"/>
    <col min="6405" max="6405" width="20.33203125" style="58" customWidth="1"/>
    <col min="6406" max="6406" width="5" style="58" bestFit="1" customWidth="1"/>
    <col min="6407" max="6651" width="11.44140625" style="58"/>
    <col min="6652" max="6652" width="7.5546875" style="58" bestFit="1" customWidth="1"/>
    <col min="6653" max="6653" width="86.44140625" style="58" customWidth="1"/>
    <col min="6654" max="6654" width="15.109375" style="58" customWidth="1"/>
    <col min="6655" max="6655" width="18.33203125" style="58" bestFit="1" customWidth="1"/>
    <col min="6656" max="6656" width="14.33203125" style="58" bestFit="1" customWidth="1"/>
    <col min="6657" max="6657" width="28.88671875" style="58" bestFit="1" customWidth="1"/>
    <col min="6658" max="6659" width="14.33203125" style="58" bestFit="1" customWidth="1"/>
    <col min="6660" max="6660" width="17.44140625" style="58" bestFit="1" customWidth="1"/>
    <col min="6661" max="6661" width="20.33203125" style="58" customWidth="1"/>
    <col min="6662" max="6662" width="5" style="58" bestFit="1" customWidth="1"/>
    <col min="6663" max="6907" width="11.44140625" style="58"/>
    <col min="6908" max="6908" width="7.5546875" style="58" bestFit="1" customWidth="1"/>
    <col min="6909" max="6909" width="86.44140625" style="58" customWidth="1"/>
    <col min="6910" max="6910" width="15.109375" style="58" customWidth="1"/>
    <col min="6911" max="6911" width="18.33203125" style="58" bestFit="1" customWidth="1"/>
    <col min="6912" max="6912" width="14.33203125" style="58" bestFit="1" customWidth="1"/>
    <col min="6913" max="6913" width="28.88671875" style="58" bestFit="1" customWidth="1"/>
    <col min="6914" max="6915" width="14.33203125" style="58" bestFit="1" customWidth="1"/>
    <col min="6916" max="6916" width="17.44140625" style="58" bestFit="1" customWidth="1"/>
    <col min="6917" max="6917" width="20.33203125" style="58" customWidth="1"/>
    <col min="6918" max="6918" width="5" style="58" bestFit="1" customWidth="1"/>
    <col min="6919" max="7163" width="11.44140625" style="58"/>
    <col min="7164" max="7164" width="7.5546875" style="58" bestFit="1" customWidth="1"/>
    <col min="7165" max="7165" width="86.44140625" style="58" customWidth="1"/>
    <col min="7166" max="7166" width="15.109375" style="58" customWidth="1"/>
    <col min="7167" max="7167" width="18.33203125" style="58" bestFit="1" customWidth="1"/>
    <col min="7168" max="7168" width="14.33203125" style="58" bestFit="1" customWidth="1"/>
    <col min="7169" max="7169" width="28.88671875" style="58" bestFit="1" customWidth="1"/>
    <col min="7170" max="7171" width="14.33203125" style="58" bestFit="1" customWidth="1"/>
    <col min="7172" max="7172" width="17.44140625" style="58" bestFit="1" customWidth="1"/>
    <col min="7173" max="7173" width="20.33203125" style="58" customWidth="1"/>
    <col min="7174" max="7174" width="5" style="58" bestFit="1" customWidth="1"/>
    <col min="7175" max="7419" width="11.44140625" style="58"/>
    <col min="7420" max="7420" width="7.5546875" style="58" bestFit="1" customWidth="1"/>
    <col min="7421" max="7421" width="86.44140625" style="58" customWidth="1"/>
    <col min="7422" max="7422" width="15.109375" style="58" customWidth="1"/>
    <col min="7423" max="7423" width="18.33203125" style="58" bestFit="1" customWidth="1"/>
    <col min="7424" max="7424" width="14.33203125" style="58" bestFit="1" customWidth="1"/>
    <col min="7425" max="7425" width="28.88671875" style="58" bestFit="1" customWidth="1"/>
    <col min="7426" max="7427" width="14.33203125" style="58" bestFit="1" customWidth="1"/>
    <col min="7428" max="7428" width="17.44140625" style="58" bestFit="1" customWidth="1"/>
    <col min="7429" max="7429" width="20.33203125" style="58" customWidth="1"/>
    <col min="7430" max="7430" width="5" style="58" bestFit="1" customWidth="1"/>
    <col min="7431" max="7675" width="11.44140625" style="58"/>
    <col min="7676" max="7676" width="7.5546875" style="58" bestFit="1" customWidth="1"/>
    <col min="7677" max="7677" width="86.44140625" style="58" customWidth="1"/>
    <col min="7678" max="7678" width="15.109375" style="58" customWidth="1"/>
    <col min="7679" max="7679" width="18.33203125" style="58" bestFit="1" customWidth="1"/>
    <col min="7680" max="7680" width="14.33203125" style="58" bestFit="1" customWidth="1"/>
    <col min="7681" max="7681" width="28.88671875" style="58" bestFit="1" customWidth="1"/>
    <col min="7682" max="7683" width="14.33203125" style="58" bestFit="1" customWidth="1"/>
    <col min="7684" max="7684" width="17.44140625" style="58" bestFit="1" customWidth="1"/>
    <col min="7685" max="7685" width="20.33203125" style="58" customWidth="1"/>
    <col min="7686" max="7686" width="5" style="58" bestFit="1" customWidth="1"/>
    <col min="7687" max="7931" width="11.44140625" style="58"/>
    <col min="7932" max="7932" width="7.5546875" style="58" bestFit="1" customWidth="1"/>
    <col min="7933" max="7933" width="86.44140625" style="58" customWidth="1"/>
    <col min="7934" max="7934" width="15.109375" style="58" customWidth="1"/>
    <col min="7935" max="7935" width="18.33203125" style="58" bestFit="1" customWidth="1"/>
    <col min="7936" max="7936" width="14.33203125" style="58" bestFit="1" customWidth="1"/>
    <col min="7937" max="7937" width="28.88671875" style="58" bestFit="1" customWidth="1"/>
    <col min="7938" max="7939" width="14.33203125" style="58" bestFit="1" customWidth="1"/>
    <col min="7940" max="7940" width="17.44140625" style="58" bestFit="1" customWidth="1"/>
    <col min="7941" max="7941" width="20.33203125" style="58" customWidth="1"/>
    <col min="7942" max="7942" width="5" style="58" bestFit="1" customWidth="1"/>
    <col min="7943" max="8187" width="11.44140625" style="58"/>
    <col min="8188" max="8188" width="7.5546875" style="58" bestFit="1" customWidth="1"/>
    <col min="8189" max="8189" width="86.44140625" style="58" customWidth="1"/>
    <col min="8190" max="8190" width="15.109375" style="58" customWidth="1"/>
    <col min="8191" max="8191" width="18.33203125" style="58" bestFit="1" customWidth="1"/>
    <col min="8192" max="8192" width="14.33203125" style="58" bestFit="1" customWidth="1"/>
    <col min="8193" max="8193" width="28.88671875" style="58" bestFit="1" customWidth="1"/>
    <col min="8194" max="8195" width="14.33203125" style="58" bestFit="1" customWidth="1"/>
    <col min="8196" max="8196" width="17.44140625" style="58" bestFit="1" customWidth="1"/>
    <col min="8197" max="8197" width="20.33203125" style="58" customWidth="1"/>
    <col min="8198" max="8198" width="5" style="58" bestFit="1" customWidth="1"/>
    <col min="8199" max="8443" width="11.44140625" style="58"/>
    <col min="8444" max="8444" width="7.5546875" style="58" bestFit="1" customWidth="1"/>
    <col min="8445" max="8445" width="86.44140625" style="58" customWidth="1"/>
    <col min="8446" max="8446" width="15.109375" style="58" customWidth="1"/>
    <col min="8447" max="8447" width="18.33203125" style="58" bestFit="1" customWidth="1"/>
    <col min="8448" max="8448" width="14.33203125" style="58" bestFit="1" customWidth="1"/>
    <col min="8449" max="8449" width="28.88671875" style="58" bestFit="1" customWidth="1"/>
    <col min="8450" max="8451" width="14.33203125" style="58" bestFit="1" customWidth="1"/>
    <col min="8452" max="8452" width="17.44140625" style="58" bestFit="1" customWidth="1"/>
    <col min="8453" max="8453" width="20.33203125" style="58" customWidth="1"/>
    <col min="8454" max="8454" width="5" style="58" bestFit="1" customWidth="1"/>
    <col min="8455" max="8699" width="11.44140625" style="58"/>
    <col min="8700" max="8700" width="7.5546875" style="58" bestFit="1" customWidth="1"/>
    <col min="8701" max="8701" width="86.44140625" style="58" customWidth="1"/>
    <col min="8702" max="8702" width="15.109375" style="58" customWidth="1"/>
    <col min="8703" max="8703" width="18.33203125" style="58" bestFit="1" customWidth="1"/>
    <col min="8704" max="8704" width="14.33203125" style="58" bestFit="1" customWidth="1"/>
    <col min="8705" max="8705" width="28.88671875" style="58" bestFit="1" customWidth="1"/>
    <col min="8706" max="8707" width="14.33203125" style="58" bestFit="1" customWidth="1"/>
    <col min="8708" max="8708" width="17.44140625" style="58" bestFit="1" customWidth="1"/>
    <col min="8709" max="8709" width="20.33203125" style="58" customWidth="1"/>
    <col min="8710" max="8710" width="5" style="58" bestFit="1" customWidth="1"/>
    <col min="8711" max="8955" width="11.44140625" style="58"/>
    <col min="8956" max="8956" width="7.5546875" style="58" bestFit="1" customWidth="1"/>
    <col min="8957" max="8957" width="86.44140625" style="58" customWidth="1"/>
    <col min="8958" max="8958" width="15.109375" style="58" customWidth="1"/>
    <col min="8959" max="8959" width="18.33203125" style="58" bestFit="1" customWidth="1"/>
    <col min="8960" max="8960" width="14.33203125" style="58" bestFit="1" customWidth="1"/>
    <col min="8961" max="8961" width="28.88671875" style="58" bestFit="1" customWidth="1"/>
    <col min="8962" max="8963" width="14.33203125" style="58" bestFit="1" customWidth="1"/>
    <col min="8964" max="8964" width="17.44140625" style="58" bestFit="1" customWidth="1"/>
    <col min="8965" max="8965" width="20.33203125" style="58" customWidth="1"/>
    <col min="8966" max="8966" width="5" style="58" bestFit="1" customWidth="1"/>
    <col min="8967" max="9211" width="11.44140625" style="58"/>
    <col min="9212" max="9212" width="7.5546875" style="58" bestFit="1" customWidth="1"/>
    <col min="9213" max="9213" width="86.44140625" style="58" customWidth="1"/>
    <col min="9214" max="9214" width="15.109375" style="58" customWidth="1"/>
    <col min="9215" max="9215" width="18.33203125" style="58" bestFit="1" customWidth="1"/>
    <col min="9216" max="9216" width="14.33203125" style="58" bestFit="1" customWidth="1"/>
    <col min="9217" max="9217" width="28.88671875" style="58" bestFit="1" customWidth="1"/>
    <col min="9218" max="9219" width="14.33203125" style="58" bestFit="1" customWidth="1"/>
    <col min="9220" max="9220" width="17.44140625" style="58" bestFit="1" customWidth="1"/>
    <col min="9221" max="9221" width="20.33203125" style="58" customWidth="1"/>
    <col min="9222" max="9222" width="5" style="58" bestFit="1" customWidth="1"/>
    <col min="9223" max="9467" width="11.44140625" style="58"/>
    <col min="9468" max="9468" width="7.5546875" style="58" bestFit="1" customWidth="1"/>
    <col min="9469" max="9469" width="86.44140625" style="58" customWidth="1"/>
    <col min="9470" max="9470" width="15.109375" style="58" customWidth="1"/>
    <col min="9471" max="9471" width="18.33203125" style="58" bestFit="1" customWidth="1"/>
    <col min="9472" max="9472" width="14.33203125" style="58" bestFit="1" customWidth="1"/>
    <col min="9473" max="9473" width="28.88671875" style="58" bestFit="1" customWidth="1"/>
    <col min="9474" max="9475" width="14.33203125" style="58" bestFit="1" customWidth="1"/>
    <col min="9476" max="9476" width="17.44140625" style="58" bestFit="1" customWidth="1"/>
    <col min="9477" max="9477" width="20.33203125" style="58" customWidth="1"/>
    <col min="9478" max="9478" width="5" style="58" bestFit="1" customWidth="1"/>
    <col min="9479" max="9723" width="11.44140625" style="58"/>
    <col min="9724" max="9724" width="7.5546875" style="58" bestFit="1" customWidth="1"/>
    <col min="9725" max="9725" width="86.44140625" style="58" customWidth="1"/>
    <col min="9726" max="9726" width="15.109375" style="58" customWidth="1"/>
    <col min="9727" max="9727" width="18.33203125" style="58" bestFit="1" customWidth="1"/>
    <col min="9728" max="9728" width="14.33203125" style="58" bestFit="1" customWidth="1"/>
    <col min="9729" max="9729" width="28.88671875" style="58" bestFit="1" customWidth="1"/>
    <col min="9730" max="9731" width="14.33203125" style="58" bestFit="1" customWidth="1"/>
    <col min="9732" max="9732" width="17.44140625" style="58" bestFit="1" customWidth="1"/>
    <col min="9733" max="9733" width="20.33203125" style="58" customWidth="1"/>
    <col min="9734" max="9734" width="5" style="58" bestFit="1" customWidth="1"/>
    <col min="9735" max="9979" width="11.44140625" style="58"/>
    <col min="9980" max="9980" width="7.5546875" style="58" bestFit="1" customWidth="1"/>
    <col min="9981" max="9981" width="86.44140625" style="58" customWidth="1"/>
    <col min="9982" max="9982" width="15.109375" style="58" customWidth="1"/>
    <col min="9983" max="9983" width="18.33203125" style="58" bestFit="1" customWidth="1"/>
    <col min="9984" max="9984" width="14.33203125" style="58" bestFit="1" customWidth="1"/>
    <col min="9985" max="9985" width="28.88671875" style="58" bestFit="1" customWidth="1"/>
    <col min="9986" max="9987" width="14.33203125" style="58" bestFit="1" customWidth="1"/>
    <col min="9988" max="9988" width="17.44140625" style="58" bestFit="1" customWidth="1"/>
    <col min="9989" max="9989" width="20.33203125" style="58" customWidth="1"/>
    <col min="9990" max="9990" width="5" style="58" bestFit="1" customWidth="1"/>
    <col min="9991" max="10235" width="11.44140625" style="58"/>
    <col min="10236" max="10236" width="7.5546875" style="58" bestFit="1" customWidth="1"/>
    <col min="10237" max="10237" width="86.44140625" style="58" customWidth="1"/>
    <col min="10238" max="10238" width="15.109375" style="58" customWidth="1"/>
    <col min="10239" max="10239" width="18.33203125" style="58" bestFit="1" customWidth="1"/>
    <col min="10240" max="10240" width="14.33203125" style="58" bestFit="1" customWidth="1"/>
    <col min="10241" max="10241" width="28.88671875" style="58" bestFit="1" customWidth="1"/>
    <col min="10242" max="10243" width="14.33203125" style="58" bestFit="1" customWidth="1"/>
    <col min="10244" max="10244" width="17.44140625" style="58" bestFit="1" customWidth="1"/>
    <col min="10245" max="10245" width="20.33203125" style="58" customWidth="1"/>
    <col min="10246" max="10246" width="5" style="58" bestFit="1" customWidth="1"/>
    <col min="10247" max="10491" width="11.44140625" style="58"/>
    <col min="10492" max="10492" width="7.5546875" style="58" bestFit="1" customWidth="1"/>
    <col min="10493" max="10493" width="86.44140625" style="58" customWidth="1"/>
    <col min="10494" max="10494" width="15.109375" style="58" customWidth="1"/>
    <col min="10495" max="10495" width="18.33203125" style="58" bestFit="1" customWidth="1"/>
    <col min="10496" max="10496" width="14.33203125" style="58" bestFit="1" customWidth="1"/>
    <col min="10497" max="10497" width="28.88671875" style="58" bestFit="1" customWidth="1"/>
    <col min="10498" max="10499" width="14.33203125" style="58" bestFit="1" customWidth="1"/>
    <col min="10500" max="10500" width="17.44140625" style="58" bestFit="1" customWidth="1"/>
    <col min="10501" max="10501" width="20.33203125" style="58" customWidth="1"/>
    <col min="10502" max="10502" width="5" style="58" bestFit="1" customWidth="1"/>
    <col min="10503" max="10747" width="11.44140625" style="58"/>
    <col min="10748" max="10748" width="7.5546875" style="58" bestFit="1" customWidth="1"/>
    <col min="10749" max="10749" width="86.44140625" style="58" customWidth="1"/>
    <col min="10750" max="10750" width="15.109375" style="58" customWidth="1"/>
    <col min="10751" max="10751" width="18.33203125" style="58" bestFit="1" customWidth="1"/>
    <col min="10752" max="10752" width="14.33203125" style="58" bestFit="1" customWidth="1"/>
    <col min="10753" max="10753" width="28.88671875" style="58" bestFit="1" customWidth="1"/>
    <col min="10754" max="10755" width="14.33203125" style="58" bestFit="1" customWidth="1"/>
    <col min="10756" max="10756" width="17.44140625" style="58" bestFit="1" customWidth="1"/>
    <col min="10757" max="10757" width="20.33203125" style="58" customWidth="1"/>
    <col min="10758" max="10758" width="5" style="58" bestFit="1" customWidth="1"/>
    <col min="10759" max="11003" width="11.44140625" style="58"/>
    <col min="11004" max="11004" width="7.5546875" style="58" bestFit="1" customWidth="1"/>
    <col min="11005" max="11005" width="86.44140625" style="58" customWidth="1"/>
    <col min="11006" max="11006" width="15.109375" style="58" customWidth="1"/>
    <col min="11007" max="11007" width="18.33203125" style="58" bestFit="1" customWidth="1"/>
    <col min="11008" max="11008" width="14.33203125" style="58" bestFit="1" customWidth="1"/>
    <col min="11009" max="11009" width="28.88671875" style="58" bestFit="1" customWidth="1"/>
    <col min="11010" max="11011" width="14.33203125" style="58" bestFit="1" customWidth="1"/>
    <col min="11012" max="11012" width="17.44140625" style="58" bestFit="1" customWidth="1"/>
    <col min="11013" max="11013" width="20.33203125" style="58" customWidth="1"/>
    <col min="11014" max="11014" width="5" style="58" bestFit="1" customWidth="1"/>
    <col min="11015" max="11259" width="11.44140625" style="58"/>
    <col min="11260" max="11260" width="7.5546875" style="58" bestFit="1" customWidth="1"/>
    <col min="11261" max="11261" width="86.44140625" style="58" customWidth="1"/>
    <col min="11262" max="11262" width="15.109375" style="58" customWidth="1"/>
    <col min="11263" max="11263" width="18.33203125" style="58" bestFit="1" customWidth="1"/>
    <col min="11264" max="11264" width="14.33203125" style="58" bestFit="1" customWidth="1"/>
    <col min="11265" max="11265" width="28.88671875" style="58" bestFit="1" customWidth="1"/>
    <col min="11266" max="11267" width="14.33203125" style="58" bestFit="1" customWidth="1"/>
    <col min="11268" max="11268" width="17.44140625" style="58" bestFit="1" customWidth="1"/>
    <col min="11269" max="11269" width="20.33203125" style="58" customWidth="1"/>
    <col min="11270" max="11270" width="5" style="58" bestFit="1" customWidth="1"/>
    <col min="11271" max="11515" width="11.44140625" style="58"/>
    <col min="11516" max="11516" width="7.5546875" style="58" bestFit="1" customWidth="1"/>
    <col min="11517" max="11517" width="86.44140625" style="58" customWidth="1"/>
    <col min="11518" max="11518" width="15.109375" style="58" customWidth="1"/>
    <col min="11519" max="11519" width="18.33203125" style="58" bestFit="1" customWidth="1"/>
    <col min="11520" max="11520" width="14.33203125" style="58" bestFit="1" customWidth="1"/>
    <col min="11521" max="11521" width="28.88671875" style="58" bestFit="1" customWidth="1"/>
    <col min="11522" max="11523" width="14.33203125" style="58" bestFit="1" customWidth="1"/>
    <col min="11524" max="11524" width="17.44140625" style="58" bestFit="1" customWidth="1"/>
    <col min="11525" max="11525" width="20.33203125" style="58" customWidth="1"/>
    <col min="11526" max="11526" width="5" style="58" bestFit="1" customWidth="1"/>
    <col min="11527" max="11771" width="11.44140625" style="58"/>
    <col min="11772" max="11772" width="7.5546875" style="58" bestFit="1" customWidth="1"/>
    <col min="11773" max="11773" width="86.44140625" style="58" customWidth="1"/>
    <col min="11774" max="11774" width="15.109375" style="58" customWidth="1"/>
    <col min="11775" max="11775" width="18.33203125" style="58" bestFit="1" customWidth="1"/>
    <col min="11776" max="11776" width="14.33203125" style="58" bestFit="1" customWidth="1"/>
    <col min="11777" max="11777" width="28.88671875" style="58" bestFit="1" customWidth="1"/>
    <col min="11778" max="11779" width="14.33203125" style="58" bestFit="1" customWidth="1"/>
    <col min="11780" max="11780" width="17.44140625" style="58" bestFit="1" customWidth="1"/>
    <col min="11781" max="11781" width="20.33203125" style="58" customWidth="1"/>
    <col min="11782" max="11782" width="5" style="58" bestFit="1" customWidth="1"/>
    <col min="11783" max="12027" width="11.44140625" style="58"/>
    <col min="12028" max="12028" width="7.5546875" style="58" bestFit="1" customWidth="1"/>
    <col min="12029" max="12029" width="86.44140625" style="58" customWidth="1"/>
    <col min="12030" max="12030" width="15.109375" style="58" customWidth="1"/>
    <col min="12031" max="12031" width="18.33203125" style="58" bestFit="1" customWidth="1"/>
    <col min="12032" max="12032" width="14.33203125" style="58" bestFit="1" customWidth="1"/>
    <col min="12033" max="12033" width="28.88671875" style="58" bestFit="1" customWidth="1"/>
    <col min="12034" max="12035" width="14.33203125" style="58" bestFit="1" customWidth="1"/>
    <col min="12036" max="12036" width="17.44140625" style="58" bestFit="1" customWidth="1"/>
    <col min="12037" max="12037" width="20.33203125" style="58" customWidth="1"/>
    <col min="12038" max="12038" width="5" style="58" bestFit="1" customWidth="1"/>
    <col min="12039" max="12283" width="11.44140625" style="58"/>
    <col min="12284" max="12284" width="7.5546875" style="58" bestFit="1" customWidth="1"/>
    <col min="12285" max="12285" width="86.44140625" style="58" customWidth="1"/>
    <col min="12286" max="12286" width="15.109375" style="58" customWidth="1"/>
    <col min="12287" max="12287" width="18.33203125" style="58" bestFit="1" customWidth="1"/>
    <col min="12288" max="12288" width="14.33203125" style="58" bestFit="1" customWidth="1"/>
    <col min="12289" max="12289" width="28.88671875" style="58" bestFit="1" customWidth="1"/>
    <col min="12290" max="12291" width="14.33203125" style="58" bestFit="1" customWidth="1"/>
    <col min="12292" max="12292" width="17.44140625" style="58" bestFit="1" customWidth="1"/>
    <col min="12293" max="12293" width="20.33203125" style="58" customWidth="1"/>
    <col min="12294" max="12294" width="5" style="58" bestFit="1" customWidth="1"/>
    <col min="12295" max="12539" width="11.44140625" style="58"/>
    <col min="12540" max="12540" width="7.5546875" style="58" bestFit="1" customWidth="1"/>
    <col min="12541" max="12541" width="86.44140625" style="58" customWidth="1"/>
    <col min="12542" max="12542" width="15.109375" style="58" customWidth="1"/>
    <col min="12543" max="12543" width="18.33203125" style="58" bestFit="1" customWidth="1"/>
    <col min="12544" max="12544" width="14.33203125" style="58" bestFit="1" customWidth="1"/>
    <col min="12545" max="12545" width="28.88671875" style="58" bestFit="1" customWidth="1"/>
    <col min="12546" max="12547" width="14.33203125" style="58" bestFit="1" customWidth="1"/>
    <col min="12548" max="12548" width="17.44140625" style="58" bestFit="1" customWidth="1"/>
    <col min="12549" max="12549" width="20.33203125" style="58" customWidth="1"/>
    <col min="12550" max="12550" width="5" style="58" bestFit="1" customWidth="1"/>
    <col min="12551" max="12795" width="11.44140625" style="58"/>
    <col min="12796" max="12796" width="7.5546875" style="58" bestFit="1" customWidth="1"/>
    <col min="12797" max="12797" width="86.44140625" style="58" customWidth="1"/>
    <col min="12798" max="12798" width="15.109375" style="58" customWidth="1"/>
    <col min="12799" max="12799" width="18.33203125" style="58" bestFit="1" customWidth="1"/>
    <col min="12800" max="12800" width="14.33203125" style="58" bestFit="1" customWidth="1"/>
    <col min="12801" max="12801" width="28.88671875" style="58" bestFit="1" customWidth="1"/>
    <col min="12802" max="12803" width="14.33203125" style="58" bestFit="1" customWidth="1"/>
    <col min="12804" max="12804" width="17.44140625" style="58" bestFit="1" customWidth="1"/>
    <col min="12805" max="12805" width="20.33203125" style="58" customWidth="1"/>
    <col min="12806" max="12806" width="5" style="58" bestFit="1" customWidth="1"/>
    <col min="12807" max="13051" width="11.44140625" style="58"/>
    <col min="13052" max="13052" width="7.5546875" style="58" bestFit="1" customWidth="1"/>
    <col min="13053" max="13053" width="86.44140625" style="58" customWidth="1"/>
    <col min="13054" max="13054" width="15.109375" style="58" customWidth="1"/>
    <col min="13055" max="13055" width="18.33203125" style="58" bestFit="1" customWidth="1"/>
    <col min="13056" max="13056" width="14.33203125" style="58" bestFit="1" customWidth="1"/>
    <col min="13057" max="13057" width="28.88671875" style="58" bestFit="1" customWidth="1"/>
    <col min="13058" max="13059" width="14.33203125" style="58" bestFit="1" customWidth="1"/>
    <col min="13060" max="13060" width="17.44140625" style="58" bestFit="1" customWidth="1"/>
    <col min="13061" max="13061" width="20.33203125" style="58" customWidth="1"/>
    <col min="13062" max="13062" width="5" style="58" bestFit="1" customWidth="1"/>
    <col min="13063" max="13307" width="11.44140625" style="58"/>
    <col min="13308" max="13308" width="7.5546875" style="58" bestFit="1" customWidth="1"/>
    <col min="13309" max="13309" width="86.44140625" style="58" customWidth="1"/>
    <col min="13310" max="13310" width="15.109375" style="58" customWidth="1"/>
    <col min="13311" max="13311" width="18.33203125" style="58" bestFit="1" customWidth="1"/>
    <col min="13312" max="13312" width="14.33203125" style="58" bestFit="1" customWidth="1"/>
    <col min="13313" max="13313" width="28.88671875" style="58" bestFit="1" customWidth="1"/>
    <col min="13314" max="13315" width="14.33203125" style="58" bestFit="1" customWidth="1"/>
    <col min="13316" max="13316" width="17.44140625" style="58" bestFit="1" customWidth="1"/>
    <col min="13317" max="13317" width="20.33203125" style="58" customWidth="1"/>
    <col min="13318" max="13318" width="5" style="58" bestFit="1" customWidth="1"/>
    <col min="13319" max="13563" width="11.44140625" style="58"/>
    <col min="13564" max="13564" width="7.5546875" style="58" bestFit="1" customWidth="1"/>
    <col min="13565" max="13565" width="86.44140625" style="58" customWidth="1"/>
    <col min="13566" max="13566" width="15.109375" style="58" customWidth="1"/>
    <col min="13567" max="13567" width="18.33203125" style="58" bestFit="1" customWidth="1"/>
    <col min="13568" max="13568" width="14.33203125" style="58" bestFit="1" customWidth="1"/>
    <col min="13569" max="13569" width="28.88671875" style="58" bestFit="1" customWidth="1"/>
    <col min="13570" max="13571" width="14.33203125" style="58" bestFit="1" customWidth="1"/>
    <col min="13572" max="13572" width="17.44140625" style="58" bestFit="1" customWidth="1"/>
    <col min="13573" max="13573" width="20.33203125" style="58" customWidth="1"/>
    <col min="13574" max="13574" width="5" style="58" bestFit="1" customWidth="1"/>
    <col min="13575" max="13819" width="11.44140625" style="58"/>
    <col min="13820" max="13820" width="7.5546875" style="58" bestFit="1" customWidth="1"/>
    <col min="13821" max="13821" width="86.44140625" style="58" customWidth="1"/>
    <col min="13822" max="13822" width="15.109375" style="58" customWidth="1"/>
    <col min="13823" max="13823" width="18.33203125" style="58" bestFit="1" customWidth="1"/>
    <col min="13824" max="13824" width="14.33203125" style="58" bestFit="1" customWidth="1"/>
    <col min="13825" max="13825" width="28.88671875" style="58" bestFit="1" customWidth="1"/>
    <col min="13826" max="13827" width="14.33203125" style="58" bestFit="1" customWidth="1"/>
    <col min="13828" max="13828" width="17.44140625" style="58" bestFit="1" customWidth="1"/>
    <col min="13829" max="13829" width="20.33203125" style="58" customWidth="1"/>
    <col min="13830" max="13830" width="5" style="58" bestFit="1" customWidth="1"/>
    <col min="13831" max="14075" width="11.44140625" style="58"/>
    <col min="14076" max="14076" width="7.5546875" style="58" bestFit="1" customWidth="1"/>
    <col min="14077" max="14077" width="86.44140625" style="58" customWidth="1"/>
    <col min="14078" max="14078" width="15.109375" style="58" customWidth="1"/>
    <col min="14079" max="14079" width="18.33203125" style="58" bestFit="1" customWidth="1"/>
    <col min="14080" max="14080" width="14.33203125" style="58" bestFit="1" customWidth="1"/>
    <col min="14081" max="14081" width="28.88671875" style="58" bestFit="1" customWidth="1"/>
    <col min="14082" max="14083" width="14.33203125" style="58" bestFit="1" customWidth="1"/>
    <col min="14084" max="14084" width="17.44140625" style="58" bestFit="1" customWidth="1"/>
    <col min="14085" max="14085" width="20.33203125" style="58" customWidth="1"/>
    <col min="14086" max="14086" width="5" style="58" bestFit="1" customWidth="1"/>
    <col min="14087" max="14331" width="11.44140625" style="58"/>
    <col min="14332" max="14332" width="7.5546875" style="58" bestFit="1" customWidth="1"/>
    <col min="14333" max="14333" width="86.44140625" style="58" customWidth="1"/>
    <col min="14334" max="14334" width="15.109375" style="58" customWidth="1"/>
    <col min="14335" max="14335" width="18.33203125" style="58" bestFit="1" customWidth="1"/>
    <col min="14336" max="14336" width="14.33203125" style="58" bestFit="1" customWidth="1"/>
    <col min="14337" max="14337" width="28.88671875" style="58" bestFit="1" customWidth="1"/>
    <col min="14338" max="14339" width="14.33203125" style="58" bestFit="1" customWidth="1"/>
    <col min="14340" max="14340" width="17.44140625" style="58" bestFit="1" customWidth="1"/>
    <col min="14341" max="14341" width="20.33203125" style="58" customWidth="1"/>
    <col min="14342" max="14342" width="5" style="58" bestFit="1" customWidth="1"/>
    <col min="14343" max="14587" width="11.44140625" style="58"/>
    <col min="14588" max="14588" width="7.5546875" style="58" bestFit="1" customWidth="1"/>
    <col min="14589" max="14589" width="86.44140625" style="58" customWidth="1"/>
    <col min="14590" max="14590" width="15.109375" style="58" customWidth="1"/>
    <col min="14591" max="14591" width="18.33203125" style="58" bestFit="1" customWidth="1"/>
    <col min="14592" max="14592" width="14.33203125" style="58" bestFit="1" customWidth="1"/>
    <col min="14593" max="14593" width="28.88671875" style="58" bestFit="1" customWidth="1"/>
    <col min="14594" max="14595" width="14.33203125" style="58" bestFit="1" customWidth="1"/>
    <col min="14596" max="14596" width="17.44140625" style="58" bestFit="1" customWidth="1"/>
    <col min="14597" max="14597" width="20.33203125" style="58" customWidth="1"/>
    <col min="14598" max="14598" width="5" style="58" bestFit="1" customWidth="1"/>
    <col min="14599" max="14843" width="11.44140625" style="58"/>
    <col min="14844" max="14844" width="7.5546875" style="58" bestFit="1" customWidth="1"/>
    <col min="14845" max="14845" width="86.44140625" style="58" customWidth="1"/>
    <col min="14846" max="14846" width="15.109375" style="58" customWidth="1"/>
    <col min="14847" max="14847" width="18.33203125" style="58" bestFit="1" customWidth="1"/>
    <col min="14848" max="14848" width="14.33203125" style="58" bestFit="1" customWidth="1"/>
    <col min="14849" max="14849" width="28.88671875" style="58" bestFit="1" customWidth="1"/>
    <col min="14850" max="14851" width="14.33203125" style="58" bestFit="1" customWidth="1"/>
    <col min="14852" max="14852" width="17.44140625" style="58" bestFit="1" customWidth="1"/>
    <col min="14853" max="14853" width="20.33203125" style="58" customWidth="1"/>
    <col min="14854" max="14854" width="5" style="58" bestFit="1" customWidth="1"/>
    <col min="14855" max="15099" width="11.44140625" style="58"/>
    <col min="15100" max="15100" width="7.5546875" style="58" bestFit="1" customWidth="1"/>
    <col min="15101" max="15101" width="86.44140625" style="58" customWidth="1"/>
    <col min="15102" max="15102" width="15.109375" style="58" customWidth="1"/>
    <col min="15103" max="15103" width="18.33203125" style="58" bestFit="1" customWidth="1"/>
    <col min="15104" max="15104" width="14.33203125" style="58" bestFit="1" customWidth="1"/>
    <col min="15105" max="15105" width="28.88671875" style="58" bestFit="1" customWidth="1"/>
    <col min="15106" max="15107" width="14.33203125" style="58" bestFit="1" customWidth="1"/>
    <col min="15108" max="15108" width="17.44140625" style="58" bestFit="1" customWidth="1"/>
    <col min="15109" max="15109" width="20.33203125" style="58" customWidth="1"/>
    <col min="15110" max="15110" width="5" style="58" bestFit="1" customWidth="1"/>
    <col min="15111" max="15355" width="11.44140625" style="58"/>
    <col min="15356" max="15356" width="7.5546875" style="58" bestFit="1" customWidth="1"/>
    <col min="15357" max="15357" width="86.44140625" style="58" customWidth="1"/>
    <col min="15358" max="15358" width="15.109375" style="58" customWidth="1"/>
    <col min="15359" max="15359" width="18.33203125" style="58" bestFit="1" customWidth="1"/>
    <col min="15360" max="15360" width="14.33203125" style="58" bestFit="1" customWidth="1"/>
    <col min="15361" max="15361" width="28.88671875" style="58" bestFit="1" customWidth="1"/>
    <col min="15362" max="15363" width="14.33203125" style="58" bestFit="1" customWidth="1"/>
    <col min="15364" max="15364" width="17.44140625" style="58" bestFit="1" customWidth="1"/>
    <col min="15365" max="15365" width="20.33203125" style="58" customWidth="1"/>
    <col min="15366" max="15366" width="5" style="58" bestFit="1" customWidth="1"/>
    <col min="15367" max="15611" width="11.44140625" style="58"/>
    <col min="15612" max="15612" width="7.5546875" style="58" bestFit="1" customWidth="1"/>
    <col min="15613" max="15613" width="86.44140625" style="58" customWidth="1"/>
    <col min="15614" max="15614" width="15.109375" style="58" customWidth="1"/>
    <col min="15615" max="15615" width="18.33203125" style="58" bestFit="1" customWidth="1"/>
    <col min="15616" max="15616" width="14.33203125" style="58" bestFit="1" customWidth="1"/>
    <col min="15617" max="15617" width="28.88671875" style="58" bestFit="1" customWidth="1"/>
    <col min="15618" max="15619" width="14.33203125" style="58" bestFit="1" customWidth="1"/>
    <col min="15620" max="15620" width="17.44140625" style="58" bestFit="1" customWidth="1"/>
    <col min="15621" max="15621" width="20.33203125" style="58" customWidth="1"/>
    <col min="15622" max="15622" width="5" style="58" bestFit="1" customWidth="1"/>
    <col min="15623" max="15867" width="11.44140625" style="58"/>
    <col min="15868" max="15868" width="7.5546875" style="58" bestFit="1" customWidth="1"/>
    <col min="15869" max="15869" width="86.44140625" style="58" customWidth="1"/>
    <col min="15870" max="15870" width="15.109375" style="58" customWidth="1"/>
    <col min="15871" max="15871" width="18.33203125" style="58" bestFit="1" customWidth="1"/>
    <col min="15872" max="15872" width="14.33203125" style="58" bestFit="1" customWidth="1"/>
    <col min="15873" max="15873" width="28.88671875" style="58" bestFit="1" customWidth="1"/>
    <col min="15874" max="15875" width="14.33203125" style="58" bestFit="1" customWidth="1"/>
    <col min="15876" max="15876" width="17.44140625" style="58" bestFit="1" customWidth="1"/>
    <col min="15877" max="15877" width="20.33203125" style="58" customWidth="1"/>
    <col min="15878" max="15878" width="5" style="58" bestFit="1" customWidth="1"/>
    <col min="15879" max="16123" width="11.44140625" style="58"/>
    <col min="16124" max="16124" width="7.5546875" style="58" bestFit="1" customWidth="1"/>
    <col min="16125" max="16125" width="86.44140625" style="58" customWidth="1"/>
    <col min="16126" max="16126" width="15.109375" style="58" customWidth="1"/>
    <col min="16127" max="16127" width="18.33203125" style="58" bestFit="1" customWidth="1"/>
    <col min="16128" max="16128" width="14.33203125" style="58" bestFit="1" customWidth="1"/>
    <col min="16129" max="16129" width="28.88671875" style="58" bestFit="1" customWidth="1"/>
    <col min="16130" max="16131" width="14.33203125" style="58" bestFit="1" customWidth="1"/>
    <col min="16132" max="16132" width="17.44140625" style="58" bestFit="1" customWidth="1"/>
    <col min="16133" max="16133" width="20.33203125" style="58" customWidth="1"/>
    <col min="16134" max="16134" width="5" style="58" bestFit="1" customWidth="1"/>
    <col min="16135" max="16384" width="11.44140625" style="58"/>
  </cols>
  <sheetData>
    <row r="1" spans="1:6" x14ac:dyDescent="0.2">
      <c r="A1" s="56" t="s">
        <v>5188</v>
      </c>
      <c r="B1" s="56" t="s">
        <v>5135</v>
      </c>
      <c r="C1" s="56" t="s">
        <v>5136</v>
      </c>
      <c r="D1" s="56" t="s">
        <v>5189</v>
      </c>
      <c r="E1" s="56" t="s">
        <v>6424</v>
      </c>
      <c r="F1" s="57"/>
    </row>
    <row r="2" spans="1:6" ht="26.25" customHeight="1" x14ac:dyDescent="0.2">
      <c r="A2" s="59">
        <v>9084</v>
      </c>
      <c r="B2" s="114" t="str">
        <f>+_xlfn.XLOOKUP(A2,INSUMO_IDU[Código],INSUMO_IDU[Nombre],"",0)</f>
        <v>TARIFA MES - PERSONAL TÉCNICO-TECNÓLOGO EN ÁREAS DE INGENIERÍA (NO INCLUYE FACTOR DE PRESTACIONES)</v>
      </c>
      <c r="C2" s="60" t="str">
        <f>+_xlfn.XLOOKUP(A2,INSUMO_IDU[Código],INSUMO_IDU[UM],"",0)</f>
        <v>MES</v>
      </c>
      <c r="D2" s="61">
        <f>+_xlfn.XLOOKUP(A2,INSUMO_IDU[Código],INSUMO_IDU[Precio],"",0)</f>
        <v>3584000</v>
      </c>
      <c r="E2" s="62">
        <f>+VLOOKUP(A2,F.P!$B$7:$H$44,7,FALSE)</f>
        <v>1.4510000000000001</v>
      </c>
      <c r="F2" s="63"/>
    </row>
    <row r="3" spans="1:6" x14ac:dyDescent="0.2">
      <c r="A3" s="59">
        <v>9085</v>
      </c>
      <c r="B3" s="114" t="str">
        <f>+_xlfn.XLOOKUP(A3,INSUMO_IDU[Código],INSUMO_IDU[Nombre],"",0)</f>
        <v>TARIFA MES - PERSONAL TÉCNICO - AUXILIAR DE INGENIERÍA (NO INCLUYE FACTOR DE PRESTACIONES)</v>
      </c>
      <c r="C3" s="60" t="str">
        <f>+_xlfn.XLOOKUP(A3,INSUMO_IDU[Código],INSUMO_IDU[UM],"",0)</f>
        <v>MES</v>
      </c>
      <c r="D3" s="61">
        <f>+_xlfn.XLOOKUP(A3,INSUMO_IDU[Código],INSUMO_IDU[Precio],"",0)</f>
        <v>3150000</v>
      </c>
      <c r="E3" s="62">
        <f>+VLOOKUP(A3,F.P!$B$7:$H$44,7,FALSE)</f>
        <v>1.5669999999999999</v>
      </c>
      <c r="F3" s="63"/>
    </row>
    <row r="4" spans="1:6" x14ac:dyDescent="0.2">
      <c r="A4" s="59">
        <v>9086</v>
      </c>
      <c r="B4" s="114" t="str">
        <f>+_xlfn.XLOOKUP(A4,INSUMO_IDU[Código],INSUMO_IDU[Nombre],"",0)</f>
        <v>TARIFA MES - PERSONAL TÉCNICO - DIBUJANTE 1 (NO INCLUYE FACTOR DE PRESTACIONES)</v>
      </c>
      <c r="C4" s="60" t="str">
        <f>+_xlfn.XLOOKUP(A4,INSUMO_IDU[Código],INSUMO_IDU[UM],"",0)</f>
        <v>MES</v>
      </c>
      <c r="D4" s="61">
        <f>+_xlfn.XLOOKUP(A4,INSUMO_IDU[Código],INSUMO_IDU[Precio],"",0)</f>
        <v>3303000</v>
      </c>
      <c r="E4" s="62">
        <f>+VLOOKUP(A4,F.P!$B$7:$H$44,7,FALSE)</f>
        <v>1.5669999999999999</v>
      </c>
      <c r="F4" s="63"/>
    </row>
    <row r="5" spans="1:6" x14ac:dyDescent="0.2">
      <c r="A5" s="59">
        <v>9087</v>
      </c>
      <c r="B5" s="114" t="str">
        <f>+_xlfn.XLOOKUP(A5,INSUMO_IDU[Código],INSUMO_IDU[Nombre],"",0)</f>
        <v>TARIFA MES - PERSONAL TÉCNICO - DIBUJANTE 2 (NO INCLUYE FACTOR DE PRESTACIONES)</v>
      </c>
      <c r="C5" s="60" t="str">
        <f>+_xlfn.XLOOKUP(A5,INSUMO_IDU[Código],INSUMO_IDU[UM],"",0)</f>
        <v>MES</v>
      </c>
      <c r="D5" s="61">
        <f>+_xlfn.XLOOKUP(A5,INSUMO_IDU[Código],INSUMO_IDU[Precio],"",0)</f>
        <v>2670000</v>
      </c>
      <c r="E5" s="62">
        <f>+VLOOKUP(A5,F.P!$B$7:$H$44,7,FALSE)</f>
        <v>1.5669999999999999</v>
      </c>
      <c r="F5" s="63"/>
    </row>
    <row r="6" spans="1:6" x14ac:dyDescent="0.2">
      <c r="A6" s="59">
        <v>9088</v>
      </c>
      <c r="B6" s="114" t="str">
        <f>+_xlfn.XLOOKUP(A6,INSUMO_IDU[Código],INSUMO_IDU[Nombre],"",0)</f>
        <v>TARIFA MES - PERSONAL TÉCNICO - TOPÓGRAFO INSPECTOR (NO INCLUYE FACTOR DE PRESTACIONES)</v>
      </c>
      <c r="C6" s="60" t="str">
        <f>+_xlfn.XLOOKUP(A6,INSUMO_IDU[Código],INSUMO_IDU[UM],"",0)</f>
        <v>MES</v>
      </c>
      <c r="D6" s="61">
        <f>+_xlfn.XLOOKUP(A6,INSUMO_IDU[Código],INSUMO_IDU[Precio],"",0)</f>
        <v>3736000</v>
      </c>
      <c r="E6" s="62">
        <f>+VLOOKUP(A6,F.P!$B$7:$H$44,7,FALSE)</f>
        <v>1.4510000000000001</v>
      </c>
      <c r="F6" s="63"/>
    </row>
    <row r="7" spans="1:6" x14ac:dyDescent="0.2">
      <c r="A7" s="59">
        <v>9089</v>
      </c>
      <c r="B7" s="114" t="str">
        <f>+_xlfn.XLOOKUP(A7,INSUMO_IDU[Código],INSUMO_IDU[Nombre],"",0)</f>
        <v>TARIFA MES - PERSONAL TÉCNICO - LABORATORISTA INSPECTOR (NO INCLUYE FACTOR DE PRESTACIONES)</v>
      </c>
      <c r="C7" s="60" t="str">
        <f>+_xlfn.XLOOKUP(A7,INSUMO_IDU[Código],INSUMO_IDU[UM],"",0)</f>
        <v>MES</v>
      </c>
      <c r="D7" s="61">
        <f>+_xlfn.XLOOKUP(A7,INSUMO_IDU[Código],INSUMO_IDU[Precio],"",0)</f>
        <v>3310000</v>
      </c>
      <c r="E7" s="62">
        <f>+VLOOKUP(A7,F.P!$B$7:$H$44,7,FALSE)</f>
        <v>1.5669999999999999</v>
      </c>
      <c r="F7" s="63"/>
    </row>
    <row r="8" spans="1:6" x14ac:dyDescent="0.2">
      <c r="A8" s="59">
        <v>9090</v>
      </c>
      <c r="B8" s="114" t="str">
        <f>+_xlfn.XLOOKUP(A8,INSUMO_IDU[Código],INSUMO_IDU[Nombre],"",0)</f>
        <v>TARIFA MES - PERSONAL TÉCNICO - LABORATORISTA AUXILIAR (NO INCLUYE FACTOR DE PRESTACIONES)</v>
      </c>
      <c r="C8" s="60" t="str">
        <f>+_xlfn.XLOOKUP(A8,INSUMO_IDU[Código],INSUMO_IDU[UM],"",0)</f>
        <v>MES</v>
      </c>
      <c r="D8" s="61">
        <f>+_xlfn.XLOOKUP(A8,INSUMO_IDU[Código],INSUMO_IDU[Precio],"",0)</f>
        <v>2316000</v>
      </c>
      <c r="E8" s="62">
        <f>+VLOOKUP(A8,F.P!$B$7:$H$44,7,FALSE)</f>
        <v>1.5669999999999999</v>
      </c>
      <c r="F8" s="63"/>
    </row>
    <row r="9" spans="1:6" x14ac:dyDescent="0.2">
      <c r="A9" s="59">
        <v>9091</v>
      </c>
      <c r="B9" s="114" t="str">
        <f>+_xlfn.XLOOKUP(A9,INSUMO_IDU[Código],INSUMO_IDU[Nombre],"",0)</f>
        <v>TARIFA MES - PERSONAL TÉCNICO - OPERADOR EQUIPO PERFORACIÓN (INCLUYE FACTOR DE PRESTACIONES)</v>
      </c>
      <c r="C9" s="60" t="str">
        <f>+_xlfn.XLOOKUP(A9,INSUMO_IDU[Código],INSUMO_IDU[UM],"",0)</f>
        <v>MES</v>
      </c>
      <c r="D9" s="61">
        <f>+_xlfn.XLOOKUP(A9,INSUMO_IDU[Código],INSUMO_IDU[Precio],"",0)</f>
        <v>4690453</v>
      </c>
      <c r="E9" s="62">
        <f>+VLOOKUP(A9,F.P!$B$7:$H$44,7,FALSE)</f>
        <v>1.4510000000000001</v>
      </c>
      <c r="F9" s="63"/>
    </row>
    <row r="10" spans="1:6" x14ac:dyDescent="0.2">
      <c r="A10" s="59">
        <v>9092</v>
      </c>
      <c r="B10" s="114" t="str">
        <f>+_xlfn.XLOOKUP(A10,INSUMO_IDU[Código],INSUMO_IDU[Nombre],"",0)</f>
        <v>TARIFA MES - PERSONAL TÉCNICO - OPERADOR AUXILIAR DE EQUIPO (INCLUYE FACTOR DE PRESTACIONES)</v>
      </c>
      <c r="C10" s="60" t="str">
        <f>+_xlfn.XLOOKUP(A10,INSUMO_IDU[Código],INSUMO_IDU[UM],"",0)</f>
        <v>MES</v>
      </c>
      <c r="D10" s="61">
        <f>+_xlfn.XLOOKUP(A10,INSUMO_IDU[Código],INSUMO_IDU[Precio],"",0)</f>
        <v>3264239</v>
      </c>
      <c r="E10" s="62">
        <f>+VLOOKUP(A10,F.P!$B$7:$H$44,7,FALSE)</f>
        <v>1.5669999999999999</v>
      </c>
      <c r="F10" s="63"/>
    </row>
    <row r="11" spans="1:6" x14ac:dyDescent="0.2">
      <c r="A11" s="59">
        <v>9093</v>
      </c>
      <c r="B11" s="114" t="str">
        <f>+_xlfn.XLOOKUP(A11,INSUMO_IDU[Código],INSUMO_IDU[Nombre],"",0)</f>
        <v>TARIFA MES - PERSONAL TÉCNICO - INSPECTOR 1 (NO INCLUYE FACTOR DE PRESTACIONES)</v>
      </c>
      <c r="C11" s="60" t="str">
        <f>+_xlfn.XLOOKUP(A11,INSUMO_IDU[Código],INSUMO_IDU[UM],"",0)</f>
        <v>MES</v>
      </c>
      <c r="D11" s="61">
        <f>+_xlfn.XLOOKUP(A11,INSUMO_IDU[Código],INSUMO_IDU[Precio],"",0)</f>
        <v>2718000</v>
      </c>
      <c r="E11" s="62">
        <f>+VLOOKUP(A11,F.P!$B$7:$H$44,7,FALSE)</f>
        <v>1.5669999999999999</v>
      </c>
      <c r="F11" s="63"/>
    </row>
    <row r="12" spans="1:6" x14ac:dyDescent="0.2">
      <c r="A12" s="59">
        <v>9094</v>
      </c>
      <c r="B12" s="114" t="str">
        <f>+_xlfn.XLOOKUP(A12,INSUMO_IDU[Código],INSUMO_IDU[Nombre],"",0)</f>
        <v>TARIFA MES - PERSONAL TÉCNICO - INSPECTOR 2 (NO INCLUYE FACTOR DE PRESTACIONES)</v>
      </c>
      <c r="C12" s="60" t="str">
        <f>+_xlfn.XLOOKUP(A12,INSUMO_IDU[Código],INSUMO_IDU[UM],"",0)</f>
        <v>MES</v>
      </c>
      <c r="D12" s="61">
        <f>+_xlfn.XLOOKUP(A12,INSUMO_IDU[Código],INSUMO_IDU[Precio],"",0)</f>
        <v>2447000</v>
      </c>
      <c r="E12" s="62">
        <f>+VLOOKUP(A12,F.P!$B$7:$H$44,7,FALSE)</f>
        <v>1.5669999999999999</v>
      </c>
      <c r="F12" s="63"/>
    </row>
    <row r="13" spans="1:6" x14ac:dyDescent="0.2">
      <c r="A13" s="59">
        <v>9095</v>
      </c>
      <c r="B13" s="114" t="str">
        <f>+_xlfn.XLOOKUP(A13,INSUMO_IDU[Código],INSUMO_IDU[Nombre],"",0)</f>
        <v>TARIFA MES - PERSONAL TÉCNICO - TOPÓGRAFO AUXILIAR (NO INCLUYE FACTOR DE PRESTACIONES)</v>
      </c>
      <c r="C13" s="60" t="str">
        <f>+_xlfn.XLOOKUP(A13,INSUMO_IDU[Código],INSUMO_IDU[UM],"",0)</f>
        <v>MES</v>
      </c>
      <c r="D13" s="61">
        <f>+_xlfn.XLOOKUP(A13,INSUMO_IDU[Código],INSUMO_IDU[Precio],"",0)</f>
        <v>3064000</v>
      </c>
      <c r="E13" s="62">
        <f>+VLOOKUP(A13,F.P!$B$7:$H$44,7,FALSE)</f>
        <v>1.5669999999999999</v>
      </c>
      <c r="F13" s="63"/>
    </row>
    <row r="14" spans="1:6" x14ac:dyDescent="0.2">
      <c r="A14" s="59">
        <v>9096</v>
      </c>
      <c r="B14" s="114" t="str">
        <f>+_xlfn.XLOOKUP(A14,INSUMO_IDU[Código],INSUMO_IDU[Nombre],"",0)</f>
        <v>TARIFA MES - PERSONAL TÉCNICO - BATIMETRISTA INSPECTOR (NO INCLUYE FACTOR DE PRESTACIONES)</v>
      </c>
      <c r="C14" s="60" t="str">
        <f>+_xlfn.XLOOKUP(A14,INSUMO_IDU[Código],INSUMO_IDU[UM],"",0)</f>
        <v>MES</v>
      </c>
      <c r="D14" s="61">
        <f>+_xlfn.XLOOKUP(A14,INSUMO_IDU[Código],INSUMO_IDU[Precio],"",0)</f>
        <v>3736000</v>
      </c>
      <c r="E14" s="62">
        <f>+VLOOKUP(A14,F.P!$B$7:$H$44,7,FALSE)</f>
        <v>1.4510000000000001</v>
      </c>
      <c r="F14" s="63"/>
    </row>
    <row r="15" spans="1:6" x14ac:dyDescent="0.2">
      <c r="A15" s="59">
        <v>9097</v>
      </c>
      <c r="B15" s="114" t="str">
        <f>+_xlfn.XLOOKUP(A15,INSUMO_IDU[Código],INSUMO_IDU[Nombre],"",0)</f>
        <v>TARIFA MES - PERSONAL TÉCNICO - BATIMETRISTA AUXILIAR (NO INCLUYE FACTOR DE PRESTACIONES)</v>
      </c>
      <c r="C15" s="60" t="str">
        <f>+_xlfn.XLOOKUP(A15,INSUMO_IDU[Código],INSUMO_IDU[UM],"",0)</f>
        <v>MES</v>
      </c>
      <c r="D15" s="61">
        <f>+_xlfn.XLOOKUP(A15,INSUMO_IDU[Código],INSUMO_IDU[Precio],"",0)</f>
        <v>3064000</v>
      </c>
      <c r="E15" s="62">
        <f>+VLOOKUP(A15,F.P!$B$7:$H$44,7,FALSE)</f>
        <v>1.5669999999999999</v>
      </c>
      <c r="F15" s="63"/>
    </row>
    <row r="16" spans="1:6" x14ac:dyDescent="0.2">
      <c r="A16" s="59">
        <v>9098</v>
      </c>
      <c r="B16" s="114" t="str">
        <f>+_xlfn.XLOOKUP(A16,INSUMO_IDU[Código],INSUMO_IDU[Nombre],"",0)</f>
        <v>TARIFA MES - PERSONAL AUXILIAR TÉCNICO - CADENERO 1 (NO INCLUYE FACTOR DE PRESTACIONES)</v>
      </c>
      <c r="C16" s="60" t="str">
        <f>+_xlfn.XLOOKUP(A16,INSUMO_IDU[Código],INSUMO_IDU[UM],"",0)</f>
        <v>MES</v>
      </c>
      <c r="D16" s="61">
        <f>+_xlfn.XLOOKUP(A16,INSUMO_IDU[Código],INSUMO_IDU[Precio],"",0)</f>
        <v>2316000</v>
      </c>
      <c r="E16" s="62">
        <f>+VLOOKUP(A16,F.P!$B$7:$H$44,7,FALSE)</f>
        <v>1.5669999999999999</v>
      </c>
      <c r="F16" s="63"/>
    </row>
    <row r="17" spans="1:6" x14ac:dyDescent="0.2">
      <c r="A17" s="59">
        <v>9099</v>
      </c>
      <c r="B17" s="114" t="str">
        <f>+_xlfn.XLOOKUP(A17,INSUMO_IDU[Código],INSUMO_IDU[Nombre],"",0)</f>
        <v>TARIFA MES - PERSONAL AUXILIAR TÉCNICO - CADENERO 2 (NO INCLUYE FACTOR DE PRESTACIONES)</v>
      </c>
      <c r="C17" s="60" t="str">
        <f>+_xlfn.XLOOKUP(A17,INSUMO_IDU[Código],INSUMO_IDU[UM],"",0)</f>
        <v>MES</v>
      </c>
      <c r="D17" s="61">
        <f>+_xlfn.XLOOKUP(A17,INSUMO_IDU[Código],INSUMO_IDU[Precio],"",0)</f>
        <v>2018000</v>
      </c>
      <c r="E17" s="62">
        <f>+VLOOKUP(A17,F.P!$B$7:$H$44,7,FALSE)</f>
        <v>1.5669999999999999</v>
      </c>
      <c r="F17" s="63"/>
    </row>
    <row r="18" spans="1:6" ht="24" customHeight="1" x14ac:dyDescent="0.2">
      <c r="A18" s="59">
        <v>9100</v>
      </c>
      <c r="B18" s="114" t="str">
        <f>+_xlfn.XLOOKUP(A18,INSUMO_IDU[Código],INSUMO_IDU[Nombre],"",0)</f>
        <v>TARIFA MES - PERSONAL AUXILIAR TÉCNICO - CONDUCTOR O MOTORISTA (NO INCLUYE FACTOR DE PRESTACIONES)</v>
      </c>
      <c r="C18" s="60" t="str">
        <f>+_xlfn.XLOOKUP(A18,INSUMO_IDU[Código],INSUMO_IDU[UM],"",0)</f>
        <v>MES</v>
      </c>
      <c r="D18" s="61">
        <f>+_xlfn.XLOOKUP(A18,INSUMO_IDU[Código],INSUMO_IDU[Precio],"",0)</f>
        <v>1750905</v>
      </c>
      <c r="E18" s="62">
        <f>+VLOOKUP(A18,F.P!$B$7:$H$44,7,FALSE)</f>
        <v>1.5669999999999999</v>
      </c>
      <c r="F18" s="63"/>
    </row>
    <row r="19" spans="1:6" x14ac:dyDescent="0.2">
      <c r="A19" s="59">
        <v>9101</v>
      </c>
      <c r="B19" s="114" t="str">
        <f>+_xlfn.XLOOKUP(A19,INSUMO_IDU[Código],INSUMO_IDU[Nombre],"",0)</f>
        <v>TARIFA MES - PERSONAL DE OBRA - MAESTRO DE OBRA (NO INCLUYE FACTOR DE PRESTACIONES)</v>
      </c>
      <c r="C19" s="60" t="str">
        <f>+_xlfn.XLOOKUP(A19,INSUMO_IDU[Código],INSUMO_IDU[UM],"",0)</f>
        <v>MES</v>
      </c>
      <c r="D19" s="61">
        <f>+_xlfn.XLOOKUP(A19,INSUMO_IDU[Código],INSUMO_IDU[Precio],"",0)</f>
        <v>4488000</v>
      </c>
      <c r="E19" s="62">
        <f>+VLOOKUP(A19,F.P!$B$7:$H$44,7,FALSE)</f>
        <v>1.4510000000000001</v>
      </c>
      <c r="F19" s="63"/>
    </row>
    <row r="20" spans="1:6" x14ac:dyDescent="0.2">
      <c r="A20" s="59">
        <v>9102</v>
      </c>
      <c r="B20" s="114" t="str">
        <f>+_xlfn.XLOOKUP(A20,INSUMO_IDU[Código],INSUMO_IDU[Nombre],"",0)</f>
        <v>TARIFA MES - PERSONAL ADMINISTRATIVO - ADMINISTRADOR (NO INCLUYE FACTOR DE PRESTACIONES)</v>
      </c>
      <c r="C20" s="60" t="str">
        <f>+_xlfn.XLOOKUP(A20,INSUMO_IDU[Código],INSUMO_IDU[UM],"",0)</f>
        <v>MES</v>
      </c>
      <c r="D20" s="61">
        <f>+_xlfn.XLOOKUP(A20,INSUMO_IDU[Código],INSUMO_IDU[Precio],"",0)</f>
        <v>3479000</v>
      </c>
      <c r="E20" s="62">
        <f>+VLOOKUP(A20,F.P!$B$7:$H$44,7,FALSE)</f>
        <v>1.5669999999999999</v>
      </c>
      <c r="F20" s="63"/>
    </row>
    <row r="21" spans="1:6" ht="20.399999999999999" x14ac:dyDescent="0.2">
      <c r="A21" s="59">
        <v>9103</v>
      </c>
      <c r="B21" s="114" t="str">
        <f>+_xlfn.XLOOKUP(A21,INSUMO_IDU[Código],INSUMO_IDU[Nombre],"",0)</f>
        <v>TARIFA MES - PERSONAL ADMINISTRATIVO - AUXILIAR ADMINISTRATIVO-ALMACENISTA (NO INCLUYE FACTOR DE PRESTACIONES)</v>
      </c>
      <c r="C21" s="60" t="str">
        <f>+_xlfn.XLOOKUP(A21,INSUMO_IDU[Código],INSUMO_IDU[UM],"",0)</f>
        <v>MES</v>
      </c>
      <c r="D21" s="61">
        <f>+_xlfn.XLOOKUP(A21,INSUMO_IDU[Código],INSUMO_IDU[Precio],"",0)</f>
        <v>2481000</v>
      </c>
      <c r="E21" s="62">
        <f>+VLOOKUP(A21,F.P!$B$7:$H$44,7,FALSE)</f>
        <v>1.5669999999999999</v>
      </c>
      <c r="F21" s="63"/>
    </row>
    <row r="22" spans="1:6" x14ac:dyDescent="0.2">
      <c r="A22" s="59">
        <v>9104</v>
      </c>
      <c r="B22" s="114" t="str">
        <f>+_xlfn.XLOOKUP(A22,INSUMO_IDU[Código],INSUMO_IDU[Nombre],"",0)</f>
        <v>TARIFA MES - PERSONAL ADMINISTRATIVO - SECRETARIA 1 (NO INCLUYE FACTOR DE PRESTACIONES)</v>
      </c>
      <c r="C22" s="60" t="str">
        <f>+_xlfn.XLOOKUP(A22,INSUMO_IDU[Código],INSUMO_IDU[UM],"",0)</f>
        <v>MES</v>
      </c>
      <c r="D22" s="61">
        <f>+_xlfn.XLOOKUP(A22,INSUMO_IDU[Código],INSUMO_IDU[Precio],"",0)</f>
        <v>2018000</v>
      </c>
      <c r="E22" s="62">
        <f>+VLOOKUP(A22,F.P!$B$7:$H$44,7,FALSE)</f>
        <v>1.5669999999999999</v>
      </c>
      <c r="F22" s="63"/>
    </row>
    <row r="23" spans="1:6" x14ac:dyDescent="0.2">
      <c r="A23" s="59">
        <v>9105</v>
      </c>
      <c r="B23" s="114" t="str">
        <f>+_xlfn.XLOOKUP(A23,INSUMO_IDU[Código],INSUMO_IDU[Nombre],"",0)</f>
        <v>TARIFA MES - PERSONAL ADMINISTRATIVO - SECRETARIA 2 (NO INCLUYE FACTOR DE PRESTACIONES)</v>
      </c>
      <c r="C23" s="60" t="str">
        <f>+_xlfn.XLOOKUP(A23,INSUMO_IDU[Código],INSUMO_IDU[UM],"",0)</f>
        <v>MES</v>
      </c>
      <c r="D23" s="61">
        <f>+_xlfn.XLOOKUP(A23,INSUMO_IDU[Código],INSUMO_IDU[Precio],"",0)</f>
        <v>1750905</v>
      </c>
      <c r="E23" s="62">
        <f>+VLOOKUP(A23,F.P!$B$7:$H$44,7,FALSE)</f>
        <v>1.5669999999999999</v>
      </c>
      <c r="F23" s="63"/>
    </row>
    <row r="24" spans="1:6" x14ac:dyDescent="0.2">
      <c r="A24" s="59">
        <v>9107</v>
      </c>
      <c r="B24" s="114" t="str">
        <f>+_xlfn.XLOOKUP(A24,INSUMO_IDU[Código],INSUMO_IDU[Nombre],"",0)</f>
        <v>TARIFA MES - PROFESIONAL CATEGORÍA 1 (NO INCLUYE FACTOR DE PRESTACIONES)</v>
      </c>
      <c r="C24" s="60" t="str">
        <f>+_xlfn.XLOOKUP(A24,INSUMO_IDU[Código],INSUMO_IDU[UM],"",0)</f>
        <v>MES</v>
      </c>
      <c r="D24" s="61">
        <f>+_xlfn.XLOOKUP(A24,INSUMO_IDU[Código],INSUMO_IDU[Precio],"",0)</f>
        <v>17387000</v>
      </c>
      <c r="E24" s="62">
        <f>+VLOOKUP(A24,F.P!$B$7:$H$44,7,FALSE)</f>
        <v>1.4510000000000001</v>
      </c>
      <c r="F24" s="64"/>
    </row>
    <row r="25" spans="1:6" x14ac:dyDescent="0.2">
      <c r="A25" s="59">
        <v>9108</v>
      </c>
      <c r="B25" s="114" t="str">
        <f>+_xlfn.XLOOKUP(A25,INSUMO_IDU[Código],INSUMO_IDU[Nombre],"",0)</f>
        <v>TARIFA MES - PROFESIONAL CATEGORÍA 2 (NO INCLUYE FACTOR DE PRESTACIONES)</v>
      </c>
      <c r="C25" s="60" t="str">
        <f>+_xlfn.XLOOKUP(A25,INSUMO_IDU[Código],INSUMO_IDU[UM],"",0)</f>
        <v>MES</v>
      </c>
      <c r="D25" s="61">
        <f>+_xlfn.XLOOKUP(A25,INSUMO_IDU[Código],INSUMO_IDU[Precio],"",0)</f>
        <v>13251000</v>
      </c>
      <c r="E25" s="62">
        <f>+VLOOKUP(A25,F.P!$B$7:$H$44,7,FALSE)</f>
        <v>1.4510000000000001</v>
      </c>
      <c r="F25" s="63"/>
    </row>
    <row r="26" spans="1:6" x14ac:dyDescent="0.2">
      <c r="A26" s="59">
        <v>9109</v>
      </c>
      <c r="B26" s="114" t="str">
        <f>+_xlfn.XLOOKUP(A26,INSUMO_IDU[Código],INSUMO_IDU[Nombre],"",0)</f>
        <v>TARIFA MES - PROFESIONAL CATEGORÍA 3 (NO INCLUYE FACTOR DE PRESTACIONES)</v>
      </c>
      <c r="C26" s="60" t="str">
        <f>+_xlfn.XLOOKUP(A26,INSUMO_IDU[Código],INSUMO_IDU[UM],"",0)</f>
        <v>MES</v>
      </c>
      <c r="D26" s="61">
        <f>+_xlfn.XLOOKUP(A26,INSUMO_IDU[Código],INSUMO_IDU[Precio],"",0)</f>
        <v>11183000</v>
      </c>
      <c r="E26" s="62">
        <f>+VLOOKUP(A26,F.P!$B$7:$H$44,7,FALSE)</f>
        <v>1.4510000000000001</v>
      </c>
      <c r="F26" s="63"/>
    </row>
    <row r="27" spans="1:6" x14ac:dyDescent="0.2">
      <c r="A27" s="59">
        <v>9110</v>
      </c>
      <c r="B27" s="114" t="str">
        <f>+_xlfn.XLOOKUP(A27,INSUMO_IDU[Código],INSUMO_IDU[Nombre],"",0)</f>
        <v>TARIFA MES - PROFESIONAL CATEGORÍA 4 (NO INCLUYE FACTOR DE PRESTACIONES)</v>
      </c>
      <c r="C27" s="60" t="str">
        <f>+_xlfn.XLOOKUP(A27,INSUMO_IDU[Código],INSUMO_IDU[UM],"",0)</f>
        <v>MES</v>
      </c>
      <c r="D27" s="61">
        <f>+_xlfn.XLOOKUP(A27,INSUMO_IDU[Código],INSUMO_IDU[Precio],"",0)</f>
        <v>9522000</v>
      </c>
      <c r="E27" s="62">
        <f>+VLOOKUP(A27,F.P!$B$7:$H$44,7,FALSE)</f>
        <v>1.4510000000000001</v>
      </c>
      <c r="F27" s="65"/>
    </row>
    <row r="28" spans="1:6" x14ac:dyDescent="0.2">
      <c r="A28" s="59">
        <v>9111</v>
      </c>
      <c r="B28" s="114" t="str">
        <f>+_xlfn.XLOOKUP(A28,INSUMO_IDU[Código],INSUMO_IDU[Nombre],"",0)</f>
        <v>TARIFA MES - PROFESIONAL CATEGORÍA 5 (NO INCLUYE FACTOR DE PRESTACIONES)</v>
      </c>
      <c r="C28" s="60" t="str">
        <f>+_xlfn.XLOOKUP(A28,INSUMO_IDU[Código],INSUMO_IDU[UM],"",0)</f>
        <v>MES</v>
      </c>
      <c r="D28" s="61">
        <f>+_xlfn.XLOOKUP(A28,INSUMO_IDU[Código],INSUMO_IDU[Precio],"",0)</f>
        <v>8589000</v>
      </c>
      <c r="E28" s="62">
        <f>+VLOOKUP(A28,F.P!$B$7:$H$44,7,FALSE)</f>
        <v>1.4510000000000001</v>
      </c>
      <c r="F28" s="63"/>
    </row>
    <row r="29" spans="1:6" x14ac:dyDescent="0.2">
      <c r="A29" s="59">
        <v>9112</v>
      </c>
      <c r="B29" s="114" t="str">
        <f>+_xlfn.XLOOKUP(A29,INSUMO_IDU[Código],INSUMO_IDU[Nombre],"",0)</f>
        <v>TARIFA MES - PROFESIONAL CATEGORÍA 6 (NO INCLUYE FACTOR DE PRESTACIONES)</v>
      </c>
      <c r="C29" s="60" t="str">
        <f>+_xlfn.XLOOKUP(A29,INSUMO_IDU[Código],INSUMO_IDU[UM],"",0)</f>
        <v>MES</v>
      </c>
      <c r="D29" s="61">
        <f>+_xlfn.XLOOKUP(A29,INSUMO_IDU[Código],INSUMO_IDU[Precio],"",0)</f>
        <v>7659000</v>
      </c>
      <c r="E29" s="62">
        <f>+VLOOKUP(A29,F.P!$B$7:$H$44,7,FALSE)</f>
        <v>1.4510000000000001</v>
      </c>
      <c r="F29" s="63"/>
    </row>
    <row r="30" spans="1:6" x14ac:dyDescent="0.2">
      <c r="A30" s="59">
        <v>9113</v>
      </c>
      <c r="B30" s="114" t="str">
        <f>+_xlfn.XLOOKUP(A30,INSUMO_IDU[Código],INSUMO_IDU[Nombre],"",0)</f>
        <v>TARIFA MES - PROFESIONAL CATEGORÍA 7 (NO INCLUYE FACTOR DE PRESTACIONES)</v>
      </c>
      <c r="C30" s="60" t="str">
        <f>+_xlfn.XLOOKUP(A30,INSUMO_IDU[Código],INSUMO_IDU[UM],"",0)</f>
        <v>MES</v>
      </c>
      <c r="D30" s="61">
        <f>+_xlfn.XLOOKUP(A30,INSUMO_IDU[Código],INSUMO_IDU[Precio],"",0)</f>
        <v>5791000</v>
      </c>
      <c r="E30" s="62">
        <f>+VLOOKUP(A30,F.P!$B$7:$H$44,7,FALSE)</f>
        <v>1.4510000000000001</v>
      </c>
      <c r="F30" s="63"/>
    </row>
    <row r="31" spans="1:6" x14ac:dyDescent="0.2">
      <c r="A31" s="59">
        <v>9455</v>
      </c>
      <c r="B31" s="114" t="str">
        <f>+_xlfn.XLOOKUP(A31,INSUMO_IDU[Código],INSUMO_IDU[Nombre],"",0)</f>
        <v>TARIFA MES - PERSONAL DE OBRA - AYUDANTE (NO INCLUYE FACTOR DE PRESTACIONES)</v>
      </c>
      <c r="C31" s="60" t="str">
        <f>+_xlfn.XLOOKUP(A31,INSUMO_IDU[Código],INSUMO_IDU[UM],"",0)</f>
        <v>MES</v>
      </c>
      <c r="D31" s="61">
        <f>+_xlfn.XLOOKUP(A31,INSUMO_IDU[Código],INSUMO_IDU[Precio],"",0)</f>
        <v>1750905</v>
      </c>
      <c r="E31" s="62">
        <f>+VLOOKUP(A31,F.P!$B$7:$H$44,7,FALSE)</f>
        <v>1.5669999999999999</v>
      </c>
      <c r="F31" s="63"/>
    </row>
    <row r="32" spans="1:6" x14ac:dyDescent="0.2">
      <c r="A32" s="59">
        <v>9457</v>
      </c>
      <c r="B32" s="114" t="str">
        <f>+_xlfn.XLOOKUP(A32,INSUMO_IDU[Código],INSUMO_IDU[Nombre],"",0)</f>
        <v>TARIFA MES - PERSONAL DE OBRA - INSPECTOR 1 HORARIO NOCTURNO (NO INCLUYE FACTOR DE PRESTACIONES)</v>
      </c>
      <c r="C32" s="60" t="str">
        <f>+_xlfn.XLOOKUP(A32,INSUMO_IDU[Código],INSUMO_IDU[UM],"",0)</f>
        <v>MES</v>
      </c>
      <c r="D32" s="61">
        <f>+_xlfn.XLOOKUP(A32,INSUMO_IDU[Código],INSUMO_IDU[Precio],"",0)</f>
        <v>3669300</v>
      </c>
      <c r="E32" s="62">
        <f>+VLOOKUP(A32,F.P!$B$7:$H$44,7,FALSE)</f>
        <v>1.4510000000000001</v>
      </c>
      <c r="F32" s="63"/>
    </row>
    <row r="33" spans="1:5" ht="20.399999999999999" x14ac:dyDescent="0.2">
      <c r="A33" s="59">
        <v>9575</v>
      </c>
      <c r="B33" s="114" t="str">
        <f>+_xlfn.XLOOKUP(A33,INSUMO_IDU[Código],INSUMO_IDU[Nombre],"",0)</f>
        <v>TARIFA MES - PERSONAL TÉCNICO - CELADOR ARMADO (24 horas por 30 dias dividos en 3 turnos de 8 horas diarias. Incluye prestaciones de ley, Administraciòn y servicios).</v>
      </c>
      <c r="C33" s="60" t="str">
        <f>+_xlfn.XLOOKUP(A33,INSUMO_IDU[Código],INSUMO_IDU[UM],"",0)</f>
        <v>MES</v>
      </c>
      <c r="D33" s="61">
        <f>+_xlfn.XLOOKUP(A33,INSUMO_IDU[Código],INSUMO_IDU[Precio],"",0)</f>
        <v>18832062</v>
      </c>
      <c r="E33" s="62"/>
    </row>
    <row r="34" spans="1:5" ht="12.75" customHeight="1" x14ac:dyDescent="0.2">
      <c r="E34" s="66"/>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2AD57-D4E3-4C3C-9DE7-F7DA729FB62D}">
  <dimension ref="A1:HN48"/>
  <sheetViews>
    <sheetView zoomScale="70" zoomScaleNormal="70" workbookViewId="0">
      <selection activeCell="K7" sqref="K7"/>
    </sheetView>
  </sheetViews>
  <sheetFormatPr baseColWidth="10" defaultColWidth="11.44140625" defaultRowHeight="13.2" x14ac:dyDescent="0.25"/>
  <cols>
    <col min="1" max="1" width="25.88671875" style="69" bestFit="1" customWidth="1"/>
    <col min="2" max="2" width="15.109375" style="69" bestFit="1" customWidth="1"/>
    <col min="3" max="3" width="34.109375" style="110" customWidth="1"/>
    <col min="4" max="4" width="67" style="110" customWidth="1"/>
    <col min="5" max="5" width="18.33203125" style="110" customWidth="1"/>
    <col min="6" max="6" width="17.33203125" style="68" bestFit="1" customWidth="1"/>
    <col min="7" max="7" width="11.6640625" style="68" customWidth="1"/>
    <col min="8" max="8" width="21.88671875" style="68" customWidth="1"/>
    <col min="9" max="10" width="11.44140625" style="68"/>
    <col min="11" max="11" width="20.44140625" style="68" bestFit="1" customWidth="1"/>
    <col min="12" max="222" width="11.44140625" style="68"/>
    <col min="223" max="242" width="11.44140625" style="67"/>
    <col min="243" max="243" width="25.88671875" style="67" bestFit="1" customWidth="1"/>
    <col min="244" max="244" width="15.109375" style="67" bestFit="1" customWidth="1"/>
    <col min="245" max="245" width="28.5546875" style="67" customWidth="1"/>
    <col min="246" max="246" width="18.33203125" style="67" customWidth="1"/>
    <col min="247" max="247" width="17.33203125" style="67" bestFit="1" customWidth="1"/>
    <col min="248" max="248" width="11.6640625" style="67" customWidth="1"/>
    <col min="249" max="251" width="21.88671875" style="67" customWidth="1"/>
    <col min="252" max="252" width="11.44140625" style="67"/>
    <col min="253" max="253" width="16.109375" style="67" bestFit="1" customWidth="1"/>
    <col min="254" max="254" width="12.88671875" style="67" bestFit="1" customWidth="1"/>
    <col min="255" max="498" width="11.44140625" style="67"/>
    <col min="499" max="499" width="25.88671875" style="67" bestFit="1" customWidth="1"/>
    <col min="500" max="500" width="15.109375" style="67" bestFit="1" customWidth="1"/>
    <col min="501" max="501" width="28.5546875" style="67" customWidth="1"/>
    <col min="502" max="502" width="18.33203125" style="67" customWidth="1"/>
    <col min="503" max="503" width="17.33203125" style="67" bestFit="1" customWidth="1"/>
    <col min="504" max="504" width="11.6640625" style="67" customWidth="1"/>
    <col min="505" max="507" width="21.88671875" style="67" customWidth="1"/>
    <col min="508" max="508" width="11.44140625" style="67"/>
    <col min="509" max="509" width="16.109375" style="67" bestFit="1" customWidth="1"/>
    <col min="510" max="510" width="12.88671875" style="67" bestFit="1" customWidth="1"/>
    <col min="511" max="754" width="11.44140625" style="67"/>
    <col min="755" max="755" width="25.88671875" style="67" bestFit="1" customWidth="1"/>
    <col min="756" max="756" width="15.109375" style="67" bestFit="1" customWidth="1"/>
    <col min="757" max="757" width="28.5546875" style="67" customWidth="1"/>
    <col min="758" max="758" width="18.33203125" style="67" customWidth="1"/>
    <col min="759" max="759" width="17.33203125" style="67" bestFit="1" customWidth="1"/>
    <col min="760" max="760" width="11.6640625" style="67" customWidth="1"/>
    <col min="761" max="763" width="21.88671875" style="67" customWidth="1"/>
    <col min="764" max="764" width="11.44140625" style="67"/>
    <col min="765" max="765" width="16.109375" style="67" bestFit="1" customWidth="1"/>
    <col min="766" max="766" width="12.88671875" style="67" bestFit="1" customWidth="1"/>
    <col min="767" max="1010" width="11.44140625" style="67"/>
    <col min="1011" max="1011" width="25.88671875" style="67" bestFit="1" customWidth="1"/>
    <col min="1012" max="1012" width="15.109375" style="67" bestFit="1" customWidth="1"/>
    <col min="1013" max="1013" width="28.5546875" style="67" customWidth="1"/>
    <col min="1014" max="1014" width="18.33203125" style="67" customWidth="1"/>
    <col min="1015" max="1015" width="17.33203125" style="67" bestFit="1" customWidth="1"/>
    <col min="1016" max="1016" width="11.6640625" style="67" customWidth="1"/>
    <col min="1017" max="1019" width="21.88671875" style="67" customWidth="1"/>
    <col min="1020" max="1020" width="11.44140625" style="67"/>
    <col min="1021" max="1021" width="16.109375" style="67" bestFit="1" customWidth="1"/>
    <col min="1022" max="1022" width="12.88671875" style="67" bestFit="1" customWidth="1"/>
    <col min="1023" max="1266" width="11.44140625" style="67"/>
    <col min="1267" max="1267" width="25.88671875" style="67" bestFit="1" customWidth="1"/>
    <col min="1268" max="1268" width="15.109375" style="67" bestFit="1" customWidth="1"/>
    <col min="1269" max="1269" width="28.5546875" style="67" customWidth="1"/>
    <col min="1270" max="1270" width="18.33203125" style="67" customWidth="1"/>
    <col min="1271" max="1271" width="17.33203125" style="67" bestFit="1" customWidth="1"/>
    <col min="1272" max="1272" width="11.6640625" style="67" customWidth="1"/>
    <col min="1273" max="1275" width="21.88671875" style="67" customWidth="1"/>
    <col min="1276" max="1276" width="11.44140625" style="67"/>
    <col min="1277" max="1277" width="16.109375" style="67" bestFit="1" customWidth="1"/>
    <col min="1278" max="1278" width="12.88671875" style="67" bestFit="1" customWidth="1"/>
    <col min="1279" max="1522" width="11.44140625" style="67"/>
    <col min="1523" max="1523" width="25.88671875" style="67" bestFit="1" customWidth="1"/>
    <col min="1524" max="1524" width="15.109375" style="67" bestFit="1" customWidth="1"/>
    <col min="1525" max="1525" width="28.5546875" style="67" customWidth="1"/>
    <col min="1526" max="1526" width="18.33203125" style="67" customWidth="1"/>
    <col min="1527" max="1527" width="17.33203125" style="67" bestFit="1" customWidth="1"/>
    <col min="1528" max="1528" width="11.6640625" style="67" customWidth="1"/>
    <col min="1529" max="1531" width="21.88671875" style="67" customWidth="1"/>
    <col min="1532" max="1532" width="11.44140625" style="67"/>
    <col min="1533" max="1533" width="16.109375" style="67" bestFit="1" customWidth="1"/>
    <col min="1534" max="1534" width="12.88671875" style="67" bestFit="1" customWidth="1"/>
    <col min="1535" max="1778" width="11.44140625" style="67"/>
    <col min="1779" max="1779" width="25.88671875" style="67" bestFit="1" customWidth="1"/>
    <col min="1780" max="1780" width="15.109375" style="67" bestFit="1" customWidth="1"/>
    <col min="1781" max="1781" width="28.5546875" style="67" customWidth="1"/>
    <col min="1782" max="1782" width="18.33203125" style="67" customWidth="1"/>
    <col min="1783" max="1783" width="17.33203125" style="67" bestFit="1" customWidth="1"/>
    <col min="1784" max="1784" width="11.6640625" style="67" customWidth="1"/>
    <col min="1785" max="1787" width="21.88671875" style="67" customWidth="1"/>
    <col min="1788" max="1788" width="11.44140625" style="67"/>
    <col min="1789" max="1789" width="16.109375" style="67" bestFit="1" customWidth="1"/>
    <col min="1790" max="1790" width="12.88671875" style="67" bestFit="1" customWidth="1"/>
    <col min="1791" max="2034" width="11.44140625" style="67"/>
    <col min="2035" max="2035" width="25.88671875" style="67" bestFit="1" customWidth="1"/>
    <col min="2036" max="2036" width="15.109375" style="67" bestFit="1" customWidth="1"/>
    <col min="2037" max="2037" width="28.5546875" style="67" customWidth="1"/>
    <col min="2038" max="2038" width="18.33203125" style="67" customWidth="1"/>
    <col min="2039" max="2039" width="17.33203125" style="67" bestFit="1" customWidth="1"/>
    <col min="2040" max="2040" width="11.6640625" style="67" customWidth="1"/>
    <col min="2041" max="2043" width="21.88671875" style="67" customWidth="1"/>
    <col min="2044" max="2044" width="11.44140625" style="67"/>
    <col min="2045" max="2045" width="16.109375" style="67" bestFit="1" customWidth="1"/>
    <col min="2046" max="2046" width="12.88671875" style="67" bestFit="1" customWidth="1"/>
    <col min="2047" max="2290" width="11.44140625" style="67"/>
    <col min="2291" max="2291" width="25.88671875" style="67" bestFit="1" customWidth="1"/>
    <col min="2292" max="2292" width="15.109375" style="67" bestFit="1" customWidth="1"/>
    <col min="2293" max="2293" width="28.5546875" style="67" customWidth="1"/>
    <col min="2294" max="2294" width="18.33203125" style="67" customWidth="1"/>
    <col min="2295" max="2295" width="17.33203125" style="67" bestFit="1" customWidth="1"/>
    <col min="2296" max="2296" width="11.6640625" style="67" customWidth="1"/>
    <col min="2297" max="2299" width="21.88671875" style="67" customWidth="1"/>
    <col min="2300" max="2300" width="11.44140625" style="67"/>
    <col min="2301" max="2301" width="16.109375" style="67" bestFit="1" customWidth="1"/>
    <col min="2302" max="2302" width="12.88671875" style="67" bestFit="1" customWidth="1"/>
    <col min="2303" max="2546" width="11.44140625" style="67"/>
    <col min="2547" max="2547" width="25.88671875" style="67" bestFit="1" customWidth="1"/>
    <col min="2548" max="2548" width="15.109375" style="67" bestFit="1" customWidth="1"/>
    <col min="2549" max="2549" width="28.5546875" style="67" customWidth="1"/>
    <col min="2550" max="2550" width="18.33203125" style="67" customWidth="1"/>
    <col min="2551" max="2551" width="17.33203125" style="67" bestFit="1" customWidth="1"/>
    <col min="2552" max="2552" width="11.6640625" style="67" customWidth="1"/>
    <col min="2553" max="2555" width="21.88671875" style="67" customWidth="1"/>
    <col min="2556" max="2556" width="11.44140625" style="67"/>
    <col min="2557" max="2557" width="16.109375" style="67" bestFit="1" customWidth="1"/>
    <col min="2558" max="2558" width="12.88671875" style="67" bestFit="1" customWidth="1"/>
    <col min="2559" max="2802" width="11.44140625" style="67"/>
    <col min="2803" max="2803" width="25.88671875" style="67" bestFit="1" customWidth="1"/>
    <col min="2804" max="2804" width="15.109375" style="67" bestFit="1" customWidth="1"/>
    <col min="2805" max="2805" width="28.5546875" style="67" customWidth="1"/>
    <col min="2806" max="2806" width="18.33203125" style="67" customWidth="1"/>
    <col min="2807" max="2807" width="17.33203125" style="67" bestFit="1" customWidth="1"/>
    <col min="2808" max="2808" width="11.6640625" style="67" customWidth="1"/>
    <col min="2809" max="2811" width="21.88671875" style="67" customWidth="1"/>
    <col min="2812" max="2812" width="11.44140625" style="67"/>
    <col min="2813" max="2813" width="16.109375" style="67" bestFit="1" customWidth="1"/>
    <col min="2814" max="2814" width="12.88671875" style="67" bestFit="1" customWidth="1"/>
    <col min="2815" max="3058" width="11.44140625" style="67"/>
    <col min="3059" max="3059" width="25.88671875" style="67" bestFit="1" customWidth="1"/>
    <col min="3060" max="3060" width="15.109375" style="67" bestFit="1" customWidth="1"/>
    <col min="3061" max="3061" width="28.5546875" style="67" customWidth="1"/>
    <col min="3062" max="3062" width="18.33203125" style="67" customWidth="1"/>
    <col min="3063" max="3063" width="17.33203125" style="67" bestFit="1" customWidth="1"/>
    <col min="3064" max="3064" width="11.6640625" style="67" customWidth="1"/>
    <col min="3065" max="3067" width="21.88671875" style="67" customWidth="1"/>
    <col min="3068" max="3068" width="11.44140625" style="67"/>
    <col min="3069" max="3069" width="16.109375" style="67" bestFit="1" customWidth="1"/>
    <col min="3070" max="3070" width="12.88671875" style="67" bestFit="1" customWidth="1"/>
    <col min="3071" max="3314" width="11.44140625" style="67"/>
    <col min="3315" max="3315" width="25.88671875" style="67" bestFit="1" customWidth="1"/>
    <col min="3316" max="3316" width="15.109375" style="67" bestFit="1" customWidth="1"/>
    <col min="3317" max="3317" width="28.5546875" style="67" customWidth="1"/>
    <col min="3318" max="3318" width="18.33203125" style="67" customWidth="1"/>
    <col min="3319" max="3319" width="17.33203125" style="67" bestFit="1" customWidth="1"/>
    <col min="3320" max="3320" width="11.6640625" style="67" customWidth="1"/>
    <col min="3321" max="3323" width="21.88671875" style="67" customWidth="1"/>
    <col min="3324" max="3324" width="11.44140625" style="67"/>
    <col min="3325" max="3325" width="16.109375" style="67" bestFit="1" customWidth="1"/>
    <col min="3326" max="3326" width="12.88671875" style="67" bestFit="1" customWidth="1"/>
    <col min="3327" max="3570" width="11.44140625" style="67"/>
    <col min="3571" max="3571" width="25.88671875" style="67" bestFit="1" customWidth="1"/>
    <col min="3572" max="3572" width="15.109375" style="67" bestFit="1" customWidth="1"/>
    <col min="3573" max="3573" width="28.5546875" style="67" customWidth="1"/>
    <col min="3574" max="3574" width="18.33203125" style="67" customWidth="1"/>
    <col min="3575" max="3575" width="17.33203125" style="67" bestFit="1" customWidth="1"/>
    <col min="3576" max="3576" width="11.6640625" style="67" customWidth="1"/>
    <col min="3577" max="3579" width="21.88671875" style="67" customWidth="1"/>
    <col min="3580" max="3580" width="11.44140625" style="67"/>
    <col min="3581" max="3581" width="16.109375" style="67" bestFit="1" customWidth="1"/>
    <col min="3582" max="3582" width="12.88671875" style="67" bestFit="1" customWidth="1"/>
    <col min="3583" max="3826" width="11.44140625" style="67"/>
    <col min="3827" max="3827" width="25.88671875" style="67" bestFit="1" customWidth="1"/>
    <col min="3828" max="3828" width="15.109375" style="67" bestFit="1" customWidth="1"/>
    <col min="3829" max="3829" width="28.5546875" style="67" customWidth="1"/>
    <col min="3830" max="3830" width="18.33203125" style="67" customWidth="1"/>
    <col min="3831" max="3831" width="17.33203125" style="67" bestFit="1" customWidth="1"/>
    <col min="3832" max="3832" width="11.6640625" style="67" customWidth="1"/>
    <col min="3833" max="3835" width="21.88671875" style="67" customWidth="1"/>
    <col min="3836" max="3836" width="11.44140625" style="67"/>
    <col min="3837" max="3837" width="16.109375" style="67" bestFit="1" customWidth="1"/>
    <col min="3838" max="3838" width="12.88671875" style="67" bestFit="1" customWidth="1"/>
    <col min="3839" max="4082" width="11.44140625" style="67"/>
    <col min="4083" max="4083" width="25.88671875" style="67" bestFit="1" customWidth="1"/>
    <col min="4084" max="4084" width="15.109375" style="67" bestFit="1" customWidth="1"/>
    <col min="4085" max="4085" width="28.5546875" style="67" customWidth="1"/>
    <col min="4086" max="4086" width="18.33203125" style="67" customWidth="1"/>
    <col min="4087" max="4087" width="17.33203125" style="67" bestFit="1" customWidth="1"/>
    <col min="4088" max="4088" width="11.6640625" style="67" customWidth="1"/>
    <col min="4089" max="4091" width="21.88671875" style="67" customWidth="1"/>
    <col min="4092" max="4092" width="11.44140625" style="67"/>
    <col min="4093" max="4093" width="16.109375" style="67" bestFit="1" customWidth="1"/>
    <col min="4094" max="4094" width="12.88671875" style="67" bestFit="1" customWidth="1"/>
    <col min="4095" max="4338" width="11.44140625" style="67"/>
    <col min="4339" max="4339" width="25.88671875" style="67" bestFit="1" customWidth="1"/>
    <col min="4340" max="4340" width="15.109375" style="67" bestFit="1" customWidth="1"/>
    <col min="4341" max="4341" width="28.5546875" style="67" customWidth="1"/>
    <col min="4342" max="4342" width="18.33203125" style="67" customWidth="1"/>
    <col min="4343" max="4343" width="17.33203125" style="67" bestFit="1" customWidth="1"/>
    <col min="4344" max="4344" width="11.6640625" style="67" customWidth="1"/>
    <col min="4345" max="4347" width="21.88671875" style="67" customWidth="1"/>
    <col min="4348" max="4348" width="11.44140625" style="67"/>
    <col min="4349" max="4349" width="16.109375" style="67" bestFit="1" customWidth="1"/>
    <col min="4350" max="4350" width="12.88671875" style="67" bestFit="1" customWidth="1"/>
    <col min="4351" max="4594" width="11.44140625" style="67"/>
    <col min="4595" max="4595" width="25.88671875" style="67" bestFit="1" customWidth="1"/>
    <col min="4596" max="4596" width="15.109375" style="67" bestFit="1" customWidth="1"/>
    <col min="4597" max="4597" width="28.5546875" style="67" customWidth="1"/>
    <col min="4598" max="4598" width="18.33203125" style="67" customWidth="1"/>
    <col min="4599" max="4599" width="17.33203125" style="67" bestFit="1" customWidth="1"/>
    <col min="4600" max="4600" width="11.6640625" style="67" customWidth="1"/>
    <col min="4601" max="4603" width="21.88671875" style="67" customWidth="1"/>
    <col min="4604" max="4604" width="11.44140625" style="67"/>
    <col min="4605" max="4605" width="16.109375" style="67" bestFit="1" customWidth="1"/>
    <col min="4606" max="4606" width="12.88671875" style="67" bestFit="1" customWidth="1"/>
    <col min="4607" max="4850" width="11.44140625" style="67"/>
    <col min="4851" max="4851" width="25.88671875" style="67" bestFit="1" customWidth="1"/>
    <col min="4852" max="4852" width="15.109375" style="67" bestFit="1" customWidth="1"/>
    <col min="4853" max="4853" width="28.5546875" style="67" customWidth="1"/>
    <col min="4854" max="4854" width="18.33203125" style="67" customWidth="1"/>
    <col min="4855" max="4855" width="17.33203125" style="67" bestFit="1" customWidth="1"/>
    <col min="4856" max="4856" width="11.6640625" style="67" customWidth="1"/>
    <col min="4857" max="4859" width="21.88671875" style="67" customWidth="1"/>
    <col min="4860" max="4860" width="11.44140625" style="67"/>
    <col min="4861" max="4861" width="16.109375" style="67" bestFit="1" customWidth="1"/>
    <col min="4862" max="4862" width="12.88671875" style="67" bestFit="1" customWidth="1"/>
    <col min="4863" max="5106" width="11.44140625" style="67"/>
    <col min="5107" max="5107" width="25.88671875" style="67" bestFit="1" customWidth="1"/>
    <col min="5108" max="5108" width="15.109375" style="67" bestFit="1" customWidth="1"/>
    <col min="5109" max="5109" width="28.5546875" style="67" customWidth="1"/>
    <col min="5110" max="5110" width="18.33203125" style="67" customWidth="1"/>
    <col min="5111" max="5111" width="17.33203125" style="67" bestFit="1" customWidth="1"/>
    <col min="5112" max="5112" width="11.6640625" style="67" customWidth="1"/>
    <col min="5113" max="5115" width="21.88671875" style="67" customWidth="1"/>
    <col min="5116" max="5116" width="11.44140625" style="67"/>
    <col min="5117" max="5117" width="16.109375" style="67" bestFit="1" customWidth="1"/>
    <col min="5118" max="5118" width="12.88671875" style="67" bestFit="1" customWidth="1"/>
    <col min="5119" max="5362" width="11.44140625" style="67"/>
    <col min="5363" max="5363" width="25.88671875" style="67" bestFit="1" customWidth="1"/>
    <col min="5364" max="5364" width="15.109375" style="67" bestFit="1" customWidth="1"/>
    <col min="5365" max="5365" width="28.5546875" style="67" customWidth="1"/>
    <col min="5366" max="5366" width="18.33203125" style="67" customWidth="1"/>
    <col min="5367" max="5367" width="17.33203125" style="67" bestFit="1" customWidth="1"/>
    <col min="5368" max="5368" width="11.6640625" style="67" customWidth="1"/>
    <col min="5369" max="5371" width="21.88671875" style="67" customWidth="1"/>
    <col min="5372" max="5372" width="11.44140625" style="67"/>
    <col min="5373" max="5373" width="16.109375" style="67" bestFit="1" customWidth="1"/>
    <col min="5374" max="5374" width="12.88671875" style="67" bestFit="1" customWidth="1"/>
    <col min="5375" max="5618" width="11.44140625" style="67"/>
    <col min="5619" max="5619" width="25.88671875" style="67" bestFit="1" customWidth="1"/>
    <col min="5620" max="5620" width="15.109375" style="67" bestFit="1" customWidth="1"/>
    <col min="5621" max="5621" width="28.5546875" style="67" customWidth="1"/>
    <col min="5622" max="5622" width="18.33203125" style="67" customWidth="1"/>
    <col min="5623" max="5623" width="17.33203125" style="67" bestFit="1" customWidth="1"/>
    <col min="5624" max="5624" width="11.6640625" style="67" customWidth="1"/>
    <col min="5625" max="5627" width="21.88671875" style="67" customWidth="1"/>
    <col min="5628" max="5628" width="11.44140625" style="67"/>
    <col min="5629" max="5629" width="16.109375" style="67" bestFit="1" customWidth="1"/>
    <col min="5630" max="5630" width="12.88671875" style="67" bestFit="1" customWidth="1"/>
    <col min="5631" max="5874" width="11.44140625" style="67"/>
    <col min="5875" max="5875" width="25.88671875" style="67" bestFit="1" customWidth="1"/>
    <col min="5876" max="5876" width="15.109375" style="67" bestFit="1" customWidth="1"/>
    <col min="5877" max="5877" width="28.5546875" style="67" customWidth="1"/>
    <col min="5878" max="5878" width="18.33203125" style="67" customWidth="1"/>
    <col min="5879" max="5879" width="17.33203125" style="67" bestFit="1" customWidth="1"/>
    <col min="5880" max="5880" width="11.6640625" style="67" customWidth="1"/>
    <col min="5881" max="5883" width="21.88671875" style="67" customWidth="1"/>
    <col min="5884" max="5884" width="11.44140625" style="67"/>
    <col min="5885" max="5885" width="16.109375" style="67" bestFit="1" customWidth="1"/>
    <col min="5886" max="5886" width="12.88671875" style="67" bestFit="1" customWidth="1"/>
    <col min="5887" max="6130" width="11.44140625" style="67"/>
    <col min="6131" max="6131" width="25.88671875" style="67" bestFit="1" customWidth="1"/>
    <col min="6132" max="6132" width="15.109375" style="67" bestFit="1" customWidth="1"/>
    <col min="6133" max="6133" width="28.5546875" style="67" customWidth="1"/>
    <col min="6134" max="6134" width="18.33203125" style="67" customWidth="1"/>
    <col min="6135" max="6135" width="17.33203125" style="67" bestFit="1" customWidth="1"/>
    <col min="6136" max="6136" width="11.6640625" style="67" customWidth="1"/>
    <col min="6137" max="6139" width="21.88671875" style="67" customWidth="1"/>
    <col min="6140" max="6140" width="11.44140625" style="67"/>
    <col min="6141" max="6141" width="16.109375" style="67" bestFit="1" customWidth="1"/>
    <col min="6142" max="6142" width="12.88671875" style="67" bestFit="1" customWidth="1"/>
    <col min="6143" max="6386" width="11.44140625" style="67"/>
    <col min="6387" max="6387" width="25.88671875" style="67" bestFit="1" customWidth="1"/>
    <col min="6388" max="6388" width="15.109375" style="67" bestFit="1" customWidth="1"/>
    <col min="6389" max="6389" width="28.5546875" style="67" customWidth="1"/>
    <col min="6390" max="6390" width="18.33203125" style="67" customWidth="1"/>
    <col min="6391" max="6391" width="17.33203125" style="67" bestFit="1" customWidth="1"/>
    <col min="6392" max="6392" width="11.6640625" style="67" customWidth="1"/>
    <col min="6393" max="6395" width="21.88671875" style="67" customWidth="1"/>
    <col min="6396" max="6396" width="11.44140625" style="67"/>
    <col min="6397" max="6397" width="16.109375" style="67" bestFit="1" customWidth="1"/>
    <col min="6398" max="6398" width="12.88671875" style="67" bestFit="1" customWidth="1"/>
    <col min="6399" max="6642" width="11.44140625" style="67"/>
    <col min="6643" max="6643" width="25.88671875" style="67" bestFit="1" customWidth="1"/>
    <col min="6644" max="6644" width="15.109375" style="67" bestFit="1" customWidth="1"/>
    <col min="6645" max="6645" width="28.5546875" style="67" customWidth="1"/>
    <col min="6646" max="6646" width="18.33203125" style="67" customWidth="1"/>
    <col min="6647" max="6647" width="17.33203125" style="67" bestFit="1" customWidth="1"/>
    <col min="6648" max="6648" width="11.6640625" style="67" customWidth="1"/>
    <col min="6649" max="6651" width="21.88671875" style="67" customWidth="1"/>
    <col min="6652" max="6652" width="11.44140625" style="67"/>
    <col min="6653" max="6653" width="16.109375" style="67" bestFit="1" customWidth="1"/>
    <col min="6654" max="6654" width="12.88671875" style="67" bestFit="1" customWidth="1"/>
    <col min="6655" max="6898" width="11.44140625" style="67"/>
    <col min="6899" max="6899" width="25.88671875" style="67" bestFit="1" customWidth="1"/>
    <col min="6900" max="6900" width="15.109375" style="67" bestFit="1" customWidth="1"/>
    <col min="6901" max="6901" width="28.5546875" style="67" customWidth="1"/>
    <col min="6902" max="6902" width="18.33203125" style="67" customWidth="1"/>
    <col min="6903" max="6903" width="17.33203125" style="67" bestFit="1" customWidth="1"/>
    <col min="6904" max="6904" width="11.6640625" style="67" customWidth="1"/>
    <col min="6905" max="6907" width="21.88671875" style="67" customWidth="1"/>
    <col min="6908" max="6908" width="11.44140625" style="67"/>
    <col min="6909" max="6909" width="16.109375" style="67" bestFit="1" customWidth="1"/>
    <col min="6910" max="6910" width="12.88671875" style="67" bestFit="1" customWidth="1"/>
    <col min="6911" max="7154" width="11.44140625" style="67"/>
    <col min="7155" max="7155" width="25.88671875" style="67" bestFit="1" customWidth="1"/>
    <col min="7156" max="7156" width="15.109375" style="67" bestFit="1" customWidth="1"/>
    <col min="7157" max="7157" width="28.5546875" style="67" customWidth="1"/>
    <col min="7158" max="7158" width="18.33203125" style="67" customWidth="1"/>
    <col min="7159" max="7159" width="17.33203125" style="67" bestFit="1" customWidth="1"/>
    <col min="7160" max="7160" width="11.6640625" style="67" customWidth="1"/>
    <col min="7161" max="7163" width="21.88671875" style="67" customWidth="1"/>
    <col min="7164" max="7164" width="11.44140625" style="67"/>
    <col min="7165" max="7165" width="16.109375" style="67" bestFit="1" customWidth="1"/>
    <col min="7166" max="7166" width="12.88671875" style="67" bestFit="1" customWidth="1"/>
    <col min="7167" max="7410" width="11.44140625" style="67"/>
    <col min="7411" max="7411" width="25.88671875" style="67" bestFit="1" customWidth="1"/>
    <col min="7412" max="7412" width="15.109375" style="67" bestFit="1" customWidth="1"/>
    <col min="7413" max="7413" width="28.5546875" style="67" customWidth="1"/>
    <col min="7414" max="7414" width="18.33203125" style="67" customWidth="1"/>
    <col min="7415" max="7415" width="17.33203125" style="67" bestFit="1" customWidth="1"/>
    <col min="7416" max="7416" width="11.6640625" style="67" customWidth="1"/>
    <col min="7417" max="7419" width="21.88671875" style="67" customWidth="1"/>
    <col min="7420" max="7420" width="11.44140625" style="67"/>
    <col min="7421" max="7421" width="16.109375" style="67" bestFit="1" customWidth="1"/>
    <col min="7422" max="7422" width="12.88671875" style="67" bestFit="1" customWidth="1"/>
    <col min="7423" max="7666" width="11.44140625" style="67"/>
    <col min="7667" max="7667" width="25.88671875" style="67" bestFit="1" customWidth="1"/>
    <col min="7668" max="7668" width="15.109375" style="67" bestFit="1" customWidth="1"/>
    <col min="7669" max="7669" width="28.5546875" style="67" customWidth="1"/>
    <col min="7670" max="7670" width="18.33203125" style="67" customWidth="1"/>
    <col min="7671" max="7671" width="17.33203125" style="67" bestFit="1" customWidth="1"/>
    <col min="7672" max="7672" width="11.6640625" style="67" customWidth="1"/>
    <col min="7673" max="7675" width="21.88671875" style="67" customWidth="1"/>
    <col min="7676" max="7676" width="11.44140625" style="67"/>
    <col min="7677" max="7677" width="16.109375" style="67" bestFit="1" customWidth="1"/>
    <col min="7678" max="7678" width="12.88671875" style="67" bestFit="1" customWidth="1"/>
    <col min="7679" max="7922" width="11.44140625" style="67"/>
    <col min="7923" max="7923" width="25.88671875" style="67" bestFit="1" customWidth="1"/>
    <col min="7924" max="7924" width="15.109375" style="67" bestFit="1" customWidth="1"/>
    <col min="7925" max="7925" width="28.5546875" style="67" customWidth="1"/>
    <col min="7926" max="7926" width="18.33203125" style="67" customWidth="1"/>
    <col min="7927" max="7927" width="17.33203125" style="67" bestFit="1" customWidth="1"/>
    <col min="7928" max="7928" width="11.6640625" style="67" customWidth="1"/>
    <col min="7929" max="7931" width="21.88671875" style="67" customWidth="1"/>
    <col min="7932" max="7932" width="11.44140625" style="67"/>
    <col min="7933" max="7933" width="16.109375" style="67" bestFit="1" customWidth="1"/>
    <col min="7934" max="7934" width="12.88671875" style="67" bestFit="1" customWidth="1"/>
    <col min="7935" max="8178" width="11.44140625" style="67"/>
    <col min="8179" max="8179" width="25.88671875" style="67" bestFit="1" customWidth="1"/>
    <col min="8180" max="8180" width="15.109375" style="67" bestFit="1" customWidth="1"/>
    <col min="8181" max="8181" width="28.5546875" style="67" customWidth="1"/>
    <col min="8182" max="8182" width="18.33203125" style="67" customWidth="1"/>
    <col min="8183" max="8183" width="17.33203125" style="67" bestFit="1" customWidth="1"/>
    <col min="8184" max="8184" width="11.6640625" style="67" customWidth="1"/>
    <col min="8185" max="8187" width="21.88671875" style="67" customWidth="1"/>
    <col min="8188" max="8188" width="11.44140625" style="67"/>
    <col min="8189" max="8189" width="16.109375" style="67" bestFit="1" customWidth="1"/>
    <col min="8190" max="8190" width="12.88671875" style="67" bestFit="1" customWidth="1"/>
    <col min="8191" max="8434" width="11.44140625" style="67"/>
    <col min="8435" max="8435" width="25.88671875" style="67" bestFit="1" customWidth="1"/>
    <col min="8436" max="8436" width="15.109375" style="67" bestFit="1" customWidth="1"/>
    <col min="8437" max="8437" width="28.5546875" style="67" customWidth="1"/>
    <col min="8438" max="8438" width="18.33203125" style="67" customWidth="1"/>
    <col min="8439" max="8439" width="17.33203125" style="67" bestFit="1" customWidth="1"/>
    <col min="8440" max="8440" width="11.6640625" style="67" customWidth="1"/>
    <col min="8441" max="8443" width="21.88671875" style="67" customWidth="1"/>
    <col min="8444" max="8444" width="11.44140625" style="67"/>
    <col min="8445" max="8445" width="16.109375" style="67" bestFit="1" customWidth="1"/>
    <col min="8446" max="8446" width="12.88671875" style="67" bestFit="1" customWidth="1"/>
    <col min="8447" max="8690" width="11.44140625" style="67"/>
    <col min="8691" max="8691" width="25.88671875" style="67" bestFit="1" customWidth="1"/>
    <col min="8692" max="8692" width="15.109375" style="67" bestFit="1" customWidth="1"/>
    <col min="8693" max="8693" width="28.5546875" style="67" customWidth="1"/>
    <col min="8694" max="8694" width="18.33203125" style="67" customWidth="1"/>
    <col min="8695" max="8695" width="17.33203125" style="67" bestFit="1" customWidth="1"/>
    <col min="8696" max="8696" width="11.6640625" style="67" customWidth="1"/>
    <col min="8697" max="8699" width="21.88671875" style="67" customWidth="1"/>
    <col min="8700" max="8700" width="11.44140625" style="67"/>
    <col min="8701" max="8701" width="16.109375" style="67" bestFit="1" customWidth="1"/>
    <col min="8702" max="8702" width="12.88671875" style="67" bestFit="1" customWidth="1"/>
    <col min="8703" max="8946" width="11.44140625" style="67"/>
    <col min="8947" max="8947" width="25.88671875" style="67" bestFit="1" customWidth="1"/>
    <col min="8948" max="8948" width="15.109375" style="67" bestFit="1" customWidth="1"/>
    <col min="8949" max="8949" width="28.5546875" style="67" customWidth="1"/>
    <col min="8950" max="8950" width="18.33203125" style="67" customWidth="1"/>
    <col min="8951" max="8951" width="17.33203125" style="67" bestFit="1" customWidth="1"/>
    <col min="8952" max="8952" width="11.6640625" style="67" customWidth="1"/>
    <col min="8953" max="8955" width="21.88671875" style="67" customWidth="1"/>
    <col min="8956" max="8956" width="11.44140625" style="67"/>
    <col min="8957" max="8957" width="16.109375" style="67" bestFit="1" customWidth="1"/>
    <col min="8958" max="8958" width="12.88671875" style="67" bestFit="1" customWidth="1"/>
    <col min="8959" max="9202" width="11.44140625" style="67"/>
    <col min="9203" max="9203" width="25.88671875" style="67" bestFit="1" customWidth="1"/>
    <col min="9204" max="9204" width="15.109375" style="67" bestFit="1" customWidth="1"/>
    <col min="9205" max="9205" width="28.5546875" style="67" customWidth="1"/>
    <col min="9206" max="9206" width="18.33203125" style="67" customWidth="1"/>
    <col min="9207" max="9207" width="17.33203125" style="67" bestFit="1" customWidth="1"/>
    <col min="9208" max="9208" width="11.6640625" style="67" customWidth="1"/>
    <col min="9209" max="9211" width="21.88671875" style="67" customWidth="1"/>
    <col min="9212" max="9212" width="11.44140625" style="67"/>
    <col min="9213" max="9213" width="16.109375" style="67" bestFit="1" customWidth="1"/>
    <col min="9214" max="9214" width="12.88671875" style="67" bestFit="1" customWidth="1"/>
    <col min="9215" max="9458" width="11.44140625" style="67"/>
    <col min="9459" max="9459" width="25.88671875" style="67" bestFit="1" customWidth="1"/>
    <col min="9460" max="9460" width="15.109375" style="67" bestFit="1" customWidth="1"/>
    <col min="9461" max="9461" width="28.5546875" style="67" customWidth="1"/>
    <col min="9462" max="9462" width="18.33203125" style="67" customWidth="1"/>
    <col min="9463" max="9463" width="17.33203125" style="67" bestFit="1" customWidth="1"/>
    <col min="9464" max="9464" width="11.6640625" style="67" customWidth="1"/>
    <col min="9465" max="9467" width="21.88671875" style="67" customWidth="1"/>
    <col min="9468" max="9468" width="11.44140625" style="67"/>
    <col min="9469" max="9469" width="16.109375" style="67" bestFit="1" customWidth="1"/>
    <col min="9470" max="9470" width="12.88671875" style="67" bestFit="1" customWidth="1"/>
    <col min="9471" max="9714" width="11.44140625" style="67"/>
    <col min="9715" max="9715" width="25.88671875" style="67" bestFit="1" customWidth="1"/>
    <col min="9716" max="9716" width="15.109375" style="67" bestFit="1" customWidth="1"/>
    <col min="9717" max="9717" width="28.5546875" style="67" customWidth="1"/>
    <col min="9718" max="9718" width="18.33203125" style="67" customWidth="1"/>
    <col min="9719" max="9719" width="17.33203125" style="67" bestFit="1" customWidth="1"/>
    <col min="9720" max="9720" width="11.6640625" style="67" customWidth="1"/>
    <col min="9721" max="9723" width="21.88671875" style="67" customWidth="1"/>
    <col min="9724" max="9724" width="11.44140625" style="67"/>
    <col min="9725" max="9725" width="16.109375" style="67" bestFit="1" customWidth="1"/>
    <col min="9726" max="9726" width="12.88671875" style="67" bestFit="1" customWidth="1"/>
    <col min="9727" max="9970" width="11.44140625" style="67"/>
    <col min="9971" max="9971" width="25.88671875" style="67" bestFit="1" customWidth="1"/>
    <col min="9972" max="9972" width="15.109375" style="67" bestFit="1" customWidth="1"/>
    <col min="9973" max="9973" width="28.5546875" style="67" customWidth="1"/>
    <col min="9974" max="9974" width="18.33203125" style="67" customWidth="1"/>
    <col min="9975" max="9975" width="17.33203125" style="67" bestFit="1" customWidth="1"/>
    <col min="9976" max="9976" width="11.6640625" style="67" customWidth="1"/>
    <col min="9977" max="9979" width="21.88671875" style="67" customWidth="1"/>
    <col min="9980" max="9980" width="11.44140625" style="67"/>
    <col min="9981" max="9981" width="16.109375" style="67" bestFit="1" customWidth="1"/>
    <col min="9982" max="9982" width="12.88671875" style="67" bestFit="1" customWidth="1"/>
    <col min="9983" max="10226" width="11.44140625" style="67"/>
    <col min="10227" max="10227" width="25.88671875" style="67" bestFit="1" customWidth="1"/>
    <col min="10228" max="10228" width="15.109375" style="67" bestFit="1" customWidth="1"/>
    <col min="10229" max="10229" width="28.5546875" style="67" customWidth="1"/>
    <col min="10230" max="10230" width="18.33203125" style="67" customWidth="1"/>
    <col min="10231" max="10231" width="17.33203125" style="67" bestFit="1" customWidth="1"/>
    <col min="10232" max="10232" width="11.6640625" style="67" customWidth="1"/>
    <col min="10233" max="10235" width="21.88671875" style="67" customWidth="1"/>
    <col min="10236" max="10236" width="11.44140625" style="67"/>
    <col min="10237" max="10237" width="16.109375" style="67" bestFit="1" customWidth="1"/>
    <col min="10238" max="10238" width="12.88671875" style="67" bestFit="1" customWidth="1"/>
    <col min="10239" max="10482" width="11.44140625" style="67"/>
    <col min="10483" max="10483" width="25.88671875" style="67" bestFit="1" customWidth="1"/>
    <col min="10484" max="10484" width="15.109375" style="67" bestFit="1" customWidth="1"/>
    <col min="10485" max="10485" width="28.5546875" style="67" customWidth="1"/>
    <col min="10486" max="10486" width="18.33203125" style="67" customWidth="1"/>
    <col min="10487" max="10487" width="17.33203125" style="67" bestFit="1" customWidth="1"/>
    <col min="10488" max="10488" width="11.6640625" style="67" customWidth="1"/>
    <col min="10489" max="10491" width="21.88671875" style="67" customWidth="1"/>
    <col min="10492" max="10492" width="11.44140625" style="67"/>
    <col min="10493" max="10493" width="16.109375" style="67" bestFit="1" customWidth="1"/>
    <col min="10494" max="10494" width="12.88671875" style="67" bestFit="1" customWidth="1"/>
    <col min="10495" max="10738" width="11.44140625" style="67"/>
    <col min="10739" max="10739" width="25.88671875" style="67" bestFit="1" customWidth="1"/>
    <col min="10740" max="10740" width="15.109375" style="67" bestFit="1" customWidth="1"/>
    <col min="10741" max="10741" width="28.5546875" style="67" customWidth="1"/>
    <col min="10742" max="10742" width="18.33203125" style="67" customWidth="1"/>
    <col min="10743" max="10743" width="17.33203125" style="67" bestFit="1" customWidth="1"/>
    <col min="10744" max="10744" width="11.6640625" style="67" customWidth="1"/>
    <col min="10745" max="10747" width="21.88671875" style="67" customWidth="1"/>
    <col min="10748" max="10748" width="11.44140625" style="67"/>
    <col min="10749" max="10749" width="16.109375" style="67" bestFit="1" customWidth="1"/>
    <col min="10750" max="10750" width="12.88671875" style="67" bestFit="1" customWidth="1"/>
    <col min="10751" max="10994" width="11.44140625" style="67"/>
    <col min="10995" max="10995" width="25.88671875" style="67" bestFit="1" customWidth="1"/>
    <col min="10996" max="10996" width="15.109375" style="67" bestFit="1" customWidth="1"/>
    <col min="10997" max="10997" width="28.5546875" style="67" customWidth="1"/>
    <col min="10998" max="10998" width="18.33203125" style="67" customWidth="1"/>
    <col min="10999" max="10999" width="17.33203125" style="67" bestFit="1" customWidth="1"/>
    <col min="11000" max="11000" width="11.6640625" style="67" customWidth="1"/>
    <col min="11001" max="11003" width="21.88671875" style="67" customWidth="1"/>
    <col min="11004" max="11004" width="11.44140625" style="67"/>
    <col min="11005" max="11005" width="16.109375" style="67" bestFit="1" customWidth="1"/>
    <col min="11006" max="11006" width="12.88671875" style="67" bestFit="1" customWidth="1"/>
    <col min="11007" max="11250" width="11.44140625" style="67"/>
    <col min="11251" max="11251" width="25.88671875" style="67" bestFit="1" customWidth="1"/>
    <col min="11252" max="11252" width="15.109375" style="67" bestFit="1" customWidth="1"/>
    <col min="11253" max="11253" width="28.5546875" style="67" customWidth="1"/>
    <col min="11254" max="11254" width="18.33203125" style="67" customWidth="1"/>
    <col min="11255" max="11255" width="17.33203125" style="67" bestFit="1" customWidth="1"/>
    <col min="11256" max="11256" width="11.6640625" style="67" customWidth="1"/>
    <col min="11257" max="11259" width="21.88671875" style="67" customWidth="1"/>
    <col min="11260" max="11260" width="11.44140625" style="67"/>
    <col min="11261" max="11261" width="16.109375" style="67" bestFit="1" customWidth="1"/>
    <col min="11262" max="11262" width="12.88671875" style="67" bestFit="1" customWidth="1"/>
    <col min="11263" max="11506" width="11.44140625" style="67"/>
    <col min="11507" max="11507" width="25.88671875" style="67" bestFit="1" customWidth="1"/>
    <col min="11508" max="11508" width="15.109375" style="67" bestFit="1" customWidth="1"/>
    <col min="11509" max="11509" width="28.5546875" style="67" customWidth="1"/>
    <col min="11510" max="11510" width="18.33203125" style="67" customWidth="1"/>
    <col min="11511" max="11511" width="17.33203125" style="67" bestFit="1" customWidth="1"/>
    <col min="11512" max="11512" width="11.6640625" style="67" customWidth="1"/>
    <col min="11513" max="11515" width="21.88671875" style="67" customWidth="1"/>
    <col min="11516" max="11516" width="11.44140625" style="67"/>
    <col min="11517" max="11517" width="16.109375" style="67" bestFit="1" customWidth="1"/>
    <col min="11518" max="11518" width="12.88671875" style="67" bestFit="1" customWidth="1"/>
    <col min="11519" max="11762" width="11.44140625" style="67"/>
    <col min="11763" max="11763" width="25.88671875" style="67" bestFit="1" customWidth="1"/>
    <col min="11764" max="11764" width="15.109375" style="67" bestFit="1" customWidth="1"/>
    <col min="11765" max="11765" width="28.5546875" style="67" customWidth="1"/>
    <col min="11766" max="11766" width="18.33203125" style="67" customWidth="1"/>
    <col min="11767" max="11767" width="17.33203125" style="67" bestFit="1" customWidth="1"/>
    <col min="11768" max="11768" width="11.6640625" style="67" customWidth="1"/>
    <col min="11769" max="11771" width="21.88671875" style="67" customWidth="1"/>
    <col min="11772" max="11772" width="11.44140625" style="67"/>
    <col min="11773" max="11773" width="16.109375" style="67" bestFit="1" customWidth="1"/>
    <col min="11774" max="11774" width="12.88671875" style="67" bestFit="1" customWidth="1"/>
    <col min="11775" max="12018" width="11.44140625" style="67"/>
    <col min="12019" max="12019" width="25.88671875" style="67" bestFit="1" customWidth="1"/>
    <col min="12020" max="12020" width="15.109375" style="67" bestFit="1" customWidth="1"/>
    <col min="12021" max="12021" width="28.5546875" style="67" customWidth="1"/>
    <col min="12022" max="12022" width="18.33203125" style="67" customWidth="1"/>
    <col min="12023" max="12023" width="17.33203125" style="67" bestFit="1" customWidth="1"/>
    <col min="12024" max="12024" width="11.6640625" style="67" customWidth="1"/>
    <col min="12025" max="12027" width="21.88671875" style="67" customWidth="1"/>
    <col min="12028" max="12028" width="11.44140625" style="67"/>
    <col min="12029" max="12029" width="16.109375" style="67" bestFit="1" customWidth="1"/>
    <col min="12030" max="12030" width="12.88671875" style="67" bestFit="1" customWidth="1"/>
    <col min="12031" max="12274" width="11.44140625" style="67"/>
    <col min="12275" max="12275" width="25.88671875" style="67" bestFit="1" customWidth="1"/>
    <col min="12276" max="12276" width="15.109375" style="67" bestFit="1" customWidth="1"/>
    <col min="12277" max="12277" width="28.5546875" style="67" customWidth="1"/>
    <col min="12278" max="12278" width="18.33203125" style="67" customWidth="1"/>
    <col min="12279" max="12279" width="17.33203125" style="67" bestFit="1" customWidth="1"/>
    <col min="12280" max="12280" width="11.6640625" style="67" customWidth="1"/>
    <col min="12281" max="12283" width="21.88671875" style="67" customWidth="1"/>
    <col min="12284" max="12284" width="11.44140625" style="67"/>
    <col min="12285" max="12285" width="16.109375" style="67" bestFit="1" customWidth="1"/>
    <col min="12286" max="12286" width="12.88671875" style="67" bestFit="1" customWidth="1"/>
    <col min="12287" max="12530" width="11.44140625" style="67"/>
    <col min="12531" max="12531" width="25.88671875" style="67" bestFit="1" customWidth="1"/>
    <col min="12532" max="12532" width="15.109375" style="67" bestFit="1" customWidth="1"/>
    <col min="12533" max="12533" width="28.5546875" style="67" customWidth="1"/>
    <col min="12534" max="12534" width="18.33203125" style="67" customWidth="1"/>
    <col min="12535" max="12535" width="17.33203125" style="67" bestFit="1" customWidth="1"/>
    <col min="12536" max="12536" width="11.6640625" style="67" customWidth="1"/>
    <col min="12537" max="12539" width="21.88671875" style="67" customWidth="1"/>
    <col min="12540" max="12540" width="11.44140625" style="67"/>
    <col min="12541" max="12541" width="16.109375" style="67" bestFit="1" customWidth="1"/>
    <col min="12542" max="12542" width="12.88671875" style="67" bestFit="1" customWidth="1"/>
    <col min="12543" max="12786" width="11.44140625" style="67"/>
    <col min="12787" max="12787" width="25.88671875" style="67" bestFit="1" customWidth="1"/>
    <col min="12788" max="12788" width="15.109375" style="67" bestFit="1" customWidth="1"/>
    <col min="12789" max="12789" width="28.5546875" style="67" customWidth="1"/>
    <col min="12790" max="12790" width="18.33203125" style="67" customWidth="1"/>
    <col min="12791" max="12791" width="17.33203125" style="67" bestFit="1" customWidth="1"/>
    <col min="12792" max="12792" width="11.6640625" style="67" customWidth="1"/>
    <col min="12793" max="12795" width="21.88671875" style="67" customWidth="1"/>
    <col min="12796" max="12796" width="11.44140625" style="67"/>
    <col min="12797" max="12797" width="16.109375" style="67" bestFit="1" customWidth="1"/>
    <col min="12798" max="12798" width="12.88671875" style="67" bestFit="1" customWidth="1"/>
    <col min="12799" max="13042" width="11.44140625" style="67"/>
    <col min="13043" max="13043" width="25.88671875" style="67" bestFit="1" customWidth="1"/>
    <col min="13044" max="13044" width="15.109375" style="67" bestFit="1" customWidth="1"/>
    <col min="13045" max="13045" width="28.5546875" style="67" customWidth="1"/>
    <col min="13046" max="13046" width="18.33203125" style="67" customWidth="1"/>
    <col min="13047" max="13047" width="17.33203125" style="67" bestFit="1" customWidth="1"/>
    <col min="13048" max="13048" width="11.6640625" style="67" customWidth="1"/>
    <col min="13049" max="13051" width="21.88671875" style="67" customWidth="1"/>
    <col min="13052" max="13052" width="11.44140625" style="67"/>
    <col min="13053" max="13053" width="16.109375" style="67" bestFit="1" customWidth="1"/>
    <col min="13054" max="13054" width="12.88671875" style="67" bestFit="1" customWidth="1"/>
    <col min="13055" max="13298" width="11.44140625" style="67"/>
    <col min="13299" max="13299" width="25.88671875" style="67" bestFit="1" customWidth="1"/>
    <col min="13300" max="13300" width="15.109375" style="67" bestFit="1" customWidth="1"/>
    <col min="13301" max="13301" width="28.5546875" style="67" customWidth="1"/>
    <col min="13302" max="13302" width="18.33203125" style="67" customWidth="1"/>
    <col min="13303" max="13303" width="17.33203125" style="67" bestFit="1" customWidth="1"/>
    <col min="13304" max="13304" width="11.6640625" style="67" customWidth="1"/>
    <col min="13305" max="13307" width="21.88671875" style="67" customWidth="1"/>
    <col min="13308" max="13308" width="11.44140625" style="67"/>
    <col min="13309" max="13309" width="16.109375" style="67" bestFit="1" customWidth="1"/>
    <col min="13310" max="13310" width="12.88671875" style="67" bestFit="1" customWidth="1"/>
    <col min="13311" max="13554" width="11.44140625" style="67"/>
    <col min="13555" max="13555" width="25.88671875" style="67" bestFit="1" customWidth="1"/>
    <col min="13556" max="13556" width="15.109375" style="67" bestFit="1" customWidth="1"/>
    <col min="13557" max="13557" width="28.5546875" style="67" customWidth="1"/>
    <col min="13558" max="13558" width="18.33203125" style="67" customWidth="1"/>
    <col min="13559" max="13559" width="17.33203125" style="67" bestFit="1" customWidth="1"/>
    <col min="13560" max="13560" width="11.6640625" style="67" customWidth="1"/>
    <col min="13561" max="13563" width="21.88671875" style="67" customWidth="1"/>
    <col min="13564" max="13564" width="11.44140625" style="67"/>
    <col min="13565" max="13565" width="16.109375" style="67" bestFit="1" customWidth="1"/>
    <col min="13566" max="13566" width="12.88671875" style="67" bestFit="1" customWidth="1"/>
    <col min="13567" max="13810" width="11.44140625" style="67"/>
    <col min="13811" max="13811" width="25.88671875" style="67" bestFit="1" customWidth="1"/>
    <col min="13812" max="13812" width="15.109375" style="67" bestFit="1" customWidth="1"/>
    <col min="13813" max="13813" width="28.5546875" style="67" customWidth="1"/>
    <col min="13814" max="13814" width="18.33203125" style="67" customWidth="1"/>
    <col min="13815" max="13815" width="17.33203125" style="67" bestFit="1" customWidth="1"/>
    <col min="13816" max="13816" width="11.6640625" style="67" customWidth="1"/>
    <col min="13817" max="13819" width="21.88671875" style="67" customWidth="1"/>
    <col min="13820" max="13820" width="11.44140625" style="67"/>
    <col min="13821" max="13821" width="16.109375" style="67" bestFit="1" customWidth="1"/>
    <col min="13822" max="13822" width="12.88671875" style="67" bestFit="1" customWidth="1"/>
    <col min="13823" max="14066" width="11.44140625" style="67"/>
    <col min="14067" max="14067" width="25.88671875" style="67" bestFit="1" customWidth="1"/>
    <col min="14068" max="14068" width="15.109375" style="67" bestFit="1" customWidth="1"/>
    <col min="14069" max="14069" width="28.5546875" style="67" customWidth="1"/>
    <col min="14070" max="14070" width="18.33203125" style="67" customWidth="1"/>
    <col min="14071" max="14071" width="17.33203125" style="67" bestFit="1" customWidth="1"/>
    <col min="14072" max="14072" width="11.6640625" style="67" customWidth="1"/>
    <col min="14073" max="14075" width="21.88671875" style="67" customWidth="1"/>
    <col min="14076" max="14076" width="11.44140625" style="67"/>
    <col min="14077" max="14077" width="16.109375" style="67" bestFit="1" customWidth="1"/>
    <col min="14078" max="14078" width="12.88671875" style="67" bestFit="1" customWidth="1"/>
    <col min="14079" max="14322" width="11.44140625" style="67"/>
    <col min="14323" max="14323" width="25.88671875" style="67" bestFit="1" customWidth="1"/>
    <col min="14324" max="14324" width="15.109375" style="67" bestFit="1" customWidth="1"/>
    <col min="14325" max="14325" width="28.5546875" style="67" customWidth="1"/>
    <col min="14326" max="14326" width="18.33203125" style="67" customWidth="1"/>
    <col min="14327" max="14327" width="17.33203125" style="67" bestFit="1" customWidth="1"/>
    <col min="14328" max="14328" width="11.6640625" style="67" customWidth="1"/>
    <col min="14329" max="14331" width="21.88671875" style="67" customWidth="1"/>
    <col min="14332" max="14332" width="11.44140625" style="67"/>
    <col min="14333" max="14333" width="16.109375" style="67" bestFit="1" customWidth="1"/>
    <col min="14334" max="14334" width="12.88671875" style="67" bestFit="1" customWidth="1"/>
    <col min="14335" max="14578" width="11.44140625" style="67"/>
    <col min="14579" max="14579" width="25.88671875" style="67" bestFit="1" customWidth="1"/>
    <col min="14580" max="14580" width="15.109375" style="67" bestFit="1" customWidth="1"/>
    <col min="14581" max="14581" width="28.5546875" style="67" customWidth="1"/>
    <col min="14582" max="14582" width="18.33203125" style="67" customWidth="1"/>
    <col min="14583" max="14583" width="17.33203125" style="67" bestFit="1" customWidth="1"/>
    <col min="14584" max="14584" width="11.6640625" style="67" customWidth="1"/>
    <col min="14585" max="14587" width="21.88671875" style="67" customWidth="1"/>
    <col min="14588" max="14588" width="11.44140625" style="67"/>
    <col min="14589" max="14589" width="16.109375" style="67" bestFit="1" customWidth="1"/>
    <col min="14590" max="14590" width="12.88671875" style="67" bestFit="1" customWidth="1"/>
    <col min="14591" max="14834" width="11.44140625" style="67"/>
    <col min="14835" max="14835" width="25.88671875" style="67" bestFit="1" customWidth="1"/>
    <col min="14836" max="14836" width="15.109375" style="67" bestFit="1" customWidth="1"/>
    <col min="14837" max="14837" width="28.5546875" style="67" customWidth="1"/>
    <col min="14838" max="14838" width="18.33203125" style="67" customWidth="1"/>
    <col min="14839" max="14839" width="17.33203125" style="67" bestFit="1" customWidth="1"/>
    <col min="14840" max="14840" width="11.6640625" style="67" customWidth="1"/>
    <col min="14841" max="14843" width="21.88671875" style="67" customWidth="1"/>
    <col min="14844" max="14844" width="11.44140625" style="67"/>
    <col min="14845" max="14845" width="16.109375" style="67" bestFit="1" customWidth="1"/>
    <col min="14846" max="14846" width="12.88671875" style="67" bestFit="1" customWidth="1"/>
    <col min="14847" max="15090" width="11.44140625" style="67"/>
    <col min="15091" max="15091" width="25.88671875" style="67" bestFit="1" customWidth="1"/>
    <col min="15092" max="15092" width="15.109375" style="67" bestFit="1" customWidth="1"/>
    <col min="15093" max="15093" width="28.5546875" style="67" customWidth="1"/>
    <col min="15094" max="15094" width="18.33203125" style="67" customWidth="1"/>
    <col min="15095" max="15095" width="17.33203125" style="67" bestFit="1" customWidth="1"/>
    <col min="15096" max="15096" width="11.6640625" style="67" customWidth="1"/>
    <col min="15097" max="15099" width="21.88671875" style="67" customWidth="1"/>
    <col min="15100" max="15100" width="11.44140625" style="67"/>
    <col min="15101" max="15101" width="16.109375" style="67" bestFit="1" customWidth="1"/>
    <col min="15102" max="15102" width="12.88671875" style="67" bestFit="1" customWidth="1"/>
    <col min="15103" max="15346" width="11.44140625" style="67"/>
    <col min="15347" max="15347" width="25.88671875" style="67" bestFit="1" customWidth="1"/>
    <col min="15348" max="15348" width="15.109375" style="67" bestFit="1" customWidth="1"/>
    <col min="15349" max="15349" width="28.5546875" style="67" customWidth="1"/>
    <col min="15350" max="15350" width="18.33203125" style="67" customWidth="1"/>
    <col min="15351" max="15351" width="17.33203125" style="67" bestFit="1" customWidth="1"/>
    <col min="15352" max="15352" width="11.6640625" style="67" customWidth="1"/>
    <col min="15353" max="15355" width="21.88671875" style="67" customWidth="1"/>
    <col min="15356" max="15356" width="11.44140625" style="67"/>
    <col min="15357" max="15357" width="16.109375" style="67" bestFit="1" customWidth="1"/>
    <col min="15358" max="15358" width="12.88671875" style="67" bestFit="1" customWidth="1"/>
    <col min="15359" max="15602" width="11.44140625" style="67"/>
    <col min="15603" max="15603" width="25.88671875" style="67" bestFit="1" customWidth="1"/>
    <col min="15604" max="15604" width="15.109375" style="67" bestFit="1" customWidth="1"/>
    <col min="15605" max="15605" width="28.5546875" style="67" customWidth="1"/>
    <col min="15606" max="15606" width="18.33203125" style="67" customWidth="1"/>
    <col min="15607" max="15607" width="17.33203125" style="67" bestFit="1" customWidth="1"/>
    <col min="15608" max="15608" width="11.6640625" style="67" customWidth="1"/>
    <col min="15609" max="15611" width="21.88671875" style="67" customWidth="1"/>
    <col min="15612" max="15612" width="11.44140625" style="67"/>
    <col min="15613" max="15613" width="16.109375" style="67" bestFit="1" customWidth="1"/>
    <col min="15614" max="15614" width="12.88671875" style="67" bestFit="1" customWidth="1"/>
    <col min="15615" max="15858" width="11.44140625" style="67"/>
    <col min="15859" max="15859" width="25.88671875" style="67" bestFit="1" customWidth="1"/>
    <col min="15860" max="15860" width="15.109375" style="67" bestFit="1" customWidth="1"/>
    <col min="15861" max="15861" width="28.5546875" style="67" customWidth="1"/>
    <col min="15862" max="15862" width="18.33203125" style="67" customWidth="1"/>
    <col min="15863" max="15863" width="17.33203125" style="67" bestFit="1" customWidth="1"/>
    <col min="15864" max="15864" width="11.6640625" style="67" customWidth="1"/>
    <col min="15865" max="15867" width="21.88671875" style="67" customWidth="1"/>
    <col min="15868" max="15868" width="11.44140625" style="67"/>
    <col min="15869" max="15869" width="16.109375" style="67" bestFit="1" customWidth="1"/>
    <col min="15870" max="15870" width="12.88671875" style="67" bestFit="1" customWidth="1"/>
    <col min="15871" max="16114" width="11.44140625" style="67"/>
    <col min="16115" max="16115" width="25.88671875" style="67" bestFit="1" customWidth="1"/>
    <col min="16116" max="16116" width="15.109375" style="67" bestFit="1" customWidth="1"/>
    <col min="16117" max="16117" width="28.5546875" style="67" customWidth="1"/>
    <col min="16118" max="16118" width="18.33203125" style="67" customWidth="1"/>
    <col min="16119" max="16119" width="17.33203125" style="67" bestFit="1" customWidth="1"/>
    <col min="16120" max="16120" width="11.6640625" style="67" customWidth="1"/>
    <col min="16121" max="16123" width="21.88671875" style="67" customWidth="1"/>
    <col min="16124" max="16124" width="11.44140625" style="67"/>
    <col min="16125" max="16125" width="16.109375" style="67" bestFit="1" customWidth="1"/>
    <col min="16126" max="16126" width="12.88671875" style="67" bestFit="1" customWidth="1"/>
    <col min="16127" max="16384" width="11.44140625" style="67"/>
  </cols>
  <sheetData>
    <row r="1" spans="1:11" ht="15.6" x14ac:dyDescent="0.25">
      <c r="A1" s="901" t="s">
        <v>5191</v>
      </c>
      <c r="B1" s="901"/>
      <c r="C1" s="901"/>
      <c r="D1" s="901"/>
      <c r="E1" s="901"/>
      <c r="F1" s="901"/>
      <c r="G1" s="901"/>
      <c r="H1" s="901"/>
    </row>
    <row r="2" spans="1:11" ht="31.5" customHeight="1" x14ac:dyDescent="0.25">
      <c r="A2" s="901" t="s">
        <v>5192</v>
      </c>
      <c r="B2" s="901"/>
      <c r="C2" s="901"/>
      <c r="D2" s="901"/>
      <c r="E2" s="901"/>
      <c r="F2" s="901"/>
      <c r="G2" s="901"/>
      <c r="H2" s="901"/>
    </row>
    <row r="3" spans="1:11" ht="15" x14ac:dyDescent="0.25">
      <c r="A3" s="902"/>
      <c r="B3" s="902"/>
      <c r="C3" s="902"/>
      <c r="D3" s="902"/>
      <c r="E3" s="902"/>
      <c r="F3" s="902"/>
      <c r="G3" s="902"/>
      <c r="H3" s="902"/>
    </row>
    <row r="4" spans="1:11" ht="15.6" x14ac:dyDescent="0.3">
      <c r="B4" s="70"/>
      <c r="C4" s="71"/>
      <c r="D4" s="71"/>
      <c r="E4" s="70"/>
      <c r="F4" s="903" t="s">
        <v>6195</v>
      </c>
      <c r="G4" s="903"/>
      <c r="H4" s="903"/>
    </row>
    <row r="5" spans="1:11" ht="31.2" x14ac:dyDescent="0.25">
      <c r="A5" s="72"/>
      <c r="B5" s="72"/>
      <c r="C5" s="73"/>
      <c r="D5" s="73"/>
      <c r="E5" s="73"/>
      <c r="F5" s="904" t="s">
        <v>5193</v>
      </c>
      <c r="G5" s="904"/>
      <c r="H5" s="74" t="s">
        <v>5139</v>
      </c>
      <c r="K5" s="602">
        <v>13400000000</v>
      </c>
    </row>
    <row r="6" spans="1:11" ht="26.4" x14ac:dyDescent="0.25">
      <c r="A6" s="82"/>
      <c r="B6" s="75" t="s">
        <v>5194</v>
      </c>
      <c r="C6" s="76" t="s">
        <v>5195</v>
      </c>
      <c r="D6" s="76" t="s">
        <v>5239</v>
      </c>
      <c r="E6" s="76" t="s">
        <v>5196</v>
      </c>
      <c r="F6" s="77">
        <v>1750905</v>
      </c>
      <c r="G6" s="78" t="s">
        <v>5190</v>
      </c>
      <c r="H6" s="79" t="s">
        <v>5197</v>
      </c>
      <c r="J6" s="68">
        <v>500</v>
      </c>
      <c r="K6" s="526">
        <f>+J6*F6</f>
        <v>875452500</v>
      </c>
    </row>
    <row r="7" spans="1:11" ht="26.4" x14ac:dyDescent="0.25">
      <c r="A7" s="900" t="s">
        <v>5198</v>
      </c>
      <c r="B7" s="80">
        <v>9107</v>
      </c>
      <c r="C7" s="82" t="s">
        <v>5199</v>
      </c>
      <c r="D7" s="115" t="str">
        <f>+_xlfn.XLOOKUP(B7,INSUMO_IDU[Código],INSUMO_IDU[Nombre],"",0)</f>
        <v>TARIFA MES - PROFESIONAL CATEGORÍA 1 (NO INCLUYE FACTOR DE PRESTACIONES)</v>
      </c>
      <c r="E7" s="82">
        <v>1</v>
      </c>
      <c r="F7" s="116">
        <f>+_xlfn.XLOOKUP(B7,INSUMO_IDU[Código],INSUMO_IDU[Precio],"",0)</f>
        <v>17387000</v>
      </c>
      <c r="G7" s="117">
        <f>F7/$F$6</f>
        <v>9.9302931912353891</v>
      </c>
      <c r="H7" s="118">
        <v>1.4510000000000001</v>
      </c>
      <c r="K7" s="526">
        <f>+K5/F6</f>
        <v>7653.1850671509874</v>
      </c>
    </row>
    <row r="8" spans="1:11" ht="26.4" x14ac:dyDescent="0.25">
      <c r="A8" s="900"/>
      <c r="B8" s="80">
        <v>9108</v>
      </c>
      <c r="C8" s="82" t="s">
        <v>5200</v>
      </c>
      <c r="D8" s="115" t="str">
        <f>+_xlfn.XLOOKUP(B8,INSUMO_IDU[Código],INSUMO_IDU[Nombre],"",0)</f>
        <v>TARIFA MES - PROFESIONAL CATEGORÍA 2 (NO INCLUYE FACTOR DE PRESTACIONES)</v>
      </c>
      <c r="E8" s="82">
        <v>2</v>
      </c>
      <c r="F8" s="116">
        <f>+_xlfn.XLOOKUP(B8,INSUMO_IDU[Código],INSUMO_IDU[Precio],"",0)</f>
        <v>13251000</v>
      </c>
      <c r="G8" s="117">
        <f t="shared" ref="G8:G13" si="0">F8/$F$6</f>
        <v>7.56808621826998</v>
      </c>
      <c r="H8" s="118">
        <v>1.4510000000000001</v>
      </c>
    </row>
    <row r="9" spans="1:11" ht="26.4" x14ac:dyDescent="0.25">
      <c r="A9" s="900"/>
      <c r="B9" s="80">
        <v>9109</v>
      </c>
      <c r="C9" s="82" t="s">
        <v>5201</v>
      </c>
      <c r="D9" s="115" t="str">
        <f>+_xlfn.XLOOKUP(B9,INSUMO_IDU[Código],INSUMO_IDU[Nombre],"",0)</f>
        <v>TARIFA MES - PROFESIONAL CATEGORÍA 3 (NO INCLUYE FACTOR DE PRESTACIONES)</v>
      </c>
      <c r="E9" s="82">
        <v>3</v>
      </c>
      <c r="F9" s="116">
        <f>+_xlfn.XLOOKUP(B9,INSUMO_IDU[Código],INSUMO_IDU[Precio],"",0)</f>
        <v>11183000</v>
      </c>
      <c r="G9" s="117">
        <f t="shared" si="0"/>
        <v>6.3869827317872758</v>
      </c>
      <c r="H9" s="118">
        <v>1.4510000000000001</v>
      </c>
    </row>
    <row r="10" spans="1:11" ht="26.4" x14ac:dyDescent="0.25">
      <c r="A10" s="900"/>
      <c r="B10" s="80">
        <v>9110</v>
      </c>
      <c r="C10" s="82" t="s">
        <v>5202</v>
      </c>
      <c r="D10" s="115" t="str">
        <f>+_xlfn.XLOOKUP(B10,INSUMO_IDU[Código],INSUMO_IDU[Nombre],"",0)</f>
        <v>TARIFA MES - PROFESIONAL CATEGORÍA 4 (NO INCLUYE FACTOR DE PRESTACIONES)</v>
      </c>
      <c r="E10" s="82">
        <v>4</v>
      </c>
      <c r="F10" s="116">
        <f>+_xlfn.XLOOKUP(B10,INSUMO_IDU[Código],INSUMO_IDU[Precio],"",0)</f>
        <v>9522000</v>
      </c>
      <c r="G10" s="117">
        <f t="shared" si="0"/>
        <v>5.4383304633889331</v>
      </c>
      <c r="H10" s="118">
        <v>1.4510000000000001</v>
      </c>
    </row>
    <row r="11" spans="1:11" ht="26.4" x14ac:dyDescent="0.25">
      <c r="A11" s="900"/>
      <c r="B11" s="80">
        <v>9111</v>
      </c>
      <c r="C11" s="82" t="s">
        <v>5203</v>
      </c>
      <c r="D11" s="115" t="str">
        <f>+_xlfn.XLOOKUP(B11,INSUMO_IDU[Código],INSUMO_IDU[Nombre],"",0)</f>
        <v>TARIFA MES - PROFESIONAL CATEGORÍA 5 (NO INCLUYE FACTOR DE PRESTACIONES)</v>
      </c>
      <c r="E11" s="82">
        <v>5</v>
      </c>
      <c r="F11" s="116">
        <f>+_xlfn.XLOOKUP(B11,INSUMO_IDU[Código],INSUMO_IDU[Precio],"",0)</f>
        <v>8589000</v>
      </c>
      <c r="G11" s="117">
        <f t="shared" si="0"/>
        <v>4.9054631747581965</v>
      </c>
      <c r="H11" s="118">
        <v>1.4510000000000001</v>
      </c>
    </row>
    <row r="12" spans="1:11" ht="26.4" x14ac:dyDescent="0.25">
      <c r="A12" s="900"/>
      <c r="B12" s="80">
        <v>9112</v>
      </c>
      <c r="C12" s="82" t="s">
        <v>5204</v>
      </c>
      <c r="D12" s="115" t="str">
        <f>+_xlfn.XLOOKUP(B12,INSUMO_IDU[Código],INSUMO_IDU[Nombre],"",0)</f>
        <v>TARIFA MES - PROFESIONAL CATEGORÍA 6 (NO INCLUYE FACTOR DE PRESTACIONES)</v>
      </c>
      <c r="E12" s="82">
        <v>6</v>
      </c>
      <c r="F12" s="116">
        <f>+_xlfn.XLOOKUP(B12,INSUMO_IDU[Código],INSUMO_IDU[Precio],"",0)</f>
        <v>7659000</v>
      </c>
      <c r="G12" s="117">
        <f t="shared" si="0"/>
        <v>4.3743092857693595</v>
      </c>
      <c r="H12" s="118">
        <v>1.4510000000000001</v>
      </c>
    </row>
    <row r="13" spans="1:11" ht="26.4" x14ac:dyDescent="0.25">
      <c r="A13" s="900"/>
      <c r="B13" s="80">
        <v>9113</v>
      </c>
      <c r="C13" s="82" t="s">
        <v>5205</v>
      </c>
      <c r="D13" s="115" t="str">
        <f>+_xlfn.XLOOKUP(B13,INSUMO_IDU[Código],INSUMO_IDU[Nombre],"",0)</f>
        <v>TARIFA MES - PROFESIONAL CATEGORÍA 7 (NO INCLUYE FACTOR DE PRESTACIONES)</v>
      </c>
      <c r="E13" s="82">
        <v>7</v>
      </c>
      <c r="F13" s="116">
        <f>+_xlfn.XLOOKUP(B13,INSUMO_IDU[Código],INSUMO_IDU[Precio],"",0)</f>
        <v>5791000</v>
      </c>
      <c r="G13" s="117">
        <f t="shared" si="0"/>
        <v>3.307432442079953</v>
      </c>
      <c r="H13" s="118">
        <v>1.4510000000000001</v>
      </c>
    </row>
    <row r="14" spans="1:11" ht="14.4" x14ac:dyDescent="0.3">
      <c r="B14" s="86"/>
      <c r="C14" s="87"/>
      <c r="D14" s="87"/>
      <c r="E14" s="88" t="s">
        <v>5194</v>
      </c>
      <c r="F14" s="89"/>
      <c r="G14" s="90"/>
      <c r="H14" s="85"/>
      <c r="J14" s="91"/>
    </row>
    <row r="15" spans="1:11" ht="26.4" x14ac:dyDescent="0.25">
      <c r="A15" s="900" t="s">
        <v>5206</v>
      </c>
      <c r="B15" s="92">
        <v>9084</v>
      </c>
      <c r="C15" s="119" t="s">
        <v>5207</v>
      </c>
      <c r="D15" s="115" t="str">
        <f>+_xlfn.XLOOKUP(B15,INSUMO_IDU[Código],INSUMO_IDU[Nombre],"",0)</f>
        <v>TARIFA MES - PERSONAL TÉCNICO-TECNÓLOGO EN ÁREAS DE INGENIERÍA (NO INCLUYE FACTOR DE PRESTACIONES)</v>
      </c>
      <c r="E15" s="93">
        <f>+B15</f>
        <v>9084</v>
      </c>
      <c r="F15" s="116">
        <f>+_xlfn.XLOOKUP(B15,INSUMO_IDU[Código],INSUMO_IDU[Precio],"",0)</f>
        <v>3584000</v>
      </c>
      <c r="G15" s="84">
        <f t="shared" ref="G15:G29" si="1">F15/$F$6</f>
        <v>2.0469414388559057</v>
      </c>
      <c r="H15" s="85">
        <v>1.4510000000000001</v>
      </c>
    </row>
    <row r="16" spans="1:11" ht="26.4" x14ac:dyDescent="0.25">
      <c r="A16" s="900"/>
      <c r="B16" s="92">
        <v>9085</v>
      </c>
      <c r="C16" s="119" t="s">
        <v>5208</v>
      </c>
      <c r="D16" s="115" t="str">
        <f>+_xlfn.XLOOKUP(B16,INSUMO_IDU[Código],INSUMO_IDU[Nombre],"",0)</f>
        <v>TARIFA MES - PERSONAL TÉCNICO - AUXILIAR DE INGENIERÍA (NO INCLUYE FACTOR DE PRESTACIONES)</v>
      </c>
      <c r="E16" s="93">
        <f t="shared" ref="E16:E34" si="2">+B16</f>
        <v>9085</v>
      </c>
      <c r="F16" s="116">
        <f>+_xlfn.XLOOKUP(B16,INSUMO_IDU[Código],INSUMO_IDU[Precio],"",0)</f>
        <v>3150000</v>
      </c>
      <c r="G16" s="84">
        <f t="shared" si="1"/>
        <v>1.7990696239944486</v>
      </c>
      <c r="H16" s="85">
        <v>1.5669999999999999</v>
      </c>
      <c r="J16" s="94"/>
    </row>
    <row r="17" spans="1:9" ht="26.4" x14ac:dyDescent="0.25">
      <c r="A17" s="900"/>
      <c r="B17" s="92">
        <v>9086</v>
      </c>
      <c r="C17" s="119" t="s">
        <v>5209</v>
      </c>
      <c r="D17" s="115" t="str">
        <f>+_xlfn.XLOOKUP(B17,INSUMO_IDU[Código],INSUMO_IDU[Nombre],"",0)</f>
        <v>TARIFA MES - PERSONAL TÉCNICO - DIBUJANTE 1 (NO INCLUYE FACTOR DE PRESTACIONES)</v>
      </c>
      <c r="E17" s="93">
        <f t="shared" si="2"/>
        <v>9086</v>
      </c>
      <c r="F17" s="116">
        <f>+_xlfn.XLOOKUP(B17,INSUMO_IDU[Código],INSUMO_IDU[Precio],"",0)</f>
        <v>3303000</v>
      </c>
      <c r="G17" s="84">
        <f t="shared" si="1"/>
        <v>1.8864530057313218</v>
      </c>
      <c r="H17" s="85">
        <v>1.5669999999999999</v>
      </c>
    </row>
    <row r="18" spans="1:9" ht="26.4" x14ac:dyDescent="0.25">
      <c r="A18" s="900"/>
      <c r="B18" s="92">
        <v>9087</v>
      </c>
      <c r="C18" s="119" t="s">
        <v>5210</v>
      </c>
      <c r="D18" s="115" t="str">
        <f>+_xlfn.XLOOKUP(B18,INSUMO_IDU[Código],INSUMO_IDU[Nombre],"",0)</f>
        <v>TARIFA MES - PERSONAL TÉCNICO - DIBUJANTE 2 (NO INCLUYE FACTOR DE PRESTACIONES)</v>
      </c>
      <c r="E18" s="93">
        <f t="shared" si="2"/>
        <v>9087</v>
      </c>
      <c r="F18" s="116">
        <f>+_xlfn.XLOOKUP(B18,INSUMO_IDU[Código],INSUMO_IDU[Precio],"",0)</f>
        <v>2670000</v>
      </c>
      <c r="G18" s="84">
        <f t="shared" si="1"/>
        <v>1.5249256812905325</v>
      </c>
      <c r="H18" s="85">
        <v>1.5669999999999999</v>
      </c>
    </row>
    <row r="19" spans="1:9" ht="26.4" x14ac:dyDescent="0.25">
      <c r="A19" s="900"/>
      <c r="B19" s="92">
        <v>9088</v>
      </c>
      <c r="C19" s="119" t="s">
        <v>5211</v>
      </c>
      <c r="D19" s="115" t="str">
        <f>+_xlfn.XLOOKUP(B19,INSUMO_IDU[Código],INSUMO_IDU[Nombre],"",0)</f>
        <v>TARIFA MES - PERSONAL TÉCNICO - TOPÓGRAFO INSPECTOR (NO INCLUYE FACTOR DE PRESTACIONES)</v>
      </c>
      <c r="E19" s="93">
        <f t="shared" si="2"/>
        <v>9088</v>
      </c>
      <c r="F19" s="116">
        <f>+_xlfn.XLOOKUP(B19,INSUMO_IDU[Código],INSUMO_IDU[Precio],"",0)</f>
        <v>3736000</v>
      </c>
      <c r="G19" s="84">
        <f t="shared" si="1"/>
        <v>2.1337536873788125</v>
      </c>
      <c r="H19" s="85">
        <v>1.4510000000000001</v>
      </c>
      <c r="I19" s="95"/>
    </row>
    <row r="20" spans="1:9" ht="26.4" x14ac:dyDescent="0.25">
      <c r="A20" s="900"/>
      <c r="B20" s="92">
        <v>9095</v>
      </c>
      <c r="C20" s="119" t="s">
        <v>5212</v>
      </c>
      <c r="D20" s="115" t="str">
        <f>+_xlfn.XLOOKUP(B20,INSUMO_IDU[Código],INSUMO_IDU[Nombre],"",0)</f>
        <v>TARIFA MES - PERSONAL TÉCNICO - TOPÓGRAFO AUXILIAR (NO INCLUYE FACTOR DE PRESTACIONES)</v>
      </c>
      <c r="E20" s="93">
        <f t="shared" si="2"/>
        <v>9095</v>
      </c>
      <c r="F20" s="116">
        <f>+_xlfn.XLOOKUP(B20,INSUMO_IDU[Código],INSUMO_IDU[Precio],"",0)</f>
        <v>3064000</v>
      </c>
      <c r="G20" s="84">
        <f t="shared" si="1"/>
        <v>1.7499521675933303</v>
      </c>
      <c r="H20" s="85">
        <v>1.5669999999999999</v>
      </c>
      <c r="I20" s="95"/>
    </row>
    <row r="21" spans="1:9" ht="26.4" x14ac:dyDescent="0.25">
      <c r="A21" s="900"/>
      <c r="B21" s="92">
        <v>9096</v>
      </c>
      <c r="C21" s="119" t="s">
        <v>5213</v>
      </c>
      <c r="D21" s="115" t="str">
        <f>+_xlfn.XLOOKUP(B21,INSUMO_IDU[Código],INSUMO_IDU[Nombre],"",0)</f>
        <v>TARIFA MES - PERSONAL TÉCNICO - BATIMETRISTA INSPECTOR (NO INCLUYE FACTOR DE PRESTACIONES)</v>
      </c>
      <c r="E21" s="93">
        <f t="shared" si="2"/>
        <v>9096</v>
      </c>
      <c r="F21" s="116">
        <f>+_xlfn.XLOOKUP(B21,INSUMO_IDU[Código],INSUMO_IDU[Precio],"",0)</f>
        <v>3736000</v>
      </c>
      <c r="G21" s="84">
        <f t="shared" si="1"/>
        <v>2.1337536873788125</v>
      </c>
      <c r="H21" s="85">
        <v>1.4510000000000001</v>
      </c>
    </row>
    <row r="22" spans="1:9" ht="26.4" x14ac:dyDescent="0.25">
      <c r="A22" s="900"/>
      <c r="B22" s="92">
        <v>9097</v>
      </c>
      <c r="C22" s="119" t="s">
        <v>5214</v>
      </c>
      <c r="D22" s="115" t="str">
        <f>+_xlfn.XLOOKUP(B22,INSUMO_IDU[Código],INSUMO_IDU[Nombre],"",0)</f>
        <v>TARIFA MES - PERSONAL TÉCNICO - BATIMETRISTA AUXILIAR (NO INCLUYE FACTOR DE PRESTACIONES)</v>
      </c>
      <c r="E22" s="93">
        <f t="shared" si="2"/>
        <v>9097</v>
      </c>
      <c r="F22" s="116">
        <f>+_xlfn.XLOOKUP(B22,INSUMO_IDU[Código],INSUMO_IDU[Precio],"",0)</f>
        <v>3064000</v>
      </c>
      <c r="G22" s="84">
        <f t="shared" si="1"/>
        <v>1.7499521675933303</v>
      </c>
      <c r="H22" s="85">
        <v>1.5669999999999999</v>
      </c>
    </row>
    <row r="23" spans="1:9" ht="26.4" x14ac:dyDescent="0.25">
      <c r="A23" s="900"/>
      <c r="B23" s="92">
        <v>9089</v>
      </c>
      <c r="C23" s="119" t="s">
        <v>5215</v>
      </c>
      <c r="D23" s="115" t="str">
        <f>+_xlfn.XLOOKUP(B23,INSUMO_IDU[Código],INSUMO_IDU[Nombre],"",0)</f>
        <v>TARIFA MES - PERSONAL TÉCNICO - LABORATORISTA INSPECTOR (NO INCLUYE FACTOR DE PRESTACIONES)</v>
      </c>
      <c r="E23" s="93">
        <f t="shared" si="2"/>
        <v>9089</v>
      </c>
      <c r="F23" s="116">
        <f>+_xlfn.XLOOKUP(B23,INSUMO_IDU[Código],INSUMO_IDU[Precio],"",0)</f>
        <v>3310000</v>
      </c>
      <c r="G23" s="84">
        <f t="shared" si="1"/>
        <v>1.8904509382290873</v>
      </c>
      <c r="H23" s="85">
        <v>1.5669999999999999</v>
      </c>
    </row>
    <row r="24" spans="1:9" ht="26.4" x14ac:dyDescent="0.25">
      <c r="A24" s="900"/>
      <c r="B24" s="92">
        <v>9090</v>
      </c>
      <c r="C24" s="119" t="s">
        <v>5216</v>
      </c>
      <c r="D24" s="115" t="str">
        <f>+_xlfn.XLOOKUP(B24,INSUMO_IDU[Código],INSUMO_IDU[Nombre],"",0)</f>
        <v>TARIFA MES - PERSONAL TÉCNICO - LABORATORISTA AUXILIAR (NO INCLUYE FACTOR DE PRESTACIONES)</v>
      </c>
      <c r="E24" s="93">
        <f t="shared" si="2"/>
        <v>9090</v>
      </c>
      <c r="F24" s="116">
        <f>+_xlfn.XLOOKUP(B24,INSUMO_IDU[Código],INSUMO_IDU[Precio],"",0)</f>
        <v>2316000</v>
      </c>
      <c r="G24" s="84">
        <f t="shared" si="1"/>
        <v>1.3227445235463946</v>
      </c>
      <c r="H24" s="85">
        <v>1.5669999999999999</v>
      </c>
    </row>
    <row r="25" spans="1:9" ht="26.4" x14ac:dyDescent="0.25">
      <c r="A25" s="900"/>
      <c r="B25" s="92">
        <v>9091</v>
      </c>
      <c r="C25" s="119" t="s">
        <v>5217</v>
      </c>
      <c r="D25" s="115" t="str">
        <f>+_xlfn.XLOOKUP(B25,INSUMO_IDU[Código],INSUMO_IDU[Nombre],"",0)</f>
        <v>TARIFA MES - PERSONAL TÉCNICO - OPERADOR EQUIPO PERFORACIÓN (INCLUYE FACTOR DE PRESTACIONES)</v>
      </c>
      <c r="E25" s="93">
        <f t="shared" si="2"/>
        <v>9091</v>
      </c>
      <c r="F25" s="116">
        <f>+_xlfn.XLOOKUP(B25,INSUMO_IDU[Código],INSUMO_IDU[Precio],"",0)</f>
        <v>4690453</v>
      </c>
      <c r="G25" s="84">
        <f t="shared" si="1"/>
        <v>2.6788734968487726</v>
      </c>
      <c r="H25" s="85">
        <v>1.4510000000000001</v>
      </c>
    </row>
    <row r="26" spans="1:9" ht="26.4" x14ac:dyDescent="0.25">
      <c r="A26" s="900"/>
      <c r="B26" s="92">
        <v>9092</v>
      </c>
      <c r="C26" s="119" t="s">
        <v>5218</v>
      </c>
      <c r="D26" s="115" t="str">
        <f>+_xlfn.XLOOKUP(B26,INSUMO_IDU[Código],INSUMO_IDU[Nombre],"",0)</f>
        <v>TARIFA MES - PERSONAL TÉCNICO - OPERADOR AUXILIAR DE EQUIPO (INCLUYE FACTOR DE PRESTACIONES)</v>
      </c>
      <c r="E26" s="93">
        <f t="shared" si="2"/>
        <v>9092</v>
      </c>
      <c r="F26" s="116">
        <f>+_xlfn.XLOOKUP(B26,INSUMO_IDU[Código],INSUMO_IDU[Precio],"",0)</f>
        <v>3264239</v>
      </c>
      <c r="G26" s="84">
        <f t="shared" si="1"/>
        <v>1.8643153112247666</v>
      </c>
      <c r="H26" s="85">
        <v>1.5669999999999999</v>
      </c>
    </row>
    <row r="27" spans="1:9" ht="26.4" x14ac:dyDescent="0.25">
      <c r="A27" s="900"/>
      <c r="B27" s="92">
        <v>9093</v>
      </c>
      <c r="C27" s="119" t="s">
        <v>5219</v>
      </c>
      <c r="D27" s="115" t="str">
        <f>+_xlfn.XLOOKUP(B27,INSUMO_IDU[Código],INSUMO_IDU[Nombre],"",0)</f>
        <v>TARIFA MES - PERSONAL TÉCNICO - INSPECTOR 1 (NO INCLUYE FACTOR DE PRESTACIONES)</v>
      </c>
      <c r="E27" s="93">
        <f t="shared" si="2"/>
        <v>9093</v>
      </c>
      <c r="F27" s="116">
        <f>+_xlfn.XLOOKUP(B27,INSUMO_IDU[Código],INSUMO_IDU[Precio],"",0)</f>
        <v>2718000</v>
      </c>
      <c r="G27" s="84">
        <f t="shared" si="1"/>
        <v>1.5523400755609242</v>
      </c>
      <c r="H27" s="85">
        <v>1.5669999999999999</v>
      </c>
      <c r="I27" s="95"/>
    </row>
    <row r="28" spans="1:9" ht="26.4" x14ac:dyDescent="0.25">
      <c r="A28" s="900"/>
      <c r="B28" s="92">
        <v>9457</v>
      </c>
      <c r="C28" s="119" t="s">
        <v>5220</v>
      </c>
      <c r="D28" s="115" t="str">
        <f>+_xlfn.XLOOKUP(B28,INSUMO_IDU[Código],INSUMO_IDU[Nombre],"",0)</f>
        <v>TARIFA MES - PERSONAL DE OBRA - INSPECTOR 1 HORARIO NOCTURNO (NO INCLUYE FACTOR DE PRESTACIONES)</v>
      </c>
      <c r="E28" s="93">
        <f t="shared" si="2"/>
        <v>9457</v>
      </c>
      <c r="F28" s="116">
        <f>+_xlfn.XLOOKUP(B28,INSUMO_IDU[Código],INSUMO_IDU[Precio],"",0)</f>
        <v>3669300</v>
      </c>
      <c r="G28" s="84">
        <f t="shared" si="1"/>
        <v>2.0956591020072475</v>
      </c>
      <c r="H28" s="85">
        <v>1.4510000000000001</v>
      </c>
      <c r="I28" s="95"/>
    </row>
    <row r="29" spans="1:9" ht="26.4" x14ac:dyDescent="0.25">
      <c r="A29" s="900"/>
      <c r="B29" s="92">
        <v>9094</v>
      </c>
      <c r="C29" s="119" t="s">
        <v>5221</v>
      </c>
      <c r="D29" s="115" t="str">
        <f>+_xlfn.XLOOKUP(B29,INSUMO_IDU[Código],INSUMO_IDU[Nombre],"",0)</f>
        <v>TARIFA MES - PERSONAL TÉCNICO - INSPECTOR 2 (NO INCLUYE FACTOR DE PRESTACIONES)</v>
      </c>
      <c r="E29" s="93">
        <f t="shared" si="2"/>
        <v>9094</v>
      </c>
      <c r="F29" s="116">
        <f>+_xlfn.XLOOKUP(B29,INSUMO_IDU[Código],INSUMO_IDU[Precio],"",0)</f>
        <v>2447000</v>
      </c>
      <c r="G29" s="84">
        <f t="shared" si="1"/>
        <v>1.397562974576005</v>
      </c>
      <c r="H29" s="85">
        <v>1.5669999999999999</v>
      </c>
      <c r="I29" s="95"/>
    </row>
    <row r="30" spans="1:9" x14ac:dyDescent="0.25">
      <c r="B30" s="86"/>
      <c r="C30" s="96"/>
      <c r="D30" s="96"/>
      <c r="E30" s="96"/>
      <c r="F30" s="83"/>
      <c r="G30" s="97"/>
      <c r="H30" s="85"/>
    </row>
    <row r="31" spans="1:9" ht="26.4" x14ac:dyDescent="0.25">
      <c r="A31" s="900" t="s">
        <v>5152</v>
      </c>
      <c r="B31" s="92">
        <v>9102</v>
      </c>
      <c r="C31" s="98" t="s">
        <v>5222</v>
      </c>
      <c r="D31" s="115" t="str">
        <f>+_xlfn.XLOOKUP(B31,INSUMO_IDU[Código],INSUMO_IDU[Nombre],"",0)</f>
        <v>TARIFA MES - PERSONAL ADMINISTRATIVO - ADMINISTRADOR (NO INCLUYE FACTOR DE PRESTACIONES)</v>
      </c>
      <c r="E31" s="93">
        <f t="shared" si="2"/>
        <v>9102</v>
      </c>
      <c r="F31" s="116">
        <f>+_xlfn.XLOOKUP(B31,INSUMO_IDU[Código],INSUMO_IDU[Precio],"",0)</f>
        <v>3479000</v>
      </c>
      <c r="G31" s="84">
        <f>F31/$F$6</f>
        <v>1.9869724513894242</v>
      </c>
      <c r="H31" s="85">
        <v>1.5669999999999999</v>
      </c>
    </row>
    <row r="32" spans="1:9" ht="40.799999999999997" customHeight="1" x14ac:dyDescent="0.25">
      <c r="A32" s="900"/>
      <c r="B32" s="92">
        <v>9103</v>
      </c>
      <c r="C32" s="98" t="s">
        <v>5223</v>
      </c>
      <c r="D32" s="115" t="str">
        <f>+_xlfn.XLOOKUP(B32,INSUMO_IDU[Código],INSUMO_IDU[Nombre],"",0)</f>
        <v>TARIFA MES - PERSONAL ADMINISTRATIVO - AUXILIAR ADMINISTRATIVO-ALMACENISTA (NO INCLUYE FACTOR DE PRESTACIONES)</v>
      </c>
      <c r="E32" s="93">
        <f t="shared" si="2"/>
        <v>9103</v>
      </c>
      <c r="F32" s="116">
        <f>+_xlfn.XLOOKUP(B32,INSUMO_IDU[Código],INSUMO_IDU[Precio],"",0)</f>
        <v>2481000</v>
      </c>
      <c r="G32" s="84">
        <f>F32/$F$6</f>
        <v>1.4169815038508657</v>
      </c>
      <c r="H32" s="85">
        <v>1.5669999999999999</v>
      </c>
      <c r="I32" s="95"/>
    </row>
    <row r="33" spans="1:9" ht="26.4" x14ac:dyDescent="0.25">
      <c r="A33" s="900"/>
      <c r="B33" s="92">
        <v>9104</v>
      </c>
      <c r="C33" s="98" t="s">
        <v>5224</v>
      </c>
      <c r="D33" s="115" t="str">
        <f>+_xlfn.XLOOKUP(B33,INSUMO_IDU[Código],INSUMO_IDU[Nombre],"",0)</f>
        <v>TARIFA MES - PERSONAL ADMINISTRATIVO - SECRETARIA 1 (NO INCLUYE FACTOR DE PRESTACIONES)</v>
      </c>
      <c r="E33" s="93">
        <f t="shared" si="2"/>
        <v>9104</v>
      </c>
      <c r="F33" s="116">
        <f>+_xlfn.XLOOKUP(B33,INSUMO_IDU[Código],INSUMO_IDU[Precio],"",0)</f>
        <v>2018000</v>
      </c>
      <c r="G33" s="84">
        <f>F33/$F$6</f>
        <v>1.1525468257843801</v>
      </c>
      <c r="H33" s="85">
        <v>1.5669999999999999</v>
      </c>
    </row>
    <row r="34" spans="1:9" ht="26.4" x14ac:dyDescent="0.25">
      <c r="A34" s="900"/>
      <c r="B34" s="92">
        <v>9105</v>
      </c>
      <c r="C34" s="98" t="s">
        <v>5225</v>
      </c>
      <c r="D34" s="115" t="str">
        <f>+_xlfn.XLOOKUP(B34,INSUMO_IDU[Código],INSUMO_IDU[Nombre],"",0)</f>
        <v>TARIFA MES - PERSONAL ADMINISTRATIVO - SECRETARIA 2 (NO INCLUYE FACTOR DE PRESTACIONES)</v>
      </c>
      <c r="E34" s="93">
        <f t="shared" si="2"/>
        <v>9105</v>
      </c>
      <c r="F34" s="116">
        <f>+_xlfn.XLOOKUP(B34,INSUMO_IDU[Código],INSUMO_IDU[Precio],"",0)</f>
        <v>1750905</v>
      </c>
      <c r="G34" s="84">
        <f>F34/$F$6</f>
        <v>1</v>
      </c>
      <c r="H34" s="85">
        <v>1.5669999999999999</v>
      </c>
    </row>
    <row r="35" spans="1:9" x14ac:dyDescent="0.25">
      <c r="A35" s="99"/>
      <c r="B35" s="100"/>
      <c r="C35" s="101"/>
      <c r="D35" s="96"/>
      <c r="E35" s="96"/>
      <c r="F35" s="83"/>
      <c r="G35" s="97"/>
      <c r="H35" s="85"/>
    </row>
    <row r="36" spans="1:9" ht="26.4" x14ac:dyDescent="0.25">
      <c r="A36" s="900" t="s">
        <v>5226</v>
      </c>
      <c r="B36" s="92">
        <v>9098</v>
      </c>
      <c r="C36" s="98" t="s">
        <v>5227</v>
      </c>
      <c r="D36" s="115" t="str">
        <f>+_xlfn.XLOOKUP(B36,INSUMO_IDU[Código],INSUMO_IDU[Nombre],"",0)</f>
        <v>TARIFA MES - PERSONAL AUXILIAR TÉCNICO - CADENERO 1 (NO INCLUYE FACTOR DE PRESTACIONES)</v>
      </c>
      <c r="E36" s="93">
        <f>+B36</f>
        <v>9098</v>
      </c>
      <c r="F36" s="116">
        <f>+_xlfn.XLOOKUP(B36,INSUMO_IDU[Código],INSUMO_IDU[Precio],"",0)</f>
        <v>2316000</v>
      </c>
      <c r="G36" s="84">
        <f>F36/$F$6</f>
        <v>1.3227445235463946</v>
      </c>
      <c r="H36" s="85">
        <v>1.5669999999999999</v>
      </c>
      <c r="I36" s="95"/>
    </row>
    <row r="37" spans="1:9" ht="26.4" x14ac:dyDescent="0.25">
      <c r="A37" s="900"/>
      <c r="B37" s="92">
        <v>9099</v>
      </c>
      <c r="C37" s="98" t="s">
        <v>5228</v>
      </c>
      <c r="D37" s="115" t="str">
        <f>+_xlfn.XLOOKUP(B37,INSUMO_IDU[Código],INSUMO_IDU[Nombre],"",0)</f>
        <v>TARIFA MES - PERSONAL AUXILIAR TÉCNICO - CADENERO 2 (NO INCLUYE FACTOR DE PRESTACIONES)</v>
      </c>
      <c r="E37" s="93">
        <f>+B37</f>
        <v>9099</v>
      </c>
      <c r="F37" s="116">
        <f>+_xlfn.XLOOKUP(B37,INSUMO_IDU[Código],INSUMO_IDU[Precio],"",0)</f>
        <v>2018000</v>
      </c>
      <c r="G37" s="84">
        <f>F37/$F$6</f>
        <v>1.1525468257843801</v>
      </c>
      <c r="H37" s="85">
        <v>1.5669999999999999</v>
      </c>
      <c r="I37" s="95"/>
    </row>
    <row r="38" spans="1:9" ht="26.4" x14ac:dyDescent="0.25">
      <c r="A38" s="900"/>
      <c r="B38" s="92">
        <v>9100</v>
      </c>
      <c r="C38" s="98" t="s">
        <v>5229</v>
      </c>
      <c r="D38" s="115" t="str">
        <f>+_xlfn.XLOOKUP(B38,INSUMO_IDU[Código],INSUMO_IDU[Nombre],"",0)</f>
        <v>TARIFA MES - PERSONAL AUXILIAR TÉCNICO - CONDUCTOR O MOTORISTA (NO INCLUYE FACTOR DE PRESTACIONES)</v>
      </c>
      <c r="E38" s="93">
        <f>+B38</f>
        <v>9100</v>
      </c>
      <c r="F38" s="116">
        <f>+_xlfn.XLOOKUP(B38,INSUMO_IDU[Código],INSUMO_IDU[Precio],"",0)</f>
        <v>1750905</v>
      </c>
      <c r="G38" s="84">
        <f>F38/$F$6</f>
        <v>1</v>
      </c>
      <c r="H38" s="85">
        <v>1.5669999999999999</v>
      </c>
      <c r="I38" s="95"/>
    </row>
    <row r="39" spans="1:9" x14ac:dyDescent="0.25">
      <c r="A39" s="99"/>
      <c r="B39" s="100"/>
      <c r="C39" s="101"/>
      <c r="D39" s="96"/>
      <c r="E39" s="96"/>
      <c r="F39" s="102"/>
      <c r="G39" s="97"/>
      <c r="H39" s="97"/>
    </row>
    <row r="40" spans="1:9" ht="26.4" x14ac:dyDescent="0.25">
      <c r="A40" s="900" t="s">
        <v>5230</v>
      </c>
      <c r="B40" s="80">
        <v>9101</v>
      </c>
      <c r="C40" s="81" t="s">
        <v>5231</v>
      </c>
      <c r="D40" s="115" t="str">
        <f>+_xlfn.XLOOKUP(B40,INSUMO_IDU[Código],INSUMO_IDU[Nombre],"",0)</f>
        <v>TARIFA MES - PERSONAL DE OBRA - MAESTRO DE OBRA (NO INCLUYE FACTOR DE PRESTACIONES)</v>
      </c>
      <c r="E40" s="93">
        <f>+B40</f>
        <v>9101</v>
      </c>
      <c r="F40" s="116">
        <f>+_xlfn.XLOOKUP(B40,INSUMO_IDU[Código],INSUMO_IDU[Precio],"",0)</f>
        <v>4488000</v>
      </c>
      <c r="G40" s="84">
        <f>F40/$F$6</f>
        <v>2.5632458642816145</v>
      </c>
      <c r="H40" s="85">
        <v>1.4510000000000001</v>
      </c>
      <c r="I40" s="95"/>
    </row>
    <row r="41" spans="1:9" ht="26.4" x14ac:dyDescent="0.25">
      <c r="A41" s="900"/>
      <c r="B41" s="80">
        <v>9461</v>
      </c>
      <c r="C41" s="81" t="s">
        <v>5232</v>
      </c>
      <c r="D41" s="115" t="str">
        <f>+_xlfn.XLOOKUP(B41,INSUMO_IDU[Código],INSUMO_IDU[Nombre],"",0)</f>
        <v>TARIFA MES - PERSONAL DE OBRA - OFICIAL (NO INCLUYE FACTOR DE PRESTACIONES)</v>
      </c>
      <c r="E41" s="93">
        <f>+B41</f>
        <v>9461</v>
      </c>
      <c r="F41" s="116">
        <f>+_xlfn.XLOOKUP(B41,INSUMO_IDU[Código],INSUMO_IDU[Precio],"",0)</f>
        <v>2244000</v>
      </c>
      <c r="G41" s="84">
        <f>F41/$F$6</f>
        <v>1.2816229321408072</v>
      </c>
      <c r="H41" s="85">
        <v>1.5669999999999999</v>
      </c>
      <c r="I41" s="95"/>
    </row>
    <row r="42" spans="1:9" ht="26.4" x14ac:dyDescent="0.25">
      <c r="A42" s="900"/>
      <c r="B42" s="80">
        <v>9455</v>
      </c>
      <c r="C42" s="81" t="s">
        <v>5233</v>
      </c>
      <c r="D42" s="115" t="str">
        <f>+_xlfn.XLOOKUP(B42,INSUMO_IDU[Código],INSUMO_IDU[Nombre],"",0)</f>
        <v>TARIFA MES - PERSONAL DE OBRA - AYUDANTE (NO INCLUYE FACTOR DE PRESTACIONES)</v>
      </c>
      <c r="E42" s="93">
        <f>+B42</f>
        <v>9455</v>
      </c>
      <c r="F42" s="116">
        <f>+_xlfn.XLOOKUP(B42,INSUMO_IDU[Código],INSUMO_IDU[Precio],"",0)</f>
        <v>1750905</v>
      </c>
      <c r="G42" s="84">
        <f>F42/$F$6</f>
        <v>1</v>
      </c>
      <c r="H42" s="85">
        <v>1.5669999999999999</v>
      </c>
      <c r="I42" s="95"/>
    </row>
    <row r="43" spans="1:9" ht="26.4" x14ac:dyDescent="0.25">
      <c r="A43" s="900"/>
      <c r="B43" s="80">
        <v>9463</v>
      </c>
      <c r="C43" s="81" t="s">
        <v>5234</v>
      </c>
      <c r="D43" s="115" t="str">
        <f>+_xlfn.XLOOKUP(B43,INSUMO_IDU[Código],INSUMO_IDU[Nombre],"",0)</f>
        <v>TARIFA MES - PERSONAL DE OBRA - TÉCNICO ELÉCTRICO (NO INCLUYE FACTOR DE PRESTACIONES)</v>
      </c>
      <c r="E43" s="93">
        <f>+B43</f>
        <v>9463</v>
      </c>
      <c r="F43" s="116">
        <f>+_xlfn.XLOOKUP(B43,INSUMO_IDU[Código],INSUMO_IDU[Precio],"",0)</f>
        <v>2618000</v>
      </c>
      <c r="G43" s="84">
        <f>F43/$F$6</f>
        <v>1.495226754164275</v>
      </c>
      <c r="H43" s="85">
        <v>1.5669999999999999</v>
      </c>
      <c r="I43" s="95"/>
    </row>
    <row r="44" spans="1:9" ht="26.4" x14ac:dyDescent="0.25">
      <c r="A44" s="900"/>
      <c r="B44" s="80">
        <v>9464</v>
      </c>
      <c r="C44" s="81" t="s">
        <v>5235</v>
      </c>
      <c r="D44" s="115" t="str">
        <f>+_xlfn.XLOOKUP(B44,INSUMO_IDU[Código],INSUMO_IDU[Nombre],"",0)</f>
        <v>TARIFA MES - PERSONAL DE OBRA - OPERARIO (NO INCLUYE FACTOR DE PRESTACIONES)</v>
      </c>
      <c r="E44" s="93">
        <f>+B44</f>
        <v>9464</v>
      </c>
      <c r="F44" s="116">
        <f>+_xlfn.XLOOKUP(B44,INSUMO_IDU[Código],INSUMO_IDU[Precio],"",0)</f>
        <v>2992000</v>
      </c>
      <c r="G44" s="84">
        <f>F44/$F$6</f>
        <v>1.7088305761877429</v>
      </c>
      <c r="H44" s="85">
        <v>1.5669999999999999</v>
      </c>
      <c r="I44" s="95"/>
    </row>
    <row r="45" spans="1:9" x14ac:dyDescent="0.25">
      <c r="A45" s="99"/>
      <c r="B45" s="100"/>
      <c r="C45" s="101"/>
      <c r="D45" s="96"/>
      <c r="E45" s="96"/>
      <c r="F45" s="103"/>
    </row>
    <row r="46" spans="1:9" ht="54" customHeight="1" x14ac:dyDescent="0.25">
      <c r="A46" s="104" t="s">
        <v>5236</v>
      </c>
      <c r="B46" s="105">
        <v>9575</v>
      </c>
      <c r="C46" s="106" t="s">
        <v>5240</v>
      </c>
      <c r="D46" s="115" t="str">
        <f>+_xlfn.XLOOKUP(B46,INSUMO_IDU[Código],INSUMO_IDU[Nombre],"",0)</f>
        <v>TARIFA MES - PERSONAL TÉCNICO - CELADOR ARMADO (24 horas por 30 dias dividos en 3 turnos de 8 horas diarias. Incluye prestaciones de ley, Administraciòn y servicios).</v>
      </c>
      <c r="E46" s="93">
        <f>+B46</f>
        <v>9575</v>
      </c>
      <c r="F46" s="116">
        <f>+_xlfn.XLOOKUP(B46,INSUMO_IDU[Código],INSUMO_IDU[Precio],"",0)</f>
        <v>18832062</v>
      </c>
      <c r="G46" s="107"/>
      <c r="H46" s="108"/>
    </row>
    <row r="47" spans="1:9" x14ac:dyDescent="0.25">
      <c r="A47" s="99"/>
      <c r="B47" s="100"/>
      <c r="C47" s="109"/>
      <c r="D47" s="96"/>
      <c r="F47" s="111"/>
      <c r="G47" s="111"/>
    </row>
    <row r="48" spans="1:9" x14ac:dyDescent="0.25">
      <c r="C48" s="112"/>
      <c r="D48" s="112"/>
      <c r="E48" s="113"/>
    </row>
  </sheetData>
  <mergeCells count="10">
    <mergeCell ref="A15:A29"/>
    <mergeCell ref="A31:A34"/>
    <mergeCell ref="A36:A38"/>
    <mergeCell ref="A40:A44"/>
    <mergeCell ref="A1:H1"/>
    <mergeCell ref="A2:H2"/>
    <mergeCell ref="A3:H3"/>
    <mergeCell ref="F4:H4"/>
    <mergeCell ref="F5:G5"/>
    <mergeCell ref="A7:A13"/>
  </mergeCells>
  <pageMargins left="0.7" right="0.7" top="0.75" bottom="0.75" header="0.3" footer="0.3"/>
  <pageSetup paperSize="9" orientation="portrait" horizontalDpi="4294967292"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C47E9-8DF8-4A51-8045-453E6F4CA87C}">
  <sheetPr codeName="Hoja1"/>
  <dimension ref="A4:K52"/>
  <sheetViews>
    <sheetView view="pageBreakPreview" topLeftCell="A16" zoomScale="70" zoomScaleNormal="100" zoomScaleSheetLayoutView="70" workbookViewId="0">
      <selection activeCell="J37" sqref="J37"/>
    </sheetView>
  </sheetViews>
  <sheetFormatPr baseColWidth="10" defaultColWidth="11.44140625" defaultRowHeight="14.4" x14ac:dyDescent="0.3"/>
  <cols>
    <col min="2" max="2" width="15" bestFit="1" customWidth="1"/>
    <col min="3" max="3" width="14" bestFit="1" customWidth="1"/>
    <col min="4" max="4" width="11.44140625" customWidth="1"/>
    <col min="5" max="8" width="17.109375" customWidth="1"/>
    <col min="9" max="9" width="12.33203125" customWidth="1"/>
    <col min="10" max="10" width="23.6640625" customWidth="1"/>
    <col min="11" max="11" width="28.109375" customWidth="1"/>
  </cols>
  <sheetData>
    <row r="4" spans="1:11" s="595" customFormat="1" ht="58.95" customHeight="1" thickBot="1" x14ac:dyDescent="0.35">
      <c r="A4" s="729" t="s">
        <v>5390</v>
      </c>
      <c r="B4" s="730" t="s">
        <v>6828</v>
      </c>
      <c r="C4" s="730" t="s">
        <v>5123</v>
      </c>
      <c r="D4" s="730" t="s">
        <v>6829</v>
      </c>
      <c r="E4" s="730" t="s">
        <v>1856</v>
      </c>
      <c r="F4" s="730" t="s">
        <v>5124</v>
      </c>
      <c r="G4" s="730" t="s">
        <v>5125</v>
      </c>
      <c r="H4" s="730" t="s">
        <v>6735</v>
      </c>
      <c r="I4" s="730" t="s">
        <v>6736</v>
      </c>
      <c r="J4" s="730" t="s">
        <v>6830</v>
      </c>
      <c r="K4" s="730" t="s">
        <v>6831</v>
      </c>
    </row>
    <row r="5" spans="1:11" s="731" customFormat="1" x14ac:dyDescent="0.3">
      <c r="A5" s="780">
        <v>1</v>
      </c>
      <c r="B5" s="715">
        <v>91013913</v>
      </c>
      <c r="C5" s="500">
        <v>11013106</v>
      </c>
      <c r="D5" s="781" t="s">
        <v>6737</v>
      </c>
      <c r="E5" s="715" t="s">
        <v>6836</v>
      </c>
      <c r="F5" s="715" t="s">
        <v>6837</v>
      </c>
      <c r="G5" s="715" t="s">
        <v>6838</v>
      </c>
      <c r="H5" s="715">
        <v>7.75</v>
      </c>
      <c r="I5" s="715">
        <v>192.18</v>
      </c>
      <c r="J5" s="782">
        <v>1489.08</v>
      </c>
      <c r="K5" s="783">
        <f>+ROUND(PresupuestoOficial[[#This Row],[Área (m²)]]/3500,3)</f>
        <v>0.42499999999999999</v>
      </c>
    </row>
    <row r="6" spans="1:11" s="732" customFormat="1" x14ac:dyDescent="0.3">
      <c r="A6" s="784">
        <v>2</v>
      </c>
      <c r="B6" s="764">
        <v>472330</v>
      </c>
      <c r="C6" s="609">
        <v>11014251</v>
      </c>
      <c r="D6" s="765" t="s">
        <v>6737</v>
      </c>
      <c r="E6" s="764" t="s">
        <v>6835</v>
      </c>
      <c r="F6" s="764" t="s">
        <v>6839</v>
      </c>
      <c r="G6" s="764" t="s">
        <v>6840</v>
      </c>
      <c r="H6" s="764">
        <v>6.26</v>
      </c>
      <c r="I6" s="764">
        <v>115.95</v>
      </c>
      <c r="J6" s="724">
        <v>726</v>
      </c>
      <c r="K6" s="785">
        <f>+ROUND(PresupuestoOficial[[#This Row],[Área (m²)]]/3500,3)</f>
        <v>0.20699999999999999</v>
      </c>
    </row>
    <row r="7" spans="1:11" s="732" customFormat="1" x14ac:dyDescent="0.3">
      <c r="A7" s="784">
        <v>3</v>
      </c>
      <c r="B7" s="764">
        <v>167810</v>
      </c>
      <c r="C7" s="609">
        <v>11009620</v>
      </c>
      <c r="D7" s="765" t="s">
        <v>6737</v>
      </c>
      <c r="E7" s="764" t="s">
        <v>6841</v>
      </c>
      <c r="F7" s="764" t="s">
        <v>6842</v>
      </c>
      <c r="G7" s="764" t="s">
        <v>6843</v>
      </c>
      <c r="H7" s="764">
        <v>6.2</v>
      </c>
      <c r="I7" s="764">
        <v>125.97</v>
      </c>
      <c r="J7" s="724">
        <v>781.12</v>
      </c>
      <c r="K7" s="785">
        <f>+ROUND(PresupuestoOficial[[#This Row],[Área (m²)]]/3500,3)</f>
        <v>0.223</v>
      </c>
    </row>
    <row r="8" spans="1:11" s="732" customFormat="1" x14ac:dyDescent="0.3">
      <c r="A8" s="784">
        <v>4</v>
      </c>
      <c r="B8" s="764">
        <v>166646</v>
      </c>
      <c r="C8" s="609">
        <v>11011333</v>
      </c>
      <c r="D8" s="765" t="s">
        <v>6737</v>
      </c>
      <c r="E8" s="764" t="s">
        <v>6844</v>
      </c>
      <c r="F8" s="764" t="s">
        <v>6845</v>
      </c>
      <c r="G8" s="764" t="s">
        <v>6846</v>
      </c>
      <c r="H8" s="764">
        <v>5.35</v>
      </c>
      <c r="I8" s="764">
        <v>88.72</v>
      </c>
      <c r="J8" s="724">
        <v>474.81</v>
      </c>
      <c r="K8" s="785">
        <f>+ROUND(PresupuestoOficial[[#This Row],[Área (m²)]]/3500,3)</f>
        <v>0.13600000000000001</v>
      </c>
    </row>
    <row r="9" spans="1:11" s="732" customFormat="1" x14ac:dyDescent="0.3">
      <c r="A9" s="784">
        <v>5</v>
      </c>
      <c r="B9" s="764">
        <v>167491</v>
      </c>
      <c r="C9" s="609">
        <v>11009523</v>
      </c>
      <c r="D9" s="765" t="s">
        <v>6737</v>
      </c>
      <c r="E9" s="764" t="s">
        <v>6847</v>
      </c>
      <c r="F9" s="764" t="s">
        <v>6832</v>
      </c>
      <c r="G9" s="764" t="s">
        <v>6833</v>
      </c>
      <c r="H9" s="764">
        <v>5.16</v>
      </c>
      <c r="I9" s="764">
        <v>85.74</v>
      </c>
      <c r="J9" s="724">
        <v>442.11</v>
      </c>
      <c r="K9" s="785">
        <f>+ROUND(PresupuestoOficial[[#This Row],[Área (m²)]]/3500,3)</f>
        <v>0.126</v>
      </c>
    </row>
    <row r="10" spans="1:11" s="731" customFormat="1" x14ac:dyDescent="0.3">
      <c r="A10" s="784">
        <v>6</v>
      </c>
      <c r="B10" s="764">
        <v>167266</v>
      </c>
      <c r="C10" s="609">
        <v>11010015</v>
      </c>
      <c r="D10" s="765" t="s">
        <v>6737</v>
      </c>
      <c r="E10" s="764" t="s">
        <v>6848</v>
      </c>
      <c r="F10" s="764" t="s">
        <v>6834</v>
      </c>
      <c r="G10" s="764" t="s">
        <v>6849</v>
      </c>
      <c r="H10" s="764">
        <v>6.33</v>
      </c>
      <c r="I10" s="764">
        <v>89.62</v>
      </c>
      <c r="J10" s="724">
        <v>567.01</v>
      </c>
      <c r="K10" s="785">
        <f>+ROUND(PresupuestoOficial[[#This Row],[Área (m²)]]/3500,3)</f>
        <v>0.16200000000000001</v>
      </c>
    </row>
    <row r="11" spans="1:11" s="731" customFormat="1" x14ac:dyDescent="0.3">
      <c r="A11" s="784">
        <v>7</v>
      </c>
      <c r="B11" s="764">
        <v>170896</v>
      </c>
      <c r="C11" s="609">
        <v>11008605</v>
      </c>
      <c r="D11" s="765" t="s">
        <v>6737</v>
      </c>
      <c r="E11" s="764" t="s">
        <v>6850</v>
      </c>
      <c r="F11" s="764" t="s">
        <v>6851</v>
      </c>
      <c r="G11" s="764" t="s">
        <v>6852</v>
      </c>
      <c r="H11" s="764">
        <v>4.58</v>
      </c>
      <c r="I11" s="764">
        <v>24.59</v>
      </c>
      <c r="J11" s="724">
        <v>112.52</v>
      </c>
      <c r="K11" s="785">
        <f>+ROUND(PresupuestoOficial[[#This Row],[Área (m²)]]/3500,3)</f>
        <v>3.2000000000000001E-2</v>
      </c>
    </row>
    <row r="12" spans="1:11" s="731" customFormat="1" x14ac:dyDescent="0.3">
      <c r="A12" s="784">
        <v>8</v>
      </c>
      <c r="B12" s="764">
        <v>170897</v>
      </c>
      <c r="C12" s="609">
        <v>11008568</v>
      </c>
      <c r="D12" s="765" t="s">
        <v>6737</v>
      </c>
      <c r="E12" s="764" t="s">
        <v>6850</v>
      </c>
      <c r="F12" s="764" t="s">
        <v>6852</v>
      </c>
      <c r="G12" s="764" t="s">
        <v>6853</v>
      </c>
      <c r="H12" s="764">
        <v>5.19</v>
      </c>
      <c r="I12" s="764">
        <v>24.15</v>
      </c>
      <c r="J12" s="724">
        <v>125.44</v>
      </c>
      <c r="K12" s="785">
        <f>+ROUND(PresupuestoOficial[[#This Row],[Área (m²)]]/3500,3)</f>
        <v>3.5999999999999997E-2</v>
      </c>
    </row>
    <row r="13" spans="1:11" s="733" customFormat="1" x14ac:dyDescent="0.3">
      <c r="A13" s="784">
        <v>9</v>
      </c>
      <c r="B13" s="764">
        <v>170898</v>
      </c>
      <c r="C13" s="609">
        <v>11008512</v>
      </c>
      <c r="D13" s="765" t="s">
        <v>6737</v>
      </c>
      <c r="E13" s="764" t="s">
        <v>6850</v>
      </c>
      <c r="F13" s="764" t="s">
        <v>6852</v>
      </c>
      <c r="G13" s="764" t="s">
        <v>6853</v>
      </c>
      <c r="H13" s="764">
        <v>5.77</v>
      </c>
      <c r="I13" s="764">
        <v>8.64</v>
      </c>
      <c r="J13" s="724">
        <v>49.89</v>
      </c>
      <c r="K13" s="785">
        <f>+ROUND(PresupuestoOficial[[#This Row],[Área (m²)]]/3500,3)</f>
        <v>1.4E-2</v>
      </c>
    </row>
    <row r="14" spans="1:11" s="732" customFormat="1" x14ac:dyDescent="0.3">
      <c r="A14" s="784">
        <v>10</v>
      </c>
      <c r="B14" s="764">
        <v>91064150</v>
      </c>
      <c r="C14" s="609">
        <v>11012053</v>
      </c>
      <c r="D14" s="765" t="s">
        <v>6737</v>
      </c>
      <c r="E14" s="764" t="s">
        <v>6850</v>
      </c>
      <c r="F14" s="764" t="s">
        <v>6853</v>
      </c>
      <c r="G14" s="764" t="s">
        <v>6854</v>
      </c>
      <c r="H14" s="764">
        <v>5.78</v>
      </c>
      <c r="I14" s="764">
        <v>25.68</v>
      </c>
      <c r="J14" s="724">
        <v>148.31</v>
      </c>
      <c r="K14" s="785">
        <f>+ROUND(PresupuestoOficial[[#This Row],[Área (m²)]]/3500,3)</f>
        <v>4.2000000000000003E-2</v>
      </c>
    </row>
    <row r="15" spans="1:11" s="732" customFormat="1" x14ac:dyDescent="0.3">
      <c r="A15" s="784">
        <v>11</v>
      </c>
      <c r="B15" s="764">
        <v>168919</v>
      </c>
      <c r="C15" s="609">
        <v>11007985</v>
      </c>
      <c r="D15" s="765" t="s">
        <v>6737</v>
      </c>
      <c r="E15" s="764" t="s">
        <v>5426</v>
      </c>
      <c r="F15" s="764" t="s">
        <v>6855</v>
      </c>
      <c r="G15" s="764" t="s">
        <v>6856</v>
      </c>
      <c r="H15" s="764">
        <v>7.27</v>
      </c>
      <c r="I15" s="764">
        <v>66.62</v>
      </c>
      <c r="J15" s="724">
        <v>484.43</v>
      </c>
      <c r="K15" s="785">
        <f>+ROUND(PresupuestoOficial[[#This Row],[Área (m²)]]/3500,3)</f>
        <v>0.13800000000000001</v>
      </c>
    </row>
    <row r="16" spans="1:11" s="732" customFormat="1" x14ac:dyDescent="0.3">
      <c r="A16" s="784">
        <v>12</v>
      </c>
      <c r="B16" s="764">
        <v>168426</v>
      </c>
      <c r="C16" s="609">
        <v>11011099</v>
      </c>
      <c r="D16" s="765" t="s">
        <v>6737</v>
      </c>
      <c r="E16" s="764" t="s">
        <v>6857</v>
      </c>
      <c r="F16" s="764" t="s">
        <v>6858</v>
      </c>
      <c r="G16" s="764" t="s">
        <v>6859</v>
      </c>
      <c r="H16" s="764">
        <v>6.03</v>
      </c>
      <c r="I16" s="764">
        <v>70.72</v>
      </c>
      <c r="J16" s="724">
        <v>426.72</v>
      </c>
      <c r="K16" s="785">
        <f>+ROUND(PresupuestoOficial[[#This Row],[Área (m²)]]/3500,3)</f>
        <v>0.122</v>
      </c>
    </row>
    <row r="17" spans="1:11" s="733" customFormat="1" x14ac:dyDescent="0.3">
      <c r="A17" s="784">
        <v>13</v>
      </c>
      <c r="B17" s="764">
        <v>91020796</v>
      </c>
      <c r="C17" s="609">
        <v>11013411</v>
      </c>
      <c r="D17" s="765" t="s">
        <v>6737</v>
      </c>
      <c r="E17" s="764" t="s">
        <v>6863</v>
      </c>
      <c r="F17" s="764" t="s">
        <v>6864</v>
      </c>
      <c r="G17" s="764" t="s">
        <v>6846</v>
      </c>
      <c r="H17" s="764">
        <v>7.83</v>
      </c>
      <c r="I17" s="764">
        <v>14.92</v>
      </c>
      <c r="J17" s="724">
        <v>116.78</v>
      </c>
      <c r="K17" s="785">
        <f>+ROUND(PresupuestoOficial[[#This Row],[Área (m²)]]/3500,3)</f>
        <v>3.3000000000000002E-2</v>
      </c>
    </row>
    <row r="18" spans="1:11" s="732" customFormat="1" x14ac:dyDescent="0.3">
      <c r="A18" s="784">
        <v>14</v>
      </c>
      <c r="B18" s="764">
        <v>176184</v>
      </c>
      <c r="C18" s="609">
        <v>11004832</v>
      </c>
      <c r="D18" s="765" t="s">
        <v>6737</v>
      </c>
      <c r="E18" s="764" t="s">
        <v>6863</v>
      </c>
      <c r="F18" s="764" t="s">
        <v>6846</v>
      </c>
      <c r="G18" s="764" t="s">
        <v>6861</v>
      </c>
      <c r="H18" s="764">
        <v>7.63</v>
      </c>
      <c r="I18" s="764">
        <v>31.16</v>
      </c>
      <c r="J18" s="724">
        <v>237.65</v>
      </c>
      <c r="K18" s="785">
        <f>+ROUND(PresupuestoOficial[[#This Row],[Área (m²)]]/3500,3)</f>
        <v>6.8000000000000005E-2</v>
      </c>
    </row>
    <row r="19" spans="1:11" s="732" customFormat="1" x14ac:dyDescent="0.3">
      <c r="A19" s="784">
        <v>15</v>
      </c>
      <c r="B19" s="764">
        <v>167636</v>
      </c>
      <c r="C19" s="609">
        <v>11008637</v>
      </c>
      <c r="D19" s="765" t="s">
        <v>6737</v>
      </c>
      <c r="E19" s="764" t="s">
        <v>6865</v>
      </c>
      <c r="F19" s="764" t="s">
        <v>6866</v>
      </c>
      <c r="G19" s="764" t="s">
        <v>6856</v>
      </c>
      <c r="H19" s="764">
        <v>5.77</v>
      </c>
      <c r="I19" s="764">
        <v>92.52</v>
      </c>
      <c r="J19" s="724">
        <v>533.41</v>
      </c>
      <c r="K19" s="785">
        <f>+ROUND(PresupuestoOficial[[#This Row],[Área (m²)]]/3500,3)</f>
        <v>0.152</v>
      </c>
    </row>
    <row r="20" spans="1:11" s="733" customFormat="1" x14ac:dyDescent="0.3">
      <c r="A20" s="784">
        <v>16</v>
      </c>
      <c r="B20" s="764">
        <v>176730</v>
      </c>
      <c r="C20" s="609">
        <v>11000997</v>
      </c>
      <c r="D20" s="765" t="s">
        <v>6737</v>
      </c>
      <c r="E20" s="764" t="s">
        <v>6867</v>
      </c>
      <c r="F20" s="764" t="s">
        <v>6868</v>
      </c>
      <c r="G20" s="764" t="s">
        <v>6869</v>
      </c>
      <c r="H20" s="764">
        <v>3.78</v>
      </c>
      <c r="I20" s="764">
        <v>38.25</v>
      </c>
      <c r="J20" s="724">
        <v>144.71</v>
      </c>
      <c r="K20" s="785">
        <f>+ROUND(PresupuestoOficial[[#This Row],[Área (m²)]]/3500,3)</f>
        <v>4.1000000000000002E-2</v>
      </c>
    </row>
    <row r="21" spans="1:11" s="733" customFormat="1" x14ac:dyDescent="0.3">
      <c r="A21" s="784">
        <v>17</v>
      </c>
      <c r="B21" s="764">
        <v>173038</v>
      </c>
      <c r="C21" s="609">
        <v>11005322</v>
      </c>
      <c r="D21" s="765" t="s">
        <v>6737</v>
      </c>
      <c r="E21" s="764" t="s">
        <v>6870</v>
      </c>
      <c r="F21" s="764" t="s">
        <v>6871</v>
      </c>
      <c r="G21" s="764" t="s">
        <v>6872</v>
      </c>
      <c r="H21" s="764">
        <v>6.95</v>
      </c>
      <c r="I21" s="764">
        <v>71.319999999999993</v>
      </c>
      <c r="J21" s="724">
        <v>495.42</v>
      </c>
      <c r="K21" s="785">
        <f>+ROUND(PresupuestoOficial[[#This Row],[Área (m²)]]/3500,3)</f>
        <v>0.14199999999999999</v>
      </c>
    </row>
    <row r="22" spans="1:11" s="732" customFormat="1" x14ac:dyDescent="0.3">
      <c r="A22" s="784">
        <v>18</v>
      </c>
      <c r="B22" s="764">
        <v>170222</v>
      </c>
      <c r="C22" s="609">
        <v>11009558</v>
      </c>
      <c r="D22" s="765" t="s">
        <v>6737</v>
      </c>
      <c r="E22" s="764" t="s">
        <v>6873</v>
      </c>
      <c r="F22" s="764" t="s">
        <v>6842</v>
      </c>
      <c r="G22" s="764" t="s">
        <v>6843</v>
      </c>
      <c r="H22" s="764">
        <v>6.71</v>
      </c>
      <c r="I22" s="764">
        <v>126.09</v>
      </c>
      <c r="J22" s="724">
        <v>845.83</v>
      </c>
      <c r="K22" s="785">
        <f>+ROUND(PresupuestoOficial[[#This Row],[Área (m²)]]/3500,3)</f>
        <v>0.24199999999999999</v>
      </c>
    </row>
    <row r="23" spans="1:11" s="732" customFormat="1" x14ac:dyDescent="0.3">
      <c r="A23" s="784">
        <v>19</v>
      </c>
      <c r="B23" s="764">
        <v>170229</v>
      </c>
      <c r="C23" s="609">
        <v>11009559</v>
      </c>
      <c r="D23" s="765" t="s">
        <v>6737</v>
      </c>
      <c r="E23" s="764" t="s">
        <v>6874</v>
      </c>
      <c r="F23" s="764" t="s">
        <v>6875</v>
      </c>
      <c r="G23" s="764" t="s">
        <v>6876</v>
      </c>
      <c r="H23" s="764">
        <v>5.77</v>
      </c>
      <c r="I23" s="764">
        <v>13.15</v>
      </c>
      <c r="J23" s="724">
        <v>75.92</v>
      </c>
      <c r="K23" s="785">
        <f>+ROUND(PresupuestoOficial[[#This Row],[Área (m²)]]/3500,3)</f>
        <v>2.1999999999999999E-2</v>
      </c>
    </row>
    <row r="24" spans="1:11" s="732" customFormat="1" x14ac:dyDescent="0.3">
      <c r="A24" s="784">
        <v>20</v>
      </c>
      <c r="B24" s="764">
        <v>170227</v>
      </c>
      <c r="C24" s="609">
        <v>11009572</v>
      </c>
      <c r="D24" s="765" t="s">
        <v>6737</v>
      </c>
      <c r="E24" s="764" t="s">
        <v>6874</v>
      </c>
      <c r="F24" s="764" t="s">
        <v>6877</v>
      </c>
      <c r="G24" s="764" t="s">
        <v>6878</v>
      </c>
      <c r="H24" s="764">
        <v>5.19</v>
      </c>
      <c r="I24" s="764">
        <v>36.24</v>
      </c>
      <c r="J24" s="724">
        <v>187.93</v>
      </c>
      <c r="K24" s="785">
        <f>+ROUND(PresupuestoOficial[[#This Row],[Área (m²)]]/3500,3)</f>
        <v>5.3999999999999999E-2</v>
      </c>
    </row>
    <row r="25" spans="1:11" s="732" customFormat="1" x14ac:dyDescent="0.3">
      <c r="A25" s="784">
        <v>21</v>
      </c>
      <c r="B25" s="764">
        <v>170226</v>
      </c>
      <c r="C25" s="609">
        <v>11009576</v>
      </c>
      <c r="D25" s="765" t="s">
        <v>6737</v>
      </c>
      <c r="E25" s="764" t="s">
        <v>6874</v>
      </c>
      <c r="F25" s="764" t="s">
        <v>6879</v>
      </c>
      <c r="G25" s="764" t="s">
        <v>6877</v>
      </c>
      <c r="H25" s="764">
        <v>4.92</v>
      </c>
      <c r="I25" s="764">
        <v>20.94</v>
      </c>
      <c r="J25" s="724">
        <v>102.95</v>
      </c>
      <c r="K25" s="785">
        <f>+ROUND(PresupuestoOficial[[#This Row],[Área (m²)]]/3500,3)</f>
        <v>2.9000000000000001E-2</v>
      </c>
    </row>
    <row r="26" spans="1:11" s="732" customFormat="1" x14ac:dyDescent="0.3">
      <c r="A26" s="784">
        <v>22</v>
      </c>
      <c r="B26" s="764">
        <v>171567</v>
      </c>
      <c r="C26" s="609">
        <v>11007928</v>
      </c>
      <c r="D26" s="765" t="s">
        <v>6737</v>
      </c>
      <c r="E26" s="764" t="s">
        <v>6862</v>
      </c>
      <c r="F26" s="764" t="s">
        <v>6880</v>
      </c>
      <c r="G26" s="764" t="s">
        <v>6881</v>
      </c>
      <c r="H26" s="764">
        <v>6.46</v>
      </c>
      <c r="I26" s="764">
        <v>81.08</v>
      </c>
      <c r="J26" s="724">
        <v>523.46</v>
      </c>
      <c r="K26" s="785">
        <f>+ROUND(PresupuestoOficial[[#This Row],[Área (m²)]]/3500,3)</f>
        <v>0.15</v>
      </c>
    </row>
    <row r="27" spans="1:11" s="732" customFormat="1" x14ac:dyDescent="0.3">
      <c r="A27" s="784">
        <v>23</v>
      </c>
      <c r="B27" s="764">
        <v>166632</v>
      </c>
      <c r="C27" s="609">
        <v>11011648</v>
      </c>
      <c r="D27" s="765" t="s">
        <v>6737</v>
      </c>
      <c r="E27" s="764" t="s">
        <v>6866</v>
      </c>
      <c r="F27" s="764" t="s">
        <v>6883</v>
      </c>
      <c r="G27" s="764" t="s">
        <v>6882</v>
      </c>
      <c r="H27" s="764">
        <v>5.39</v>
      </c>
      <c r="I27" s="764">
        <v>60.72</v>
      </c>
      <c r="J27" s="724">
        <v>327.35000000000002</v>
      </c>
      <c r="K27" s="785">
        <f>+ROUND(PresupuestoOficial[[#This Row],[Área (m²)]]/3500,3)</f>
        <v>9.4E-2</v>
      </c>
    </row>
    <row r="28" spans="1:11" s="595" customFormat="1" x14ac:dyDescent="0.3">
      <c r="A28" s="784">
        <v>24</v>
      </c>
      <c r="B28" s="764">
        <v>170228</v>
      </c>
      <c r="C28" s="609">
        <v>11009567</v>
      </c>
      <c r="D28" s="765" t="s">
        <v>6737</v>
      </c>
      <c r="E28" s="764" t="s">
        <v>6874</v>
      </c>
      <c r="F28" s="764" t="s">
        <v>6878</v>
      </c>
      <c r="G28" s="764" t="s">
        <v>6875</v>
      </c>
      <c r="H28" s="764">
        <v>5.38</v>
      </c>
      <c r="I28" s="764">
        <v>38.11</v>
      </c>
      <c r="J28" s="724">
        <v>205.14</v>
      </c>
      <c r="K28" s="785">
        <f>+ROUND(PresupuestoOficial[[#This Row],[Área (m²)]]/3500,3)</f>
        <v>5.8999999999999997E-2</v>
      </c>
    </row>
    <row r="29" spans="1:11" s="734" customFormat="1" x14ac:dyDescent="0.3">
      <c r="A29" s="784">
        <v>25</v>
      </c>
      <c r="B29" s="764">
        <v>172926</v>
      </c>
      <c r="C29" s="609">
        <v>11005175</v>
      </c>
      <c r="D29" s="765" t="s">
        <v>6737</v>
      </c>
      <c r="E29" s="764" t="s">
        <v>6904</v>
      </c>
      <c r="F29" s="764" t="s">
        <v>6905</v>
      </c>
      <c r="G29" s="764" t="s">
        <v>6906</v>
      </c>
      <c r="H29" s="764">
        <v>5.5</v>
      </c>
      <c r="I29" s="764">
        <v>26.26</v>
      </c>
      <c r="J29" s="724">
        <v>144.43</v>
      </c>
      <c r="K29" s="785">
        <f>+ROUND(PresupuestoOficial[[#This Row],[Área (m²)]]/3500,3)</f>
        <v>4.1000000000000002E-2</v>
      </c>
    </row>
    <row r="30" spans="1:11" s="595" customFormat="1" x14ac:dyDescent="0.3">
      <c r="A30" s="784">
        <v>26</v>
      </c>
      <c r="B30" s="764">
        <v>171152</v>
      </c>
      <c r="C30" s="609">
        <v>11007507</v>
      </c>
      <c r="D30" s="765" t="s">
        <v>6737</v>
      </c>
      <c r="E30" s="764" t="s">
        <v>6929</v>
      </c>
      <c r="F30" s="764" t="s">
        <v>6930</v>
      </c>
      <c r="G30" s="764" t="s">
        <v>6931</v>
      </c>
      <c r="H30" s="764">
        <v>7.37</v>
      </c>
      <c r="I30" s="764">
        <v>101.91</v>
      </c>
      <c r="J30" s="724">
        <v>751.07</v>
      </c>
      <c r="K30" s="785">
        <f>+ROUND(PresupuestoOficial[[#This Row],[Área (m²)]]/3500,3)</f>
        <v>0.215</v>
      </c>
    </row>
    <row r="31" spans="1:11" s="595" customFormat="1" x14ac:dyDescent="0.3">
      <c r="A31" s="784">
        <v>27</v>
      </c>
      <c r="B31" s="764">
        <v>173058</v>
      </c>
      <c r="C31" s="609">
        <v>11005122</v>
      </c>
      <c r="D31" s="765" t="s">
        <v>6737</v>
      </c>
      <c r="E31" s="764" t="s">
        <v>6932</v>
      </c>
      <c r="F31" s="764" t="s">
        <v>6933</v>
      </c>
      <c r="G31" s="764" t="s">
        <v>6870</v>
      </c>
      <c r="H31" s="764">
        <v>3.32</v>
      </c>
      <c r="I31" s="764">
        <v>59.23</v>
      </c>
      <c r="J31" s="724">
        <v>196.67</v>
      </c>
      <c r="K31" s="785">
        <f>+ROUND(PresupuestoOficial[[#This Row],[Área (m²)]]/3500,3)</f>
        <v>5.6000000000000001E-2</v>
      </c>
    </row>
    <row r="32" spans="1:11" s="595" customFormat="1" x14ac:dyDescent="0.3">
      <c r="A32" s="784">
        <v>28</v>
      </c>
      <c r="B32" s="764">
        <v>174478</v>
      </c>
      <c r="C32" s="609">
        <v>11003381</v>
      </c>
      <c r="D32" s="765" t="s">
        <v>6737</v>
      </c>
      <c r="E32" s="764" t="s">
        <v>6934</v>
      </c>
      <c r="F32" s="764" t="s">
        <v>6935</v>
      </c>
      <c r="G32" s="764" t="s">
        <v>6936</v>
      </c>
      <c r="H32" s="764">
        <v>8.89</v>
      </c>
      <c r="I32" s="764">
        <v>103.92</v>
      </c>
      <c r="J32" s="764">
        <v>924.18</v>
      </c>
      <c r="K32" s="785">
        <f>+ROUND(PresupuestoOficial[[#This Row],[Área (m²)]]/3500,3)</f>
        <v>0.26400000000000001</v>
      </c>
    </row>
    <row r="33" spans="1:11" s="595" customFormat="1" x14ac:dyDescent="0.3">
      <c r="A33" s="784">
        <v>29</v>
      </c>
      <c r="B33" s="764">
        <v>91010089</v>
      </c>
      <c r="C33" s="609">
        <v>11014231</v>
      </c>
      <c r="D33" s="765" t="s">
        <v>6737</v>
      </c>
      <c r="E33" s="764" t="s">
        <v>6937</v>
      </c>
      <c r="F33" s="764" t="s">
        <v>6858</v>
      </c>
      <c r="G33" s="764" t="s">
        <v>6859</v>
      </c>
      <c r="H33" s="764">
        <v>5.37</v>
      </c>
      <c r="I33" s="764">
        <v>55.38</v>
      </c>
      <c r="J33" s="764">
        <v>297.23</v>
      </c>
      <c r="K33" s="785">
        <f>+ROUND(PresupuestoOficial[[#This Row],[Área (m²)]]/3500,3)</f>
        <v>8.5000000000000006E-2</v>
      </c>
    </row>
    <row r="34" spans="1:11" s="595" customFormat="1" x14ac:dyDescent="0.3">
      <c r="A34" s="784">
        <v>30</v>
      </c>
      <c r="B34" s="764">
        <v>176122</v>
      </c>
      <c r="C34" s="721">
        <v>11001707</v>
      </c>
      <c r="D34" s="765" t="s">
        <v>6737</v>
      </c>
      <c r="E34" s="764" t="s">
        <v>6938</v>
      </c>
      <c r="F34" s="764" t="s">
        <v>6939</v>
      </c>
      <c r="G34" s="764" t="s">
        <v>6940</v>
      </c>
      <c r="H34" s="764">
        <v>6.74</v>
      </c>
      <c r="I34" s="764">
        <v>102.93</v>
      </c>
      <c r="J34" s="764">
        <v>693.96</v>
      </c>
      <c r="K34" s="785">
        <f>+ROUND(PresupuestoOficial[[#This Row],[Área (m²)]]/3500,3)</f>
        <v>0.19800000000000001</v>
      </c>
    </row>
    <row r="35" spans="1:11" s="595" customFormat="1" x14ac:dyDescent="0.3">
      <c r="A35" s="784">
        <v>31</v>
      </c>
      <c r="B35" s="764">
        <v>168536</v>
      </c>
      <c r="C35" s="609">
        <v>11010961</v>
      </c>
      <c r="D35" s="765" t="s">
        <v>6737</v>
      </c>
      <c r="E35" s="764" t="s">
        <v>6941</v>
      </c>
      <c r="F35" s="764" t="s">
        <v>6942</v>
      </c>
      <c r="G35" s="764" t="s">
        <v>6943</v>
      </c>
      <c r="H35" s="764">
        <v>8.36</v>
      </c>
      <c r="I35" s="764">
        <v>72.489999999999995</v>
      </c>
      <c r="J35" s="764">
        <v>606.14</v>
      </c>
      <c r="K35" s="785">
        <f>+ROUND(PresupuestoOficial[[#This Row],[Área (m²)]]/3500,3)</f>
        <v>0.17299999999999999</v>
      </c>
    </row>
    <row r="36" spans="1:11" s="595" customFormat="1" x14ac:dyDescent="0.3">
      <c r="A36" s="784">
        <v>32</v>
      </c>
      <c r="B36" s="764">
        <v>166934</v>
      </c>
      <c r="C36" s="609">
        <v>11010967</v>
      </c>
      <c r="D36" s="765" t="s">
        <v>6737</v>
      </c>
      <c r="E36" s="764" t="s">
        <v>6944</v>
      </c>
      <c r="F36" s="764" t="s">
        <v>6945</v>
      </c>
      <c r="G36" s="764" t="s">
        <v>6834</v>
      </c>
      <c r="H36" s="764">
        <v>6.19</v>
      </c>
      <c r="I36" s="764">
        <v>151.83000000000001</v>
      </c>
      <c r="J36" s="764">
        <v>939.11</v>
      </c>
      <c r="K36" s="785">
        <f>+ROUND(PresupuestoOficial[[#This Row],[Área (m²)]]/3500,3)</f>
        <v>0.26800000000000002</v>
      </c>
    </row>
    <row r="37" spans="1:11" s="595" customFormat="1" ht="15" thickBot="1" x14ac:dyDescent="0.35">
      <c r="A37" s="786">
        <v>33</v>
      </c>
      <c r="B37" s="792">
        <v>174353</v>
      </c>
      <c r="C37" s="787">
        <v>11004328</v>
      </c>
      <c r="D37" s="788" t="s">
        <v>6737</v>
      </c>
      <c r="E37" s="787" t="s">
        <v>6959</v>
      </c>
      <c r="F37" s="787" t="s">
        <v>6960</v>
      </c>
      <c r="G37" s="787" t="s">
        <v>6961</v>
      </c>
      <c r="H37" s="792">
        <v>5.18</v>
      </c>
      <c r="I37" s="792">
        <v>101.44</v>
      </c>
      <c r="J37" s="792">
        <v>525.6</v>
      </c>
      <c r="K37" s="789">
        <f>+ROUND(PresupuestoOficial[[#This Row],[Área (m²)]]/3500,3)</f>
        <v>0.15</v>
      </c>
    </row>
    <row r="38" spans="1:11" s="595" customFormat="1" x14ac:dyDescent="0.3">
      <c r="A38" s="814">
        <v>1</v>
      </c>
      <c r="B38" s="736">
        <v>52531</v>
      </c>
      <c r="C38" s="736">
        <v>11007928</v>
      </c>
      <c r="D38" s="815" t="s">
        <v>6739</v>
      </c>
      <c r="E38" s="629" t="s">
        <v>6884</v>
      </c>
      <c r="F38" s="629" t="s">
        <v>6885</v>
      </c>
      <c r="G38" s="629" t="s">
        <v>6881</v>
      </c>
      <c r="H38" s="736">
        <v>2.02</v>
      </c>
      <c r="I38" s="736">
        <v>78.040000000000006</v>
      </c>
      <c r="J38" s="736">
        <v>157.38</v>
      </c>
      <c r="K38" s="816"/>
    </row>
    <row r="39" spans="1:11" s="734" customFormat="1" x14ac:dyDescent="0.3">
      <c r="A39" s="793">
        <v>2</v>
      </c>
      <c r="B39" s="764">
        <v>52456</v>
      </c>
      <c r="C39" s="764">
        <v>11008018</v>
      </c>
      <c r="D39" s="794" t="s">
        <v>6739</v>
      </c>
      <c r="E39" s="609" t="s">
        <v>6886</v>
      </c>
      <c r="F39" s="609" t="s">
        <v>6880</v>
      </c>
      <c r="G39" s="609" t="s">
        <v>6881</v>
      </c>
      <c r="H39" s="764">
        <v>1.7</v>
      </c>
      <c r="I39" s="764">
        <v>64.650000000000006</v>
      </c>
      <c r="J39" s="764">
        <v>110.14</v>
      </c>
      <c r="K39" s="795"/>
    </row>
    <row r="40" spans="1:11" s="595" customFormat="1" x14ac:dyDescent="0.3">
      <c r="A40" s="793">
        <v>3</v>
      </c>
      <c r="B40" s="764">
        <v>92058103</v>
      </c>
      <c r="C40" s="764">
        <v>11008018</v>
      </c>
      <c r="D40" s="794" t="s">
        <v>6739</v>
      </c>
      <c r="E40" s="609" t="s">
        <v>6886</v>
      </c>
      <c r="F40" s="609" t="s">
        <v>6880</v>
      </c>
      <c r="G40" s="609" t="s">
        <v>6881</v>
      </c>
      <c r="H40" s="764">
        <v>1.55</v>
      </c>
      <c r="I40" s="764">
        <v>20.010000000000002</v>
      </c>
      <c r="J40" s="764">
        <v>30.97</v>
      </c>
      <c r="K40" s="795"/>
    </row>
    <row r="41" spans="1:11" s="595" customFormat="1" x14ac:dyDescent="0.3">
      <c r="A41" s="793">
        <v>4</v>
      </c>
      <c r="B41" s="764">
        <v>20011114</v>
      </c>
      <c r="C41" s="764">
        <v>11007271</v>
      </c>
      <c r="D41" s="794" t="s">
        <v>6739</v>
      </c>
      <c r="E41" s="609" t="s">
        <v>6887</v>
      </c>
      <c r="F41" s="609" t="s">
        <v>6860</v>
      </c>
      <c r="G41" s="609" t="s">
        <v>6888</v>
      </c>
      <c r="H41" s="764">
        <v>5.61</v>
      </c>
      <c r="I41" s="764">
        <v>27.67</v>
      </c>
      <c r="J41" s="764">
        <v>155.35</v>
      </c>
      <c r="K41" s="795"/>
    </row>
    <row r="42" spans="1:11" s="595" customFormat="1" x14ac:dyDescent="0.3">
      <c r="A42" s="793">
        <v>5</v>
      </c>
      <c r="B42" s="764">
        <v>20013540</v>
      </c>
      <c r="C42" s="764">
        <v>11007212</v>
      </c>
      <c r="D42" s="794" t="s">
        <v>6739</v>
      </c>
      <c r="E42" s="609" t="s">
        <v>6887</v>
      </c>
      <c r="F42" s="609" t="s">
        <v>6888</v>
      </c>
      <c r="G42" s="609" t="s">
        <v>6946</v>
      </c>
      <c r="H42" s="764">
        <v>5.34</v>
      </c>
      <c r="I42" s="764">
        <v>12.7</v>
      </c>
      <c r="J42" s="764">
        <v>67.83</v>
      </c>
      <c r="K42" s="795"/>
    </row>
    <row r="43" spans="1:11" s="595" customFormat="1" x14ac:dyDescent="0.3">
      <c r="A43" s="793">
        <v>6</v>
      </c>
      <c r="B43" s="764">
        <v>55337</v>
      </c>
      <c r="C43" s="764">
        <v>11006342</v>
      </c>
      <c r="D43" s="794" t="s">
        <v>6739</v>
      </c>
      <c r="E43" s="609" t="s">
        <v>6890</v>
      </c>
      <c r="F43" s="609" t="s">
        <v>6891</v>
      </c>
      <c r="G43" s="609" t="s">
        <v>6889</v>
      </c>
      <c r="H43" s="764">
        <v>4.16</v>
      </c>
      <c r="I43" s="764">
        <v>41.85</v>
      </c>
      <c r="J43" s="764">
        <v>174.27</v>
      </c>
      <c r="K43" s="795"/>
    </row>
    <row r="44" spans="1:11" x14ac:dyDescent="0.3">
      <c r="A44" s="793">
        <v>7</v>
      </c>
      <c r="B44" s="764">
        <v>92087422</v>
      </c>
      <c r="C44" s="764">
        <v>11006703</v>
      </c>
      <c r="D44" s="794" t="s">
        <v>6739</v>
      </c>
      <c r="E44" s="609" t="s">
        <v>6842</v>
      </c>
      <c r="F44" s="609" t="s">
        <v>6892</v>
      </c>
      <c r="G44" s="609" t="s">
        <v>6893</v>
      </c>
      <c r="H44" s="764">
        <v>3</v>
      </c>
      <c r="I44" s="764">
        <v>86.68</v>
      </c>
      <c r="J44" s="764">
        <v>267.25</v>
      </c>
      <c r="K44" s="796"/>
    </row>
    <row r="45" spans="1:11" x14ac:dyDescent="0.3">
      <c r="A45" s="793">
        <v>8</v>
      </c>
      <c r="B45" s="764">
        <v>55259</v>
      </c>
      <c r="C45" s="764">
        <v>11006438</v>
      </c>
      <c r="D45" s="794" t="s">
        <v>6739</v>
      </c>
      <c r="E45" s="609" t="s">
        <v>6890</v>
      </c>
      <c r="F45" s="609" t="s">
        <v>6892</v>
      </c>
      <c r="G45" s="609" t="s">
        <v>6891</v>
      </c>
      <c r="H45" s="764">
        <v>4.6100000000000003</v>
      </c>
      <c r="I45" s="764">
        <v>78.11</v>
      </c>
      <c r="J45" s="764">
        <v>360.09</v>
      </c>
      <c r="K45" s="795"/>
    </row>
    <row r="46" spans="1:11" x14ac:dyDescent="0.3">
      <c r="A46" s="793">
        <v>9</v>
      </c>
      <c r="B46" s="764">
        <v>466904</v>
      </c>
      <c r="C46" s="764">
        <v>11011896</v>
      </c>
      <c r="D46" s="794" t="s">
        <v>6739</v>
      </c>
      <c r="E46" s="609" t="s">
        <v>6894</v>
      </c>
      <c r="F46" s="609" t="s">
        <v>6895</v>
      </c>
      <c r="G46" s="609" t="s">
        <v>6895</v>
      </c>
      <c r="H46" s="764">
        <v>2.57</v>
      </c>
      <c r="I46" s="764">
        <v>8</v>
      </c>
      <c r="J46" s="764">
        <v>19.02</v>
      </c>
      <c r="K46" s="795"/>
    </row>
    <row r="47" spans="1:11" x14ac:dyDescent="0.3">
      <c r="A47" s="793">
        <v>10</v>
      </c>
      <c r="B47" s="764">
        <v>48591</v>
      </c>
      <c r="C47" s="764">
        <v>11002322</v>
      </c>
      <c r="D47" s="794" t="s">
        <v>6739</v>
      </c>
      <c r="E47" s="609" t="s">
        <v>6896</v>
      </c>
      <c r="F47" s="609" t="s">
        <v>6897</v>
      </c>
      <c r="G47" s="609" t="s">
        <v>6898</v>
      </c>
      <c r="H47" s="764">
        <v>2.5</v>
      </c>
      <c r="I47" s="764">
        <v>172.21</v>
      </c>
      <c r="J47" s="764">
        <v>417.55</v>
      </c>
      <c r="K47" s="795"/>
    </row>
    <row r="48" spans="1:11" x14ac:dyDescent="0.3">
      <c r="A48" s="793">
        <v>11</v>
      </c>
      <c r="B48" s="764">
        <v>48590</v>
      </c>
      <c r="C48" s="764">
        <v>11002322</v>
      </c>
      <c r="D48" s="794" t="s">
        <v>6739</v>
      </c>
      <c r="E48" s="609" t="s">
        <v>6896</v>
      </c>
      <c r="F48" s="609" t="s">
        <v>6897</v>
      </c>
      <c r="G48" s="609" t="s">
        <v>6898</v>
      </c>
      <c r="H48" s="764">
        <v>2.5</v>
      </c>
      <c r="I48" s="764">
        <v>171.88</v>
      </c>
      <c r="J48" s="764">
        <v>430.38</v>
      </c>
      <c r="K48" s="795"/>
    </row>
    <row r="49" spans="1:11" x14ac:dyDescent="0.3">
      <c r="A49" s="793">
        <v>12</v>
      </c>
      <c r="B49" s="764">
        <v>48561</v>
      </c>
      <c r="C49" s="764">
        <v>11002412</v>
      </c>
      <c r="D49" s="794" t="s">
        <v>6739</v>
      </c>
      <c r="E49" s="609" t="s">
        <v>6899</v>
      </c>
      <c r="F49" s="609" t="s">
        <v>6897</v>
      </c>
      <c r="G49" s="609" t="s">
        <v>6900</v>
      </c>
      <c r="H49" s="764">
        <v>2.5</v>
      </c>
      <c r="I49" s="764">
        <v>176.66</v>
      </c>
      <c r="J49" s="764">
        <v>441.41</v>
      </c>
      <c r="K49" s="795"/>
    </row>
    <row r="50" spans="1:11" x14ac:dyDescent="0.3">
      <c r="A50" s="793">
        <v>13</v>
      </c>
      <c r="B50" s="764">
        <v>48560</v>
      </c>
      <c r="C50" s="764">
        <v>11002412</v>
      </c>
      <c r="D50" s="794" t="s">
        <v>6739</v>
      </c>
      <c r="E50" s="609" t="s">
        <v>6899</v>
      </c>
      <c r="F50" s="609" t="s">
        <v>6897</v>
      </c>
      <c r="G50" s="609" t="s">
        <v>6900</v>
      </c>
      <c r="H50" s="764">
        <v>2.5</v>
      </c>
      <c r="I50" s="764">
        <v>177.87</v>
      </c>
      <c r="J50" s="764">
        <v>445.04</v>
      </c>
      <c r="K50" s="795"/>
    </row>
    <row r="51" spans="1:11" x14ac:dyDescent="0.3">
      <c r="A51" s="793">
        <v>14</v>
      </c>
      <c r="B51" s="790">
        <v>48657</v>
      </c>
      <c r="C51" s="764">
        <v>11002180</v>
      </c>
      <c r="D51" s="794" t="s">
        <v>6739</v>
      </c>
      <c r="E51" t="s">
        <v>6895</v>
      </c>
      <c r="F51" t="s">
        <v>6913</v>
      </c>
      <c r="G51" t="s">
        <v>6894</v>
      </c>
      <c r="H51" s="764">
        <v>6.16</v>
      </c>
      <c r="I51" s="764">
        <v>35.14</v>
      </c>
      <c r="J51" s="764">
        <v>216.48</v>
      </c>
      <c r="K51" s="795"/>
    </row>
    <row r="52" spans="1:11" ht="15" thickBot="1" x14ac:dyDescent="0.35">
      <c r="A52" s="797">
        <v>15</v>
      </c>
      <c r="B52" s="791">
        <v>48655</v>
      </c>
      <c r="C52" s="792">
        <v>11002186</v>
      </c>
      <c r="D52" s="798" t="s">
        <v>6739</v>
      </c>
      <c r="E52" s="799" t="s">
        <v>6895</v>
      </c>
      <c r="F52" s="799" t="s">
        <v>6914</v>
      </c>
      <c r="G52" s="799" t="s">
        <v>6913</v>
      </c>
      <c r="H52" s="792">
        <v>1.7</v>
      </c>
      <c r="I52" s="792">
        <v>39.770000000000003</v>
      </c>
      <c r="J52" s="792">
        <v>67.69</v>
      </c>
      <c r="K52" s="800"/>
    </row>
  </sheetData>
  <phoneticPr fontId="18" type="noConversion"/>
  <conditionalFormatting sqref="C5:C21">
    <cfRule type="duplicateValues" dxfId="18" priority="2"/>
  </conditionalFormatting>
  <conditionalFormatting sqref="C5:C37">
    <cfRule type="duplicateValues" dxfId="17" priority="3"/>
    <cfRule type="duplicateValues" dxfId="16" priority="4"/>
    <cfRule type="duplicateValues" dxfId="15" priority="5"/>
    <cfRule type="duplicateValues" dxfId="14" priority="6"/>
    <cfRule type="duplicateValues" dxfId="13" priority="7"/>
  </conditionalFormatting>
  <conditionalFormatting sqref="C28">
    <cfRule type="duplicateValues" dxfId="12" priority="1"/>
  </conditionalFormatting>
  <pageMargins left="0.7" right="0.7" top="0.75" bottom="0.75" header="0.3" footer="0.3"/>
  <pageSetup paperSize="9" scale="15"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DA6AA-34B5-4A03-A999-FA372A86AB81}">
  <dimension ref="A1:BD139"/>
  <sheetViews>
    <sheetView topLeftCell="E32" zoomScale="70" zoomScaleNormal="70" workbookViewId="0">
      <selection activeCell="O36" sqref="O36"/>
    </sheetView>
  </sheetViews>
  <sheetFormatPr baseColWidth="10" defaultColWidth="11.44140625" defaultRowHeight="14.4" x14ac:dyDescent="0.3"/>
  <cols>
    <col min="2" max="2" width="23.33203125" customWidth="1"/>
    <col min="3" max="3" width="11.44140625" style="627"/>
    <col min="4" max="4" width="77.6640625" style="19" customWidth="1"/>
    <col min="5" max="5" width="11.44140625" customWidth="1"/>
    <col min="6" max="6" width="17.6640625" customWidth="1"/>
    <col min="7" max="39" width="21.88671875" style="633" customWidth="1"/>
    <col min="40" max="41" width="13" style="634" customWidth="1"/>
    <col min="42" max="44" width="16.33203125" style="634" customWidth="1"/>
    <col min="45" max="45" width="13" style="634" customWidth="1"/>
    <col min="46" max="46" width="16.33203125" style="634" customWidth="1"/>
    <col min="47" max="47" width="13" style="634" customWidth="1"/>
    <col min="48" max="48" width="14.109375" style="634" customWidth="1"/>
    <col min="49" max="54" width="13" style="634" customWidth="1"/>
  </cols>
  <sheetData>
    <row r="1" spans="2:56" ht="15" thickBot="1" x14ac:dyDescent="0.35"/>
    <row r="2" spans="2:56" x14ac:dyDescent="0.3">
      <c r="E2" s="905" t="s">
        <v>5123</v>
      </c>
      <c r="F2" s="906"/>
      <c r="G2" s="715">
        <v>11013106</v>
      </c>
      <c r="H2" s="715">
        <v>11014251</v>
      </c>
      <c r="I2" s="715">
        <v>11009620</v>
      </c>
      <c r="J2" s="715">
        <v>11011333</v>
      </c>
      <c r="K2" s="715">
        <v>11009523</v>
      </c>
      <c r="L2" s="715">
        <v>11010015</v>
      </c>
      <c r="M2" s="715">
        <v>11008605</v>
      </c>
      <c r="N2" s="715">
        <v>11008568</v>
      </c>
      <c r="O2" s="715">
        <v>11008512</v>
      </c>
      <c r="P2" s="715">
        <v>11012053</v>
      </c>
      <c r="Q2" s="715">
        <v>11007985</v>
      </c>
      <c r="R2" s="715">
        <v>11011099</v>
      </c>
      <c r="S2" s="715">
        <v>11013411</v>
      </c>
      <c r="T2" s="715">
        <v>11004832</v>
      </c>
      <c r="U2" s="715">
        <v>11008637</v>
      </c>
      <c r="V2" s="715">
        <v>11000997</v>
      </c>
      <c r="W2" s="715">
        <v>11005322</v>
      </c>
      <c r="X2" s="715">
        <v>11009558</v>
      </c>
      <c r="Y2" s="715">
        <v>11009559</v>
      </c>
      <c r="Z2" s="715">
        <v>11009572</v>
      </c>
      <c r="AA2" s="715">
        <v>11009576</v>
      </c>
      <c r="AB2" s="715">
        <v>11007928</v>
      </c>
      <c r="AC2" s="715">
        <v>11011648</v>
      </c>
      <c r="AD2" s="715">
        <v>11009567</v>
      </c>
      <c r="AE2" s="715">
        <v>11005175</v>
      </c>
      <c r="AF2" s="715">
        <v>11007507</v>
      </c>
      <c r="AG2" s="715">
        <v>11005122</v>
      </c>
      <c r="AH2" s="811">
        <v>11003381</v>
      </c>
      <c r="AI2" s="811">
        <v>11014231</v>
      </c>
      <c r="AJ2" s="811">
        <v>11001707</v>
      </c>
      <c r="AK2" s="811">
        <v>11010961</v>
      </c>
      <c r="AL2" s="811">
        <v>11010967</v>
      </c>
      <c r="AM2" s="817">
        <v>11004328</v>
      </c>
      <c r="AN2" s="810">
        <v>11007928</v>
      </c>
      <c r="AO2" s="715">
        <v>11008018</v>
      </c>
      <c r="AP2" s="715">
        <v>11008018</v>
      </c>
      <c r="AQ2" s="715">
        <v>11007271</v>
      </c>
      <c r="AR2" s="715">
        <v>11007212</v>
      </c>
      <c r="AS2" s="715">
        <v>11006342</v>
      </c>
      <c r="AT2" s="715">
        <v>11006703</v>
      </c>
      <c r="AU2" s="715">
        <v>11006438</v>
      </c>
      <c r="AV2" s="715">
        <v>11011896</v>
      </c>
      <c r="AW2" s="715">
        <v>11002322</v>
      </c>
      <c r="AX2" s="715">
        <v>11002322</v>
      </c>
      <c r="AY2" s="715">
        <v>11002412</v>
      </c>
      <c r="AZ2" s="715">
        <v>11002412</v>
      </c>
      <c r="BA2" s="715">
        <v>11002180</v>
      </c>
      <c r="BB2" s="812">
        <v>11002186</v>
      </c>
    </row>
    <row r="3" spans="2:56" x14ac:dyDescent="0.3">
      <c r="E3" s="909" t="s">
        <v>6744</v>
      </c>
      <c r="F3" s="910"/>
      <c r="G3" s="764">
        <v>91013913</v>
      </c>
      <c r="H3" s="764">
        <v>472330</v>
      </c>
      <c r="I3" s="764">
        <v>167810</v>
      </c>
      <c r="J3" s="764">
        <v>166646</v>
      </c>
      <c r="K3" s="764">
        <v>167491</v>
      </c>
      <c r="L3" s="764">
        <v>167266</v>
      </c>
      <c r="M3" s="764">
        <v>170896</v>
      </c>
      <c r="N3" s="764">
        <v>170897</v>
      </c>
      <c r="O3" s="764">
        <v>170898</v>
      </c>
      <c r="P3" s="764">
        <v>91064150</v>
      </c>
      <c r="Q3" s="764">
        <v>168919</v>
      </c>
      <c r="R3" s="764">
        <v>168426</v>
      </c>
      <c r="S3" s="764">
        <v>91020796</v>
      </c>
      <c r="T3" s="764">
        <v>176184</v>
      </c>
      <c r="U3" s="764">
        <v>167636</v>
      </c>
      <c r="V3" s="764">
        <v>176730</v>
      </c>
      <c r="W3" s="764">
        <v>173038</v>
      </c>
      <c r="X3" s="764">
        <v>170222</v>
      </c>
      <c r="Y3" s="764">
        <v>170229</v>
      </c>
      <c r="Z3" s="764">
        <v>170227</v>
      </c>
      <c r="AA3" s="764">
        <v>170226</v>
      </c>
      <c r="AB3" s="764">
        <v>171567</v>
      </c>
      <c r="AC3" s="764">
        <v>166632</v>
      </c>
      <c r="AD3" s="764">
        <v>170228</v>
      </c>
      <c r="AE3" s="764">
        <v>172926</v>
      </c>
      <c r="AF3" s="764">
        <v>171152</v>
      </c>
      <c r="AG3" s="764">
        <v>173058</v>
      </c>
      <c r="AH3" s="813">
        <v>174478</v>
      </c>
      <c r="AI3" s="813">
        <v>91010089</v>
      </c>
      <c r="AJ3" s="813">
        <v>176122</v>
      </c>
      <c r="AK3" s="813">
        <v>168536</v>
      </c>
      <c r="AL3" s="813">
        <v>166934</v>
      </c>
      <c r="AM3" s="818">
        <v>174353</v>
      </c>
      <c r="AN3" s="767">
        <v>52531</v>
      </c>
      <c r="AO3" s="764">
        <v>52456</v>
      </c>
      <c r="AP3" s="764">
        <v>92058103</v>
      </c>
      <c r="AQ3" s="764">
        <v>20011114</v>
      </c>
      <c r="AR3" s="764">
        <v>20013540</v>
      </c>
      <c r="AS3" s="764">
        <v>55337</v>
      </c>
      <c r="AT3" s="764">
        <v>92087422</v>
      </c>
      <c r="AU3" s="764">
        <v>55259</v>
      </c>
      <c r="AV3" s="764">
        <v>466904</v>
      </c>
      <c r="AW3" s="764">
        <v>48591</v>
      </c>
      <c r="AX3" s="764">
        <v>48590</v>
      </c>
      <c r="AY3" s="764">
        <v>48561</v>
      </c>
      <c r="AZ3" s="764">
        <v>48560</v>
      </c>
      <c r="BA3" s="764">
        <v>48657</v>
      </c>
      <c r="BB3" s="606">
        <v>48655</v>
      </c>
    </row>
    <row r="4" spans="2:56" x14ac:dyDescent="0.3">
      <c r="E4" s="909" t="s">
        <v>6735</v>
      </c>
      <c r="F4" s="910"/>
      <c r="G4" s="764">
        <v>7.75</v>
      </c>
      <c r="H4" s="764">
        <v>6.26</v>
      </c>
      <c r="I4" s="764">
        <v>6.2</v>
      </c>
      <c r="J4" s="764">
        <v>5.35</v>
      </c>
      <c r="K4" s="764">
        <v>5.16</v>
      </c>
      <c r="L4" s="764">
        <v>6.33</v>
      </c>
      <c r="M4" s="764">
        <v>4.58</v>
      </c>
      <c r="N4" s="764">
        <v>5.19</v>
      </c>
      <c r="O4" s="764">
        <v>5.77</v>
      </c>
      <c r="P4" s="764">
        <v>5.78</v>
      </c>
      <c r="Q4" s="764">
        <v>7.27</v>
      </c>
      <c r="R4" s="764">
        <v>6.03</v>
      </c>
      <c r="S4" s="764">
        <v>7.83</v>
      </c>
      <c r="T4" s="764">
        <v>7.63</v>
      </c>
      <c r="U4" s="764">
        <v>5.77</v>
      </c>
      <c r="V4" s="764">
        <v>3.78</v>
      </c>
      <c r="W4" s="764">
        <v>6.95</v>
      </c>
      <c r="X4" s="764">
        <v>6.71</v>
      </c>
      <c r="Y4" s="764">
        <v>5.77</v>
      </c>
      <c r="Z4" s="764">
        <v>5.19</v>
      </c>
      <c r="AA4" s="764">
        <v>4.92</v>
      </c>
      <c r="AB4" s="764">
        <v>6.46</v>
      </c>
      <c r="AC4" s="764">
        <v>5.39</v>
      </c>
      <c r="AD4" s="764">
        <v>5.38</v>
      </c>
      <c r="AE4" s="764">
        <v>5.5</v>
      </c>
      <c r="AF4" s="764">
        <v>7.37</v>
      </c>
      <c r="AG4" s="764">
        <v>3.32</v>
      </c>
      <c r="AH4" s="813">
        <v>8.89</v>
      </c>
      <c r="AI4" s="813">
        <v>5.37</v>
      </c>
      <c r="AJ4" s="813">
        <v>6.74</v>
      </c>
      <c r="AK4" s="813">
        <v>8.36</v>
      </c>
      <c r="AL4" s="813">
        <v>6.19</v>
      </c>
      <c r="AM4" s="818">
        <v>5.18</v>
      </c>
      <c r="AN4" s="767">
        <v>2.02</v>
      </c>
      <c r="AO4" s="764">
        <v>1.7</v>
      </c>
      <c r="AP4" s="764">
        <v>1.55</v>
      </c>
      <c r="AQ4" s="764">
        <v>5.61</v>
      </c>
      <c r="AR4" s="764">
        <v>5.34</v>
      </c>
      <c r="AS4" s="764">
        <v>4.16</v>
      </c>
      <c r="AT4" s="764">
        <v>3</v>
      </c>
      <c r="AU4" s="764">
        <v>4.6100000000000003</v>
      </c>
      <c r="AV4" s="764">
        <v>2.57</v>
      </c>
      <c r="AW4" s="764">
        <v>2.5</v>
      </c>
      <c r="AX4" s="764">
        <v>2.5</v>
      </c>
      <c r="AY4" s="764">
        <v>2.5</v>
      </c>
      <c r="AZ4" s="764">
        <v>2.5</v>
      </c>
      <c r="BA4" s="764">
        <v>6.16</v>
      </c>
      <c r="BB4" s="606">
        <v>1.7</v>
      </c>
    </row>
    <row r="5" spans="2:56" x14ac:dyDescent="0.3">
      <c r="E5" s="909" t="s">
        <v>6736</v>
      </c>
      <c r="F5" s="910"/>
      <c r="G5" s="764">
        <v>192.18</v>
      </c>
      <c r="H5" s="764">
        <v>115.95</v>
      </c>
      <c r="I5" s="764">
        <v>125.97</v>
      </c>
      <c r="J5" s="764">
        <v>88.72</v>
      </c>
      <c r="K5" s="764">
        <v>85.74</v>
      </c>
      <c r="L5" s="764">
        <v>89.62</v>
      </c>
      <c r="M5" s="764">
        <v>24.59</v>
      </c>
      <c r="N5" s="764">
        <v>24.15</v>
      </c>
      <c r="O5" s="764">
        <v>8.64</v>
      </c>
      <c r="P5" s="764">
        <v>25.68</v>
      </c>
      <c r="Q5" s="764">
        <v>66.62</v>
      </c>
      <c r="R5" s="764">
        <v>70.72</v>
      </c>
      <c r="S5" s="764">
        <v>14.92</v>
      </c>
      <c r="T5" s="764">
        <v>31.16</v>
      </c>
      <c r="U5" s="764">
        <v>92.52</v>
      </c>
      <c r="V5" s="764">
        <v>38.25</v>
      </c>
      <c r="W5" s="764">
        <v>71.319999999999993</v>
      </c>
      <c r="X5" s="764">
        <v>126.09</v>
      </c>
      <c r="Y5" s="764">
        <v>13.15</v>
      </c>
      <c r="Z5" s="764">
        <v>36.24</v>
      </c>
      <c r="AA5" s="764">
        <v>20.94</v>
      </c>
      <c r="AB5" s="764">
        <v>81.08</v>
      </c>
      <c r="AC5" s="764">
        <v>60.72</v>
      </c>
      <c r="AD5" s="764">
        <v>38.11</v>
      </c>
      <c r="AE5" s="764">
        <v>26.26</v>
      </c>
      <c r="AF5" s="764">
        <v>101.91</v>
      </c>
      <c r="AG5" s="764">
        <v>59.23</v>
      </c>
      <c r="AH5" s="813">
        <v>103.92</v>
      </c>
      <c r="AI5" s="813">
        <v>55.38</v>
      </c>
      <c r="AJ5" s="813">
        <v>102.93</v>
      </c>
      <c r="AK5" s="813">
        <v>72.489999999999995</v>
      </c>
      <c r="AL5" s="813">
        <v>151.83000000000001</v>
      </c>
      <c r="AM5" s="818">
        <v>101.44</v>
      </c>
      <c r="AN5" s="767">
        <v>78.040000000000006</v>
      </c>
      <c r="AO5" s="764">
        <v>64.650000000000006</v>
      </c>
      <c r="AP5" s="764">
        <v>20.010000000000002</v>
      </c>
      <c r="AQ5" s="764">
        <v>27.67</v>
      </c>
      <c r="AR5" s="764">
        <v>12.7</v>
      </c>
      <c r="AS5" s="764">
        <v>41.85</v>
      </c>
      <c r="AT5" s="764">
        <v>86.68</v>
      </c>
      <c r="AU5" s="764">
        <v>78.11</v>
      </c>
      <c r="AV5" s="764">
        <v>8</v>
      </c>
      <c r="AW5" s="764">
        <v>172.21</v>
      </c>
      <c r="AX5" s="764">
        <v>171.88</v>
      </c>
      <c r="AY5" s="764">
        <v>176.66</v>
      </c>
      <c r="AZ5" s="764">
        <v>177.87</v>
      </c>
      <c r="BA5" s="764">
        <v>35.14</v>
      </c>
      <c r="BB5" s="606">
        <v>39.770000000000003</v>
      </c>
    </row>
    <row r="6" spans="2:56" x14ac:dyDescent="0.3">
      <c r="E6" s="909" t="s">
        <v>6745</v>
      </c>
      <c r="F6" s="910"/>
      <c r="G6" s="724">
        <v>1489.08</v>
      </c>
      <c r="H6" s="724">
        <v>726</v>
      </c>
      <c r="I6" s="724">
        <v>781.12</v>
      </c>
      <c r="J6" s="724">
        <v>474.81</v>
      </c>
      <c r="K6" s="724">
        <v>442.11</v>
      </c>
      <c r="L6" s="724">
        <v>567.01</v>
      </c>
      <c r="M6" s="724">
        <v>112.52</v>
      </c>
      <c r="N6" s="724">
        <v>125.44</v>
      </c>
      <c r="O6" s="724">
        <v>49.89</v>
      </c>
      <c r="P6" s="724">
        <v>148.31</v>
      </c>
      <c r="Q6" s="724">
        <v>484.43</v>
      </c>
      <c r="R6" s="724">
        <v>426.72</v>
      </c>
      <c r="S6" s="724">
        <v>116.78</v>
      </c>
      <c r="T6" s="724">
        <v>237.65</v>
      </c>
      <c r="U6" s="724">
        <v>533.41</v>
      </c>
      <c r="V6" s="724">
        <v>144.71</v>
      </c>
      <c r="W6" s="724">
        <v>495.42</v>
      </c>
      <c r="X6" s="724">
        <v>845.83</v>
      </c>
      <c r="Y6" s="724">
        <v>75.92</v>
      </c>
      <c r="Z6" s="724">
        <v>187.93</v>
      </c>
      <c r="AA6" s="724">
        <v>102.95</v>
      </c>
      <c r="AB6" s="724">
        <v>523.46</v>
      </c>
      <c r="AC6" s="724">
        <v>327.35000000000002</v>
      </c>
      <c r="AD6" s="724">
        <v>205.14</v>
      </c>
      <c r="AE6" s="724">
        <v>144.43</v>
      </c>
      <c r="AF6" s="724">
        <v>751.07</v>
      </c>
      <c r="AG6" s="724">
        <v>196.67</v>
      </c>
      <c r="AH6" s="771">
        <v>924.18</v>
      </c>
      <c r="AI6" s="771">
        <v>297.23</v>
      </c>
      <c r="AJ6" s="771">
        <v>693.96</v>
      </c>
      <c r="AK6" s="771">
        <v>606.14</v>
      </c>
      <c r="AL6" s="771">
        <v>939.11</v>
      </c>
      <c r="AM6" s="819">
        <v>525.6</v>
      </c>
      <c r="AN6" s="767">
        <v>157.38</v>
      </c>
      <c r="AO6" s="764">
        <v>110.14</v>
      </c>
      <c r="AP6" s="764">
        <v>30.97</v>
      </c>
      <c r="AQ6" s="764">
        <v>155.35</v>
      </c>
      <c r="AR6" s="764">
        <v>67.83</v>
      </c>
      <c r="AS6" s="764">
        <v>174.27</v>
      </c>
      <c r="AT6" s="764">
        <v>267.25</v>
      </c>
      <c r="AU6" s="764">
        <v>360.09</v>
      </c>
      <c r="AV6" s="764">
        <v>19.02</v>
      </c>
      <c r="AW6" s="764">
        <v>417.55</v>
      </c>
      <c r="AX6" s="764">
        <v>430.38</v>
      </c>
      <c r="AY6" s="764">
        <v>441.41</v>
      </c>
      <c r="AZ6" s="764">
        <v>445.04</v>
      </c>
      <c r="BA6" s="764">
        <v>216.48</v>
      </c>
      <c r="BB6" s="606">
        <v>67.69</v>
      </c>
    </row>
    <row r="7" spans="2:56" x14ac:dyDescent="0.3">
      <c r="E7" s="909" t="s">
        <v>6746</v>
      </c>
      <c r="F7" s="910"/>
      <c r="G7" s="765" t="s">
        <v>6737</v>
      </c>
      <c r="H7" s="765" t="s">
        <v>6737</v>
      </c>
      <c r="I7" s="765" t="s">
        <v>6737</v>
      </c>
      <c r="J7" s="765" t="s">
        <v>6737</v>
      </c>
      <c r="K7" s="765" t="s">
        <v>6737</v>
      </c>
      <c r="L7" s="765" t="s">
        <v>6737</v>
      </c>
      <c r="M7" s="765" t="s">
        <v>6737</v>
      </c>
      <c r="N7" s="765" t="s">
        <v>6737</v>
      </c>
      <c r="O7" s="765" t="s">
        <v>6737</v>
      </c>
      <c r="P7" s="765" t="s">
        <v>6737</v>
      </c>
      <c r="Q7" s="765" t="s">
        <v>6737</v>
      </c>
      <c r="R7" s="765" t="s">
        <v>6737</v>
      </c>
      <c r="S7" s="765" t="s">
        <v>6737</v>
      </c>
      <c r="T7" s="765" t="s">
        <v>6737</v>
      </c>
      <c r="U7" s="765" t="s">
        <v>6737</v>
      </c>
      <c r="V7" s="765" t="s">
        <v>6737</v>
      </c>
      <c r="W7" s="765" t="s">
        <v>6737</v>
      </c>
      <c r="X7" s="765" t="s">
        <v>6737</v>
      </c>
      <c r="Y7" s="765" t="s">
        <v>6737</v>
      </c>
      <c r="Z7" s="765" t="s">
        <v>6737</v>
      </c>
      <c r="AA7" s="765" t="s">
        <v>6737</v>
      </c>
      <c r="AB7" s="765" t="s">
        <v>6737</v>
      </c>
      <c r="AC7" s="765" t="s">
        <v>6737</v>
      </c>
      <c r="AD7" s="765" t="s">
        <v>6737</v>
      </c>
      <c r="AE7" s="765" t="s">
        <v>6737</v>
      </c>
      <c r="AF7" s="765" t="s">
        <v>6737</v>
      </c>
      <c r="AG7" s="765" t="s">
        <v>6737</v>
      </c>
      <c r="AH7" s="765" t="s">
        <v>6737</v>
      </c>
      <c r="AI7" s="765" t="s">
        <v>6737</v>
      </c>
      <c r="AJ7" s="765" t="s">
        <v>6737</v>
      </c>
      <c r="AK7" s="765" t="s">
        <v>6737</v>
      </c>
      <c r="AL7" s="765" t="s">
        <v>6737</v>
      </c>
      <c r="AM7" s="765" t="s">
        <v>6737</v>
      </c>
      <c r="AN7" s="772" t="s">
        <v>6739</v>
      </c>
      <c r="AO7" s="775" t="s">
        <v>6739</v>
      </c>
      <c r="AP7" s="775" t="s">
        <v>6739</v>
      </c>
      <c r="AQ7" s="775" t="s">
        <v>6739</v>
      </c>
      <c r="AR7" s="775" t="s">
        <v>6739</v>
      </c>
      <c r="AS7" s="775" t="s">
        <v>6739</v>
      </c>
      <c r="AT7" s="775" t="s">
        <v>6739</v>
      </c>
      <c r="AU7" s="775" t="s">
        <v>6739</v>
      </c>
      <c r="AV7" s="775" t="s">
        <v>6739</v>
      </c>
      <c r="AW7" s="775" t="s">
        <v>6739</v>
      </c>
      <c r="AX7" s="775" t="s">
        <v>6739</v>
      </c>
      <c r="AY7" s="775" t="s">
        <v>6739</v>
      </c>
      <c r="AZ7" s="775" t="s">
        <v>6739</v>
      </c>
      <c r="BA7" s="775" t="s">
        <v>6739</v>
      </c>
      <c r="BB7" s="775" t="s">
        <v>6739</v>
      </c>
    </row>
    <row r="8" spans="2:56" ht="36" x14ac:dyDescent="0.3">
      <c r="D8" s="19" t="s">
        <v>6476</v>
      </c>
      <c r="E8" s="909" t="s">
        <v>6747</v>
      </c>
      <c r="F8" s="910"/>
      <c r="G8" s="765" t="s">
        <v>6804</v>
      </c>
      <c r="H8" s="765" t="s">
        <v>6804</v>
      </c>
      <c r="I8" s="765" t="s">
        <v>6804</v>
      </c>
      <c r="J8" s="765" t="s">
        <v>6804</v>
      </c>
      <c r="K8" s="765" t="s">
        <v>6804</v>
      </c>
      <c r="L8" s="765" t="s">
        <v>6804</v>
      </c>
      <c r="M8" s="765" t="s">
        <v>6804</v>
      </c>
      <c r="N8" s="765" t="s">
        <v>6804</v>
      </c>
      <c r="O8" s="765" t="s">
        <v>6804</v>
      </c>
      <c r="P8" s="765" t="s">
        <v>6804</v>
      </c>
      <c r="Q8" s="765" t="s">
        <v>6804</v>
      </c>
      <c r="R8" s="765" t="s">
        <v>6804</v>
      </c>
      <c r="S8" s="765" t="s">
        <v>6804</v>
      </c>
      <c r="T8" s="765" t="s">
        <v>6804</v>
      </c>
      <c r="U8" s="765" t="s">
        <v>6804</v>
      </c>
      <c r="V8" s="765" t="s">
        <v>6804</v>
      </c>
      <c r="W8" s="765" t="s">
        <v>6804</v>
      </c>
      <c r="X8" s="765" t="s">
        <v>6804</v>
      </c>
      <c r="Y8" s="765" t="s">
        <v>6804</v>
      </c>
      <c r="Z8" s="765" t="s">
        <v>6804</v>
      </c>
      <c r="AA8" s="765" t="s">
        <v>6804</v>
      </c>
      <c r="AB8" s="765" t="s">
        <v>6826</v>
      </c>
      <c r="AC8" s="765" t="s">
        <v>6804</v>
      </c>
      <c r="AD8" s="765" t="s">
        <v>6804</v>
      </c>
      <c r="AE8" s="765" t="s">
        <v>6804</v>
      </c>
      <c r="AF8" s="765" t="s">
        <v>6804</v>
      </c>
      <c r="AG8" s="765" t="s">
        <v>6804</v>
      </c>
      <c r="AH8" s="765" t="s">
        <v>6804</v>
      </c>
      <c r="AI8" s="765" t="s">
        <v>6804</v>
      </c>
      <c r="AJ8" s="765" t="s">
        <v>6804</v>
      </c>
      <c r="AK8" s="765" t="s">
        <v>6804</v>
      </c>
      <c r="AL8" s="768" t="s">
        <v>6804</v>
      </c>
      <c r="AM8" s="768" t="s">
        <v>6804</v>
      </c>
      <c r="AN8" s="773" t="s">
        <v>6478</v>
      </c>
      <c r="AO8" s="765" t="s">
        <v>6478</v>
      </c>
      <c r="AP8" s="765" t="s">
        <v>6478</v>
      </c>
      <c r="AQ8" s="765" t="s">
        <v>6478</v>
      </c>
      <c r="AR8" s="765" t="s">
        <v>6478</v>
      </c>
      <c r="AS8" s="765" t="s">
        <v>6478</v>
      </c>
      <c r="AT8" s="765" t="s">
        <v>6478</v>
      </c>
      <c r="AU8" s="765" t="s">
        <v>6478</v>
      </c>
      <c r="AV8" s="765" t="s">
        <v>6478</v>
      </c>
      <c r="AW8" s="765" t="s">
        <v>6478</v>
      </c>
      <c r="AX8" s="765" t="s">
        <v>6478</v>
      </c>
      <c r="AY8" s="765" t="s">
        <v>6478</v>
      </c>
      <c r="AZ8" s="765" t="s">
        <v>6478</v>
      </c>
      <c r="BA8" s="765" t="s">
        <v>6478</v>
      </c>
      <c r="BB8" s="765" t="s">
        <v>6478</v>
      </c>
    </row>
    <row r="9" spans="2:56" x14ac:dyDescent="0.3">
      <c r="E9" s="909" t="s">
        <v>6748</v>
      </c>
      <c r="F9" s="910"/>
      <c r="G9" s="765" t="s">
        <v>6738</v>
      </c>
      <c r="H9" s="765" t="s">
        <v>6738</v>
      </c>
      <c r="I9" s="765" t="s">
        <v>6738</v>
      </c>
      <c r="J9" s="765" t="s">
        <v>6738</v>
      </c>
      <c r="K9" s="765" t="s">
        <v>6738</v>
      </c>
      <c r="L9" s="765" t="s">
        <v>6738</v>
      </c>
      <c r="M9" s="765" t="s">
        <v>6738</v>
      </c>
      <c r="N9" s="765" t="s">
        <v>6738</v>
      </c>
      <c r="O9" s="765" t="s">
        <v>6738</v>
      </c>
      <c r="P9" s="765" t="s">
        <v>6738</v>
      </c>
      <c r="Q9" s="765" t="s">
        <v>6738</v>
      </c>
      <c r="R9" s="765" t="s">
        <v>6738</v>
      </c>
      <c r="S9" s="765" t="s">
        <v>6738</v>
      </c>
      <c r="T9" s="765" t="s">
        <v>6738</v>
      </c>
      <c r="U9" s="765" t="s">
        <v>6738</v>
      </c>
      <c r="V9" s="765" t="s">
        <v>6738</v>
      </c>
      <c r="W9" s="765" t="s">
        <v>6738</v>
      </c>
      <c r="X9" s="765" t="s">
        <v>6738</v>
      </c>
      <c r="Y9" s="765" t="s">
        <v>6738</v>
      </c>
      <c r="Z9" s="765" t="s">
        <v>6738</v>
      </c>
      <c r="AA9" s="765" t="s">
        <v>6738</v>
      </c>
      <c r="AB9" s="765" t="s">
        <v>6947</v>
      </c>
      <c r="AC9" s="765" t="s">
        <v>6738</v>
      </c>
      <c r="AD9" s="765" t="s">
        <v>6738</v>
      </c>
      <c r="AE9" s="765" t="s">
        <v>6738</v>
      </c>
      <c r="AF9" s="765" t="s">
        <v>6738</v>
      </c>
      <c r="AG9" s="765" t="s">
        <v>6738</v>
      </c>
      <c r="AH9" s="768" t="s">
        <v>6738</v>
      </c>
      <c r="AI9" s="768" t="s">
        <v>6738</v>
      </c>
      <c r="AJ9" s="768" t="s">
        <v>6738</v>
      </c>
      <c r="AK9" s="768" t="s">
        <v>6738</v>
      </c>
      <c r="AL9" s="768" t="s">
        <v>6738</v>
      </c>
      <c r="AM9" s="768" t="s">
        <v>6738</v>
      </c>
      <c r="AN9" s="772" t="s">
        <v>6472</v>
      </c>
      <c r="AO9" s="775" t="s">
        <v>6472</v>
      </c>
      <c r="AP9" s="775" t="s">
        <v>6472</v>
      </c>
      <c r="AQ9" s="775" t="s">
        <v>6472</v>
      </c>
      <c r="AR9" s="775" t="s">
        <v>6472</v>
      </c>
      <c r="AS9" s="775" t="s">
        <v>6472</v>
      </c>
      <c r="AT9" s="775" t="s">
        <v>6472</v>
      </c>
      <c r="AU9" s="775" t="s">
        <v>6472</v>
      </c>
      <c r="AV9" s="775" t="s">
        <v>6472</v>
      </c>
      <c r="AW9" s="775" t="s">
        <v>6472</v>
      </c>
      <c r="AX9" s="775" t="s">
        <v>6472</v>
      </c>
      <c r="AY9" s="775" t="s">
        <v>6472</v>
      </c>
      <c r="AZ9" s="775" t="s">
        <v>6472</v>
      </c>
      <c r="BA9" s="775" t="s">
        <v>6472</v>
      </c>
      <c r="BB9" s="765" t="s">
        <v>6472</v>
      </c>
    </row>
    <row r="10" spans="2:56" x14ac:dyDescent="0.3">
      <c r="D10" s="19">
        <f>8*5</f>
        <v>40</v>
      </c>
      <c r="E10" s="909" t="s">
        <v>6749</v>
      </c>
      <c r="F10" s="910"/>
      <c r="G10" s="765" t="s">
        <v>6470</v>
      </c>
      <c r="H10" s="765" t="s">
        <v>6469</v>
      </c>
      <c r="I10" s="765" t="s">
        <v>6469</v>
      </c>
      <c r="J10" s="765" t="s">
        <v>6469</v>
      </c>
      <c r="K10" s="765" t="s">
        <v>6469</v>
      </c>
      <c r="L10" s="765" t="s">
        <v>6469</v>
      </c>
      <c r="M10" s="765" t="s">
        <v>6469</v>
      </c>
      <c r="N10" s="765" t="s">
        <v>6469</v>
      </c>
      <c r="O10" s="765" t="s">
        <v>6469</v>
      </c>
      <c r="P10" s="765" t="s">
        <v>6469</v>
      </c>
      <c r="Q10" s="765" t="s">
        <v>6469</v>
      </c>
      <c r="R10" s="765" t="s">
        <v>6469</v>
      </c>
      <c r="S10" s="765" t="s">
        <v>6469</v>
      </c>
      <c r="T10" s="765" t="s">
        <v>6469</v>
      </c>
      <c r="U10" s="765" t="s">
        <v>6469</v>
      </c>
      <c r="V10" s="765" t="s">
        <v>6469</v>
      </c>
      <c r="W10" s="765" t="s">
        <v>6469</v>
      </c>
      <c r="X10" s="765" t="s">
        <v>6469</v>
      </c>
      <c r="Y10" s="765" t="s">
        <v>6469</v>
      </c>
      <c r="Z10" s="765" t="s">
        <v>6469</v>
      </c>
      <c r="AA10" s="765" t="s">
        <v>6469</v>
      </c>
      <c r="AB10" s="765" t="s">
        <v>6469</v>
      </c>
      <c r="AC10" s="765" t="s">
        <v>6469</v>
      </c>
      <c r="AD10" s="765" t="s">
        <v>6469</v>
      </c>
      <c r="AE10" s="765" t="s">
        <v>6469</v>
      </c>
      <c r="AF10" s="765" t="s">
        <v>6470</v>
      </c>
      <c r="AG10" s="765" t="s">
        <v>6469</v>
      </c>
      <c r="AH10" s="768" t="s">
        <v>6470</v>
      </c>
      <c r="AI10" s="768" t="s">
        <v>6470</v>
      </c>
      <c r="AJ10" s="768" t="s">
        <v>6470</v>
      </c>
      <c r="AK10" s="768" t="s">
        <v>6470</v>
      </c>
      <c r="AL10" s="768" t="s">
        <v>6469</v>
      </c>
      <c r="AM10" s="768" t="s">
        <v>6469</v>
      </c>
      <c r="AN10" s="772" t="s">
        <v>6469</v>
      </c>
      <c r="AO10" s="775" t="s">
        <v>6469</v>
      </c>
      <c r="AP10" s="775" t="s">
        <v>6469</v>
      </c>
      <c r="AQ10" s="775" t="s">
        <v>6469</v>
      </c>
      <c r="AR10" s="775" t="s">
        <v>6469</v>
      </c>
      <c r="AS10" s="775" t="s">
        <v>6469</v>
      </c>
      <c r="AT10" s="775" t="s">
        <v>6469</v>
      </c>
      <c r="AU10" s="775" t="s">
        <v>6469</v>
      </c>
      <c r="AV10" s="775" t="s">
        <v>6469</v>
      </c>
      <c r="AW10" s="775" t="s">
        <v>6469</v>
      </c>
      <c r="AX10" s="775" t="s">
        <v>6469</v>
      </c>
      <c r="AY10" s="775" t="s">
        <v>6469</v>
      </c>
      <c r="AZ10" s="775" t="s">
        <v>6469</v>
      </c>
      <c r="BA10" s="775" t="s">
        <v>6469</v>
      </c>
      <c r="BB10" s="765" t="s">
        <v>6469</v>
      </c>
    </row>
    <row r="11" spans="2:56" x14ac:dyDescent="0.3">
      <c r="E11" s="909" t="s">
        <v>6750</v>
      </c>
      <c r="F11" s="910"/>
      <c r="G11" s="765">
        <f>IF(G7="Calzada",IF(G10="Intermedia",0.15,0.15),0.1)</f>
        <v>0.15</v>
      </c>
      <c r="H11" s="765">
        <f t="shared" ref="H11:AL11" si="0">IF(H7="Calzada",IF(H10="Intermedia",0.15,0.15),0.1)</f>
        <v>0.15</v>
      </c>
      <c r="I11" s="765">
        <f t="shared" si="0"/>
        <v>0.15</v>
      </c>
      <c r="J11" s="765">
        <f t="shared" si="0"/>
        <v>0.15</v>
      </c>
      <c r="K11" s="765">
        <f t="shared" si="0"/>
        <v>0.15</v>
      </c>
      <c r="L11" s="765">
        <f t="shared" si="0"/>
        <v>0.15</v>
      </c>
      <c r="M11" s="765">
        <f t="shared" si="0"/>
        <v>0.15</v>
      </c>
      <c r="N11" s="765">
        <f t="shared" si="0"/>
        <v>0.15</v>
      </c>
      <c r="O11" s="765">
        <f t="shared" si="0"/>
        <v>0.15</v>
      </c>
      <c r="P11" s="765">
        <f t="shared" si="0"/>
        <v>0.15</v>
      </c>
      <c r="Q11" s="765">
        <f t="shared" si="0"/>
        <v>0.15</v>
      </c>
      <c r="R11" s="765">
        <f t="shared" si="0"/>
        <v>0.15</v>
      </c>
      <c r="S11" s="765">
        <f t="shared" si="0"/>
        <v>0.15</v>
      </c>
      <c r="T11" s="765">
        <f t="shared" si="0"/>
        <v>0.15</v>
      </c>
      <c r="U11" s="765">
        <f t="shared" si="0"/>
        <v>0.15</v>
      </c>
      <c r="V11" s="765">
        <f t="shared" si="0"/>
        <v>0.15</v>
      </c>
      <c r="W11" s="765">
        <f t="shared" si="0"/>
        <v>0.15</v>
      </c>
      <c r="X11" s="765">
        <f t="shared" si="0"/>
        <v>0.15</v>
      </c>
      <c r="Y11" s="765">
        <f t="shared" si="0"/>
        <v>0.15</v>
      </c>
      <c r="Z11" s="765">
        <f t="shared" si="0"/>
        <v>0.15</v>
      </c>
      <c r="AA11" s="765">
        <f t="shared" si="0"/>
        <v>0.15</v>
      </c>
      <c r="AB11" s="765">
        <f t="shared" si="0"/>
        <v>0.15</v>
      </c>
      <c r="AC11" s="765">
        <f t="shared" si="0"/>
        <v>0.15</v>
      </c>
      <c r="AD11" s="765">
        <f t="shared" si="0"/>
        <v>0.15</v>
      </c>
      <c r="AE11" s="765">
        <f t="shared" si="0"/>
        <v>0.15</v>
      </c>
      <c r="AF11" s="765">
        <f t="shared" si="0"/>
        <v>0.15</v>
      </c>
      <c r="AG11" s="765">
        <f t="shared" si="0"/>
        <v>0.15</v>
      </c>
      <c r="AH11" s="765">
        <f t="shared" si="0"/>
        <v>0.15</v>
      </c>
      <c r="AI11" s="765">
        <f t="shared" si="0"/>
        <v>0.15</v>
      </c>
      <c r="AJ11" s="765">
        <f t="shared" si="0"/>
        <v>0.15</v>
      </c>
      <c r="AK11" s="765">
        <f t="shared" si="0"/>
        <v>0.15</v>
      </c>
      <c r="AL11" s="765">
        <f t="shared" si="0"/>
        <v>0.15</v>
      </c>
      <c r="AM11" s="765">
        <f t="shared" ref="AM11" si="1">IF(AM7="Calzada",IF(AM10="Intermedia",0.15,0.15),0.1)</f>
        <v>0.15</v>
      </c>
      <c r="AN11" s="772">
        <f>IF(AN7="Calzada",IF(AN10="Intermedia",0.18,0.12),0.1)</f>
        <v>0.1</v>
      </c>
      <c r="AO11" s="775">
        <f t="shared" ref="AO11:BB11" si="2">IF(AO7="Calzada",IF(AO10="Intermedia",0.18,0.12),0.1)</f>
        <v>0.1</v>
      </c>
      <c r="AP11" s="775">
        <f t="shared" si="2"/>
        <v>0.1</v>
      </c>
      <c r="AQ11" s="775">
        <f t="shared" si="2"/>
        <v>0.1</v>
      </c>
      <c r="AR11" s="775">
        <f t="shared" si="2"/>
        <v>0.1</v>
      </c>
      <c r="AS11" s="775">
        <f t="shared" si="2"/>
        <v>0.1</v>
      </c>
      <c r="AT11" s="775">
        <f t="shared" si="2"/>
        <v>0.1</v>
      </c>
      <c r="AU11" s="775">
        <f t="shared" si="2"/>
        <v>0.1</v>
      </c>
      <c r="AV11" s="775">
        <f t="shared" si="2"/>
        <v>0.1</v>
      </c>
      <c r="AW11" s="775">
        <f t="shared" si="2"/>
        <v>0.1</v>
      </c>
      <c r="AX11" s="775">
        <f t="shared" si="2"/>
        <v>0.1</v>
      </c>
      <c r="AY11" s="775">
        <f t="shared" si="2"/>
        <v>0.1</v>
      </c>
      <c r="AZ11" s="775">
        <f t="shared" si="2"/>
        <v>0.1</v>
      </c>
      <c r="BA11" s="775">
        <f t="shared" si="2"/>
        <v>0.1</v>
      </c>
      <c r="BB11" s="775">
        <f t="shared" si="2"/>
        <v>0.1</v>
      </c>
    </row>
    <row r="12" spans="2:56" x14ac:dyDescent="0.3">
      <c r="E12" s="909" t="s">
        <v>6751</v>
      </c>
      <c r="F12" s="910"/>
      <c r="G12" s="765">
        <v>0.3</v>
      </c>
      <c r="H12" s="765">
        <v>0.25</v>
      </c>
      <c r="I12" s="765">
        <v>0.25</v>
      </c>
      <c r="J12" s="765">
        <v>0.25</v>
      </c>
      <c r="K12" s="765">
        <v>0.25</v>
      </c>
      <c r="L12" s="765">
        <v>0.25</v>
      </c>
      <c r="M12" s="765">
        <v>0.2</v>
      </c>
      <c r="N12" s="765">
        <v>0.2</v>
      </c>
      <c r="O12" s="765">
        <v>0.2</v>
      </c>
      <c r="P12" s="765">
        <v>0.2</v>
      </c>
      <c r="Q12" s="765">
        <v>0.25</v>
      </c>
      <c r="R12" s="765">
        <v>0.25</v>
      </c>
      <c r="S12" s="765">
        <v>0.2</v>
      </c>
      <c r="T12" s="765">
        <v>0.2</v>
      </c>
      <c r="U12" s="765">
        <v>0.25</v>
      </c>
      <c r="V12" s="765">
        <v>0.2</v>
      </c>
      <c r="W12" s="765">
        <v>0.25</v>
      </c>
      <c r="X12" s="765">
        <v>0.25</v>
      </c>
      <c r="Y12" s="765">
        <v>0.2</v>
      </c>
      <c r="Z12" s="765">
        <v>0.2</v>
      </c>
      <c r="AA12" s="765">
        <v>0.2</v>
      </c>
      <c r="AB12" s="765">
        <v>0.25</v>
      </c>
      <c r="AC12" s="765">
        <v>0.2</v>
      </c>
      <c r="AD12" s="765">
        <v>0.2</v>
      </c>
      <c r="AE12" s="765">
        <v>0.2</v>
      </c>
      <c r="AF12" s="765">
        <v>0.3</v>
      </c>
      <c r="AG12" s="765">
        <v>0.2</v>
      </c>
      <c r="AH12" s="765">
        <v>0.3</v>
      </c>
      <c r="AI12" s="765">
        <v>0.3</v>
      </c>
      <c r="AJ12" s="765">
        <v>0.3</v>
      </c>
      <c r="AK12" s="765">
        <v>0.3</v>
      </c>
      <c r="AL12" s="765">
        <v>0.25</v>
      </c>
      <c r="AM12" s="765">
        <v>0.25</v>
      </c>
      <c r="AN12" s="772">
        <f>IF(AN7="Calzada",IF(AN10="Intermedia",0.2,0.3),0.15)</f>
        <v>0.15</v>
      </c>
      <c r="AO12" s="775">
        <f t="shared" ref="AO12:BB12" si="3">IF(AO7="Calzada",IF(AO10="Intermedia",0.2,0.3),0.15)</f>
        <v>0.15</v>
      </c>
      <c r="AP12" s="775">
        <f t="shared" si="3"/>
        <v>0.15</v>
      </c>
      <c r="AQ12" s="775">
        <f t="shared" si="3"/>
        <v>0.15</v>
      </c>
      <c r="AR12" s="775">
        <f t="shared" si="3"/>
        <v>0.15</v>
      </c>
      <c r="AS12" s="775">
        <f t="shared" si="3"/>
        <v>0.15</v>
      </c>
      <c r="AT12" s="775">
        <f t="shared" si="3"/>
        <v>0.15</v>
      </c>
      <c r="AU12" s="775">
        <f t="shared" si="3"/>
        <v>0.15</v>
      </c>
      <c r="AV12" s="775">
        <f t="shared" si="3"/>
        <v>0.15</v>
      </c>
      <c r="AW12" s="775">
        <f t="shared" si="3"/>
        <v>0.15</v>
      </c>
      <c r="AX12" s="775">
        <f t="shared" si="3"/>
        <v>0.15</v>
      </c>
      <c r="AY12" s="775">
        <f t="shared" si="3"/>
        <v>0.15</v>
      </c>
      <c r="AZ12" s="775">
        <f t="shared" si="3"/>
        <v>0.15</v>
      </c>
      <c r="BA12" s="775">
        <f t="shared" si="3"/>
        <v>0.15</v>
      </c>
      <c r="BB12" s="775">
        <f t="shared" si="3"/>
        <v>0.15</v>
      </c>
    </row>
    <row r="13" spans="2:56" x14ac:dyDescent="0.3">
      <c r="E13" s="909" t="s">
        <v>6752</v>
      </c>
      <c r="F13" s="910"/>
      <c r="G13" s="765">
        <v>0.3</v>
      </c>
      <c r="H13" s="765">
        <v>0.3</v>
      </c>
      <c r="I13" s="765">
        <v>0.3</v>
      </c>
      <c r="J13" s="765">
        <v>0.3</v>
      </c>
      <c r="K13" s="765">
        <v>0.3</v>
      </c>
      <c r="L13" s="765">
        <v>0.3</v>
      </c>
      <c r="M13" s="765">
        <v>0.3</v>
      </c>
      <c r="N13" s="765">
        <v>0.3</v>
      </c>
      <c r="O13" s="765">
        <v>0.3</v>
      </c>
      <c r="P13" s="765">
        <v>0.3</v>
      </c>
      <c r="Q13" s="765">
        <v>0.3</v>
      </c>
      <c r="R13" s="765">
        <v>0.3</v>
      </c>
      <c r="S13" s="765">
        <v>0.3</v>
      </c>
      <c r="T13" s="765">
        <v>0.3</v>
      </c>
      <c r="U13" s="765">
        <v>0.3</v>
      </c>
      <c r="V13" s="765">
        <v>0.3</v>
      </c>
      <c r="W13" s="765">
        <v>0.3</v>
      </c>
      <c r="X13" s="765">
        <v>0.3</v>
      </c>
      <c r="Y13" s="765">
        <v>0.3</v>
      </c>
      <c r="Z13" s="765">
        <v>0.3</v>
      </c>
      <c r="AA13" s="765">
        <v>0.3</v>
      </c>
      <c r="AB13" s="765">
        <v>0.3</v>
      </c>
      <c r="AC13" s="765">
        <v>0.3</v>
      </c>
      <c r="AD13" s="765">
        <v>0.3</v>
      </c>
      <c r="AE13" s="765">
        <v>0.3</v>
      </c>
      <c r="AF13" s="765">
        <v>0.3</v>
      </c>
      <c r="AG13" s="765">
        <v>0.3</v>
      </c>
      <c r="AH13" s="765">
        <v>0.3</v>
      </c>
      <c r="AI13" s="765">
        <v>0.3</v>
      </c>
      <c r="AJ13" s="765">
        <v>0.3</v>
      </c>
      <c r="AK13" s="765">
        <v>0.3</v>
      </c>
      <c r="AL13" s="765">
        <v>0.3</v>
      </c>
      <c r="AM13" s="765">
        <v>0.3</v>
      </c>
      <c r="AN13" s="772">
        <v>0</v>
      </c>
      <c r="AO13" s="775">
        <v>0</v>
      </c>
      <c r="AP13" s="775">
        <v>0</v>
      </c>
      <c r="AQ13" s="775">
        <v>0</v>
      </c>
      <c r="AR13" s="775">
        <v>0</v>
      </c>
      <c r="AS13" s="775">
        <v>0</v>
      </c>
      <c r="AT13" s="775">
        <v>0</v>
      </c>
      <c r="AU13" s="775">
        <v>0</v>
      </c>
      <c r="AV13" s="775">
        <v>0</v>
      </c>
      <c r="AW13" s="775">
        <v>0</v>
      </c>
      <c r="AX13" s="775">
        <v>0</v>
      </c>
      <c r="AY13" s="775">
        <v>0</v>
      </c>
      <c r="AZ13" s="775">
        <v>0</v>
      </c>
      <c r="BA13" s="775">
        <v>0</v>
      </c>
      <c r="BB13" s="775">
        <v>0</v>
      </c>
    </row>
    <row r="14" spans="2:56" ht="15" thickBot="1" x14ac:dyDescent="0.35">
      <c r="E14" s="907" t="s">
        <v>6753</v>
      </c>
      <c r="F14" s="908"/>
      <c r="G14" s="714">
        <f>IF(G7="Calzada",IF(G10="Intermedia",0.2,0.1),0)</f>
        <v>0.2</v>
      </c>
      <c r="H14" s="714">
        <v>0</v>
      </c>
      <c r="I14" s="714">
        <v>0</v>
      </c>
      <c r="J14" s="714">
        <f t="shared" ref="J14:AM14" si="4">IF(J7="Calzada",IF(J10="Intermedia",0.2,0.1),0)</f>
        <v>0.1</v>
      </c>
      <c r="K14" s="714">
        <f t="shared" si="4"/>
        <v>0.1</v>
      </c>
      <c r="L14" s="714">
        <v>0</v>
      </c>
      <c r="M14" s="714">
        <f t="shared" si="4"/>
        <v>0.1</v>
      </c>
      <c r="N14" s="714">
        <f t="shared" si="4"/>
        <v>0.1</v>
      </c>
      <c r="O14" s="714">
        <f t="shared" si="4"/>
        <v>0.1</v>
      </c>
      <c r="P14" s="714">
        <f t="shared" si="4"/>
        <v>0.1</v>
      </c>
      <c r="Q14" s="714">
        <f t="shared" si="4"/>
        <v>0.1</v>
      </c>
      <c r="R14" s="714">
        <f t="shared" si="4"/>
        <v>0.1</v>
      </c>
      <c r="S14" s="714">
        <f t="shared" si="4"/>
        <v>0.1</v>
      </c>
      <c r="T14" s="714">
        <f t="shared" si="4"/>
        <v>0.1</v>
      </c>
      <c r="U14" s="714">
        <f t="shared" si="4"/>
        <v>0.1</v>
      </c>
      <c r="V14" s="714">
        <f t="shared" si="4"/>
        <v>0.1</v>
      </c>
      <c r="W14" s="714">
        <f t="shared" si="4"/>
        <v>0.1</v>
      </c>
      <c r="X14" s="714">
        <f t="shared" si="4"/>
        <v>0.1</v>
      </c>
      <c r="Y14" s="714">
        <f t="shared" si="4"/>
        <v>0.1</v>
      </c>
      <c r="Z14" s="714">
        <f t="shared" si="4"/>
        <v>0.1</v>
      </c>
      <c r="AA14" s="714">
        <f t="shared" si="4"/>
        <v>0.1</v>
      </c>
      <c r="AB14" s="714">
        <f t="shared" si="4"/>
        <v>0.1</v>
      </c>
      <c r="AC14" s="714">
        <f t="shared" si="4"/>
        <v>0.1</v>
      </c>
      <c r="AD14" s="714">
        <f t="shared" si="4"/>
        <v>0.1</v>
      </c>
      <c r="AE14" s="714">
        <f t="shared" si="4"/>
        <v>0.1</v>
      </c>
      <c r="AF14" s="714">
        <f t="shared" si="4"/>
        <v>0.2</v>
      </c>
      <c r="AG14" s="714">
        <f t="shared" si="4"/>
        <v>0.1</v>
      </c>
      <c r="AH14" s="714">
        <f t="shared" si="4"/>
        <v>0.2</v>
      </c>
      <c r="AI14" s="714">
        <f t="shared" si="4"/>
        <v>0.2</v>
      </c>
      <c r="AJ14" s="714">
        <f t="shared" si="4"/>
        <v>0.2</v>
      </c>
      <c r="AK14" s="714">
        <f t="shared" si="4"/>
        <v>0.2</v>
      </c>
      <c r="AL14" s="714">
        <f t="shared" si="4"/>
        <v>0.1</v>
      </c>
      <c r="AM14" s="714">
        <f t="shared" si="4"/>
        <v>0.1</v>
      </c>
      <c r="AN14" s="774">
        <f t="shared" ref="AN14:BB14" si="5">IF(AN7="Calzada",IF(AN10="Intermedia",0.2,0),0)</f>
        <v>0</v>
      </c>
      <c r="AO14" s="714">
        <f t="shared" si="5"/>
        <v>0</v>
      </c>
      <c r="AP14" s="714">
        <f t="shared" si="5"/>
        <v>0</v>
      </c>
      <c r="AQ14" s="714">
        <f t="shared" si="5"/>
        <v>0</v>
      </c>
      <c r="AR14" s="714">
        <f t="shared" si="5"/>
        <v>0</v>
      </c>
      <c r="AS14" s="714">
        <f t="shared" si="5"/>
        <v>0</v>
      </c>
      <c r="AT14" s="714">
        <f t="shared" si="5"/>
        <v>0</v>
      </c>
      <c r="AU14" s="714">
        <f t="shared" si="5"/>
        <v>0</v>
      </c>
      <c r="AV14" s="714">
        <f t="shared" si="5"/>
        <v>0</v>
      </c>
      <c r="AW14" s="714">
        <f t="shared" si="5"/>
        <v>0</v>
      </c>
      <c r="AX14" s="714">
        <f t="shared" si="5"/>
        <v>0</v>
      </c>
      <c r="AY14" s="714">
        <f t="shared" si="5"/>
        <v>0</v>
      </c>
      <c r="AZ14" s="714">
        <f t="shared" si="5"/>
        <v>0</v>
      </c>
      <c r="BA14" s="714">
        <f t="shared" si="5"/>
        <v>0</v>
      </c>
      <c r="BB14" s="714">
        <f t="shared" si="5"/>
        <v>0</v>
      </c>
      <c r="BD14">
        <v>1.33</v>
      </c>
    </row>
    <row r="15" spans="2:56" x14ac:dyDescent="0.3">
      <c r="B15" s="628" t="s">
        <v>6754</v>
      </c>
      <c r="C15" s="630" t="s">
        <v>6755</v>
      </c>
      <c r="D15" s="631" t="s">
        <v>6756</v>
      </c>
      <c r="E15" s="629" t="s">
        <v>17</v>
      </c>
      <c r="F15" s="629" t="s">
        <v>6757</v>
      </c>
      <c r="G15" s="735" t="s">
        <v>6805</v>
      </c>
      <c r="H15" s="736" t="s">
        <v>6758</v>
      </c>
      <c r="I15" s="736" t="s">
        <v>6806</v>
      </c>
      <c r="J15" s="736" t="s">
        <v>6807</v>
      </c>
      <c r="K15" s="736" t="s">
        <v>6808</v>
      </c>
      <c r="L15" s="736" t="s">
        <v>6809</v>
      </c>
      <c r="M15" s="736" t="s">
        <v>6759</v>
      </c>
      <c r="N15" s="736" t="s">
        <v>6760</v>
      </c>
      <c r="O15" s="736" t="s">
        <v>6761</v>
      </c>
      <c r="P15" s="736" t="s">
        <v>6762</v>
      </c>
      <c r="Q15" s="736" t="s">
        <v>6810</v>
      </c>
      <c r="R15" s="736" t="s">
        <v>6811</v>
      </c>
      <c r="S15" s="736" t="s">
        <v>6812</v>
      </c>
      <c r="T15" s="736" t="s">
        <v>6813</v>
      </c>
      <c r="U15" s="736" t="s">
        <v>6814</v>
      </c>
      <c r="V15" s="736" t="s">
        <v>6815</v>
      </c>
      <c r="W15" s="736" t="s">
        <v>6816</v>
      </c>
      <c r="X15" s="736" t="s">
        <v>6910</v>
      </c>
      <c r="Y15" s="736" t="s">
        <v>6817</v>
      </c>
      <c r="Z15" s="736" t="s">
        <v>6818</v>
      </c>
      <c r="AA15" s="736" t="s">
        <v>6819</v>
      </c>
      <c r="AB15" s="736" t="s">
        <v>6820</v>
      </c>
      <c r="AC15" s="736" t="s">
        <v>6821</v>
      </c>
      <c r="AD15" s="736" t="s">
        <v>6822</v>
      </c>
      <c r="AE15" s="736" t="s">
        <v>6901</v>
      </c>
      <c r="AF15" s="736" t="s">
        <v>6948</v>
      </c>
      <c r="AG15" s="737" t="s">
        <v>6949</v>
      </c>
      <c r="AH15" s="737" t="s">
        <v>6950</v>
      </c>
      <c r="AI15" s="737" t="s">
        <v>6951</v>
      </c>
      <c r="AJ15" s="737" t="s">
        <v>6952</v>
      </c>
      <c r="AK15" s="737" t="s">
        <v>6953</v>
      </c>
      <c r="AL15" s="737" t="s">
        <v>6954</v>
      </c>
      <c r="AM15" s="818" t="s">
        <v>6962</v>
      </c>
      <c r="AN15" s="735" t="s">
        <v>6765</v>
      </c>
      <c r="AO15" s="736" t="s">
        <v>6763</v>
      </c>
      <c r="AP15" s="736" t="s">
        <v>6764</v>
      </c>
      <c r="AQ15" s="736" t="s">
        <v>6766</v>
      </c>
      <c r="AR15" s="736" t="s">
        <v>6955</v>
      </c>
      <c r="AS15" s="736" t="s">
        <v>6768</v>
      </c>
      <c r="AT15" s="736" t="s">
        <v>6767</v>
      </c>
      <c r="AU15" s="736" t="s">
        <v>6769</v>
      </c>
      <c r="AV15" s="736" t="s">
        <v>6770</v>
      </c>
      <c r="AW15" s="736" t="s">
        <v>6823</v>
      </c>
      <c r="AX15" s="736" t="s">
        <v>6824</v>
      </c>
      <c r="AY15" s="736" t="s">
        <v>6803</v>
      </c>
      <c r="AZ15" s="737" t="s">
        <v>6825</v>
      </c>
      <c r="BA15" s="769" t="s">
        <v>6956</v>
      </c>
      <c r="BB15" s="769" t="s">
        <v>6957</v>
      </c>
    </row>
    <row r="16" spans="2:56" ht="43.2" x14ac:dyDescent="0.3">
      <c r="B16" s="498" t="s">
        <v>6804</v>
      </c>
      <c r="C16" s="722">
        <v>3007</v>
      </c>
      <c r="D16" s="511" t="str">
        <f>+_xlfn.XLOOKUP(Cantidades[[#This Row],[cod Idu]],APU_IDU[Código],APU_IDU[Nombre],"",0)</f>
        <v>REPLANTEO GENERAL</v>
      </c>
      <c r="E16" s="497" t="str">
        <f>+_xlfn.XLOOKUP(Cantidades[[#This Row],[cod Idu]],APU_IDU[Código],APU_IDU[UM],"",0)</f>
        <v>M2</v>
      </c>
      <c r="F16" s="499">
        <f>+_xlfn.XLOOKUP(Cantidades[[#This Row],[cod Idu]],APU_IDU[Código],APU_IDU[Valor],"",0)</f>
        <v>1081</v>
      </c>
      <c r="G16" s="754">
        <f>IF($B$16=G$8,G$6,0)</f>
        <v>1489.08</v>
      </c>
      <c r="H16" s="754">
        <f t="shared" ref="H16:AF16" si="6">IF($B$16=H$8,H$6,0)</f>
        <v>726</v>
      </c>
      <c r="I16" s="754">
        <f>IF($B$16=I$8,I$6,0)</f>
        <v>781.12</v>
      </c>
      <c r="J16" s="754">
        <f t="shared" si="6"/>
        <v>474.81</v>
      </c>
      <c r="K16" s="754">
        <f t="shared" si="6"/>
        <v>442.11</v>
      </c>
      <c r="L16" s="754">
        <f t="shared" si="6"/>
        <v>567.01</v>
      </c>
      <c r="M16" s="754">
        <f>IF($B$16=M$8,M$6,0)</f>
        <v>112.52</v>
      </c>
      <c r="N16" s="754">
        <f t="shared" si="6"/>
        <v>125.44</v>
      </c>
      <c r="O16" s="754">
        <f t="shared" si="6"/>
        <v>49.89</v>
      </c>
      <c r="P16" s="754">
        <f t="shared" si="6"/>
        <v>148.31</v>
      </c>
      <c r="Q16" s="754">
        <f t="shared" si="6"/>
        <v>484.43</v>
      </c>
      <c r="R16" s="754">
        <f t="shared" si="6"/>
        <v>426.72</v>
      </c>
      <c r="S16" s="754">
        <f t="shared" si="6"/>
        <v>116.78</v>
      </c>
      <c r="T16" s="754">
        <f t="shared" si="6"/>
        <v>237.65</v>
      </c>
      <c r="U16" s="754">
        <f t="shared" si="6"/>
        <v>533.41</v>
      </c>
      <c r="V16" s="754">
        <f t="shared" si="6"/>
        <v>144.71</v>
      </c>
      <c r="W16" s="754">
        <f t="shared" si="6"/>
        <v>495.42</v>
      </c>
      <c r="X16" s="754">
        <f t="shared" si="6"/>
        <v>845.83</v>
      </c>
      <c r="Y16" s="754">
        <f t="shared" si="6"/>
        <v>75.92</v>
      </c>
      <c r="Z16" s="754">
        <f t="shared" si="6"/>
        <v>187.93</v>
      </c>
      <c r="AA16" s="754">
        <f t="shared" si="6"/>
        <v>102.95</v>
      </c>
      <c r="AB16" s="754">
        <f t="shared" si="6"/>
        <v>0</v>
      </c>
      <c r="AC16" s="754">
        <f t="shared" si="6"/>
        <v>327.35000000000002</v>
      </c>
      <c r="AD16" s="754">
        <f t="shared" si="6"/>
        <v>205.14</v>
      </c>
      <c r="AE16" s="754">
        <f t="shared" si="6"/>
        <v>144.43</v>
      </c>
      <c r="AF16" s="754">
        <f t="shared" si="6"/>
        <v>751.07</v>
      </c>
      <c r="AG16" s="754">
        <f>IF($B$16=AG$8,AG$6,0)</f>
        <v>196.67</v>
      </c>
      <c r="AH16" s="754">
        <f t="shared" ref="AH16:AM16" si="7">IF($B$16=AH$8,AH$6,0)</f>
        <v>924.18</v>
      </c>
      <c r="AI16" s="754">
        <f t="shared" si="7"/>
        <v>297.23</v>
      </c>
      <c r="AJ16" s="754">
        <f t="shared" si="7"/>
        <v>693.96</v>
      </c>
      <c r="AK16" s="754">
        <f t="shared" si="7"/>
        <v>606.14</v>
      </c>
      <c r="AL16" s="754">
        <f t="shared" si="7"/>
        <v>939.11</v>
      </c>
      <c r="AM16" s="754">
        <f t="shared" si="7"/>
        <v>525.6</v>
      </c>
      <c r="AN16" s="755"/>
      <c r="AO16" s="755"/>
      <c r="AP16" s="755"/>
      <c r="AQ16" s="755"/>
      <c r="AR16" s="755"/>
      <c r="AS16" s="755"/>
      <c r="AT16" s="755"/>
      <c r="AU16" s="755"/>
      <c r="AV16" s="755"/>
      <c r="AW16" s="755"/>
      <c r="AX16" s="755"/>
      <c r="AY16" s="755"/>
      <c r="AZ16" s="755"/>
      <c r="BA16" s="770"/>
      <c r="BB16" s="770"/>
    </row>
    <row r="17" spans="2:54" ht="43.2" x14ac:dyDescent="0.3">
      <c r="B17" s="498" t="s">
        <v>6804</v>
      </c>
      <c r="C17" s="724">
        <v>5360</v>
      </c>
      <c r="D17" s="511" t="str">
        <f>+_xlfn.XLOOKUP(Cantidades[[#This Row],[cod Idu]],APU_IDU[Código],APU_IDU[Nombre],"",0)</f>
        <v>ACOPIO Y TRASIEGO MECANICO DE MATERIAL DE FRESADO EN EL SITIO DE ALMACENAMIENTO TRANSITORIO.</v>
      </c>
      <c r="E17" s="497" t="str">
        <f>+_xlfn.XLOOKUP(Cantidades[[#This Row],[cod Idu]],APU_IDU[Código],APU_IDU[UM],"",0)</f>
        <v>HR</v>
      </c>
      <c r="F17" s="801">
        <f>+_xlfn.XLOOKUP(Cantidades[[#This Row],[cod Idu]],APU_IDU[Código],APU_IDU[Valor],"",0)</f>
        <v>182788</v>
      </c>
      <c r="G17" s="808">
        <v>0</v>
      </c>
      <c r="H17" s="808">
        <v>0</v>
      </c>
      <c r="I17" s="808">
        <v>0</v>
      </c>
      <c r="J17" s="808">
        <v>0</v>
      </c>
      <c r="K17" s="808">
        <v>0</v>
      </c>
      <c r="L17" s="808">
        <v>0</v>
      </c>
      <c r="M17" s="808">
        <v>4</v>
      </c>
      <c r="N17" s="808">
        <v>5</v>
      </c>
      <c r="O17" s="808">
        <v>4</v>
      </c>
      <c r="P17" s="808">
        <v>5</v>
      </c>
      <c r="Q17" s="808">
        <v>0</v>
      </c>
      <c r="R17" s="808">
        <v>0</v>
      </c>
      <c r="S17" s="808">
        <v>6</v>
      </c>
      <c r="T17" s="808">
        <v>0</v>
      </c>
      <c r="U17" s="808">
        <v>5</v>
      </c>
      <c r="V17" s="808">
        <v>0</v>
      </c>
      <c r="W17" s="808">
        <v>0</v>
      </c>
      <c r="X17" s="808">
        <v>6</v>
      </c>
      <c r="Y17" s="808">
        <v>0</v>
      </c>
      <c r="Z17" s="808">
        <v>0</v>
      </c>
      <c r="AA17" s="808">
        <v>6</v>
      </c>
      <c r="AB17" s="808">
        <v>0</v>
      </c>
      <c r="AC17" s="808">
        <v>6</v>
      </c>
      <c r="AD17" s="808">
        <v>0</v>
      </c>
      <c r="AE17" s="808">
        <v>0</v>
      </c>
      <c r="AF17" s="808">
        <v>0</v>
      </c>
      <c r="AG17" s="808">
        <v>0</v>
      </c>
      <c r="AH17" s="808">
        <v>0</v>
      </c>
      <c r="AI17" s="808">
        <v>0</v>
      </c>
      <c r="AJ17" s="808">
        <v>0</v>
      </c>
      <c r="AK17" s="808">
        <v>0</v>
      </c>
      <c r="AL17" s="808">
        <v>1</v>
      </c>
      <c r="AM17" s="808">
        <v>1</v>
      </c>
      <c r="AN17" s="753"/>
      <c r="AO17" s="753"/>
      <c r="AP17" s="753"/>
      <c r="AQ17" s="753"/>
      <c r="AR17" s="753"/>
      <c r="AS17" s="753"/>
      <c r="AT17" s="753"/>
      <c r="AU17" s="753"/>
      <c r="AV17" s="753"/>
      <c r="AW17" s="753"/>
      <c r="AX17" s="753"/>
      <c r="AY17" s="753"/>
      <c r="AZ17" s="753"/>
      <c r="BA17" s="753"/>
      <c r="BB17" s="757"/>
    </row>
    <row r="18" spans="2:54" ht="43.2" x14ac:dyDescent="0.3">
      <c r="B18" s="498" t="s">
        <v>6804</v>
      </c>
      <c r="C18" s="722">
        <v>3010</v>
      </c>
      <c r="D18" s="511" t="str">
        <f>+_xlfn.XLOOKUP(Cantidades[[#This Row],[cod Idu]],APU_IDU[Código],APU_IDU[Nombre],"",0)</f>
        <v>DEMOLICION PAVIMENTO ASFALTICO (INCLUYE CARGUE). NO INCLUYE TRANSPORTE Y DISPOSICIÓN FINAL DE SOBRANTES.</v>
      </c>
      <c r="E18" s="497" t="str">
        <f>+_xlfn.XLOOKUP(Cantidades[[#This Row],[cod Idu]],APU_IDU[Código],APU_IDU[UM],"",0)</f>
        <v>M3</v>
      </c>
      <c r="F18" s="499">
        <f>+_xlfn.XLOOKUP(Cantidades[[#This Row],[cod Idu]],APU_IDU[Código],APU_IDU[Valor],"",0)</f>
        <v>43555</v>
      </c>
      <c r="G18" s="754">
        <f>IF($B18=G$8,ROUND(G$6*G$11,2),0)</f>
        <v>223.36</v>
      </c>
      <c r="H18" s="754">
        <f t="shared" ref="H18:AM18" si="8">IF($B18=H$8,ROUND(H$6*H$11,2),0)</f>
        <v>108.9</v>
      </c>
      <c r="I18" s="754">
        <f t="shared" si="8"/>
        <v>117.17</v>
      </c>
      <c r="J18" s="754">
        <f t="shared" si="8"/>
        <v>71.22</v>
      </c>
      <c r="K18" s="754">
        <f t="shared" si="8"/>
        <v>66.319999999999993</v>
      </c>
      <c r="L18" s="754">
        <f t="shared" si="8"/>
        <v>85.05</v>
      </c>
      <c r="M18" s="754">
        <f>IF($B18=M$8,ROUND(M$6*M$11,2),0)</f>
        <v>16.88</v>
      </c>
      <c r="N18" s="754">
        <f t="shared" si="8"/>
        <v>18.82</v>
      </c>
      <c r="O18" s="754">
        <f t="shared" si="8"/>
        <v>7.48</v>
      </c>
      <c r="P18" s="754">
        <f t="shared" si="8"/>
        <v>22.25</v>
      </c>
      <c r="Q18" s="754">
        <f t="shared" si="8"/>
        <v>72.66</v>
      </c>
      <c r="R18" s="754">
        <f t="shared" si="8"/>
        <v>64.010000000000005</v>
      </c>
      <c r="S18" s="754">
        <f t="shared" si="8"/>
        <v>17.52</v>
      </c>
      <c r="T18" s="754">
        <f t="shared" si="8"/>
        <v>35.65</v>
      </c>
      <c r="U18" s="754">
        <f t="shared" si="8"/>
        <v>80.010000000000005</v>
      </c>
      <c r="V18" s="754">
        <f t="shared" si="8"/>
        <v>21.71</v>
      </c>
      <c r="W18" s="754">
        <f t="shared" si="8"/>
        <v>74.31</v>
      </c>
      <c r="X18" s="754">
        <f t="shared" si="8"/>
        <v>126.87</v>
      </c>
      <c r="Y18" s="754">
        <f t="shared" si="8"/>
        <v>11.39</v>
      </c>
      <c r="Z18" s="754">
        <f t="shared" si="8"/>
        <v>28.19</v>
      </c>
      <c r="AA18" s="754">
        <f t="shared" si="8"/>
        <v>15.44</v>
      </c>
      <c r="AB18" s="754">
        <f t="shared" si="8"/>
        <v>0</v>
      </c>
      <c r="AC18" s="754">
        <f t="shared" si="8"/>
        <v>49.1</v>
      </c>
      <c r="AD18" s="754">
        <f t="shared" si="8"/>
        <v>30.77</v>
      </c>
      <c r="AE18" s="754">
        <f t="shared" si="8"/>
        <v>21.66</v>
      </c>
      <c r="AF18" s="754">
        <f t="shared" si="8"/>
        <v>112.66</v>
      </c>
      <c r="AG18" s="754">
        <f t="shared" si="8"/>
        <v>29.5</v>
      </c>
      <c r="AH18" s="754">
        <f t="shared" si="8"/>
        <v>138.63</v>
      </c>
      <c r="AI18" s="754">
        <f t="shared" si="8"/>
        <v>44.58</v>
      </c>
      <c r="AJ18" s="754">
        <f t="shared" si="8"/>
        <v>104.09</v>
      </c>
      <c r="AK18" s="754">
        <f t="shared" si="8"/>
        <v>90.92</v>
      </c>
      <c r="AL18" s="754">
        <f t="shared" si="8"/>
        <v>140.87</v>
      </c>
      <c r="AM18" s="754">
        <f t="shared" si="8"/>
        <v>78.84</v>
      </c>
      <c r="AN18" s="756"/>
      <c r="AO18" s="756"/>
      <c r="AP18" s="756"/>
      <c r="AQ18" s="756"/>
      <c r="AR18" s="756"/>
      <c r="AS18" s="756"/>
      <c r="AT18" s="756"/>
      <c r="AU18" s="756"/>
      <c r="AV18" s="756"/>
      <c r="AW18" s="756"/>
      <c r="AX18" s="756"/>
      <c r="AY18" s="756"/>
      <c r="AZ18" s="756"/>
      <c r="BA18" s="756"/>
      <c r="BB18" s="755"/>
    </row>
    <row r="19" spans="2:54" ht="43.2" x14ac:dyDescent="0.3">
      <c r="B19" s="498" t="s">
        <v>6804</v>
      </c>
      <c r="C19" s="722">
        <v>3710</v>
      </c>
      <c r="D19" s="511" t="str">
        <f>+_xlfn.XLOOKUP(Cantidades[[#This Row],[cod Idu]],APU_IDU[Código],APU_IDU[Nombre],"",0)</f>
        <v>EXCAVACIÓN MECÁNICA EN MATERIAL COMÚN (INCLUYE CARGUE)</v>
      </c>
      <c r="E19" s="497" t="str">
        <f>+_xlfn.XLOOKUP(Cantidades[[#This Row],[cod Idu]],APU_IDU[Código],APU_IDU[UM],"",0)</f>
        <v>M3</v>
      </c>
      <c r="F19" s="499">
        <f>+_xlfn.XLOOKUP(Cantidades[[#This Row],[cod Idu]],APU_IDU[Código],APU_IDU[Valor],"",0)</f>
        <v>5998</v>
      </c>
      <c r="G19" s="753">
        <f>IF($B$19=G$8,ROUND(G$6*SUM(G$12:G$14),2),0)</f>
        <v>1191.26</v>
      </c>
      <c r="H19" s="753">
        <f t="shared" ref="H19:AM19" si="9">IF($B$19=H$8,ROUND(H$6*SUM(H$12:H$14),2),0)</f>
        <v>399.3</v>
      </c>
      <c r="I19" s="753">
        <f t="shared" si="9"/>
        <v>429.62</v>
      </c>
      <c r="J19" s="753">
        <f t="shared" si="9"/>
        <v>308.63</v>
      </c>
      <c r="K19" s="753">
        <f t="shared" si="9"/>
        <v>287.37</v>
      </c>
      <c r="L19" s="753">
        <f t="shared" si="9"/>
        <v>311.86</v>
      </c>
      <c r="M19" s="753">
        <f t="shared" si="9"/>
        <v>67.510000000000005</v>
      </c>
      <c r="N19" s="753">
        <f t="shared" si="9"/>
        <v>75.260000000000005</v>
      </c>
      <c r="O19" s="753">
        <f t="shared" si="9"/>
        <v>29.93</v>
      </c>
      <c r="P19" s="753">
        <f t="shared" si="9"/>
        <v>88.99</v>
      </c>
      <c r="Q19" s="753">
        <f t="shared" si="9"/>
        <v>314.88</v>
      </c>
      <c r="R19" s="753">
        <f t="shared" si="9"/>
        <v>277.37</v>
      </c>
      <c r="S19" s="753">
        <f t="shared" si="9"/>
        <v>70.069999999999993</v>
      </c>
      <c r="T19" s="753">
        <f t="shared" si="9"/>
        <v>142.59</v>
      </c>
      <c r="U19" s="753">
        <f t="shared" si="9"/>
        <v>346.72</v>
      </c>
      <c r="V19" s="753">
        <f t="shared" si="9"/>
        <v>86.83</v>
      </c>
      <c r="W19" s="753">
        <f t="shared" si="9"/>
        <v>322.02</v>
      </c>
      <c r="X19" s="753">
        <f t="shared" si="9"/>
        <v>549.79</v>
      </c>
      <c r="Y19" s="753">
        <f t="shared" si="9"/>
        <v>45.55</v>
      </c>
      <c r="Z19" s="753">
        <f t="shared" si="9"/>
        <v>112.76</v>
      </c>
      <c r="AA19" s="753">
        <f t="shared" si="9"/>
        <v>61.77</v>
      </c>
      <c r="AB19" s="753">
        <f t="shared" si="9"/>
        <v>0</v>
      </c>
      <c r="AC19" s="753">
        <f t="shared" si="9"/>
        <v>196.41</v>
      </c>
      <c r="AD19" s="753">
        <f t="shared" si="9"/>
        <v>123.08</v>
      </c>
      <c r="AE19" s="753">
        <f t="shared" si="9"/>
        <v>86.66</v>
      </c>
      <c r="AF19" s="753">
        <f t="shared" si="9"/>
        <v>600.86</v>
      </c>
      <c r="AG19" s="753">
        <f t="shared" si="9"/>
        <v>118</v>
      </c>
      <c r="AH19" s="753">
        <f t="shared" si="9"/>
        <v>739.34</v>
      </c>
      <c r="AI19" s="753">
        <f t="shared" si="9"/>
        <v>237.78</v>
      </c>
      <c r="AJ19" s="753">
        <f t="shared" si="9"/>
        <v>555.16999999999996</v>
      </c>
      <c r="AK19" s="753">
        <f t="shared" si="9"/>
        <v>484.91</v>
      </c>
      <c r="AL19" s="753">
        <f t="shared" si="9"/>
        <v>610.41999999999996</v>
      </c>
      <c r="AM19" s="753">
        <f t="shared" si="9"/>
        <v>341.64</v>
      </c>
      <c r="AN19" s="756"/>
      <c r="AO19" s="756"/>
      <c r="AP19" s="756"/>
      <c r="AQ19" s="756"/>
      <c r="AR19" s="756"/>
      <c r="AS19" s="756"/>
      <c r="AT19" s="756"/>
      <c r="AU19" s="756"/>
      <c r="AV19" s="756"/>
      <c r="AW19" s="756"/>
      <c r="AX19" s="756"/>
      <c r="AY19" s="756"/>
      <c r="AZ19" s="756"/>
      <c r="BA19" s="756"/>
      <c r="BB19" s="755"/>
    </row>
    <row r="20" spans="2:54" ht="43.2" x14ac:dyDescent="0.3">
      <c r="B20" s="498" t="s">
        <v>6804</v>
      </c>
      <c r="C20" s="722">
        <v>3017</v>
      </c>
      <c r="D20" s="511" t="str">
        <f>+_xlfn.XLOOKUP(Cantidades[[#This Row],[cod Idu]],APU_IDU[Código],APU_IDU[Nombre],"",0)</f>
        <v>TRANSPORTE Y DISPOSICIÓN FINAL DE ESCOMBROS EN SITIO AUTORIZADO (DISTANCIA DE TRANSPORTE 21 KM). A DISTANCIA MAYOR DEL ACARREO LIBRE (90 M) EN SITIO AUTORIZADO POR LA ENTIDAD AMBIENTAL COMPETENTE.</v>
      </c>
      <c r="E20" s="497" t="str">
        <f>+_xlfn.XLOOKUP(Cantidades[[#This Row],[cod Idu]],APU_IDU[Código],APU_IDU[UM],"",0)</f>
        <v>M3</v>
      </c>
      <c r="F20" s="499">
        <f>+_xlfn.XLOOKUP(Cantidades[[#This Row],[cod Idu]],APU_IDU[Código],APU_IDU[Valor],"",0)</f>
        <v>45734</v>
      </c>
      <c r="G20" s="753">
        <f>IF($B$20=G$8,ROUND((G$19+G$18)*1.3+G31,2),0)</f>
        <v>1839.01</v>
      </c>
      <c r="H20" s="753">
        <f t="shared" ref="H20:AG20" si="10">IF($B$20=H$8,ROUND((H$19+H$18)*1.3+H31,2),0)</f>
        <v>660.66</v>
      </c>
      <c r="I20" s="753">
        <f t="shared" si="10"/>
        <v>710.83</v>
      </c>
      <c r="J20" s="753">
        <f t="shared" si="10"/>
        <v>493.81</v>
      </c>
      <c r="K20" s="753">
        <f t="shared" si="10"/>
        <v>459.8</v>
      </c>
      <c r="L20" s="753">
        <f t="shared" si="10"/>
        <v>515.98</v>
      </c>
      <c r="M20" s="753">
        <f t="shared" si="10"/>
        <v>112.71</v>
      </c>
      <c r="N20" s="753">
        <f t="shared" si="10"/>
        <v>122.3</v>
      </c>
      <c r="O20" s="753">
        <f t="shared" si="10"/>
        <v>48.63</v>
      </c>
      <c r="P20" s="753">
        <f t="shared" si="10"/>
        <v>144.61000000000001</v>
      </c>
      <c r="Q20" s="753">
        <f t="shared" si="10"/>
        <v>503.8</v>
      </c>
      <c r="R20" s="753">
        <f t="shared" si="10"/>
        <v>443.79</v>
      </c>
      <c r="S20" s="753">
        <f t="shared" si="10"/>
        <v>113.87</v>
      </c>
      <c r="T20" s="753">
        <f t="shared" si="10"/>
        <v>236.71</v>
      </c>
      <c r="U20" s="753">
        <f t="shared" si="10"/>
        <v>554.75</v>
      </c>
      <c r="V20" s="753">
        <f t="shared" si="10"/>
        <v>141.1</v>
      </c>
      <c r="W20" s="753">
        <f t="shared" si="10"/>
        <v>515.23</v>
      </c>
      <c r="X20" s="753">
        <f t="shared" si="10"/>
        <v>879.66</v>
      </c>
      <c r="Y20" s="753">
        <f t="shared" si="10"/>
        <v>74.02</v>
      </c>
      <c r="Z20" s="753">
        <f t="shared" si="10"/>
        <v>183.24</v>
      </c>
      <c r="AA20" s="753">
        <f t="shared" si="10"/>
        <v>100.37</v>
      </c>
      <c r="AB20" s="753">
        <f t="shared" si="10"/>
        <v>0</v>
      </c>
      <c r="AC20" s="753">
        <f t="shared" si="10"/>
        <v>319.16000000000003</v>
      </c>
      <c r="AD20" s="753">
        <f t="shared" si="10"/>
        <v>200.01</v>
      </c>
      <c r="AE20" s="753">
        <f t="shared" si="10"/>
        <v>140.82</v>
      </c>
      <c r="AF20" s="753">
        <f t="shared" si="10"/>
        <v>927.58</v>
      </c>
      <c r="AG20" s="753">
        <f t="shared" si="10"/>
        <v>191.75</v>
      </c>
      <c r="AH20" s="753">
        <f t="shared" ref="AH20:AL20" si="11">IF($B$20=AH$8,ROUND((AH$19+AH$18)*1.3+AH31,2),0)</f>
        <v>1141.3599999999999</v>
      </c>
      <c r="AI20" s="753">
        <f t="shared" si="11"/>
        <v>367.07</v>
      </c>
      <c r="AJ20" s="753">
        <f t="shared" si="11"/>
        <v>857.04</v>
      </c>
      <c r="AK20" s="753">
        <f t="shared" si="11"/>
        <v>748.58</v>
      </c>
      <c r="AL20" s="753">
        <f t="shared" si="11"/>
        <v>976.68</v>
      </c>
      <c r="AM20" s="753">
        <f t="shared" ref="AM20" si="12">IF($B$20=AM$8,ROUND((AM$19+AM$18)*1.3+AM31,2),0)</f>
        <v>546.62</v>
      </c>
      <c r="AN20" s="756"/>
      <c r="AO20" s="756"/>
      <c r="AP20" s="756"/>
      <c r="AQ20" s="756"/>
      <c r="AR20" s="756"/>
      <c r="AS20" s="756"/>
      <c r="AT20" s="756"/>
      <c r="AU20" s="756"/>
      <c r="AV20" s="756"/>
      <c r="AW20" s="756"/>
      <c r="AX20" s="756"/>
      <c r="AY20" s="756"/>
      <c r="AZ20" s="756"/>
      <c r="BA20" s="756"/>
      <c r="BB20" s="755"/>
    </row>
    <row r="21" spans="2:54" ht="43.2" x14ac:dyDescent="0.3">
      <c r="B21" s="498" t="s">
        <v>6804</v>
      </c>
      <c r="C21" s="722">
        <v>4015</v>
      </c>
      <c r="D21" s="511" t="str">
        <f>+_xlfn.XLOOKUP(Cantidades[[#This Row],[cod Idu]],APU_IDU[Código],APU_IDU[Nombre],"",0)</f>
        <v>GEOTEXTIL NO TEJIDO CON RESISTENCIA A LA TENSION GRAB: ENTRE 850 N Y 980 N. PARA SEPARACION SUBRASANTE/CAPAS GRANULARES. (INCLUYE SUMINISTRO E INSTALACION).</v>
      </c>
      <c r="E21" s="497" t="str">
        <f>+_xlfn.XLOOKUP(Cantidades[[#This Row],[cod Idu]],APU_IDU[Código],APU_IDU[UM],"",0)</f>
        <v>M2</v>
      </c>
      <c r="F21" s="499">
        <f>+_xlfn.XLOOKUP(Cantidades[[#This Row],[cod Idu]],APU_IDU[Código],APU_IDU[Valor],"",0)</f>
        <v>22923</v>
      </c>
      <c r="G21" s="754">
        <f>IF($B21=G$8,ROUND(G$6,2),0)</f>
        <v>1489.08</v>
      </c>
      <c r="H21" s="754">
        <f t="shared" ref="H21:AM21" si="13">IF($B21=H$8,ROUND(H$6,2),0)</f>
        <v>726</v>
      </c>
      <c r="I21" s="754">
        <f t="shared" si="13"/>
        <v>781.12</v>
      </c>
      <c r="J21" s="754">
        <f t="shared" si="13"/>
        <v>474.81</v>
      </c>
      <c r="K21" s="754">
        <f t="shared" si="13"/>
        <v>442.11</v>
      </c>
      <c r="L21" s="754">
        <f t="shared" si="13"/>
        <v>567.01</v>
      </c>
      <c r="M21" s="754">
        <f t="shared" si="13"/>
        <v>112.52</v>
      </c>
      <c r="N21" s="754">
        <f t="shared" si="13"/>
        <v>125.44</v>
      </c>
      <c r="O21" s="754">
        <f t="shared" si="13"/>
        <v>49.89</v>
      </c>
      <c r="P21" s="754">
        <f t="shared" si="13"/>
        <v>148.31</v>
      </c>
      <c r="Q21" s="754">
        <f t="shared" si="13"/>
        <v>484.43</v>
      </c>
      <c r="R21" s="754">
        <f t="shared" si="13"/>
        <v>426.72</v>
      </c>
      <c r="S21" s="754">
        <f t="shared" si="13"/>
        <v>116.78</v>
      </c>
      <c r="T21" s="754">
        <f t="shared" si="13"/>
        <v>237.65</v>
      </c>
      <c r="U21" s="754">
        <f t="shared" si="13"/>
        <v>533.41</v>
      </c>
      <c r="V21" s="754">
        <f t="shared" si="13"/>
        <v>144.71</v>
      </c>
      <c r="W21" s="754">
        <f t="shared" si="13"/>
        <v>495.42</v>
      </c>
      <c r="X21" s="754">
        <f t="shared" si="13"/>
        <v>845.83</v>
      </c>
      <c r="Y21" s="754">
        <f t="shared" si="13"/>
        <v>75.92</v>
      </c>
      <c r="Z21" s="754">
        <f t="shared" si="13"/>
        <v>187.93</v>
      </c>
      <c r="AA21" s="754">
        <f t="shared" si="13"/>
        <v>102.95</v>
      </c>
      <c r="AB21" s="754">
        <f t="shared" si="13"/>
        <v>0</v>
      </c>
      <c r="AC21" s="754">
        <f t="shared" si="13"/>
        <v>327.35000000000002</v>
      </c>
      <c r="AD21" s="754">
        <f t="shared" si="13"/>
        <v>205.14</v>
      </c>
      <c r="AE21" s="754">
        <f t="shared" si="13"/>
        <v>144.43</v>
      </c>
      <c r="AF21" s="754">
        <f t="shared" si="13"/>
        <v>751.07</v>
      </c>
      <c r="AG21" s="754">
        <f t="shared" si="13"/>
        <v>196.67</v>
      </c>
      <c r="AH21" s="754">
        <f t="shared" si="13"/>
        <v>924.18</v>
      </c>
      <c r="AI21" s="754">
        <f t="shared" si="13"/>
        <v>297.23</v>
      </c>
      <c r="AJ21" s="754">
        <f t="shared" si="13"/>
        <v>693.96</v>
      </c>
      <c r="AK21" s="754">
        <f t="shared" si="13"/>
        <v>606.14</v>
      </c>
      <c r="AL21" s="754">
        <f t="shared" si="13"/>
        <v>939.11</v>
      </c>
      <c r="AM21" s="754">
        <f t="shared" si="13"/>
        <v>525.6</v>
      </c>
      <c r="AN21" s="756"/>
      <c r="AO21" s="756"/>
      <c r="AP21" s="756"/>
      <c r="AQ21" s="756"/>
      <c r="AR21" s="756"/>
      <c r="AS21" s="756"/>
      <c r="AT21" s="756"/>
      <c r="AU21" s="756"/>
      <c r="AV21" s="756"/>
      <c r="AW21" s="756"/>
      <c r="AX21" s="756"/>
      <c r="AY21" s="756"/>
      <c r="AZ21" s="756"/>
      <c r="BA21" s="756"/>
      <c r="BB21" s="755"/>
    </row>
    <row r="22" spans="2:54" ht="43.2" x14ac:dyDescent="0.3">
      <c r="B22" s="498" t="s">
        <v>6804</v>
      </c>
      <c r="C22" s="724">
        <v>6053</v>
      </c>
      <c r="D22" s="511" t="str">
        <f>+_xlfn.XLOOKUP(Cantidades[[#This Row],[cod Idu]],APU_IDU[Código],APU_IDU[Nombre],"",0)</f>
        <v>CAPA DE SUELO DE SUBRASANTE ESTABILIZADA CON CAL HIDRATADA TIPO N, IN SITU AL 4%. (SUMINISTRO, EXTENDIDO, NIVELACION, HUMEDECIMIENTO Y COMPACTACION).</v>
      </c>
      <c r="E22" s="497" t="str">
        <f>+_xlfn.XLOOKUP(Cantidades[[#This Row],[cod Idu]],APU_IDU[Código],APU_IDU[UM],"",0)</f>
        <v>M3</v>
      </c>
      <c r="F22" s="801">
        <f>+_xlfn.XLOOKUP(Cantidades[[#This Row],[cod Idu]],APU_IDU[Código],APU_IDU[Valor],"",0)</f>
        <v>128511</v>
      </c>
      <c r="G22" s="808">
        <f>IF($B23=G$8,ROUND(G$14*G$6,2),0)</f>
        <v>297.82</v>
      </c>
      <c r="H22" s="808">
        <v>0</v>
      </c>
      <c r="I22" s="808"/>
      <c r="J22" s="808">
        <f t="shared" ref="J22:AM22" si="14">IF($B22=J$8,ROUND(J$14*J$6*0.7,2),0)</f>
        <v>33.24</v>
      </c>
      <c r="K22" s="808">
        <f t="shared" si="14"/>
        <v>30.95</v>
      </c>
      <c r="L22" s="808"/>
      <c r="M22" s="808">
        <f t="shared" si="14"/>
        <v>7.88</v>
      </c>
      <c r="N22" s="808">
        <f t="shared" si="14"/>
        <v>8.7799999999999994</v>
      </c>
      <c r="O22" s="808"/>
      <c r="P22" s="808">
        <f t="shared" si="14"/>
        <v>10.38</v>
      </c>
      <c r="Q22" s="808">
        <f t="shared" si="14"/>
        <v>33.909999999999997</v>
      </c>
      <c r="R22" s="808">
        <f t="shared" si="14"/>
        <v>29.87</v>
      </c>
      <c r="S22" s="808">
        <f t="shared" si="14"/>
        <v>8.17</v>
      </c>
      <c r="T22" s="808">
        <f t="shared" si="14"/>
        <v>16.64</v>
      </c>
      <c r="U22" s="808">
        <f t="shared" si="14"/>
        <v>37.340000000000003</v>
      </c>
      <c r="V22" s="808">
        <f t="shared" si="14"/>
        <v>10.130000000000001</v>
      </c>
      <c r="W22" s="808">
        <f t="shared" si="14"/>
        <v>34.68</v>
      </c>
      <c r="X22" s="808">
        <f t="shared" si="14"/>
        <v>59.21</v>
      </c>
      <c r="Y22" s="808"/>
      <c r="Z22" s="808">
        <f t="shared" si="14"/>
        <v>13.16</v>
      </c>
      <c r="AA22" s="808">
        <f t="shared" si="14"/>
        <v>7.21</v>
      </c>
      <c r="AB22" s="808">
        <f t="shared" si="14"/>
        <v>0</v>
      </c>
      <c r="AC22" s="808">
        <f t="shared" si="14"/>
        <v>22.91</v>
      </c>
      <c r="AD22" s="808">
        <f t="shared" si="14"/>
        <v>14.36</v>
      </c>
      <c r="AE22" s="808">
        <f t="shared" si="14"/>
        <v>10.11</v>
      </c>
      <c r="AF22" s="808">
        <f t="shared" si="14"/>
        <v>105.15</v>
      </c>
      <c r="AG22" s="808">
        <f t="shared" si="14"/>
        <v>13.77</v>
      </c>
      <c r="AH22" s="808">
        <f t="shared" si="14"/>
        <v>129.38999999999999</v>
      </c>
      <c r="AI22" s="808">
        <f t="shared" si="14"/>
        <v>41.61</v>
      </c>
      <c r="AJ22" s="808">
        <f t="shared" si="14"/>
        <v>97.15</v>
      </c>
      <c r="AK22" s="808">
        <f t="shared" si="14"/>
        <v>84.86</v>
      </c>
      <c r="AL22" s="808">
        <f t="shared" si="14"/>
        <v>65.739999999999995</v>
      </c>
      <c r="AM22" s="808">
        <f t="shared" si="14"/>
        <v>36.79</v>
      </c>
      <c r="AN22" s="753"/>
      <c r="AO22" s="753"/>
      <c r="AP22" s="753"/>
      <c r="AQ22" s="753"/>
      <c r="AR22" s="753"/>
      <c r="AS22" s="753"/>
      <c r="AT22" s="753"/>
      <c r="AU22" s="753"/>
      <c r="AV22" s="753"/>
      <c r="AW22" s="753"/>
      <c r="AX22" s="753"/>
      <c r="AY22" s="753"/>
      <c r="AZ22" s="753"/>
      <c r="BA22" s="753"/>
      <c r="BB22" s="757"/>
    </row>
    <row r="23" spans="2:54" ht="43.2" x14ac:dyDescent="0.3">
      <c r="B23" s="498" t="s">
        <v>6804</v>
      </c>
      <c r="C23" s="724">
        <v>6016</v>
      </c>
      <c r="D23" s="511" t="str">
        <f>+_xlfn.XLOOKUP(Cantidades[[#This Row],[cod Idu]],APU_IDU[Código],APU_IDU[Nombre],"",0)</f>
        <v>ESTABILIZACIÓN DE SUBRASANTE CON RAJÓN, INCLUYE EQUIPO DE COMPACTACIÓN (SUMINISTRO, EXTENDIDO, NIVELACIÓN Y COMPACTACIÓN CON EQUIPO MECÁNICO. NO INCLUYE MATERIAL DE SELLO)</v>
      </c>
      <c r="E23" s="497" t="str">
        <f>+_xlfn.XLOOKUP(Cantidades[[#This Row],[cod Idu]],APU_IDU[Código],APU_IDU[UM],"",0)</f>
        <v>M3</v>
      </c>
      <c r="F23" s="801">
        <f>+_xlfn.XLOOKUP(Cantidades[[#This Row],[cod Idu]],APU_IDU[Código],APU_IDU[Valor],"",0)</f>
        <v>148762</v>
      </c>
      <c r="G23" s="808">
        <v>0</v>
      </c>
      <c r="H23" s="808">
        <f>IF($B23=H$8,ROUND(H$14*H$6,2),0)</f>
        <v>0</v>
      </c>
      <c r="I23" s="808">
        <f>IF($B23=I$8,ROUND(I$14*I$6,2),0)</f>
        <v>0</v>
      </c>
      <c r="J23" s="808">
        <f t="shared" ref="J23:AM23" si="15">IF($B23=J$8,ROUND(J$14*J$6*0.3,2),0)</f>
        <v>14.24</v>
      </c>
      <c r="K23" s="808">
        <f t="shared" si="15"/>
        <v>13.26</v>
      </c>
      <c r="L23" s="808">
        <f>IF($B23=L$8,ROUND(L$14*L$6,2),0)</f>
        <v>0</v>
      </c>
      <c r="M23" s="808">
        <f t="shared" si="15"/>
        <v>3.38</v>
      </c>
      <c r="N23" s="808">
        <f t="shared" si="15"/>
        <v>3.76</v>
      </c>
      <c r="O23" s="808">
        <f>IF($B23=O$8,ROUND(O$14*O$6,2),0)</f>
        <v>4.99</v>
      </c>
      <c r="P23" s="808">
        <f t="shared" si="15"/>
        <v>4.45</v>
      </c>
      <c r="Q23" s="808">
        <f t="shared" si="15"/>
        <v>14.53</v>
      </c>
      <c r="R23" s="808">
        <f t="shared" si="15"/>
        <v>12.8</v>
      </c>
      <c r="S23" s="808">
        <f t="shared" si="15"/>
        <v>3.5</v>
      </c>
      <c r="T23" s="808">
        <f t="shared" si="15"/>
        <v>7.13</v>
      </c>
      <c r="U23" s="808">
        <f t="shared" si="15"/>
        <v>16</v>
      </c>
      <c r="V23" s="808">
        <f t="shared" si="15"/>
        <v>4.34</v>
      </c>
      <c r="W23" s="808">
        <f t="shared" si="15"/>
        <v>14.86</v>
      </c>
      <c r="X23" s="808">
        <f t="shared" si="15"/>
        <v>25.37</v>
      </c>
      <c r="Y23" s="808">
        <f>IF($B23=Y$8,ROUND(Y$14*Y$6,2),0)</f>
        <v>7.59</v>
      </c>
      <c r="Z23" s="808">
        <f t="shared" si="15"/>
        <v>5.64</v>
      </c>
      <c r="AA23" s="808">
        <f t="shared" si="15"/>
        <v>3.09</v>
      </c>
      <c r="AB23" s="808">
        <f t="shared" si="15"/>
        <v>0</v>
      </c>
      <c r="AC23" s="808">
        <f t="shared" si="15"/>
        <v>9.82</v>
      </c>
      <c r="AD23" s="808">
        <f t="shared" si="15"/>
        <v>6.15</v>
      </c>
      <c r="AE23" s="808">
        <f t="shared" si="15"/>
        <v>4.33</v>
      </c>
      <c r="AF23" s="808">
        <f t="shared" si="15"/>
        <v>45.06</v>
      </c>
      <c r="AG23" s="808">
        <f t="shared" si="15"/>
        <v>5.9</v>
      </c>
      <c r="AH23" s="808">
        <f t="shared" si="15"/>
        <v>55.45</v>
      </c>
      <c r="AI23" s="808">
        <f t="shared" si="15"/>
        <v>17.829999999999998</v>
      </c>
      <c r="AJ23" s="808">
        <f t="shared" si="15"/>
        <v>41.64</v>
      </c>
      <c r="AK23" s="808">
        <f t="shared" si="15"/>
        <v>36.369999999999997</v>
      </c>
      <c r="AL23" s="808">
        <f t="shared" si="15"/>
        <v>28.17</v>
      </c>
      <c r="AM23" s="808">
        <f t="shared" si="15"/>
        <v>15.77</v>
      </c>
      <c r="AN23" s="808"/>
      <c r="AO23" s="808"/>
      <c r="AP23" s="808"/>
      <c r="AQ23" s="808"/>
      <c r="AR23" s="808"/>
      <c r="AS23" s="808"/>
      <c r="AT23" s="808"/>
      <c r="AU23" s="808"/>
      <c r="AV23" s="808"/>
      <c r="AW23" s="808"/>
      <c r="AX23" s="808"/>
      <c r="AY23" s="808"/>
      <c r="AZ23" s="808"/>
      <c r="BA23" s="808"/>
      <c r="BB23" s="809"/>
    </row>
    <row r="24" spans="2:54" ht="43.2" x14ac:dyDescent="0.3">
      <c r="B24" s="498" t="s">
        <v>6804</v>
      </c>
      <c r="C24" s="722">
        <v>4142</v>
      </c>
      <c r="D24" s="511" t="str">
        <f>+_xlfn.XLOOKUP(Cantidades[[#This Row],[cod Idu]],APU_IDU[Código],APU_IDU[Nombre],"",0)</f>
        <v>SUBBASE GRANULAR SBG-A (SUMINISTRO, EXTENDIDO, NIVELACIÓN, HUMEDECIMIENTO Y COMPACTACIÓN CON VIBROCOMPACTADOR)</v>
      </c>
      <c r="E24" s="497" t="str">
        <f>+_xlfn.XLOOKUP(Cantidades[[#This Row],[cod Idu]],APU_IDU[Código],APU_IDU[UM],"",0)</f>
        <v>M3</v>
      </c>
      <c r="F24" s="499">
        <f>+_xlfn.XLOOKUP(Cantidades[[#This Row],[cod Idu]],APU_IDU[Código],APU_IDU[Valor],"",0)</f>
        <v>221997</v>
      </c>
      <c r="G24" s="753">
        <v>0</v>
      </c>
      <c r="H24" s="754">
        <v>0</v>
      </c>
      <c r="I24" s="754">
        <v>0</v>
      </c>
      <c r="J24" s="754">
        <v>0</v>
      </c>
      <c r="K24" s="754">
        <v>0</v>
      </c>
      <c r="L24" s="754">
        <v>0</v>
      </c>
      <c r="M24" s="754">
        <v>0</v>
      </c>
      <c r="N24" s="754">
        <v>0</v>
      </c>
      <c r="O24" s="754">
        <f>IF($B24=O$8,IF(O$10="LOCAL",ROUND(O$13*O$6,2),0),0)</f>
        <v>14.97</v>
      </c>
      <c r="P24" s="754">
        <v>0</v>
      </c>
      <c r="Q24" s="754">
        <v>0</v>
      </c>
      <c r="R24" s="754">
        <v>0</v>
      </c>
      <c r="S24" s="754">
        <v>0</v>
      </c>
      <c r="T24" s="754">
        <v>0</v>
      </c>
      <c r="U24" s="754">
        <v>0</v>
      </c>
      <c r="V24" s="754">
        <v>0</v>
      </c>
      <c r="W24" s="754">
        <v>0</v>
      </c>
      <c r="X24" s="754">
        <v>0</v>
      </c>
      <c r="Y24" s="754">
        <f>IF(Cantidades[[#This Row],[intervención]]=Y$8,IF(Y$10="LOCAL",ROUND(Y$13*Y$6,2),0),0)</f>
        <v>22.78</v>
      </c>
      <c r="Z24" s="754">
        <v>0</v>
      </c>
      <c r="AA24" s="754">
        <v>0</v>
      </c>
      <c r="AB24" s="754">
        <v>0</v>
      </c>
      <c r="AC24" s="754">
        <v>0</v>
      </c>
      <c r="AD24" s="754">
        <v>0</v>
      </c>
      <c r="AE24" s="754">
        <v>0</v>
      </c>
      <c r="AF24" s="754">
        <v>0</v>
      </c>
      <c r="AG24" s="754">
        <v>0</v>
      </c>
      <c r="AH24" s="754">
        <v>0</v>
      </c>
      <c r="AI24" s="754">
        <v>0</v>
      </c>
      <c r="AJ24" s="754">
        <v>0</v>
      </c>
      <c r="AK24" s="754">
        <v>0</v>
      </c>
      <c r="AL24" s="754">
        <v>0</v>
      </c>
      <c r="AM24" s="754">
        <v>0</v>
      </c>
      <c r="AN24" s="756"/>
      <c r="AO24" s="756"/>
      <c r="AP24" s="756"/>
      <c r="AQ24" s="756"/>
      <c r="AR24" s="756"/>
      <c r="AS24" s="756"/>
      <c r="AT24" s="756"/>
      <c r="AU24" s="756"/>
      <c r="AV24" s="756"/>
      <c r="AW24" s="756"/>
      <c r="AX24" s="756"/>
      <c r="AY24" s="756"/>
      <c r="AZ24" s="756"/>
      <c r="BA24" s="756"/>
      <c r="BB24" s="755"/>
    </row>
    <row r="25" spans="2:54" ht="43.2" x14ac:dyDescent="0.3">
      <c r="B25" s="498" t="s">
        <v>6804</v>
      </c>
      <c r="C25" s="722">
        <v>8617</v>
      </c>
      <c r="D25" s="511" t="str">
        <f>+_xlfn.XLOOKUP(Cantidades[[#This Row],[cod Idu]],APU_IDU[Código],APU_IDU[Nombre],"",0)</f>
        <v>AGREGADOS RECICLADOS PARA SUBBASE GRANULAR (AR_SBG50) (Suministro, Extendido, Nivelación, Humedecimiento y Compactación con vibrocompactador)</v>
      </c>
      <c r="E25" s="497" t="str">
        <f>+_xlfn.XLOOKUP(Cantidades[[#This Row],[cod Idu]],APU_IDU[Código],APU_IDU[UM],"",0)</f>
        <v>M3</v>
      </c>
      <c r="F25" s="499">
        <f>+_xlfn.XLOOKUP(Cantidades[[#This Row],[cod Idu]],APU_IDU[Código],APU_IDU[Valor],"",0)</f>
        <v>204760</v>
      </c>
      <c r="G25" s="753">
        <v>0</v>
      </c>
      <c r="H25" s="754">
        <v>0</v>
      </c>
      <c r="I25" s="754">
        <v>0</v>
      </c>
      <c r="J25" s="753">
        <f t="shared" ref="H25:AH28" si="16">IF($B25=J$8,IF(J$10="LOCAL",ROUND(J$13*J$6,2),0),0)</f>
        <v>142.44</v>
      </c>
      <c r="K25" s="754">
        <v>0</v>
      </c>
      <c r="L25" s="754">
        <v>0</v>
      </c>
      <c r="M25" s="754">
        <v>0</v>
      </c>
      <c r="N25" s="754">
        <v>0</v>
      </c>
      <c r="O25" s="754">
        <v>0</v>
      </c>
      <c r="P25" s="754">
        <v>0</v>
      </c>
      <c r="Q25" s="754">
        <v>0</v>
      </c>
      <c r="R25" s="754">
        <v>0</v>
      </c>
      <c r="S25" s="754">
        <v>0</v>
      </c>
      <c r="T25" s="754">
        <v>0</v>
      </c>
      <c r="U25" s="754">
        <v>0</v>
      </c>
      <c r="V25" s="754">
        <v>0</v>
      </c>
      <c r="W25" s="754">
        <v>0</v>
      </c>
      <c r="X25" s="754">
        <v>0</v>
      </c>
      <c r="Y25" s="754">
        <v>0</v>
      </c>
      <c r="Z25" s="754">
        <v>0</v>
      </c>
      <c r="AA25" s="754">
        <v>0</v>
      </c>
      <c r="AB25" s="754">
        <v>0</v>
      </c>
      <c r="AC25" s="754">
        <v>0</v>
      </c>
      <c r="AD25" s="754">
        <v>0</v>
      </c>
      <c r="AE25" s="754">
        <v>0</v>
      </c>
      <c r="AF25" s="754">
        <v>0</v>
      </c>
      <c r="AG25" s="754">
        <v>0</v>
      </c>
      <c r="AH25" s="754">
        <v>0</v>
      </c>
      <c r="AI25" s="754">
        <v>0</v>
      </c>
      <c r="AJ25" s="754">
        <v>0</v>
      </c>
      <c r="AK25" s="754">
        <v>0</v>
      </c>
      <c r="AL25" s="754">
        <v>0</v>
      </c>
      <c r="AM25" s="754">
        <v>0</v>
      </c>
      <c r="AN25" s="756"/>
      <c r="AO25" s="756"/>
      <c r="AP25" s="756"/>
      <c r="AQ25" s="756"/>
      <c r="AR25" s="756"/>
      <c r="AS25" s="756"/>
      <c r="AT25" s="756"/>
      <c r="AU25" s="756"/>
      <c r="AV25" s="756"/>
      <c r="AW25" s="756"/>
      <c r="AX25" s="756"/>
      <c r="AY25" s="756"/>
      <c r="AZ25" s="756"/>
      <c r="BA25" s="756"/>
      <c r="BB25" s="755"/>
    </row>
    <row r="26" spans="2:54" ht="43.2" x14ac:dyDescent="0.3">
      <c r="B26" s="498" t="s">
        <v>6804</v>
      </c>
      <c r="C26" s="722">
        <v>4140</v>
      </c>
      <c r="D26" s="511" t="str">
        <f>+_xlfn.XLOOKUP(Cantidades[[#This Row],[cod Idu]],APU_IDU[Código],APU_IDU[Nombre],"",0)</f>
        <v>BASE GRANULAR BG-A.  (SUMINISTRO, EXTENDIDO, NIVELACIÓN Y HUMEDECIMIENTO MECÁNICO,  COMPACTACIÓN MECÁNICA CON VIBROCOMPACTADOR TÁNDEM PEQUEÑO, INCLUYE OPERARIO  Y COMBUSTIBLE).</v>
      </c>
      <c r="E26" s="497" t="str">
        <f>+_xlfn.XLOOKUP(Cantidades[[#This Row],[cod Idu]],APU_IDU[Código],APU_IDU[UM],"",0)</f>
        <v>M3</v>
      </c>
      <c r="F26" s="499">
        <f>+_xlfn.XLOOKUP(Cantidades[[#This Row],[cod Idu]],APU_IDU[Código],APU_IDU[Valor],"",0)</f>
        <v>262698</v>
      </c>
      <c r="G26" s="753">
        <v>0</v>
      </c>
      <c r="H26" s="754">
        <v>0</v>
      </c>
      <c r="I26" s="754">
        <v>0</v>
      </c>
      <c r="J26" s="754">
        <v>0</v>
      </c>
      <c r="K26" s="753">
        <v>0</v>
      </c>
      <c r="L26" s="754">
        <v>0</v>
      </c>
      <c r="M26" s="754">
        <v>0</v>
      </c>
      <c r="N26" s="754">
        <v>0</v>
      </c>
      <c r="O26" s="754">
        <f>IF($B26=O$8,IF(O$10="LOCAL",ROUND(O$12*O$6,2),0),0)</f>
        <v>9.98</v>
      </c>
      <c r="P26" s="754">
        <v>0</v>
      </c>
      <c r="Q26" s="754">
        <v>0</v>
      </c>
      <c r="R26" s="754">
        <v>0</v>
      </c>
      <c r="S26" s="754">
        <v>0</v>
      </c>
      <c r="T26" s="754">
        <v>0</v>
      </c>
      <c r="U26" s="754">
        <v>0</v>
      </c>
      <c r="V26" s="754">
        <v>0</v>
      </c>
      <c r="W26" s="754">
        <v>0</v>
      </c>
      <c r="X26" s="754">
        <v>0</v>
      </c>
      <c r="Y26" s="754">
        <f>IF($B26=Y$8,IF(Y$10="LOCAL",ROUND(Y$12*Y$6,2),0),0)</f>
        <v>15.18</v>
      </c>
      <c r="Z26" s="754">
        <v>0</v>
      </c>
      <c r="AA26" s="754">
        <f>IF($B30=AA$8,IF(AA$10="LOCAL",ROUND(AA$12*AA$6,2),0),0)</f>
        <v>20.59</v>
      </c>
      <c r="AB26" s="754">
        <v>0</v>
      </c>
      <c r="AC26" s="754">
        <v>0</v>
      </c>
      <c r="AD26" s="754">
        <v>0</v>
      </c>
      <c r="AE26" s="754">
        <v>0</v>
      </c>
      <c r="AF26" s="754">
        <v>0</v>
      </c>
      <c r="AG26" s="754">
        <v>0</v>
      </c>
      <c r="AH26" s="754">
        <v>0</v>
      </c>
      <c r="AI26" s="754">
        <v>0</v>
      </c>
      <c r="AJ26" s="754">
        <v>0</v>
      </c>
      <c r="AK26" s="754">
        <v>0</v>
      </c>
      <c r="AL26" s="754">
        <v>0</v>
      </c>
      <c r="AM26" s="754">
        <v>0</v>
      </c>
      <c r="AN26" s="756"/>
      <c r="AO26" s="756"/>
      <c r="AP26" s="756"/>
      <c r="AQ26" s="756"/>
      <c r="AR26" s="756"/>
      <c r="AS26" s="756"/>
      <c r="AT26" s="756"/>
      <c r="AU26" s="756"/>
      <c r="AV26" s="756"/>
      <c r="AW26" s="756"/>
      <c r="AX26" s="756"/>
      <c r="AY26" s="756"/>
      <c r="AZ26" s="756"/>
      <c r="BA26" s="756"/>
      <c r="BB26" s="755"/>
    </row>
    <row r="27" spans="2:54" ht="43.2" x14ac:dyDescent="0.3">
      <c r="B27" s="498" t="s">
        <v>6804</v>
      </c>
      <c r="C27" s="722">
        <v>4160</v>
      </c>
      <c r="D27" s="511" t="str">
        <f>+_xlfn.XLOOKUP(Cantidades[[#This Row],[cod Idu]],APU_IDU[Código],APU_IDU[Nombre],"",0)</f>
        <v>SUBBASE GRANULAR CLASE B (SBG_B) (SUMINISTRO, EXTENDIDO, NIVELACIÓN, HUMEDECIMIENTO Y COMPACTACIÓN CON VIBROCOMPACTADOR)</v>
      </c>
      <c r="E27" s="497" t="str">
        <f>+_xlfn.XLOOKUP(Cantidades[[#This Row],[cod Idu]],APU_IDU[Código],APU_IDU[UM],"",0)</f>
        <v>M3</v>
      </c>
      <c r="F27" s="499">
        <f>+_xlfn.XLOOKUP(Cantidades[[#This Row],[cod Idu]],APU_IDU[Código],APU_IDU[Valor],"",0)</f>
        <v>205820</v>
      </c>
      <c r="G27" s="753">
        <f>IF($B27=G$8,IF(G$10="LOCAL",ROUND(G$13*G$6,2),0),0)</f>
        <v>0</v>
      </c>
      <c r="H27" s="753">
        <f t="shared" si="16"/>
        <v>217.8</v>
      </c>
      <c r="I27" s="753">
        <f t="shared" si="16"/>
        <v>234.34</v>
      </c>
      <c r="J27" s="753">
        <v>0</v>
      </c>
      <c r="K27" s="753">
        <v>0</v>
      </c>
      <c r="L27" s="753">
        <f t="shared" si="16"/>
        <v>170.1</v>
      </c>
      <c r="M27" s="753">
        <f t="shared" si="16"/>
        <v>33.76</v>
      </c>
      <c r="N27" s="753">
        <f t="shared" si="16"/>
        <v>37.630000000000003</v>
      </c>
      <c r="O27" s="753">
        <v>0</v>
      </c>
      <c r="P27" s="753">
        <f t="shared" si="16"/>
        <v>44.49</v>
      </c>
      <c r="Q27" s="753">
        <f t="shared" si="16"/>
        <v>145.33000000000001</v>
      </c>
      <c r="R27" s="753">
        <f t="shared" si="16"/>
        <v>128.02000000000001</v>
      </c>
      <c r="S27" s="753">
        <f t="shared" si="16"/>
        <v>35.03</v>
      </c>
      <c r="T27" s="753">
        <f t="shared" si="16"/>
        <v>71.3</v>
      </c>
      <c r="U27" s="753">
        <f t="shared" si="16"/>
        <v>160.02000000000001</v>
      </c>
      <c r="V27" s="753">
        <f t="shared" si="16"/>
        <v>43.41</v>
      </c>
      <c r="W27" s="753">
        <f t="shared" si="16"/>
        <v>148.63</v>
      </c>
      <c r="X27" s="753">
        <f t="shared" si="16"/>
        <v>253.75</v>
      </c>
      <c r="Y27" s="753">
        <v>0</v>
      </c>
      <c r="Z27" s="753">
        <f t="shared" si="16"/>
        <v>56.38</v>
      </c>
      <c r="AA27" s="753">
        <f>IF($B27=AA$8,IF(AA$10="LOCAL",ROUND(AA$13*AA$6,2),0),0)</f>
        <v>30.89</v>
      </c>
      <c r="AB27" s="753">
        <f t="shared" si="16"/>
        <v>0</v>
      </c>
      <c r="AC27" s="753">
        <f t="shared" si="16"/>
        <v>98.21</v>
      </c>
      <c r="AD27" s="753">
        <f t="shared" si="16"/>
        <v>61.54</v>
      </c>
      <c r="AE27" s="753">
        <f t="shared" si="16"/>
        <v>43.33</v>
      </c>
      <c r="AF27" s="753">
        <f t="shared" si="16"/>
        <v>0</v>
      </c>
      <c r="AG27" s="753">
        <f t="shared" si="16"/>
        <v>59</v>
      </c>
      <c r="AH27" s="753">
        <f t="shared" si="16"/>
        <v>0</v>
      </c>
      <c r="AI27" s="753">
        <f t="shared" ref="AI27:AM27" si="17">IF($B27=AI$8,IF(AI$10="LOCAL",ROUND(AI$13*AI$6,2),0),0)</f>
        <v>0</v>
      </c>
      <c r="AJ27" s="753">
        <f t="shared" si="17"/>
        <v>0</v>
      </c>
      <c r="AK27" s="753">
        <f t="shared" si="17"/>
        <v>0</v>
      </c>
      <c r="AL27" s="753">
        <f t="shared" si="17"/>
        <v>281.73</v>
      </c>
      <c r="AM27" s="753">
        <f t="shared" si="17"/>
        <v>157.68</v>
      </c>
      <c r="AN27" s="756"/>
      <c r="AO27" s="756"/>
      <c r="AP27" s="756"/>
      <c r="AQ27" s="756"/>
      <c r="AR27" s="756"/>
      <c r="AS27" s="756"/>
      <c r="AT27" s="756"/>
      <c r="AU27" s="756"/>
      <c r="AV27" s="756"/>
      <c r="AW27" s="756"/>
      <c r="AX27" s="756"/>
      <c r="AY27" s="756"/>
      <c r="AZ27" s="756"/>
      <c r="BA27" s="756"/>
      <c r="BB27" s="755"/>
    </row>
    <row r="28" spans="2:54" ht="43.2" x14ac:dyDescent="0.3">
      <c r="B28" s="498" t="s">
        <v>6804</v>
      </c>
      <c r="C28" s="722">
        <v>4747</v>
      </c>
      <c r="D28" s="511" t="str">
        <f>+_xlfn.XLOOKUP(Cantidades[[#This Row],[cod Idu]],APU_IDU[Código],APU_IDU[Nombre],"",0)</f>
        <v>SUBBASE GRANULAR CLASE B (SBG_B) CON RECICLADO DE CONCRETO (SUMINISTRO, EXTENDIDO, NIVELACIÓN, HUMEDECIMIENTO Y COMPACTACIÓN CON VIBROCOMPACTADOR)</v>
      </c>
      <c r="E28" s="497" t="str">
        <f>+_xlfn.XLOOKUP(Cantidades[[#This Row],[cod Idu]],APU_IDU[Código],APU_IDU[UM],"",0)</f>
        <v>M3</v>
      </c>
      <c r="F28" s="499">
        <f>+_xlfn.XLOOKUP(Cantidades[[#This Row],[cod Idu]],APU_IDU[Código],APU_IDU[Valor],"",0)</f>
        <v>167179</v>
      </c>
      <c r="G28" s="753">
        <f>IF($B24=G$8,IF(G$10="Intermedia",ROUND(G$13*G$6,2),0),0)</f>
        <v>446.72</v>
      </c>
      <c r="H28" s="753">
        <f t="shared" ref="H28:AM28" si="18">IF($B28=H$8,IF(H$10="Intermedia",ROUND(H$13*H$6,2),0),0)</f>
        <v>0</v>
      </c>
      <c r="I28" s="753">
        <f t="shared" si="18"/>
        <v>0</v>
      </c>
      <c r="J28" s="753">
        <f t="shared" si="18"/>
        <v>0</v>
      </c>
      <c r="K28" s="753">
        <f t="shared" si="16"/>
        <v>132.63</v>
      </c>
      <c r="L28" s="753">
        <f t="shared" si="18"/>
        <v>0</v>
      </c>
      <c r="M28" s="753">
        <f t="shared" si="18"/>
        <v>0</v>
      </c>
      <c r="N28" s="753">
        <f t="shared" si="18"/>
        <v>0</v>
      </c>
      <c r="O28" s="753">
        <f t="shared" si="18"/>
        <v>0</v>
      </c>
      <c r="P28" s="753">
        <f t="shared" si="18"/>
        <v>0</v>
      </c>
      <c r="Q28" s="753">
        <f t="shared" si="18"/>
        <v>0</v>
      </c>
      <c r="R28" s="753">
        <f t="shared" si="18"/>
        <v>0</v>
      </c>
      <c r="S28" s="753">
        <f>IF($B28=S$8,IF(S$10="Intermedia",ROUND(S$13*S$6,2),0),0)</f>
        <v>0</v>
      </c>
      <c r="T28" s="753">
        <f t="shared" si="18"/>
        <v>0</v>
      </c>
      <c r="U28" s="753">
        <f t="shared" si="18"/>
        <v>0</v>
      </c>
      <c r="V28" s="753">
        <f t="shared" si="18"/>
        <v>0</v>
      </c>
      <c r="W28" s="753">
        <f t="shared" si="18"/>
        <v>0</v>
      </c>
      <c r="X28" s="753">
        <f t="shared" si="18"/>
        <v>0</v>
      </c>
      <c r="Y28" s="753">
        <f t="shared" si="18"/>
        <v>0</v>
      </c>
      <c r="Z28" s="753">
        <f t="shared" si="18"/>
        <v>0</v>
      </c>
      <c r="AA28" s="753">
        <f t="shared" si="18"/>
        <v>0</v>
      </c>
      <c r="AB28" s="753">
        <f t="shared" si="18"/>
        <v>0</v>
      </c>
      <c r="AC28" s="753">
        <f t="shared" si="18"/>
        <v>0</v>
      </c>
      <c r="AD28" s="753">
        <f t="shared" si="18"/>
        <v>0</v>
      </c>
      <c r="AE28" s="753">
        <f t="shared" si="18"/>
        <v>0</v>
      </c>
      <c r="AF28" s="753">
        <f t="shared" si="18"/>
        <v>225.32</v>
      </c>
      <c r="AG28" s="753">
        <f t="shared" si="18"/>
        <v>0</v>
      </c>
      <c r="AH28" s="753">
        <f t="shared" si="18"/>
        <v>277.25</v>
      </c>
      <c r="AI28" s="753">
        <f t="shared" si="18"/>
        <v>89.17</v>
      </c>
      <c r="AJ28" s="753">
        <f t="shared" si="18"/>
        <v>208.19</v>
      </c>
      <c r="AK28" s="753">
        <f t="shared" si="18"/>
        <v>181.84</v>
      </c>
      <c r="AL28" s="753">
        <f t="shared" si="18"/>
        <v>0</v>
      </c>
      <c r="AM28" s="753">
        <f t="shared" si="18"/>
        <v>0</v>
      </c>
      <c r="AN28" s="756"/>
      <c r="AO28" s="756"/>
      <c r="AP28" s="756"/>
      <c r="AQ28" s="756"/>
      <c r="AR28" s="756"/>
      <c r="AS28" s="756"/>
      <c r="AT28" s="756"/>
      <c r="AU28" s="756"/>
      <c r="AV28" s="756"/>
      <c r="AW28" s="756"/>
      <c r="AX28" s="756"/>
      <c r="AY28" s="756"/>
      <c r="AZ28" s="756"/>
      <c r="BA28" s="756"/>
      <c r="BB28" s="755"/>
    </row>
    <row r="29" spans="2:54" ht="43.2" x14ac:dyDescent="0.3">
      <c r="B29" s="498" t="s">
        <v>6804</v>
      </c>
      <c r="C29" s="722">
        <v>4157</v>
      </c>
      <c r="D29" s="511" t="str">
        <f>+_xlfn.XLOOKUP(Cantidades[[#This Row],[cod Idu]],APU_IDU[Código],APU_IDU[Nombre],"",0)</f>
        <v>BASE GRANULAR CLASE B (BG_B) (SUMINISTRO, EXTENDIDO, NIVELACIÓN, HUMEDECIMIENTO Y COMPACTACIÓN CON VIBROCOMPACTADOR)</v>
      </c>
      <c r="E29" s="497" t="str">
        <f>+_xlfn.XLOOKUP(Cantidades[[#This Row],[cod Idu]],APU_IDU[Código],APU_IDU[UM],"",0)</f>
        <v>M3</v>
      </c>
      <c r="F29" s="499">
        <f>+_xlfn.XLOOKUP(Cantidades[[#This Row],[cod Idu]],APU_IDU[Código],APU_IDU[Valor],"",0)</f>
        <v>233666</v>
      </c>
      <c r="G29" s="753">
        <v>0</v>
      </c>
      <c r="H29" s="753">
        <f>IF($B29=H$8,IF(H$10="LOCAL",ROUND(H$12*H$6,2),0),0)</f>
        <v>181.5</v>
      </c>
      <c r="I29" s="753">
        <f>IF($B29=I$8,IF(I$10="LOCAL",ROUND(I$12*I$6,2),0),0)</f>
        <v>195.28</v>
      </c>
      <c r="J29" s="753">
        <f t="shared" ref="J29:T29" si="19">IF($B29=J$8,IF(J$10="LOCAL",ROUND(J$12*J$6,2),0),0)</f>
        <v>118.7</v>
      </c>
      <c r="K29" s="753">
        <v>0</v>
      </c>
      <c r="L29" s="753">
        <f t="shared" si="19"/>
        <v>141.75</v>
      </c>
      <c r="M29" s="753">
        <f t="shared" si="19"/>
        <v>22.5</v>
      </c>
      <c r="N29" s="753">
        <f t="shared" si="19"/>
        <v>25.09</v>
      </c>
      <c r="O29" s="753">
        <v>0</v>
      </c>
      <c r="P29" s="753">
        <f t="shared" si="19"/>
        <v>29.66</v>
      </c>
      <c r="Q29" s="753">
        <f t="shared" si="19"/>
        <v>121.11</v>
      </c>
      <c r="R29" s="753">
        <f t="shared" si="19"/>
        <v>106.68</v>
      </c>
      <c r="S29" s="753">
        <f t="shared" si="19"/>
        <v>23.36</v>
      </c>
      <c r="T29" s="753">
        <f t="shared" si="19"/>
        <v>47.53</v>
      </c>
      <c r="U29" s="753">
        <f t="shared" ref="U29:AE29" si="20">IF($B29=U$8,IF(U$10="INTERMEDIA",ROUND(U$12*U$6,2),0),0)</f>
        <v>0</v>
      </c>
      <c r="V29" s="753">
        <f t="shared" si="20"/>
        <v>0</v>
      </c>
      <c r="W29" s="753">
        <f t="shared" si="20"/>
        <v>0</v>
      </c>
      <c r="X29" s="753">
        <f t="shared" si="20"/>
        <v>0</v>
      </c>
      <c r="Y29" s="753">
        <v>0</v>
      </c>
      <c r="Z29" s="753">
        <f>IF($B29=Z$8,IF(Z$10="LOCAL",ROUND(Z$12*Z$6,2),0),0)</f>
        <v>37.590000000000003</v>
      </c>
      <c r="AA29" s="753">
        <f t="shared" si="20"/>
        <v>0</v>
      </c>
      <c r="AB29" s="753">
        <f t="shared" si="20"/>
        <v>0</v>
      </c>
      <c r="AC29" s="753">
        <f t="shared" si="20"/>
        <v>0</v>
      </c>
      <c r="AD29" s="753">
        <f t="shared" si="20"/>
        <v>0</v>
      </c>
      <c r="AE29" s="753">
        <f t="shared" si="20"/>
        <v>0</v>
      </c>
      <c r="AF29" s="753">
        <f>IF($B29=AF$8,IF(AF$10="LOCAL",ROUND(AF$12*AF$6,2),0),0)</f>
        <v>0</v>
      </c>
      <c r="AG29" s="753">
        <f t="shared" ref="AG29:AM29" si="21">IF($B29=AG$8,IF(AG$10="LOCAL",ROUND(AG$12*AG$6,2),0),0)</f>
        <v>39.33</v>
      </c>
      <c r="AH29" s="753">
        <f t="shared" si="21"/>
        <v>0</v>
      </c>
      <c r="AI29" s="753">
        <f t="shared" si="21"/>
        <v>0</v>
      </c>
      <c r="AJ29" s="753">
        <f t="shared" si="21"/>
        <v>0</v>
      </c>
      <c r="AK29" s="753">
        <f t="shared" si="21"/>
        <v>0</v>
      </c>
      <c r="AL29" s="753">
        <f t="shared" si="21"/>
        <v>234.78</v>
      </c>
      <c r="AM29" s="753">
        <f t="shared" si="21"/>
        <v>131.4</v>
      </c>
      <c r="AN29" s="756"/>
      <c r="AO29" s="756"/>
      <c r="AP29" s="756"/>
      <c r="AQ29" s="756"/>
      <c r="AR29" s="756"/>
      <c r="AS29" s="756"/>
      <c r="AT29" s="756"/>
      <c r="AU29" s="756"/>
      <c r="AV29" s="756"/>
      <c r="AW29" s="756"/>
      <c r="AX29" s="756"/>
      <c r="AY29" s="756"/>
      <c r="AZ29" s="756"/>
      <c r="BA29" s="756"/>
      <c r="BB29" s="755"/>
    </row>
    <row r="30" spans="2:54" ht="43.2" x14ac:dyDescent="0.3">
      <c r="B30" s="498" t="s">
        <v>6804</v>
      </c>
      <c r="C30" s="722">
        <v>4743</v>
      </c>
      <c r="D30" s="511" t="str">
        <f>+_xlfn.XLOOKUP(Cantidades[[#This Row],[cod Idu]],APU_IDU[Código],APU_IDU[Nombre],"",0)</f>
        <v>BASE GRANULAR CLASE B (BG_B) CON RECICLADO DE CONCRETO (SUMINISTRO, EXTENDIDO, NIVELACIÓN, HUMEDECIMIENTO Y COMPACTACIÓN CON VIBROCOMPACTADOR)</v>
      </c>
      <c r="E30" s="497" t="str">
        <f>+_xlfn.XLOOKUP(Cantidades[[#This Row],[cod Idu]],APU_IDU[Código],APU_IDU[UM],"",0)</f>
        <v>M3</v>
      </c>
      <c r="F30" s="499">
        <f>+_xlfn.XLOOKUP(Cantidades[[#This Row],[cod Idu]],APU_IDU[Código],APU_IDU[Valor],"",0)</f>
        <v>179874</v>
      </c>
      <c r="G30" s="753">
        <f>IF($B26=G$8,IF(G$10="Intermedia",ROUND(G$13*G$6,2),0),0)</f>
        <v>446.72</v>
      </c>
      <c r="H30" s="753">
        <f>IF($B30=H$8,IF(H$10="INTER",ROUND(H$13*H$6,2),0),0)</f>
        <v>0</v>
      </c>
      <c r="I30" s="753">
        <f t="shared" ref="I30:R30" si="22">IF($B30=I$8,IF(I$10="INTER",ROUND(I$13*I$6,2),0),0)</f>
        <v>0</v>
      </c>
      <c r="J30" s="753">
        <f t="shared" si="22"/>
        <v>0</v>
      </c>
      <c r="K30" s="753">
        <f t="shared" ref="K30" si="23">IF($B30=K$8,IF(K$10="LOCAL",ROUND(K$12*K$6,2),0),0)</f>
        <v>110.53</v>
      </c>
      <c r="L30" s="753">
        <f t="shared" si="22"/>
        <v>0</v>
      </c>
      <c r="M30" s="753">
        <f t="shared" si="22"/>
        <v>0</v>
      </c>
      <c r="N30" s="753">
        <f t="shared" si="22"/>
        <v>0</v>
      </c>
      <c r="O30" s="753">
        <f t="shared" si="22"/>
        <v>0</v>
      </c>
      <c r="P30" s="753">
        <f t="shared" si="22"/>
        <v>0</v>
      </c>
      <c r="Q30" s="753">
        <f t="shared" si="22"/>
        <v>0</v>
      </c>
      <c r="R30" s="753">
        <f t="shared" si="22"/>
        <v>0</v>
      </c>
      <c r="S30" s="753">
        <f t="shared" ref="S30:AD30" si="24">IF($B30=S$8,IF(S$10="LOCAL",ROUND(S$13*S$6,2),0),0)</f>
        <v>35.03</v>
      </c>
      <c r="T30" s="753">
        <f t="shared" si="24"/>
        <v>71.3</v>
      </c>
      <c r="U30" s="753">
        <f>IF($B30=U$8,IF(U$10="LOCAL",ROUND(U$12*U$6,2),0),0)</f>
        <v>133.35</v>
      </c>
      <c r="V30" s="753">
        <f>IF($B30=V$8,IF(V$10="LOCAL",ROUND(V$12*V$6,2),0),0)</f>
        <v>28.94</v>
      </c>
      <c r="W30" s="753">
        <f t="shared" ref="W30:X30" si="25">IF($B30=W$8,IF(W$10="LOCAL",ROUND(W$12*W$6,2),0),0)</f>
        <v>123.86</v>
      </c>
      <c r="X30" s="753">
        <f t="shared" si="25"/>
        <v>211.46</v>
      </c>
      <c r="Y30" s="753">
        <v>0</v>
      </c>
      <c r="Z30" s="753">
        <v>0</v>
      </c>
      <c r="AA30" s="753">
        <v>0</v>
      </c>
      <c r="AB30" s="753">
        <f>IF($B30=AB$8,IF(AB$10="LOCAL",ROUND(AB$12*AB$6,2),0),0)</f>
        <v>0</v>
      </c>
      <c r="AC30" s="753">
        <f>IF($B30=AC$8,IF(AC$10="LOCAL",ROUND(AC$12*AC$6,2),0),0)</f>
        <v>65.47</v>
      </c>
      <c r="AD30" s="753">
        <f t="shared" si="24"/>
        <v>61.54</v>
      </c>
      <c r="AE30" s="753">
        <f>IF($B30=AE$8,IF(AE$10="LOCAL",ROUND(AE$12*AE$6,2),0),0)</f>
        <v>28.89</v>
      </c>
      <c r="AF30" s="753">
        <v>0</v>
      </c>
      <c r="AG30" s="753">
        <v>0</v>
      </c>
      <c r="AH30" s="753">
        <v>0</v>
      </c>
      <c r="AI30" s="753">
        <v>0</v>
      </c>
      <c r="AJ30" s="753">
        <v>0</v>
      </c>
      <c r="AK30" s="753">
        <v>0</v>
      </c>
      <c r="AL30" s="753">
        <v>0</v>
      </c>
      <c r="AM30" s="753">
        <v>0</v>
      </c>
      <c r="AN30" s="756"/>
      <c r="AO30" s="756"/>
      <c r="AP30" s="756"/>
      <c r="AQ30" s="756"/>
      <c r="AR30" s="756"/>
      <c r="AS30" s="756"/>
      <c r="AT30" s="756"/>
      <c r="AU30" s="756"/>
      <c r="AV30" s="756"/>
      <c r="AW30" s="756"/>
      <c r="AX30" s="756"/>
      <c r="AY30" s="756"/>
      <c r="AZ30" s="756"/>
      <c r="BA30" s="756"/>
      <c r="BB30" s="755"/>
    </row>
    <row r="31" spans="2:54" ht="43.2" x14ac:dyDescent="0.3">
      <c r="B31" s="498" t="s">
        <v>6804</v>
      </c>
      <c r="C31" s="722">
        <v>3012</v>
      </c>
      <c r="D31" s="511" t="str">
        <f>+_xlfn.XLOOKUP(Cantidades[[#This Row],[cod Idu]],APU_IDU[Código],APU_IDU[Nombre],"",0)</f>
        <v>DEMOLICIÓN PISOS DE CONCRETO (ESPESOR VARIABLE HASTA 0.10 M. INCLUYE CARGUE). NO INCLUYE TRANSPORTE Y DISPOSICIÓN FINAL DE SOBRANTES.</v>
      </c>
      <c r="E31" s="497" t="str">
        <f>+_xlfn.XLOOKUP(Cantidades[[#This Row],[cod Idu]],APU_IDU[Código],APU_IDU[UM],"",0)</f>
        <v>M2</v>
      </c>
      <c r="F31" s="499">
        <f>+_xlfn.XLOOKUP(Cantidades[[#This Row],[cod Idu]],APU_IDU[Código],APU_IDU[Valor],"",0)</f>
        <v>9583</v>
      </c>
      <c r="G31" s="753">
        <v>0</v>
      </c>
      <c r="H31" s="753">
        <v>0</v>
      </c>
      <c r="I31" s="753">
        <v>0</v>
      </c>
      <c r="J31" s="753">
        <v>0</v>
      </c>
      <c r="K31" s="753">
        <v>0</v>
      </c>
      <c r="L31" s="753">
        <v>0</v>
      </c>
      <c r="M31" s="753">
        <v>3</v>
      </c>
      <c r="N31" s="753">
        <v>0</v>
      </c>
      <c r="O31" s="753">
        <v>0</v>
      </c>
      <c r="P31" s="753">
        <v>0</v>
      </c>
      <c r="Q31" s="753">
        <v>0</v>
      </c>
      <c r="R31" s="753">
        <v>0</v>
      </c>
      <c r="S31" s="753">
        <v>0</v>
      </c>
      <c r="T31" s="753">
        <v>5</v>
      </c>
      <c r="U31" s="753">
        <v>0</v>
      </c>
      <c r="V31" s="753">
        <v>0</v>
      </c>
      <c r="W31" s="753">
        <v>0</v>
      </c>
      <c r="X31" s="753">
        <v>0</v>
      </c>
      <c r="Y31" s="753">
        <v>0</v>
      </c>
      <c r="Z31" s="753">
        <v>0</v>
      </c>
      <c r="AA31" s="753">
        <v>0</v>
      </c>
      <c r="AB31" s="753">
        <v>0</v>
      </c>
      <c r="AC31" s="753">
        <v>0</v>
      </c>
      <c r="AD31" s="753">
        <v>0</v>
      </c>
      <c r="AE31" s="753">
        <v>0</v>
      </c>
      <c r="AF31" s="753">
        <v>0</v>
      </c>
      <c r="AG31" s="753">
        <v>0</v>
      </c>
      <c r="AH31" s="753">
        <v>0</v>
      </c>
      <c r="AI31" s="753">
        <v>0</v>
      </c>
      <c r="AJ31" s="753">
        <v>0</v>
      </c>
      <c r="AK31" s="753">
        <v>0</v>
      </c>
      <c r="AL31" s="753">
        <v>0</v>
      </c>
      <c r="AM31" s="753">
        <v>0</v>
      </c>
      <c r="AN31" s="756"/>
      <c r="AO31" s="756"/>
      <c r="AP31" s="756"/>
      <c r="AQ31" s="756"/>
      <c r="AR31" s="756"/>
      <c r="AS31" s="756"/>
      <c r="AT31" s="756"/>
      <c r="AU31" s="756"/>
      <c r="AV31" s="756"/>
      <c r="AW31" s="756"/>
      <c r="AX31" s="756"/>
      <c r="AY31" s="756"/>
      <c r="AZ31" s="756"/>
      <c r="BA31" s="756"/>
      <c r="BB31" s="755"/>
    </row>
    <row r="32" spans="2:54" ht="43.2" x14ac:dyDescent="0.3">
      <c r="B32" s="498" t="s">
        <v>6804</v>
      </c>
      <c r="C32" s="723">
        <v>3864</v>
      </c>
      <c r="D32" s="511" t="str">
        <f>+_xlfn.XLOOKUP(Cantidades[[#This Row],[cod Idu]],APU_IDU[Código],APU_IDU[Nombre],"",0)</f>
        <v>IMPRIMACION CON EMULSION ASFALTICA CRL-0 (SUMINISTRO, BARRIDO SUPERFICIE Y RIEGO MECANICO)</v>
      </c>
      <c r="E32" s="497" t="str">
        <f>+_xlfn.XLOOKUP(Cantidades[[#This Row],[cod Idu]],APU_IDU[Código],APU_IDU[UM],"",0)</f>
        <v>M2</v>
      </c>
      <c r="F32" s="499">
        <f>+_xlfn.XLOOKUP(Cantidades[[#This Row],[cod Idu]],APU_IDU[Código],APU_IDU[Valor],"",0)</f>
        <v>3384</v>
      </c>
      <c r="G32" s="754">
        <v>0</v>
      </c>
      <c r="H32" s="754">
        <f t="shared" ref="H32:AM32" si="26">IF($B32=H$8,ROUND(H$6,2),0)</f>
        <v>726</v>
      </c>
      <c r="I32" s="754">
        <f t="shared" si="26"/>
        <v>781.12</v>
      </c>
      <c r="J32" s="754">
        <f t="shared" si="26"/>
        <v>474.81</v>
      </c>
      <c r="K32" s="754">
        <f t="shared" si="26"/>
        <v>442.11</v>
      </c>
      <c r="L32" s="754">
        <f t="shared" si="26"/>
        <v>567.01</v>
      </c>
      <c r="M32" s="754">
        <f t="shared" si="26"/>
        <v>112.52</v>
      </c>
      <c r="N32" s="754">
        <f t="shared" si="26"/>
        <v>125.44</v>
      </c>
      <c r="O32" s="754">
        <f>IF($B32=O$8,ROUND(O$6,2),0)</f>
        <v>49.89</v>
      </c>
      <c r="P32" s="754">
        <f t="shared" si="26"/>
        <v>148.31</v>
      </c>
      <c r="Q32" s="754">
        <f t="shared" si="26"/>
        <v>484.43</v>
      </c>
      <c r="R32" s="754">
        <f t="shared" si="26"/>
        <v>426.72</v>
      </c>
      <c r="S32" s="754">
        <f t="shared" si="26"/>
        <v>116.78</v>
      </c>
      <c r="T32" s="754">
        <f t="shared" si="26"/>
        <v>237.65</v>
      </c>
      <c r="U32" s="754">
        <f t="shared" si="26"/>
        <v>533.41</v>
      </c>
      <c r="V32" s="754">
        <f t="shared" si="26"/>
        <v>144.71</v>
      </c>
      <c r="W32" s="754">
        <f t="shared" si="26"/>
        <v>495.42</v>
      </c>
      <c r="X32" s="754">
        <f t="shared" si="26"/>
        <v>845.83</v>
      </c>
      <c r="Y32" s="754"/>
      <c r="Z32" s="754">
        <f t="shared" si="26"/>
        <v>187.93</v>
      </c>
      <c r="AA32" s="754">
        <f>IF($B32=AA$8,ROUND(AA$6,2),0)</f>
        <v>102.95</v>
      </c>
      <c r="AB32" s="754">
        <f t="shared" si="26"/>
        <v>0</v>
      </c>
      <c r="AC32" s="754">
        <f t="shared" si="26"/>
        <v>327.35000000000002</v>
      </c>
      <c r="AD32" s="754">
        <f t="shared" si="26"/>
        <v>205.14</v>
      </c>
      <c r="AE32" s="754">
        <f t="shared" si="26"/>
        <v>144.43</v>
      </c>
      <c r="AF32" s="754">
        <f t="shared" si="26"/>
        <v>751.07</v>
      </c>
      <c r="AG32" s="754">
        <f t="shared" si="26"/>
        <v>196.67</v>
      </c>
      <c r="AH32" s="754">
        <f t="shared" si="26"/>
        <v>924.18</v>
      </c>
      <c r="AI32" s="754">
        <f t="shared" si="26"/>
        <v>297.23</v>
      </c>
      <c r="AJ32" s="754">
        <f t="shared" si="26"/>
        <v>693.96</v>
      </c>
      <c r="AK32" s="754">
        <f t="shared" si="26"/>
        <v>606.14</v>
      </c>
      <c r="AL32" s="754">
        <f t="shared" si="26"/>
        <v>939.11</v>
      </c>
      <c r="AM32" s="754">
        <f t="shared" si="26"/>
        <v>525.6</v>
      </c>
      <c r="AN32" s="756"/>
      <c r="AO32" s="756"/>
      <c r="AP32" s="756"/>
      <c r="AQ32" s="756"/>
      <c r="AR32" s="756"/>
      <c r="AS32" s="756"/>
      <c r="AT32" s="756"/>
      <c r="AU32" s="756"/>
      <c r="AV32" s="756"/>
      <c r="AW32" s="756"/>
      <c r="AX32" s="756"/>
      <c r="AY32" s="756"/>
      <c r="AZ32" s="756"/>
      <c r="BA32" s="756"/>
      <c r="BB32" s="755"/>
    </row>
    <row r="33" spans="2:54" ht="43.2" x14ac:dyDescent="0.3">
      <c r="B33" s="498" t="s">
        <v>6804</v>
      </c>
      <c r="C33" s="723">
        <v>4857</v>
      </c>
      <c r="D33" s="511" t="str">
        <f>+_xlfn.XLOOKUP(Cantidades[[#This Row],[cod Idu]],APU_IDU[Código],APU_IDU[Nombre],"",0)</f>
        <v>IMPRIMACIÓN CON EMULSIÓN ASFÁLTICA CRL-1 (INCLUYE SUMINISTRO, BARRIDO DE SUPERFICIE Y RIEGO MECANICO).</v>
      </c>
      <c r="E33" s="497" t="str">
        <f>+_xlfn.XLOOKUP(Cantidades[[#This Row],[cod Idu]],APU_IDU[Código],APU_IDU[UM],"",0)</f>
        <v>M2</v>
      </c>
      <c r="F33" s="499">
        <f>+_xlfn.XLOOKUP(Cantidades[[#This Row],[cod Idu]],APU_IDU[Código],APU_IDU[Valor],"",0)</f>
        <v>3721</v>
      </c>
      <c r="G33" s="754">
        <f>IF($B33=G$8,ROUND(G$6,2),0)</f>
        <v>1489.08</v>
      </c>
      <c r="H33" s="754"/>
      <c r="I33" s="754"/>
      <c r="J33" s="754"/>
      <c r="K33" s="754"/>
      <c r="L33" s="754"/>
      <c r="M33" s="754"/>
      <c r="N33" s="754"/>
      <c r="O33" s="754"/>
      <c r="P33" s="754"/>
      <c r="Q33" s="754"/>
      <c r="R33" s="754"/>
      <c r="S33" s="754"/>
      <c r="T33" s="754"/>
      <c r="U33" s="754"/>
      <c r="V33" s="754"/>
      <c r="W33" s="754"/>
      <c r="X33" s="754"/>
      <c r="Y33" s="754">
        <f>IF($B33=Y$8,ROUND(Y$6,2),0)</f>
        <v>75.92</v>
      </c>
      <c r="Z33" s="754"/>
      <c r="AA33" s="754"/>
      <c r="AB33" s="754"/>
      <c r="AC33" s="754"/>
      <c r="AD33" s="754"/>
      <c r="AE33" s="754"/>
      <c r="AF33" s="754"/>
      <c r="AG33" s="754"/>
      <c r="AH33" s="754"/>
      <c r="AI33" s="754"/>
      <c r="AJ33" s="754"/>
      <c r="AK33" s="754"/>
      <c r="AL33" s="754"/>
      <c r="AM33" s="754"/>
      <c r="AN33" s="756"/>
      <c r="AO33" s="756"/>
      <c r="AP33" s="756"/>
      <c r="AQ33" s="756"/>
      <c r="AR33" s="756"/>
      <c r="AS33" s="756"/>
      <c r="AT33" s="756"/>
      <c r="AU33" s="756"/>
      <c r="AV33" s="756"/>
      <c r="AW33" s="756"/>
      <c r="AX33" s="756"/>
      <c r="AY33" s="756"/>
      <c r="AZ33" s="756"/>
      <c r="BA33" s="756"/>
      <c r="BB33" s="755"/>
    </row>
    <row r="34" spans="2:54" ht="43.2" x14ac:dyDescent="0.3">
      <c r="B34" s="498" t="s">
        <v>6804</v>
      </c>
      <c r="C34" s="723">
        <v>3867</v>
      </c>
      <c r="D34" s="511" t="str">
        <f>+_xlfn.XLOOKUP(Cantidades[[#This Row],[cod Idu]],APU_IDU[Código],APU_IDU[Nombre],"",0)</f>
        <v>RIEGO DE LIGA CON EMULSION ASFALTICA CRR-2 (SUMINISTRO, BARRIDO SUPERFICIE Y RIEGO MECANICO)</v>
      </c>
      <c r="E34" s="497" t="str">
        <f>+_xlfn.XLOOKUP(Cantidades[[#This Row],[cod Idu]],APU_IDU[Código],APU_IDU[UM],"",0)</f>
        <v>M2</v>
      </c>
      <c r="F34" s="499">
        <f>+_xlfn.XLOOKUP(Cantidades[[#This Row],[cod Idu]],APU_IDU[Código],APU_IDU[Valor],"",0)</f>
        <v>4114</v>
      </c>
      <c r="G34" s="754"/>
      <c r="H34" s="754">
        <f t="shared" ref="H34:AM34" si="27">IF($B34=H$8,ROUND(H$6,2),0)</f>
        <v>726</v>
      </c>
      <c r="I34" s="754">
        <f t="shared" si="27"/>
        <v>781.12</v>
      </c>
      <c r="J34" s="754">
        <f t="shared" si="27"/>
        <v>474.81</v>
      </c>
      <c r="K34" s="754">
        <f t="shared" si="27"/>
        <v>442.11</v>
      </c>
      <c r="L34" s="754">
        <f t="shared" si="27"/>
        <v>567.01</v>
      </c>
      <c r="M34" s="754">
        <f t="shared" si="27"/>
        <v>112.52</v>
      </c>
      <c r="N34" s="754">
        <f t="shared" si="27"/>
        <v>125.44</v>
      </c>
      <c r="O34" s="754">
        <f t="shared" si="27"/>
        <v>49.89</v>
      </c>
      <c r="P34" s="754">
        <f t="shared" si="27"/>
        <v>148.31</v>
      </c>
      <c r="Q34" s="754">
        <f t="shared" si="27"/>
        <v>484.43</v>
      </c>
      <c r="R34" s="754">
        <f t="shared" si="27"/>
        <v>426.72</v>
      </c>
      <c r="S34" s="754">
        <f t="shared" si="27"/>
        <v>116.78</v>
      </c>
      <c r="T34" s="754">
        <f t="shared" si="27"/>
        <v>237.65</v>
      </c>
      <c r="U34" s="754">
        <f t="shared" si="27"/>
        <v>533.41</v>
      </c>
      <c r="V34" s="754">
        <f t="shared" si="27"/>
        <v>144.71</v>
      </c>
      <c r="W34" s="754">
        <f t="shared" si="27"/>
        <v>495.42</v>
      </c>
      <c r="X34" s="754">
        <f t="shared" si="27"/>
        <v>845.83</v>
      </c>
      <c r="Y34" s="754">
        <f t="shared" si="27"/>
        <v>75.92</v>
      </c>
      <c r="Z34" s="754">
        <f t="shared" si="27"/>
        <v>187.93</v>
      </c>
      <c r="AA34" s="754">
        <f t="shared" si="27"/>
        <v>102.95</v>
      </c>
      <c r="AB34" s="754">
        <f t="shared" si="27"/>
        <v>0</v>
      </c>
      <c r="AC34" s="754">
        <f t="shared" si="27"/>
        <v>327.35000000000002</v>
      </c>
      <c r="AD34" s="754">
        <f t="shared" si="27"/>
        <v>205.14</v>
      </c>
      <c r="AE34" s="754">
        <f t="shared" si="27"/>
        <v>144.43</v>
      </c>
      <c r="AF34" s="754">
        <f t="shared" si="27"/>
        <v>751.07</v>
      </c>
      <c r="AG34" s="754">
        <f t="shared" si="27"/>
        <v>196.67</v>
      </c>
      <c r="AH34" s="754">
        <f t="shared" si="27"/>
        <v>924.18</v>
      </c>
      <c r="AI34" s="754">
        <f t="shared" si="27"/>
        <v>297.23</v>
      </c>
      <c r="AJ34" s="754">
        <f t="shared" si="27"/>
        <v>693.96</v>
      </c>
      <c r="AK34" s="754">
        <f t="shared" si="27"/>
        <v>606.14</v>
      </c>
      <c r="AL34" s="754">
        <f t="shared" si="27"/>
        <v>939.11</v>
      </c>
      <c r="AM34" s="754">
        <f t="shared" si="27"/>
        <v>525.6</v>
      </c>
      <c r="AN34" s="756"/>
      <c r="AO34" s="756"/>
      <c r="AP34" s="756"/>
      <c r="AQ34" s="756"/>
      <c r="AR34" s="756"/>
      <c r="AS34" s="756"/>
      <c r="AT34" s="756"/>
      <c r="AU34" s="756"/>
      <c r="AV34" s="756"/>
      <c r="AW34" s="756"/>
      <c r="AX34" s="756"/>
      <c r="AY34" s="756"/>
      <c r="AZ34" s="756"/>
      <c r="BA34" s="756"/>
      <c r="BB34" s="755"/>
    </row>
    <row r="35" spans="2:54" ht="43.2" x14ac:dyDescent="0.3">
      <c r="B35" s="498" t="s">
        <v>6804</v>
      </c>
      <c r="C35" s="722">
        <v>8613</v>
      </c>
      <c r="D35" s="511" t="str">
        <f>+_xlfn.XLOOKUP(Cantidades[[#This Row],[cod Idu]],APU_IDU[Código],APU_IDU[Nombre],"",0)</f>
        <v>MEZCLA ASFÁLTICA EN CALIENTE DENSA MD19 CON CEMENTO ASFÁLTICO CA 14. (SUMINISTRO, EXTENDIDO, NIVELACIÓN MANUAL Y COMPACTACIÓN MECÁNICA CON VIBROCOMPACTADOR TÁNDEM PEQUEÑO, INCLUYE OPERARIO Y COMBUSTIBLE).</v>
      </c>
      <c r="E35" s="497" t="str">
        <f>+_xlfn.XLOOKUP(Cantidades[[#This Row],[cod Idu]],APU_IDU[Código],APU_IDU[UM],"",0)</f>
        <v>M3</v>
      </c>
      <c r="F35" s="499">
        <f>+_xlfn.XLOOKUP(Cantidades[[#This Row],[cod Idu]],APU_IDU[Código],APU_IDU[Valor],"",0)</f>
        <v>1472746</v>
      </c>
      <c r="G35" s="753">
        <f>IF($B36=G$8,IF(G$10="intermedia",ROUND(G$11*G$6,2),0),0)</f>
        <v>223.36</v>
      </c>
      <c r="H35" s="753">
        <v>0</v>
      </c>
      <c r="I35" s="753">
        <v>0</v>
      </c>
      <c r="J35" s="753">
        <v>0</v>
      </c>
      <c r="K35" s="753">
        <v>0</v>
      </c>
      <c r="L35" s="753">
        <f t="shared" ref="L35:AM36" si="28">IF($B35=L$8,IF(L$10="LOCAL",ROUND(L$11*L$6,2),0),0)</f>
        <v>85.05</v>
      </c>
      <c r="M35" s="753">
        <v>0</v>
      </c>
      <c r="N35" s="753">
        <v>0</v>
      </c>
      <c r="O35" s="753">
        <v>0</v>
      </c>
      <c r="P35" s="753">
        <v>0</v>
      </c>
      <c r="Q35" s="753">
        <f t="shared" si="28"/>
        <v>72.66</v>
      </c>
      <c r="R35" s="753">
        <f t="shared" si="28"/>
        <v>64.010000000000005</v>
      </c>
      <c r="S35" s="753">
        <v>0</v>
      </c>
      <c r="T35" s="753">
        <f t="shared" si="28"/>
        <v>35.65</v>
      </c>
      <c r="U35" s="753">
        <v>0</v>
      </c>
      <c r="V35" s="753">
        <f t="shared" si="28"/>
        <v>21.71</v>
      </c>
      <c r="W35" s="753">
        <f t="shared" si="28"/>
        <v>74.31</v>
      </c>
      <c r="X35" s="753">
        <v>0</v>
      </c>
      <c r="Y35" s="753">
        <f>IF($B35=Y$8,IF(Y$10="LOCAL",ROUND(Y$11*Y$6,2),0),0)</f>
        <v>11.39</v>
      </c>
      <c r="Z35" s="753">
        <v>0</v>
      </c>
      <c r="AA35" s="753">
        <v>0</v>
      </c>
      <c r="AB35" s="753">
        <v>0</v>
      </c>
      <c r="AC35" s="753">
        <v>0</v>
      </c>
      <c r="AD35" s="753">
        <f t="shared" si="28"/>
        <v>30.77</v>
      </c>
      <c r="AE35" s="753">
        <f t="shared" si="28"/>
        <v>21.66</v>
      </c>
      <c r="AF35" s="753">
        <f t="shared" si="28"/>
        <v>0</v>
      </c>
      <c r="AG35" s="753">
        <f t="shared" si="28"/>
        <v>29.5</v>
      </c>
      <c r="AH35" s="753">
        <f t="shared" si="28"/>
        <v>0</v>
      </c>
      <c r="AI35" s="753">
        <f t="shared" si="28"/>
        <v>0</v>
      </c>
      <c r="AJ35" s="753">
        <f t="shared" si="28"/>
        <v>0</v>
      </c>
      <c r="AK35" s="753">
        <f t="shared" si="28"/>
        <v>0</v>
      </c>
      <c r="AL35" s="753">
        <f t="shared" si="28"/>
        <v>140.87</v>
      </c>
      <c r="AM35" s="753">
        <f t="shared" si="28"/>
        <v>78.84</v>
      </c>
      <c r="AN35" s="756"/>
      <c r="AO35" s="756"/>
      <c r="AP35" s="756"/>
      <c r="AQ35" s="756"/>
      <c r="AR35" s="756"/>
      <c r="AS35" s="756"/>
      <c r="AT35" s="756"/>
      <c r="AU35" s="756"/>
      <c r="AV35" s="756"/>
      <c r="AW35" s="756"/>
      <c r="AX35" s="756"/>
      <c r="AY35" s="756"/>
      <c r="AZ35" s="756"/>
      <c r="BA35" s="756"/>
      <c r="BB35" s="755"/>
    </row>
    <row r="36" spans="2:54" ht="57.6" x14ac:dyDescent="0.3">
      <c r="B36" s="498" t="s">
        <v>6804</v>
      </c>
      <c r="C36" s="722">
        <v>4200</v>
      </c>
      <c r="D36" s="511" t="str">
        <f>+_xlfn.XLOOKUP(Cantidades[[#This Row],[cod Idu]],APU_IDU[Código],APU_IDU[Nombre],"",0)</f>
        <v>MEZCLA ASFÁLTICA EN CALIENTE TIPO DENSO MD20 ASFALTO 60-70 (INCLUYE SUMINISTRO, EXTENDIDO, NIVELACIÓN, COMPACTACIÓN  MECANICA CON VIBROCOMPACTADOR Y COMPACTADOR DE LLANTAS, FACTOR DE COMPACTACION Y TRANSPORTE DE MATERIAL A 21 KMS)</v>
      </c>
      <c r="E36" s="497" t="str">
        <f>+_xlfn.XLOOKUP(Cantidades[[#This Row],[cod Idu]],APU_IDU[Código],APU_IDU[UM],"",0)</f>
        <v>M3</v>
      </c>
      <c r="F36" s="499">
        <f>+_xlfn.XLOOKUP(Cantidades[[#This Row],[cod Idu]],APU_IDU[Código],APU_IDU[Valor],"",0)</f>
        <v>1189120</v>
      </c>
      <c r="G36" s="753">
        <v>0</v>
      </c>
      <c r="H36" s="753">
        <f>IF($B35=H$8,IF(H$10="LOCAL",ROUND(H$11*H$6,2),0),0)</f>
        <v>108.9</v>
      </c>
      <c r="I36" s="753">
        <f>IF($B35=I$8,IF(I$10="LOCAL",ROUND(I$11*I$6,2),0),0)</f>
        <v>117.17</v>
      </c>
      <c r="J36" s="753">
        <f>IF($B35=J$8,IF(J$10="LOCAL",ROUND(J$11*J$6,2),0),0)</f>
        <v>71.22</v>
      </c>
      <c r="K36" s="753">
        <f>IF($B36=K$8,IF(K$10="LOCAL",ROUND(K$11*K$6,2),0),0)</f>
        <v>66.319999999999993</v>
      </c>
      <c r="L36" s="753">
        <f t="shared" ref="L36:AH37" si="29">IF($B36=L$8,IF(L$10="intermedia",ROUND(L$11*L$6,2),0),0)</f>
        <v>0</v>
      </c>
      <c r="M36" s="753">
        <f t="shared" si="29"/>
        <v>0</v>
      </c>
      <c r="N36" s="753">
        <f t="shared" si="29"/>
        <v>0</v>
      </c>
      <c r="O36" s="753">
        <f t="shared" si="29"/>
        <v>0</v>
      </c>
      <c r="P36" s="753">
        <f t="shared" si="29"/>
        <v>0</v>
      </c>
      <c r="Q36" s="753">
        <f t="shared" si="29"/>
        <v>0</v>
      </c>
      <c r="R36" s="753">
        <f t="shared" si="29"/>
        <v>0</v>
      </c>
      <c r="S36" s="753">
        <v>0</v>
      </c>
      <c r="T36" s="753"/>
      <c r="U36" s="753">
        <f t="shared" si="29"/>
        <v>0</v>
      </c>
      <c r="V36" s="753">
        <f t="shared" si="29"/>
        <v>0</v>
      </c>
      <c r="W36" s="753">
        <f t="shared" si="29"/>
        <v>0</v>
      </c>
      <c r="X36" s="753">
        <f t="shared" si="29"/>
        <v>0</v>
      </c>
      <c r="Y36" s="753">
        <v>0</v>
      </c>
      <c r="Z36" s="753">
        <f t="shared" si="28"/>
        <v>28.19</v>
      </c>
      <c r="AA36" s="753">
        <f t="shared" si="29"/>
        <v>0</v>
      </c>
      <c r="AB36" s="753">
        <f t="shared" si="29"/>
        <v>0</v>
      </c>
      <c r="AC36" s="753">
        <f t="shared" si="29"/>
        <v>0</v>
      </c>
      <c r="AD36" s="753">
        <f t="shared" si="29"/>
        <v>0</v>
      </c>
      <c r="AE36" s="753">
        <f t="shared" si="29"/>
        <v>0</v>
      </c>
      <c r="AF36" s="753">
        <f t="shared" si="29"/>
        <v>112.66</v>
      </c>
      <c r="AG36" s="753">
        <f t="shared" si="29"/>
        <v>0</v>
      </c>
      <c r="AH36" s="753">
        <f t="shared" si="29"/>
        <v>138.63</v>
      </c>
      <c r="AI36" s="753">
        <f t="shared" ref="AI36:AM36" si="30">IF($B36=AI$8,IF(AI$10="intermedia",ROUND(AI$11*AI$6,2),0),0)</f>
        <v>44.58</v>
      </c>
      <c r="AJ36" s="753">
        <f t="shared" si="30"/>
        <v>104.09</v>
      </c>
      <c r="AK36" s="753">
        <f t="shared" si="30"/>
        <v>90.92</v>
      </c>
      <c r="AL36" s="753">
        <f t="shared" si="30"/>
        <v>0</v>
      </c>
      <c r="AM36" s="753">
        <f t="shared" si="30"/>
        <v>0</v>
      </c>
      <c r="AN36" s="756"/>
      <c r="AO36" s="756"/>
      <c r="AP36" s="756"/>
      <c r="AQ36" s="756"/>
      <c r="AR36" s="756"/>
      <c r="AS36" s="756"/>
      <c r="AT36" s="756"/>
      <c r="AU36" s="756"/>
      <c r="AV36" s="756"/>
      <c r="AW36" s="756"/>
      <c r="AX36" s="756"/>
      <c r="AY36" s="756"/>
      <c r="AZ36" s="756"/>
      <c r="BA36" s="756"/>
      <c r="BB36" s="755"/>
    </row>
    <row r="37" spans="2:54" ht="43.2" x14ac:dyDescent="0.3">
      <c r="B37" s="498" t="s">
        <v>6804</v>
      </c>
      <c r="C37" s="722">
        <v>4712</v>
      </c>
      <c r="D37" s="511" t="str">
        <f>+_xlfn.XLOOKUP(Cantidades[[#This Row],[cod Idu]],APU_IDU[Código],APU_IDU[Nombre],"",0)</f>
        <v>MEZCLA ASFALTICA CON ASFALTO CAUCHO (SUMINISTRO, EXTENDIDO, NIVELACIÓN Y COMPACTACIÓN MECANICA)</v>
      </c>
      <c r="E37" s="497" t="str">
        <f>+_xlfn.XLOOKUP(Cantidades[[#This Row],[cod Idu]],APU_IDU[Código],APU_IDU[UM],"",0)</f>
        <v>M3</v>
      </c>
      <c r="F37" s="499">
        <f>+_xlfn.XLOOKUP(Cantidades[[#This Row],[cod Idu]],APU_IDU[Código],APU_IDU[Valor],"",0)</f>
        <v>1658667</v>
      </c>
      <c r="G37" s="753">
        <v>0</v>
      </c>
      <c r="H37" s="753">
        <v>0</v>
      </c>
      <c r="I37" s="753">
        <v>0</v>
      </c>
      <c r="J37" s="753">
        <v>0</v>
      </c>
      <c r="K37" s="753">
        <v>0</v>
      </c>
      <c r="L37" s="753">
        <v>0</v>
      </c>
      <c r="M37" s="754">
        <f>IF($B37=M$8,ROUND(M$6*M11,2),0)</f>
        <v>16.88</v>
      </c>
      <c r="N37" s="754">
        <f>IF($B37=N$8,ROUND(N$6*N11,2),0)</f>
        <v>18.82</v>
      </c>
      <c r="O37" s="754">
        <f>IF($B37=O$8,ROUND(O$6*O11,2),0)</f>
        <v>7.48</v>
      </c>
      <c r="P37" s="754">
        <f>IF($B37=P$8,ROUND(P$6*P11,2),0)</f>
        <v>22.25</v>
      </c>
      <c r="Q37" s="753">
        <v>0</v>
      </c>
      <c r="R37" s="753">
        <v>0</v>
      </c>
      <c r="S37" s="754">
        <f>IF($B37=S$8,ROUND(S$6*S11,2),0)</f>
        <v>17.52</v>
      </c>
      <c r="T37" s="753">
        <f t="shared" si="29"/>
        <v>0</v>
      </c>
      <c r="U37" s="754">
        <f>IF($B37=U$8,ROUND(U$6*U11,2),0)</f>
        <v>80.010000000000005</v>
      </c>
      <c r="V37" s="753">
        <v>0</v>
      </c>
      <c r="W37" s="753">
        <v>0</v>
      </c>
      <c r="X37" s="754">
        <f>IF($B37=X$8,ROUND(X$6*X11,2),0)</f>
        <v>126.87</v>
      </c>
      <c r="Y37" s="753">
        <v>0</v>
      </c>
      <c r="Z37" s="753">
        <v>0</v>
      </c>
      <c r="AA37" s="754">
        <f>IF($B37=AA$8,ROUND(AA$6*AA11,2),0)</f>
        <v>15.44</v>
      </c>
      <c r="AB37" s="754">
        <f>IF($B37=AB$8,ROUND(AB$6*AB11,2),0)</f>
        <v>0</v>
      </c>
      <c r="AC37" s="754">
        <f>IF($B37=AC$8,ROUND(AC$6*AC11,2),0)</f>
        <v>49.1</v>
      </c>
      <c r="AD37" s="753">
        <v>0</v>
      </c>
      <c r="AE37" s="753">
        <v>0</v>
      </c>
      <c r="AF37" s="753">
        <v>0</v>
      </c>
      <c r="AG37" s="753">
        <v>0</v>
      </c>
      <c r="AH37" s="753">
        <v>0</v>
      </c>
      <c r="AI37" s="753">
        <v>0</v>
      </c>
      <c r="AJ37" s="753">
        <v>0</v>
      </c>
      <c r="AK37" s="753">
        <v>0</v>
      </c>
      <c r="AL37" s="753">
        <v>0</v>
      </c>
      <c r="AM37" s="753">
        <v>0</v>
      </c>
      <c r="AN37" s="756"/>
      <c r="AO37" s="756"/>
      <c r="AP37" s="756"/>
      <c r="AQ37" s="756"/>
      <c r="AR37" s="756"/>
      <c r="AS37" s="756"/>
      <c r="AT37" s="756"/>
      <c r="AU37" s="756"/>
      <c r="AV37" s="756"/>
      <c r="AW37" s="756"/>
      <c r="AX37" s="756"/>
      <c r="AY37" s="756"/>
      <c r="AZ37" s="756"/>
      <c r="BA37" s="756"/>
      <c r="BB37" s="755"/>
    </row>
    <row r="38" spans="2:54" ht="43.2" x14ac:dyDescent="0.3">
      <c r="B38" s="498" t="s">
        <v>6804</v>
      </c>
      <c r="C38" s="722">
        <v>4598</v>
      </c>
      <c r="D38" s="511" t="str">
        <f>+_xlfn.XLOOKUP(Cantidades[[#This Row],[cod Idu]],APU_IDU[Código],APU_IDU[Nombre],"",0)</f>
        <v>SELLO DE GRIETAS</v>
      </c>
      <c r="E38" s="497" t="str">
        <f>+_xlfn.XLOOKUP(Cantidades[[#This Row],[cod Idu]],APU_IDU[Código],APU_IDU[UM],"",0)</f>
        <v>ML</v>
      </c>
      <c r="F38" s="499">
        <f>+_xlfn.XLOOKUP(Cantidades[[#This Row],[cod Idu]],APU_IDU[Código],APU_IDU[Valor],"",0)</f>
        <v>12196</v>
      </c>
      <c r="G38" s="753">
        <v>0</v>
      </c>
      <c r="H38" s="753">
        <v>0</v>
      </c>
      <c r="I38" s="753">
        <v>0</v>
      </c>
      <c r="J38" s="753">
        <v>0</v>
      </c>
      <c r="K38" s="753">
        <v>0</v>
      </c>
      <c r="L38" s="753">
        <v>0</v>
      </c>
      <c r="M38" s="753">
        <v>0</v>
      </c>
      <c r="N38" s="753">
        <v>0</v>
      </c>
      <c r="O38" s="753">
        <v>0</v>
      </c>
      <c r="P38" s="753">
        <v>0</v>
      </c>
      <c r="Q38" s="753">
        <v>0</v>
      </c>
      <c r="R38" s="753">
        <v>0</v>
      </c>
      <c r="S38" s="753">
        <v>0</v>
      </c>
      <c r="T38" s="753">
        <v>0</v>
      </c>
      <c r="U38" s="753">
        <v>0</v>
      </c>
      <c r="V38" s="753">
        <v>0</v>
      </c>
      <c r="W38" s="753">
        <v>0</v>
      </c>
      <c r="X38" s="753">
        <v>0</v>
      </c>
      <c r="Y38" s="753">
        <v>0</v>
      </c>
      <c r="Z38" s="753">
        <v>0</v>
      </c>
      <c r="AA38" s="753">
        <v>0</v>
      </c>
      <c r="AB38" s="753">
        <v>1</v>
      </c>
      <c r="AC38" s="753">
        <v>0</v>
      </c>
      <c r="AD38" s="753">
        <v>0</v>
      </c>
      <c r="AE38" s="753">
        <v>0</v>
      </c>
      <c r="AF38" s="753">
        <v>0</v>
      </c>
      <c r="AG38" s="753">
        <v>1</v>
      </c>
      <c r="AH38" s="753">
        <v>1</v>
      </c>
      <c r="AI38" s="753">
        <v>1</v>
      </c>
      <c r="AJ38" s="753">
        <v>1</v>
      </c>
      <c r="AK38" s="753">
        <v>1</v>
      </c>
      <c r="AL38" s="753">
        <v>1</v>
      </c>
      <c r="AM38" s="753">
        <v>1</v>
      </c>
      <c r="AN38" s="756"/>
      <c r="AO38" s="756"/>
      <c r="AP38" s="756"/>
      <c r="AQ38" s="756"/>
      <c r="AR38" s="756"/>
      <c r="AS38" s="756"/>
      <c r="AT38" s="756"/>
      <c r="AU38" s="756"/>
      <c r="AV38" s="756"/>
      <c r="AW38" s="756"/>
      <c r="AX38" s="756"/>
      <c r="AY38" s="756"/>
      <c r="AZ38" s="756"/>
      <c r="BA38" s="756"/>
      <c r="BB38" s="755"/>
    </row>
    <row r="39" spans="2:54" ht="43.2" x14ac:dyDescent="0.3">
      <c r="B39" s="498" t="s">
        <v>6804</v>
      </c>
      <c r="C39" s="722">
        <v>5843</v>
      </c>
      <c r="D39" s="511" t="str">
        <f>+_xlfn.XLOOKUP(Cantidades[[#This Row],[cod Idu]],APU_IDU[Código],APU_IDU[Nombre],"",0)</f>
        <v>GEOMALLA BIAXIAL PARA EL CONTROL DEL REFLEJO DE AGRIETAMIENTO EN CAPAS DE CONCRETO ASFALTICO, CON MODULO DE TENSION CICLICA MINIMO DE 2340 KN/M. (INCLUYE SUMINISTRO E INSTALACION).</v>
      </c>
      <c r="E39" s="497" t="str">
        <f>+_xlfn.XLOOKUP(Cantidades[[#This Row],[cod Idu]],APU_IDU[Código],APU_IDU[UM],"",0)</f>
        <v>M2</v>
      </c>
      <c r="F39" s="499">
        <f>+_xlfn.XLOOKUP(Cantidades[[#This Row],[cod Idu]],APU_IDU[Código],APU_IDU[Valor],"",0)</f>
        <v>33937</v>
      </c>
      <c r="G39" s="754">
        <f t="shared" ref="G39:R39" si="31">IF($B39=G$8,ROUND(G$6,2),0)</f>
        <v>1489.08</v>
      </c>
      <c r="H39" s="754">
        <f t="shared" si="31"/>
        <v>726</v>
      </c>
      <c r="I39" s="754">
        <f t="shared" si="31"/>
        <v>781.12</v>
      </c>
      <c r="J39" s="754">
        <f t="shared" si="31"/>
        <v>474.81</v>
      </c>
      <c r="K39" s="754">
        <f t="shared" si="31"/>
        <v>442.11</v>
      </c>
      <c r="L39" s="754">
        <f t="shared" si="31"/>
        <v>567.01</v>
      </c>
      <c r="M39" s="754">
        <f t="shared" si="31"/>
        <v>112.52</v>
      </c>
      <c r="N39" s="754">
        <f t="shared" si="31"/>
        <v>125.44</v>
      </c>
      <c r="O39" s="754">
        <f t="shared" si="31"/>
        <v>49.89</v>
      </c>
      <c r="P39" s="754">
        <f t="shared" si="31"/>
        <v>148.31</v>
      </c>
      <c r="Q39" s="754">
        <f t="shared" si="31"/>
        <v>484.43</v>
      </c>
      <c r="R39" s="754">
        <f t="shared" si="31"/>
        <v>426.72</v>
      </c>
      <c r="S39" s="754">
        <f>IF($B39=S$8,ROUND(S$6,2),0)</f>
        <v>116.78</v>
      </c>
      <c r="T39" s="754">
        <f t="shared" ref="T39:AM39" si="32">IF($B39=T$8,ROUND(T$6,2),0)</f>
        <v>237.65</v>
      </c>
      <c r="U39" s="754">
        <f t="shared" si="32"/>
        <v>533.41</v>
      </c>
      <c r="V39" s="754">
        <f t="shared" si="32"/>
        <v>144.71</v>
      </c>
      <c r="W39" s="754">
        <f t="shared" si="32"/>
        <v>495.42</v>
      </c>
      <c r="X39" s="754">
        <f t="shared" si="32"/>
        <v>845.83</v>
      </c>
      <c r="Y39" s="754">
        <f t="shared" si="32"/>
        <v>75.92</v>
      </c>
      <c r="Z39" s="754">
        <f t="shared" si="32"/>
        <v>187.93</v>
      </c>
      <c r="AA39" s="754">
        <f t="shared" si="32"/>
        <v>102.95</v>
      </c>
      <c r="AB39" s="754">
        <f t="shared" si="32"/>
        <v>0</v>
      </c>
      <c r="AC39" s="754">
        <f t="shared" si="32"/>
        <v>327.35000000000002</v>
      </c>
      <c r="AD39" s="754">
        <f t="shared" si="32"/>
        <v>205.14</v>
      </c>
      <c r="AE39" s="754">
        <f t="shared" si="32"/>
        <v>144.43</v>
      </c>
      <c r="AF39" s="754">
        <f t="shared" si="32"/>
        <v>751.07</v>
      </c>
      <c r="AG39" s="754">
        <f t="shared" si="32"/>
        <v>196.67</v>
      </c>
      <c r="AH39" s="754">
        <f t="shared" si="32"/>
        <v>924.18</v>
      </c>
      <c r="AI39" s="754">
        <f t="shared" si="32"/>
        <v>297.23</v>
      </c>
      <c r="AJ39" s="754">
        <f t="shared" si="32"/>
        <v>693.96</v>
      </c>
      <c r="AK39" s="754">
        <f t="shared" si="32"/>
        <v>606.14</v>
      </c>
      <c r="AL39" s="754">
        <f t="shared" si="32"/>
        <v>939.11</v>
      </c>
      <c r="AM39" s="754">
        <f t="shared" si="32"/>
        <v>525.6</v>
      </c>
      <c r="AN39" s="756"/>
      <c r="AO39" s="756"/>
      <c r="AP39" s="756"/>
      <c r="AQ39" s="756"/>
      <c r="AR39" s="756"/>
      <c r="AS39" s="756"/>
      <c r="AT39" s="756"/>
      <c r="AU39" s="756"/>
      <c r="AV39" s="756"/>
      <c r="AW39" s="756"/>
      <c r="AX39" s="756"/>
      <c r="AY39" s="756"/>
      <c r="AZ39" s="756"/>
      <c r="BA39" s="756"/>
      <c r="BB39" s="755"/>
    </row>
    <row r="40" spans="2:54" ht="43.2" x14ac:dyDescent="0.3">
      <c r="B40" s="498" t="s">
        <v>6804</v>
      </c>
      <c r="C40" s="723">
        <v>4246</v>
      </c>
      <c r="D40" s="511" t="str">
        <f>+_xlfn.XLOOKUP(Cantidades[[#This Row],[cod Idu]],APU_IDU[Código],APU_IDU[Nombre],"",0)</f>
        <v>FLECHA DIRECCIONAL "DE FRENTE" (E=2.3MM,TERMOPLÁSTICA. INC. SUMINISTRO Y APLICACIÓN CON EQUIPO. INC MICROESFERAS). MARCA VIAL PARA VELOCIDADES MENORES O IGUALES A 60 KM/H AREA DE LA MARCA: 1.20 M2.</v>
      </c>
      <c r="E40" s="497" t="str">
        <f>+_xlfn.XLOOKUP(Cantidades[[#This Row],[cod Idu]],APU_IDU[Código],APU_IDU[UM],"",0)</f>
        <v>UN</v>
      </c>
      <c r="F40" s="499">
        <f>+_xlfn.XLOOKUP(Cantidades[[#This Row],[cod Idu]],APU_IDU[Código],APU_IDU[Valor],"",0)</f>
        <v>206205</v>
      </c>
      <c r="G40" s="753">
        <v>2</v>
      </c>
      <c r="H40" s="753">
        <v>0</v>
      </c>
      <c r="I40" s="753">
        <v>2</v>
      </c>
      <c r="J40" s="753">
        <v>0</v>
      </c>
      <c r="K40" s="753">
        <v>2</v>
      </c>
      <c r="L40" s="753">
        <v>2</v>
      </c>
      <c r="M40" s="753">
        <v>2</v>
      </c>
      <c r="N40" s="753">
        <v>0</v>
      </c>
      <c r="O40" s="753">
        <v>0</v>
      </c>
      <c r="P40" s="753">
        <v>2</v>
      </c>
      <c r="Q40" s="753">
        <v>0</v>
      </c>
      <c r="R40" s="753">
        <v>2</v>
      </c>
      <c r="S40" s="753">
        <v>2</v>
      </c>
      <c r="T40" s="753">
        <v>0</v>
      </c>
      <c r="U40" s="753">
        <v>0</v>
      </c>
      <c r="V40" s="753">
        <v>0</v>
      </c>
      <c r="W40" s="753">
        <v>2</v>
      </c>
      <c r="X40" s="753">
        <v>2</v>
      </c>
      <c r="Y40" s="753">
        <v>2</v>
      </c>
      <c r="Z40" s="753">
        <v>0</v>
      </c>
      <c r="AA40" s="753">
        <v>0</v>
      </c>
      <c r="AB40" s="753">
        <v>0</v>
      </c>
      <c r="AC40" s="753">
        <v>2</v>
      </c>
      <c r="AD40" s="753">
        <v>0</v>
      </c>
      <c r="AE40" s="753">
        <v>0</v>
      </c>
      <c r="AF40" s="753">
        <v>2</v>
      </c>
      <c r="AG40" s="753">
        <v>2</v>
      </c>
      <c r="AH40" s="753">
        <v>3</v>
      </c>
      <c r="AI40" s="753">
        <v>4</v>
      </c>
      <c r="AJ40" s="753">
        <v>5</v>
      </c>
      <c r="AK40" s="753">
        <v>6</v>
      </c>
      <c r="AL40" s="753">
        <v>7</v>
      </c>
      <c r="AM40" s="753">
        <v>7</v>
      </c>
      <c r="AN40" s="756"/>
      <c r="AO40" s="756"/>
      <c r="AP40" s="756"/>
      <c r="AQ40" s="756"/>
      <c r="AR40" s="756"/>
      <c r="AS40" s="756"/>
      <c r="AT40" s="756"/>
      <c r="AU40" s="756"/>
      <c r="AV40" s="756"/>
      <c r="AW40" s="756"/>
      <c r="AX40" s="756"/>
      <c r="AY40" s="756"/>
      <c r="AZ40" s="756"/>
      <c r="BA40" s="756"/>
      <c r="BB40" s="755"/>
    </row>
    <row r="41" spans="2:54" ht="43.2" x14ac:dyDescent="0.3">
      <c r="B41" s="498" t="s">
        <v>6804</v>
      </c>
      <c r="C41" s="724">
        <v>4248</v>
      </c>
      <c r="D41" s="511" t="str">
        <f>+_xlfn.XLOOKUP(Cantidades[[#This Row],[cod Idu]],APU_IDU[Código],APU_IDU[Nombre],"",0)</f>
        <v>DEMARCACION PASO PEATONAL-CEBRA (E=2.3MM,TERMOPLÁSTICA. INC. SUMINISTRO Y APLICACIÓN CON EQUIPO. INC MICROESFERAS)</v>
      </c>
      <c r="E41" s="497" t="str">
        <f>+_xlfn.XLOOKUP(Cantidades[[#This Row],[cod Idu]],APU_IDU[Código],APU_IDU[UM],"",0)</f>
        <v>M2</v>
      </c>
      <c r="F41" s="499">
        <f>+_xlfn.XLOOKUP(Cantidades[[#This Row],[cod Idu]],APU_IDU[Código],APU_IDU[Valor],"",0)</f>
        <v>171837</v>
      </c>
      <c r="G41" s="754">
        <f>IF($B41=G$8,ROUND(0.5*2*G$4,2),0)</f>
        <v>7.75</v>
      </c>
      <c r="H41" s="753"/>
      <c r="I41" s="754">
        <f>IF($B41=I$8,ROUND(0.5*2*I$4,2),0)</f>
        <v>6.2</v>
      </c>
      <c r="J41" s="753"/>
      <c r="K41" s="754">
        <f>IF($B41=K$8,ROUND(0.5*2*K$4,2),0)</f>
        <v>5.16</v>
      </c>
      <c r="L41" s="754">
        <f>IF($B41=L$8,ROUND(0.5*2*L$4,2),0)</f>
        <v>6.33</v>
      </c>
      <c r="M41" s="754">
        <f>IF($B41=M$8,ROUND(0.5*2*M$4,2),0)</f>
        <v>4.58</v>
      </c>
      <c r="N41" s="753"/>
      <c r="O41" s="753"/>
      <c r="P41" s="754">
        <f>IF($B41=P$8,ROUND(0.5*2*P$4,2),0)</f>
        <v>5.78</v>
      </c>
      <c r="Q41" s="753"/>
      <c r="R41" s="754">
        <f>IF($B41=R$8,ROUND(0.5*2*R$4,2),0)</f>
        <v>6.03</v>
      </c>
      <c r="S41" s="754">
        <f>IF($B41=S$8,ROUND(0.5*2*S$4,2),0)</f>
        <v>7.83</v>
      </c>
      <c r="T41" s="753"/>
      <c r="U41" s="753"/>
      <c r="V41" s="753"/>
      <c r="W41" s="754">
        <f>IF($B41=W$8,ROUND(0.5*2*W$4,2),0)</f>
        <v>6.95</v>
      </c>
      <c r="X41" s="754">
        <f>IF($B41=X$8,ROUND(0.5*2*X$4,2),0)</f>
        <v>6.71</v>
      </c>
      <c r="Y41" s="753">
        <f>+Y4*1.5</f>
        <v>8.6549999999999994</v>
      </c>
      <c r="Z41" s="753"/>
      <c r="AA41" s="753"/>
      <c r="AB41" s="753"/>
      <c r="AC41" s="754">
        <f>IF($B41=AC$8,ROUND(0.5*2*AC$4,2),0)</f>
        <v>5.39</v>
      </c>
      <c r="AD41" s="753"/>
      <c r="AE41" s="753"/>
      <c r="AF41" s="754">
        <f>IF($B41=AF$8,ROUND(0.5*2*AF$4,2),0)</f>
        <v>7.37</v>
      </c>
      <c r="AG41" s="754">
        <f>IF($B41=AG$8,ROUND(0.5*2*AG$4,2),0)</f>
        <v>3.32</v>
      </c>
      <c r="AH41" s="754">
        <f t="shared" ref="AH41:AM41" si="33">IF($B41=AH$8,ROUND(0.5*2*AH$4,2),0)</f>
        <v>8.89</v>
      </c>
      <c r="AI41" s="754">
        <f t="shared" si="33"/>
        <v>5.37</v>
      </c>
      <c r="AJ41" s="754">
        <f t="shared" si="33"/>
        <v>6.74</v>
      </c>
      <c r="AK41" s="754">
        <f t="shared" si="33"/>
        <v>8.36</v>
      </c>
      <c r="AL41" s="754">
        <f t="shared" si="33"/>
        <v>6.19</v>
      </c>
      <c r="AM41" s="754">
        <f t="shared" si="33"/>
        <v>5.18</v>
      </c>
      <c r="AN41" s="756"/>
      <c r="AO41" s="756"/>
      <c r="AP41" s="756"/>
      <c r="AQ41" s="756"/>
      <c r="AR41" s="756"/>
      <c r="AS41" s="756"/>
      <c r="AT41" s="756"/>
      <c r="AU41" s="756"/>
      <c r="AV41" s="756"/>
      <c r="AW41" s="756"/>
      <c r="AX41" s="756"/>
      <c r="AY41" s="756"/>
      <c r="AZ41" s="756"/>
      <c r="BA41" s="756"/>
      <c r="BB41" s="755"/>
    </row>
    <row r="42" spans="2:54" ht="43.2" x14ac:dyDescent="0.3">
      <c r="B42" s="498" t="s">
        <v>6804</v>
      </c>
      <c r="C42" s="724">
        <v>4242</v>
      </c>
      <c r="D42" s="511" t="str">
        <f>+_xlfn.XLOOKUP(Cantidades[[#This Row],[cod Idu]],APU_IDU[Código],APU_IDU[Nombre],"",0)</f>
        <v>DEMARCACION LINEA CONTINUA A=0.15M (E=2.3MM,TERMOPLÁSTICA. INC. SUMINISTRO Y APLICACIÓN CON EQUIPO. INCL. MICROESFERAS)</v>
      </c>
      <c r="E42" s="497" t="str">
        <f>+_xlfn.XLOOKUP(Cantidades[[#This Row],[cod Idu]],APU_IDU[Código],APU_IDU[UM],"",0)</f>
        <v>ML</v>
      </c>
      <c r="F42" s="499">
        <f>+_xlfn.XLOOKUP(Cantidades[[#This Row],[cod Idu]],APU_IDU[Código],APU_IDU[Valor],"",0)</f>
        <v>25776</v>
      </c>
      <c r="G42" s="754">
        <f>IF($B42=G$8,ROUND(2*G$5,2),0)</f>
        <v>384.36</v>
      </c>
      <c r="H42" s="754">
        <f t="shared" ref="H42:AM42" si="34">IF($B42=H$8,ROUND(2*H$5,2),0)</f>
        <v>231.9</v>
      </c>
      <c r="I42" s="754">
        <f t="shared" si="34"/>
        <v>251.94</v>
      </c>
      <c r="J42" s="754">
        <f t="shared" si="34"/>
        <v>177.44</v>
      </c>
      <c r="K42" s="754">
        <f t="shared" si="34"/>
        <v>171.48</v>
      </c>
      <c r="L42" s="754">
        <f t="shared" si="34"/>
        <v>179.24</v>
      </c>
      <c r="M42" s="754">
        <f t="shared" si="34"/>
        <v>49.18</v>
      </c>
      <c r="N42" s="754">
        <f t="shared" si="34"/>
        <v>48.3</v>
      </c>
      <c r="O42" s="754">
        <f t="shared" si="34"/>
        <v>17.28</v>
      </c>
      <c r="P42" s="754">
        <f t="shared" si="34"/>
        <v>51.36</v>
      </c>
      <c r="Q42" s="754">
        <f t="shared" si="34"/>
        <v>133.24</v>
      </c>
      <c r="R42" s="754">
        <f t="shared" si="34"/>
        <v>141.44</v>
      </c>
      <c r="S42" s="754">
        <f t="shared" si="34"/>
        <v>29.84</v>
      </c>
      <c r="T42" s="754">
        <f t="shared" si="34"/>
        <v>62.32</v>
      </c>
      <c r="U42" s="754">
        <f t="shared" si="34"/>
        <v>185.04</v>
      </c>
      <c r="V42" s="754">
        <f t="shared" si="34"/>
        <v>76.5</v>
      </c>
      <c r="W42" s="754">
        <f t="shared" si="34"/>
        <v>142.63999999999999</v>
      </c>
      <c r="X42" s="754">
        <f t="shared" si="34"/>
        <v>252.18</v>
      </c>
      <c r="Y42" s="754">
        <f t="shared" si="34"/>
        <v>26.3</v>
      </c>
      <c r="Z42" s="754">
        <f t="shared" si="34"/>
        <v>72.48</v>
      </c>
      <c r="AA42" s="754">
        <f t="shared" si="34"/>
        <v>41.88</v>
      </c>
      <c r="AB42" s="754">
        <f t="shared" si="34"/>
        <v>0</v>
      </c>
      <c r="AC42" s="754">
        <f t="shared" si="34"/>
        <v>121.44</v>
      </c>
      <c r="AD42" s="754">
        <f t="shared" si="34"/>
        <v>76.22</v>
      </c>
      <c r="AE42" s="754">
        <f t="shared" si="34"/>
        <v>52.52</v>
      </c>
      <c r="AF42" s="754">
        <f t="shared" si="34"/>
        <v>203.82</v>
      </c>
      <c r="AG42" s="754">
        <f t="shared" si="34"/>
        <v>118.46</v>
      </c>
      <c r="AH42" s="754">
        <f t="shared" si="34"/>
        <v>207.84</v>
      </c>
      <c r="AI42" s="754">
        <f t="shared" si="34"/>
        <v>110.76</v>
      </c>
      <c r="AJ42" s="754">
        <f t="shared" si="34"/>
        <v>205.86</v>
      </c>
      <c r="AK42" s="754">
        <f t="shared" si="34"/>
        <v>144.97999999999999</v>
      </c>
      <c r="AL42" s="754">
        <f t="shared" si="34"/>
        <v>303.66000000000003</v>
      </c>
      <c r="AM42" s="754">
        <f t="shared" si="34"/>
        <v>202.88</v>
      </c>
      <c r="AN42" s="756"/>
      <c r="AO42" s="756"/>
      <c r="AP42" s="756"/>
      <c r="AQ42" s="756"/>
      <c r="AR42" s="756"/>
      <c r="AS42" s="756"/>
      <c r="AT42" s="756"/>
      <c r="AU42" s="756"/>
      <c r="AV42" s="756"/>
      <c r="AW42" s="756"/>
      <c r="AX42" s="756"/>
      <c r="AY42" s="756"/>
      <c r="AZ42" s="756"/>
      <c r="BA42" s="756"/>
      <c r="BB42" s="755"/>
    </row>
    <row r="43" spans="2:54" ht="43.2" x14ac:dyDescent="0.3">
      <c r="B43" s="498" t="s">
        <v>6804</v>
      </c>
      <c r="C43" s="723">
        <v>3723</v>
      </c>
      <c r="D43" s="511" t="str">
        <f>+_xlfn.XLOOKUP(Cantidades[[#This Row],[cod Idu]],APU_IDU[Código],APU_IDU[Nombre],"",0)</f>
        <v>LIMPIEZA DE POZOS (INCLUYE CARGUE, RETIRO Y DISPOSICIÓN FINAL DE SOBRANTES)</v>
      </c>
      <c r="E43" s="497" t="str">
        <f>+_xlfn.XLOOKUP(Cantidades[[#This Row],[cod Idu]],APU_IDU[Código],APU_IDU[UM],"",0)</f>
        <v>UN</v>
      </c>
      <c r="F43" s="499">
        <f>+_xlfn.XLOOKUP(Cantidades[[#This Row],[cod Idu]],APU_IDU[Código],APU_IDU[Valor],"",0)</f>
        <v>121246</v>
      </c>
      <c r="G43" s="753"/>
      <c r="H43" s="753">
        <v>2</v>
      </c>
      <c r="I43" s="753">
        <v>2</v>
      </c>
      <c r="J43" s="753"/>
      <c r="K43" s="753"/>
      <c r="L43" s="753">
        <v>2</v>
      </c>
      <c r="M43" s="753">
        <v>2</v>
      </c>
      <c r="N43" s="753">
        <v>2</v>
      </c>
      <c r="O43" s="753">
        <v>1</v>
      </c>
      <c r="P43" s="753">
        <v>2</v>
      </c>
      <c r="Q43" s="753">
        <v>2</v>
      </c>
      <c r="R43" s="753">
        <v>2</v>
      </c>
      <c r="S43" s="753">
        <v>2</v>
      </c>
      <c r="T43" s="753">
        <v>2</v>
      </c>
      <c r="U43" s="753">
        <v>3</v>
      </c>
      <c r="V43" s="753"/>
      <c r="W43" s="753">
        <v>2</v>
      </c>
      <c r="X43" s="753">
        <v>2</v>
      </c>
      <c r="Y43" s="753">
        <v>3</v>
      </c>
      <c r="Z43" s="753">
        <v>2</v>
      </c>
      <c r="AA43" s="753"/>
      <c r="AB43" s="753">
        <v>2</v>
      </c>
      <c r="AC43" s="753">
        <v>2</v>
      </c>
      <c r="AD43" s="753"/>
      <c r="AE43" s="753">
        <v>2</v>
      </c>
      <c r="AF43" s="753">
        <v>2</v>
      </c>
      <c r="AG43" s="753">
        <v>2</v>
      </c>
      <c r="AH43" s="753">
        <v>2</v>
      </c>
      <c r="AI43" s="753">
        <v>2</v>
      </c>
      <c r="AJ43" s="753">
        <v>2</v>
      </c>
      <c r="AK43" s="753">
        <v>2</v>
      </c>
      <c r="AL43" s="753">
        <v>2</v>
      </c>
      <c r="AM43" s="753">
        <v>2</v>
      </c>
      <c r="AN43" s="756"/>
      <c r="AO43" s="756"/>
      <c r="AP43" s="756"/>
      <c r="AQ43" s="756"/>
      <c r="AR43" s="756"/>
      <c r="AS43" s="756"/>
      <c r="AT43" s="756"/>
      <c r="AU43" s="756"/>
      <c r="AV43" s="756"/>
      <c r="AW43" s="756"/>
      <c r="AX43" s="756"/>
      <c r="AY43" s="756"/>
      <c r="AZ43" s="756"/>
      <c r="BA43" s="756"/>
      <c r="BB43" s="755"/>
    </row>
    <row r="44" spans="2:54" ht="43.2" x14ac:dyDescent="0.3">
      <c r="B44" s="498" t="s">
        <v>6804</v>
      </c>
      <c r="C44" s="723">
        <v>3724</v>
      </c>
      <c r="D44" s="511" t="str">
        <f>+_xlfn.XLOOKUP(Cantidades[[#This Row],[cod Idu]],APU_IDU[Código],APU_IDU[Nombre],"",0)</f>
        <v>LIMPIEZA DE SUMIDEROS (INCLUYE CARGUE, RETIRO Y DISPOSICIÓN FINAL DE SOBRANTES)</v>
      </c>
      <c r="E44" s="497" t="str">
        <f>+_xlfn.XLOOKUP(Cantidades[[#This Row],[cod Idu]],APU_IDU[Código],APU_IDU[UM],"",0)</f>
        <v>UN</v>
      </c>
      <c r="F44" s="499">
        <f>+_xlfn.XLOOKUP(Cantidades[[#This Row],[cod Idu]],APU_IDU[Código],APU_IDU[Valor],"",0)</f>
        <v>121246</v>
      </c>
      <c r="G44" s="753"/>
      <c r="H44" s="753">
        <v>4</v>
      </c>
      <c r="I44" s="753">
        <v>2</v>
      </c>
      <c r="J44" s="753">
        <v>4</v>
      </c>
      <c r="K44" s="753">
        <v>4</v>
      </c>
      <c r="L44" s="753">
        <v>3</v>
      </c>
      <c r="M44" s="753"/>
      <c r="N44" s="753">
        <v>4</v>
      </c>
      <c r="O44" s="753">
        <v>4</v>
      </c>
      <c r="P44" s="753"/>
      <c r="Q44" s="753">
        <v>1</v>
      </c>
      <c r="R44" s="753">
        <v>3</v>
      </c>
      <c r="S44" s="753"/>
      <c r="T44" s="753">
        <v>1</v>
      </c>
      <c r="U44" s="753"/>
      <c r="V44" s="753">
        <v>1</v>
      </c>
      <c r="W44" s="753"/>
      <c r="X44" s="753">
        <v>1</v>
      </c>
      <c r="Y44" s="753">
        <v>3</v>
      </c>
      <c r="Z44" s="753"/>
      <c r="AA44" s="753">
        <v>1</v>
      </c>
      <c r="AB44" s="753"/>
      <c r="AC44" s="753">
        <v>1</v>
      </c>
      <c r="AD44" s="753"/>
      <c r="AE44" s="753">
        <v>4</v>
      </c>
      <c r="AF44" s="753">
        <v>4</v>
      </c>
      <c r="AG44" s="753">
        <v>4</v>
      </c>
      <c r="AH44" s="753">
        <v>4</v>
      </c>
      <c r="AI44" s="753">
        <v>4</v>
      </c>
      <c r="AJ44" s="753">
        <v>4</v>
      </c>
      <c r="AK44" s="753">
        <v>4</v>
      </c>
      <c r="AL44" s="753">
        <v>4</v>
      </c>
      <c r="AM44" s="753">
        <v>4</v>
      </c>
      <c r="AN44" s="756"/>
      <c r="AO44" s="756"/>
      <c r="AP44" s="756"/>
      <c r="AQ44" s="756"/>
      <c r="AR44" s="756"/>
      <c r="AS44" s="756"/>
      <c r="AT44" s="756"/>
      <c r="AU44" s="756"/>
      <c r="AV44" s="756"/>
      <c r="AW44" s="756"/>
      <c r="AX44" s="756"/>
      <c r="AY44" s="756"/>
      <c r="AZ44" s="756"/>
      <c r="BA44" s="756"/>
      <c r="BB44" s="755"/>
    </row>
    <row r="45" spans="2:54" ht="43.2" hidden="1" x14ac:dyDescent="0.3">
      <c r="B45" s="498" t="s">
        <v>6826</v>
      </c>
      <c r="C45" s="723">
        <v>3007</v>
      </c>
      <c r="D45" s="511" t="str">
        <f>+_xlfn.XLOOKUP(Cantidades[[#This Row],[cod Idu]],APU_IDU[Código],APU_IDU[Nombre],"",0)</f>
        <v>REPLANTEO GENERAL</v>
      </c>
      <c r="E45" s="497" t="str">
        <f>+_xlfn.XLOOKUP(Cantidades[[#This Row],[cod Idu]],APU_IDU[Código],APU_IDU[UM],"",0)</f>
        <v>M2</v>
      </c>
      <c r="F45" s="499">
        <f>+_xlfn.XLOOKUP(Cantidades[[#This Row],[cod Idu]],APU_IDU[Código],APU_IDU[Valor],"",0)</f>
        <v>1081</v>
      </c>
      <c r="G45" s="754">
        <f t="shared" ref="G45:AL45" si="35">IF($B$45=G$8,G$6,0)</f>
        <v>0</v>
      </c>
      <c r="H45" s="754">
        <f t="shared" si="35"/>
        <v>0</v>
      </c>
      <c r="I45" s="754">
        <f t="shared" si="35"/>
        <v>0</v>
      </c>
      <c r="J45" s="754">
        <f t="shared" si="35"/>
        <v>0</v>
      </c>
      <c r="K45" s="754">
        <f t="shared" si="35"/>
        <v>0</v>
      </c>
      <c r="L45" s="754">
        <f t="shared" si="35"/>
        <v>0</v>
      </c>
      <c r="M45" s="754">
        <f t="shared" si="35"/>
        <v>0</v>
      </c>
      <c r="N45" s="754">
        <f t="shared" si="35"/>
        <v>0</v>
      </c>
      <c r="O45" s="754">
        <f t="shared" si="35"/>
        <v>0</v>
      </c>
      <c r="P45" s="754">
        <f t="shared" si="35"/>
        <v>0</v>
      </c>
      <c r="Q45" s="754">
        <f t="shared" si="35"/>
        <v>0</v>
      </c>
      <c r="R45" s="754">
        <f t="shared" si="35"/>
        <v>0</v>
      </c>
      <c r="S45" s="754">
        <f t="shared" si="35"/>
        <v>0</v>
      </c>
      <c r="T45" s="754">
        <f t="shared" si="35"/>
        <v>0</v>
      </c>
      <c r="U45" s="754">
        <f t="shared" si="35"/>
        <v>0</v>
      </c>
      <c r="V45" s="754">
        <f t="shared" si="35"/>
        <v>0</v>
      </c>
      <c r="W45" s="754">
        <f t="shared" si="35"/>
        <v>0</v>
      </c>
      <c r="X45" s="754">
        <f t="shared" si="35"/>
        <v>0</v>
      </c>
      <c r="Y45" s="754">
        <f t="shared" si="35"/>
        <v>0</v>
      </c>
      <c r="Z45" s="754">
        <f t="shared" si="35"/>
        <v>0</v>
      </c>
      <c r="AA45" s="754">
        <f t="shared" si="35"/>
        <v>0</v>
      </c>
      <c r="AB45" s="754">
        <f t="shared" si="35"/>
        <v>523.46</v>
      </c>
      <c r="AC45" s="754">
        <f t="shared" si="35"/>
        <v>0</v>
      </c>
      <c r="AD45" s="754">
        <f t="shared" si="35"/>
        <v>0</v>
      </c>
      <c r="AE45" s="754">
        <f t="shared" si="35"/>
        <v>0</v>
      </c>
      <c r="AF45" s="754">
        <f t="shared" si="35"/>
        <v>0</v>
      </c>
      <c r="AG45" s="754">
        <f t="shared" si="35"/>
        <v>0</v>
      </c>
      <c r="AH45" s="754">
        <f t="shared" si="35"/>
        <v>0</v>
      </c>
      <c r="AI45" s="754">
        <f t="shared" si="35"/>
        <v>0</v>
      </c>
      <c r="AJ45" s="754">
        <f t="shared" si="35"/>
        <v>0</v>
      </c>
      <c r="AK45" s="754">
        <f t="shared" si="35"/>
        <v>0</v>
      </c>
      <c r="AL45" s="754">
        <f t="shared" si="35"/>
        <v>0</v>
      </c>
      <c r="AM45" s="754"/>
      <c r="AN45" s="756"/>
      <c r="AO45" s="756"/>
      <c r="AP45" s="756"/>
      <c r="AQ45" s="756"/>
      <c r="AR45" s="756"/>
      <c r="AS45" s="756"/>
      <c r="AT45" s="756"/>
      <c r="AU45" s="756"/>
      <c r="AV45" s="756"/>
      <c r="AW45" s="756"/>
      <c r="AX45" s="756"/>
      <c r="AY45" s="756"/>
      <c r="AZ45" s="756"/>
      <c r="BA45" s="756"/>
      <c r="BB45" s="755"/>
    </row>
    <row r="46" spans="2:54" ht="43.2" hidden="1" x14ac:dyDescent="0.3">
      <c r="B46" s="498" t="s">
        <v>6826</v>
      </c>
      <c r="C46" s="742">
        <v>6016</v>
      </c>
      <c r="D46" s="511" t="str">
        <f>+_xlfn.XLOOKUP(Cantidades[[#This Row],[cod Idu]],APU_IDU[Código],APU_IDU[Nombre],"",0)</f>
        <v>ESTABILIZACIÓN DE SUBRASANTE CON RAJÓN, INCLUYE EQUIPO DE COMPACTACIÓN (SUMINISTRO, EXTENDIDO, NIVELACIÓN Y COMPACTACIÓN CON EQUIPO MECÁNICO. NO INCLUYE MATERIAL DE SELLO)</v>
      </c>
      <c r="E46" s="497" t="str">
        <f>+_xlfn.XLOOKUP(Cantidades[[#This Row],[cod Idu]],APU_IDU[Código],APU_IDU[UM],"",0)</f>
        <v>M3</v>
      </c>
      <c r="F46" s="499">
        <f>+_xlfn.XLOOKUP(Cantidades[[#This Row],[cod Idu]],APU_IDU[Código],APU_IDU[Valor],"",0)</f>
        <v>148762</v>
      </c>
      <c r="G46" s="754"/>
      <c r="H46" s="754"/>
      <c r="I46" s="754"/>
      <c r="J46" s="754"/>
      <c r="K46" s="754"/>
      <c r="L46" s="754"/>
      <c r="M46" s="754"/>
      <c r="N46" s="754"/>
      <c r="O46" s="754"/>
      <c r="P46" s="754"/>
      <c r="Q46" s="754"/>
      <c r="R46" s="754"/>
      <c r="S46" s="754"/>
      <c r="T46" s="754"/>
      <c r="U46" s="754"/>
      <c r="V46" s="754"/>
      <c r="W46" s="754"/>
      <c r="X46" s="754"/>
      <c r="Y46" s="754"/>
      <c r="Z46" s="754"/>
      <c r="AA46" s="754"/>
      <c r="AB46" s="754">
        <f>IF($B$49=AB$8,ROUND(AB$6*SUM(AB$14),2),0)</f>
        <v>52.35</v>
      </c>
      <c r="AC46" s="754"/>
      <c r="AD46" s="754"/>
      <c r="AE46" s="754"/>
      <c r="AF46" s="754"/>
      <c r="AG46" s="754"/>
      <c r="AH46" s="754"/>
      <c r="AI46" s="754"/>
      <c r="AJ46" s="754"/>
      <c r="AK46" s="754"/>
      <c r="AL46" s="753"/>
      <c r="AM46" s="753"/>
      <c r="AN46" s="756"/>
      <c r="AO46" s="756"/>
      <c r="AP46" s="756"/>
      <c r="AQ46" s="756"/>
      <c r="AR46" s="756"/>
      <c r="AS46" s="756"/>
      <c r="AT46" s="756"/>
      <c r="AU46" s="756"/>
      <c r="AV46" s="756"/>
      <c r="AW46" s="756"/>
      <c r="AX46" s="756"/>
      <c r="AY46" s="756"/>
      <c r="AZ46" s="756"/>
      <c r="BA46" s="756"/>
      <c r="BB46" s="755"/>
    </row>
    <row r="47" spans="2:54" ht="43.2" hidden="1" x14ac:dyDescent="0.3">
      <c r="B47" s="498" t="s">
        <v>6826</v>
      </c>
      <c r="C47" s="724">
        <v>3811</v>
      </c>
      <c r="D47" s="511" t="str">
        <f>+_xlfn.XLOOKUP(Cantidades[[#This Row],[cod Idu]],APU_IDU[Código],APU_IDU[Nombre],"",0)</f>
        <v>CORTE DE PAVIMENTO - INCLUYE EQUIPO: CORTADORA DE CONCRETO INCLUYE OPERARIO Y COMBUSTIBLE. INCLUYE DISCO DIAMANTADO ASFALTO-CONCRETO 350 MM, AGUA Y MANO DE OBRA</v>
      </c>
      <c r="E47" s="497" t="str">
        <f>+_xlfn.XLOOKUP(Cantidades[[#This Row],[cod Idu]],APU_IDU[Código],APU_IDU[UM],"",0)</f>
        <v>ML</v>
      </c>
      <c r="F47" s="499">
        <f>+_xlfn.XLOOKUP(Cantidades[[#This Row],[cod Idu]],APU_IDU[Código],APU_IDU[Valor],"",0)</f>
        <v>3156</v>
      </c>
      <c r="G47" s="753"/>
      <c r="H47" s="753"/>
      <c r="I47" s="753"/>
      <c r="J47" s="753"/>
      <c r="K47" s="753"/>
      <c r="L47" s="753"/>
      <c r="M47" s="753"/>
      <c r="N47" s="753"/>
      <c r="O47" s="753"/>
      <c r="P47" s="753"/>
      <c r="Q47" s="753"/>
      <c r="R47" s="753"/>
      <c r="S47" s="753"/>
      <c r="T47" s="753"/>
      <c r="U47" s="753"/>
      <c r="V47" s="753"/>
      <c r="W47" s="753"/>
      <c r="X47" s="753"/>
      <c r="Y47" s="753"/>
      <c r="Z47" s="753"/>
      <c r="AA47" s="753"/>
      <c r="AB47" s="753">
        <f>ROUND(AB5/5*AB4,2)</f>
        <v>104.76</v>
      </c>
      <c r="AC47" s="753"/>
      <c r="AD47" s="753"/>
      <c r="AE47" s="753"/>
      <c r="AF47" s="753"/>
      <c r="AG47" s="753"/>
      <c r="AH47" s="753"/>
      <c r="AI47" s="753"/>
      <c r="AJ47" s="753"/>
      <c r="AK47" s="753"/>
      <c r="AL47" s="753"/>
      <c r="AM47" s="753"/>
      <c r="AN47" s="756"/>
      <c r="AO47" s="756"/>
      <c r="AP47" s="756"/>
      <c r="AQ47" s="756"/>
      <c r="AR47" s="756"/>
      <c r="AS47" s="756"/>
      <c r="AT47" s="756"/>
      <c r="AU47" s="756"/>
      <c r="AV47" s="756"/>
      <c r="AW47" s="756"/>
      <c r="AX47" s="756"/>
      <c r="AY47" s="756"/>
      <c r="AZ47" s="756"/>
      <c r="BA47" s="756"/>
      <c r="BB47" s="755"/>
    </row>
    <row r="48" spans="2:54" ht="43.2" hidden="1" x14ac:dyDescent="0.3">
      <c r="B48" s="498" t="s">
        <v>6826</v>
      </c>
      <c r="C48" s="724">
        <v>3486</v>
      </c>
      <c r="D48" s="511" t="str">
        <f>+_xlfn.XLOOKUP(Cantidades[[#This Row],[cod Idu]],APU_IDU[Código],APU_IDU[Nombre],"",0)</f>
        <v>DEMOLICIÓN CONCRETO ESTRUCTURAL (INCLUYE CARGUE MANUAL). NO INCLUYE TRANSPORTE Y DISPOSICIÓN FINAL DE SOBRANTES.</v>
      </c>
      <c r="E48" s="497" t="str">
        <f>+_xlfn.XLOOKUP(Cantidades[[#This Row],[cod Idu]],APU_IDU[Código],APU_IDU[UM],"",0)</f>
        <v>M3</v>
      </c>
      <c r="F48" s="499">
        <f>+_xlfn.XLOOKUP(Cantidades[[#This Row],[cod Idu]],APU_IDU[Código],APU_IDU[Valor],"",0)</f>
        <v>197648</v>
      </c>
      <c r="G48" s="753"/>
      <c r="H48" s="753"/>
      <c r="I48" s="753"/>
      <c r="J48" s="753"/>
      <c r="K48" s="753"/>
      <c r="L48" s="753"/>
      <c r="M48" s="753"/>
      <c r="N48" s="753"/>
      <c r="O48" s="753"/>
      <c r="P48" s="753"/>
      <c r="Q48" s="753"/>
      <c r="R48" s="753"/>
      <c r="S48" s="753"/>
      <c r="T48" s="753"/>
      <c r="U48" s="753"/>
      <c r="V48" s="753"/>
      <c r="W48" s="753"/>
      <c r="X48" s="753"/>
      <c r="Y48" s="753"/>
      <c r="Z48" s="753"/>
      <c r="AA48" s="753"/>
      <c r="AB48" s="753">
        <f>ROUND(AB45*0.2,2)</f>
        <v>104.69</v>
      </c>
      <c r="AC48" s="753"/>
      <c r="AD48" s="753"/>
      <c r="AE48" s="753"/>
      <c r="AF48" s="753"/>
      <c r="AG48" s="753"/>
      <c r="AH48" s="753"/>
      <c r="AI48" s="753"/>
      <c r="AJ48" s="753"/>
      <c r="AK48" s="753"/>
      <c r="AL48" s="753"/>
      <c r="AM48" s="753"/>
      <c r="AN48" s="756"/>
      <c r="AO48" s="756"/>
      <c r="AP48" s="756"/>
      <c r="AQ48" s="756"/>
      <c r="AR48" s="756"/>
      <c r="AS48" s="756"/>
      <c r="AT48" s="756"/>
      <c r="AU48" s="756"/>
      <c r="AV48" s="756"/>
      <c r="AW48" s="756"/>
      <c r="AX48" s="756"/>
      <c r="AY48" s="756"/>
      <c r="AZ48" s="756"/>
      <c r="BA48" s="756"/>
      <c r="BB48" s="755"/>
    </row>
    <row r="49" spans="2:54" ht="43.2" hidden="1" x14ac:dyDescent="0.3">
      <c r="B49" s="498" t="s">
        <v>6826</v>
      </c>
      <c r="C49" s="724">
        <v>3710</v>
      </c>
      <c r="D49" s="511" t="str">
        <f>+_xlfn.XLOOKUP(Cantidades[[#This Row],[cod Idu]],APU_IDU[Código],APU_IDU[Nombre],"",0)</f>
        <v>EXCAVACIÓN MECÁNICA EN MATERIAL COMÚN (INCLUYE CARGUE)</v>
      </c>
      <c r="E49" s="497" t="str">
        <f>+_xlfn.XLOOKUP(Cantidades[[#This Row],[cod Idu]],APU_IDU[Código],APU_IDU[UM],"",0)</f>
        <v>M3</v>
      </c>
      <c r="F49" s="499">
        <f>+_xlfn.XLOOKUP(Cantidades[[#This Row],[cod Idu]],APU_IDU[Código],APU_IDU[Valor],"",0)</f>
        <v>5998</v>
      </c>
      <c r="G49" s="753"/>
      <c r="H49" s="753"/>
      <c r="I49" s="753"/>
      <c r="J49" s="753"/>
      <c r="K49" s="753"/>
      <c r="L49" s="753"/>
      <c r="M49" s="753"/>
      <c r="N49" s="753"/>
      <c r="O49" s="753"/>
      <c r="P49" s="753"/>
      <c r="Q49" s="753"/>
      <c r="R49" s="753"/>
      <c r="S49" s="753"/>
      <c r="T49" s="753"/>
      <c r="U49" s="753"/>
      <c r="V49" s="753"/>
      <c r="W49" s="753"/>
      <c r="X49" s="753"/>
      <c r="Y49" s="753"/>
      <c r="Z49" s="753"/>
      <c r="AA49" s="753"/>
      <c r="AB49" s="753">
        <f>IF($B$49=AB$8,ROUND(AB$6*SUM(AB$12:AB$14),2),0)</f>
        <v>340.25</v>
      </c>
      <c r="AC49" s="753"/>
      <c r="AD49" s="753"/>
      <c r="AE49" s="753"/>
      <c r="AF49" s="753"/>
      <c r="AG49" s="753"/>
      <c r="AH49" s="753"/>
      <c r="AI49" s="753"/>
      <c r="AJ49" s="753"/>
      <c r="AK49" s="753"/>
      <c r="AL49" s="753"/>
      <c r="AM49" s="753"/>
      <c r="AN49" s="756"/>
      <c r="AO49" s="756"/>
      <c r="AP49" s="756"/>
      <c r="AQ49" s="756"/>
      <c r="AR49" s="756"/>
      <c r="AS49" s="756"/>
      <c r="AT49" s="756"/>
      <c r="AU49" s="756"/>
      <c r="AV49" s="756"/>
      <c r="AW49" s="756"/>
      <c r="AX49" s="756"/>
      <c r="AY49" s="756"/>
      <c r="AZ49" s="756"/>
      <c r="BA49" s="756"/>
      <c r="BB49" s="755"/>
    </row>
    <row r="50" spans="2:54" ht="43.2" hidden="1" x14ac:dyDescent="0.3">
      <c r="B50" s="498" t="s">
        <v>6826</v>
      </c>
      <c r="C50" s="724">
        <v>3017</v>
      </c>
      <c r="D50" s="511" t="str">
        <f>+_xlfn.XLOOKUP(Cantidades[[#This Row],[cod Idu]],APU_IDU[Código],APU_IDU[Nombre],"",0)</f>
        <v>TRANSPORTE Y DISPOSICIÓN FINAL DE ESCOMBROS EN SITIO AUTORIZADO (DISTANCIA DE TRANSPORTE 21 KM). A DISTANCIA MAYOR DEL ACARREO LIBRE (90 M) EN SITIO AUTORIZADO POR LA ENTIDAD AMBIENTAL COMPETENTE.</v>
      </c>
      <c r="E50" s="497" t="str">
        <f>+_xlfn.XLOOKUP(Cantidades[[#This Row],[cod Idu]],APU_IDU[Código],APU_IDU[UM],"",0)</f>
        <v>M3</v>
      </c>
      <c r="F50" s="499">
        <f>+_xlfn.XLOOKUP(Cantidades[[#This Row],[cod Idu]],APU_IDU[Código],APU_IDU[Valor],"",0)</f>
        <v>45734</v>
      </c>
      <c r="G50" s="753"/>
      <c r="H50" s="753"/>
      <c r="I50" s="753"/>
      <c r="J50" s="753"/>
      <c r="K50" s="753"/>
      <c r="L50" s="753"/>
      <c r="M50" s="753"/>
      <c r="N50" s="753"/>
      <c r="O50" s="753"/>
      <c r="P50" s="753"/>
      <c r="Q50" s="753"/>
      <c r="R50" s="753"/>
      <c r="S50" s="753"/>
      <c r="T50" s="753"/>
      <c r="U50" s="753"/>
      <c r="V50" s="753"/>
      <c r="W50" s="753"/>
      <c r="X50" s="753"/>
      <c r="Y50" s="753"/>
      <c r="Z50" s="753"/>
      <c r="AA50" s="753"/>
      <c r="AB50" s="753">
        <f>IF($B$50=AB$8,ROUND((AB49*1.2)+AB48,2),0)</f>
        <v>512.99</v>
      </c>
      <c r="AC50" s="753"/>
      <c r="AD50" s="753"/>
      <c r="AE50" s="753"/>
      <c r="AF50" s="753"/>
      <c r="AG50" s="753"/>
      <c r="AH50" s="753"/>
      <c r="AI50" s="753"/>
      <c r="AJ50" s="753"/>
      <c r="AK50" s="753"/>
      <c r="AL50" s="753"/>
      <c r="AM50" s="753"/>
      <c r="AN50" s="756"/>
      <c r="AO50" s="756"/>
      <c r="AP50" s="756"/>
      <c r="AQ50" s="756"/>
      <c r="AR50" s="756"/>
      <c r="AS50" s="756"/>
      <c r="AT50" s="756"/>
      <c r="AU50" s="756"/>
      <c r="AV50" s="756"/>
      <c r="AW50" s="756"/>
      <c r="AX50" s="756"/>
      <c r="AY50" s="756"/>
      <c r="AZ50" s="756"/>
      <c r="BA50" s="756"/>
      <c r="BB50" s="755"/>
    </row>
    <row r="51" spans="2:54" ht="43.2" hidden="1" x14ac:dyDescent="0.3">
      <c r="B51" s="498" t="s">
        <v>6826</v>
      </c>
      <c r="C51" s="724">
        <v>4015</v>
      </c>
      <c r="D51" s="511" t="str">
        <f>+_xlfn.XLOOKUP(Cantidades[[#This Row],[cod Idu]],APU_IDU[Código],APU_IDU[Nombre],"",0)</f>
        <v>GEOTEXTIL NO TEJIDO CON RESISTENCIA A LA TENSION GRAB: ENTRE 850 N Y 980 N. PARA SEPARACION SUBRASANTE/CAPAS GRANULARES. (INCLUYE SUMINISTRO E INSTALACION).</v>
      </c>
      <c r="E51" s="497" t="str">
        <f>+_xlfn.XLOOKUP(Cantidades[[#This Row],[cod Idu]],APU_IDU[Código],APU_IDU[UM],"",0)</f>
        <v>M2</v>
      </c>
      <c r="F51" s="499">
        <f>+_xlfn.XLOOKUP(Cantidades[[#This Row],[cod Idu]],APU_IDU[Código],APU_IDU[Valor],"",0)</f>
        <v>22923</v>
      </c>
      <c r="G51" s="753"/>
      <c r="H51" s="753"/>
      <c r="I51" s="753"/>
      <c r="J51" s="753"/>
      <c r="K51" s="753"/>
      <c r="L51" s="753"/>
      <c r="M51" s="753"/>
      <c r="N51" s="753"/>
      <c r="O51" s="753"/>
      <c r="P51" s="753"/>
      <c r="Q51" s="753"/>
      <c r="R51" s="753"/>
      <c r="S51" s="753"/>
      <c r="T51" s="753"/>
      <c r="U51" s="753"/>
      <c r="V51" s="753"/>
      <c r="W51" s="753"/>
      <c r="X51" s="753"/>
      <c r="Y51" s="753"/>
      <c r="Z51" s="753"/>
      <c r="AA51" s="753"/>
      <c r="AB51" s="753">
        <f>+AB45</f>
        <v>523.46</v>
      </c>
      <c r="AC51" s="753"/>
      <c r="AD51" s="753"/>
      <c r="AE51" s="753"/>
      <c r="AF51" s="753"/>
      <c r="AG51" s="753"/>
      <c r="AH51" s="753"/>
      <c r="AI51" s="753"/>
      <c r="AJ51" s="753"/>
      <c r="AK51" s="753"/>
      <c r="AL51" s="753"/>
      <c r="AM51" s="753"/>
      <c r="AN51" s="756"/>
      <c r="AO51" s="756"/>
      <c r="AP51" s="756"/>
      <c r="AQ51" s="756"/>
      <c r="AR51" s="756"/>
      <c r="AS51" s="756"/>
      <c r="AT51" s="756"/>
      <c r="AU51" s="756"/>
      <c r="AV51" s="756"/>
      <c r="AW51" s="756"/>
      <c r="AX51" s="756"/>
      <c r="AY51" s="756"/>
      <c r="AZ51" s="756"/>
      <c r="BA51" s="756"/>
      <c r="BB51" s="755"/>
    </row>
    <row r="52" spans="2:54" ht="43.2" hidden="1" x14ac:dyDescent="0.3">
      <c r="B52" s="498" t="s">
        <v>6826</v>
      </c>
      <c r="C52" s="724">
        <v>4161</v>
      </c>
      <c r="D52" s="511" t="str">
        <f>+_xlfn.XLOOKUP(Cantidades[[#This Row],[cod Idu]],APU_IDU[Código],APU_IDU[Nombre],"",0)</f>
        <v>SUBBASE GRANULAR CLASE A (SBG_A) (SUMINISTRO, EXTENDIDO, NIVELACIÓN, HUMEDECIMIENTO Y COMPACTACIÓN CON VIBROCOMPACTADOR)</v>
      </c>
      <c r="E52" s="497" t="str">
        <f>+_xlfn.XLOOKUP(Cantidades[[#This Row],[cod Idu]],APU_IDU[Código],APU_IDU[UM],"",0)</f>
        <v>M3</v>
      </c>
      <c r="F52" s="499">
        <f>+_xlfn.XLOOKUP(Cantidades[[#This Row],[cod Idu]],APU_IDU[Código],APU_IDU[Valor],"",0)</f>
        <v>208914</v>
      </c>
      <c r="G52" s="753"/>
      <c r="H52" s="753"/>
      <c r="I52" s="753"/>
      <c r="J52" s="753"/>
      <c r="K52" s="753"/>
      <c r="L52" s="753"/>
      <c r="M52" s="753"/>
      <c r="N52" s="753"/>
      <c r="O52" s="753"/>
      <c r="P52" s="753"/>
      <c r="Q52" s="753"/>
      <c r="R52" s="753"/>
      <c r="S52" s="753"/>
      <c r="T52" s="753"/>
      <c r="U52" s="753"/>
      <c r="V52" s="753"/>
      <c r="W52" s="753"/>
      <c r="X52" s="753"/>
      <c r="Y52" s="753"/>
      <c r="Z52" s="753"/>
      <c r="AA52" s="753"/>
      <c r="AB52" s="753">
        <f>+AB6+AB13</f>
        <v>523.76</v>
      </c>
      <c r="AC52" s="753"/>
      <c r="AD52" s="753"/>
      <c r="AE52" s="753"/>
      <c r="AF52" s="753"/>
      <c r="AG52" s="753"/>
      <c r="AH52" s="753"/>
      <c r="AI52" s="753"/>
      <c r="AJ52" s="753"/>
      <c r="AK52" s="753"/>
      <c r="AL52" s="753"/>
      <c r="AM52" s="753"/>
      <c r="AN52" s="756"/>
      <c r="AO52" s="756"/>
      <c r="AP52" s="756"/>
      <c r="AQ52" s="756"/>
      <c r="AR52" s="756"/>
      <c r="AS52" s="756"/>
      <c r="AT52" s="756"/>
      <c r="AU52" s="756"/>
      <c r="AV52" s="756"/>
      <c r="AW52" s="756"/>
      <c r="AX52" s="756"/>
      <c r="AY52" s="756"/>
      <c r="AZ52" s="756"/>
      <c r="BA52" s="756"/>
      <c r="BB52" s="755"/>
    </row>
    <row r="53" spans="2:54" ht="43.2" hidden="1" x14ac:dyDescent="0.3">
      <c r="B53" s="498" t="s">
        <v>6826</v>
      </c>
      <c r="C53" s="724">
        <v>4158</v>
      </c>
      <c r="D53" s="511" t="str">
        <f>+_xlfn.XLOOKUP(Cantidades[[#This Row],[cod Idu]],APU_IDU[Código],APU_IDU[Nombre],"",0)</f>
        <v>BASE GRANULAR CLASE A (BG_A) (SUMINISTRO, EXTENDIDO, NIVELACIÓN, HUMEDECIMIENTO Y COMPACTACIÓN CON VIBROCOMPACTADOR)</v>
      </c>
      <c r="E53" s="497" t="str">
        <f>+_xlfn.XLOOKUP(Cantidades[[#This Row],[cod Idu]],APU_IDU[Código],APU_IDU[UM],"",0)</f>
        <v>M3</v>
      </c>
      <c r="F53" s="499">
        <f>+_xlfn.XLOOKUP(Cantidades[[#This Row],[cod Idu]],APU_IDU[Código],APU_IDU[Valor],"",0)</f>
        <v>244495</v>
      </c>
      <c r="G53" s="753"/>
      <c r="H53" s="753"/>
      <c r="I53" s="753"/>
      <c r="J53" s="753"/>
      <c r="K53" s="753"/>
      <c r="L53" s="753"/>
      <c r="M53" s="753"/>
      <c r="N53" s="753"/>
      <c r="O53" s="753"/>
      <c r="P53" s="753"/>
      <c r="Q53" s="753"/>
      <c r="R53" s="753"/>
      <c r="S53" s="753"/>
      <c r="T53" s="753"/>
      <c r="U53" s="753"/>
      <c r="V53" s="753"/>
      <c r="W53" s="753"/>
      <c r="X53" s="753"/>
      <c r="Y53" s="753"/>
      <c r="Z53" s="753"/>
      <c r="AA53" s="753"/>
      <c r="AB53" s="753">
        <f>+AB6+AB12</f>
        <v>523.71</v>
      </c>
      <c r="AC53" s="753"/>
      <c r="AD53" s="753"/>
      <c r="AE53" s="753"/>
      <c r="AF53" s="753"/>
      <c r="AG53" s="753"/>
      <c r="AH53" s="753"/>
      <c r="AI53" s="753"/>
      <c r="AJ53" s="753"/>
      <c r="AK53" s="753"/>
      <c r="AL53" s="753"/>
      <c r="AM53" s="753"/>
      <c r="AN53" s="756"/>
      <c r="AO53" s="756"/>
      <c r="AP53" s="756"/>
      <c r="AQ53" s="756"/>
      <c r="AR53" s="756"/>
      <c r="AS53" s="756"/>
      <c r="AT53" s="756"/>
      <c r="AU53" s="756"/>
      <c r="AV53" s="756"/>
      <c r="AW53" s="756"/>
      <c r="AX53" s="756"/>
      <c r="AY53" s="756"/>
      <c r="AZ53" s="756"/>
      <c r="BA53" s="756"/>
      <c r="BB53" s="755"/>
    </row>
    <row r="54" spans="2:54" ht="43.2" hidden="1" x14ac:dyDescent="0.3">
      <c r="B54" s="498" t="s">
        <v>6826</v>
      </c>
      <c r="C54" s="724">
        <v>4667</v>
      </c>
      <c r="D54" s="511" t="str">
        <f>+_xlfn.XLOOKUP(Cantidades[[#This Row],[cod Idu]],APU_IDU[Código],APU_IDU[Nombre],"",0)</f>
        <v>CONSTRUCCIÓN DE PAVIMENTO RÍGIDO: LOSAS EN CONCRETO HIDRÁULICO MR45 E=0.20M (NO INCLUYE SARDINEL)</v>
      </c>
      <c r="E54" s="497" t="str">
        <f>+_xlfn.XLOOKUP(Cantidades[[#This Row],[cod Idu]],APU_IDU[Código],APU_IDU[UM],"",0)</f>
        <v>M2</v>
      </c>
      <c r="F54" s="499">
        <f>+_xlfn.XLOOKUP(Cantidades[[#This Row],[cod Idu]],APU_IDU[Código],APU_IDU[Valor],"",0)</f>
        <v>434307</v>
      </c>
      <c r="G54" s="753"/>
      <c r="H54" s="753"/>
      <c r="I54" s="753"/>
      <c r="J54" s="753"/>
      <c r="K54" s="753"/>
      <c r="L54" s="753"/>
      <c r="M54" s="753"/>
      <c r="N54" s="753"/>
      <c r="O54" s="753"/>
      <c r="P54" s="753"/>
      <c r="Q54" s="753"/>
      <c r="R54" s="753"/>
      <c r="S54" s="753"/>
      <c r="T54" s="753"/>
      <c r="U54" s="753"/>
      <c r="V54" s="753"/>
      <c r="W54" s="753"/>
      <c r="X54" s="753"/>
      <c r="Y54" s="753"/>
      <c r="Z54" s="753"/>
      <c r="AA54" s="753"/>
      <c r="AB54" s="753">
        <f>+AB45</f>
        <v>523.46</v>
      </c>
      <c r="AC54" s="753"/>
      <c r="AD54" s="753"/>
      <c r="AE54" s="753"/>
      <c r="AF54" s="753"/>
      <c r="AG54" s="753"/>
      <c r="AH54" s="753"/>
      <c r="AI54" s="753"/>
      <c r="AJ54" s="753"/>
      <c r="AK54" s="753"/>
      <c r="AL54" s="753"/>
      <c r="AM54" s="753"/>
      <c r="AN54" s="756"/>
      <c r="AO54" s="756"/>
      <c r="AP54" s="756"/>
      <c r="AQ54" s="756"/>
      <c r="AR54" s="756"/>
      <c r="AS54" s="756"/>
      <c r="AT54" s="756"/>
      <c r="AU54" s="756"/>
      <c r="AV54" s="756"/>
      <c r="AW54" s="756"/>
      <c r="AX54" s="756"/>
      <c r="AY54" s="756"/>
      <c r="AZ54" s="756"/>
      <c r="BA54" s="756"/>
      <c r="BB54" s="755"/>
    </row>
    <row r="55" spans="2:54" ht="72" hidden="1" x14ac:dyDescent="0.3">
      <c r="B55" s="498" t="s">
        <v>6826</v>
      </c>
      <c r="C55" s="724">
        <v>3708</v>
      </c>
      <c r="D55" s="511" t="str">
        <f>+_xlfn.XLOOKUP(Cantidades[[#This Row],[cod Idu]],APU_IDU[Código],APU_IDU[Nombre],"",0)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55" s="497" t="str">
        <f>+_xlfn.XLOOKUP(Cantidades[[#This Row],[cod Idu]],APU_IDU[Código],APU_IDU[UM],"",0)</f>
        <v>KG</v>
      </c>
      <c r="F55" s="499">
        <f>+_xlfn.XLOOKUP(Cantidades[[#This Row],[cod Idu]],APU_IDU[Código],APU_IDU[Valor],"",0)</f>
        <v>5794</v>
      </c>
      <c r="G55" s="753"/>
      <c r="H55" s="753"/>
      <c r="I55" s="753"/>
      <c r="J55" s="753"/>
      <c r="K55" s="753"/>
      <c r="L55" s="753"/>
      <c r="M55" s="753"/>
      <c r="N55" s="753"/>
      <c r="O55" s="753"/>
      <c r="P55" s="753"/>
      <c r="Q55" s="753"/>
      <c r="R55" s="753"/>
      <c r="S55" s="753"/>
      <c r="T55" s="753"/>
      <c r="U55" s="753"/>
      <c r="V55" s="753"/>
      <c r="W55" s="753"/>
      <c r="X55" s="753"/>
      <c r="Y55" s="753"/>
      <c r="Z55" s="753"/>
      <c r="AA55" s="753"/>
      <c r="AB55" s="753">
        <f>+AB6*4</f>
        <v>2093.84</v>
      </c>
      <c r="AC55" s="753"/>
      <c r="AD55" s="753"/>
      <c r="AE55" s="753"/>
      <c r="AF55" s="753"/>
      <c r="AG55" s="753"/>
      <c r="AH55" s="753"/>
      <c r="AI55" s="753"/>
      <c r="AJ55" s="753"/>
      <c r="AK55" s="753"/>
      <c r="AL55" s="753"/>
      <c r="AM55" s="753"/>
      <c r="AN55" s="756"/>
      <c r="AO55" s="756"/>
      <c r="AP55" s="756"/>
      <c r="AQ55" s="756"/>
      <c r="AR55" s="756"/>
      <c r="AS55" s="756"/>
      <c r="AT55" s="756"/>
      <c r="AU55" s="756"/>
      <c r="AV55" s="756"/>
      <c r="AW55" s="756"/>
      <c r="AX55" s="756"/>
      <c r="AY55" s="756"/>
      <c r="AZ55" s="756"/>
      <c r="BA55" s="756"/>
      <c r="BB55" s="755"/>
    </row>
    <row r="56" spans="2:54" ht="43.2" hidden="1" x14ac:dyDescent="0.3">
      <c r="B56" s="498" t="s">
        <v>6826</v>
      </c>
      <c r="C56" s="724">
        <v>5404</v>
      </c>
      <c r="D56" s="511" t="str">
        <f>+_xlfn.XLOOKUP(Cantidades[[#This Row],[cod Idu]],APU_IDU[Código],APU_IDU[Nombre],"",0)</f>
        <v>CANASTILLA PASAJUNTAS (INCLUYE SUMINISTRO Y FIJACIÓN)</v>
      </c>
      <c r="E56" s="497" t="str">
        <f>+_xlfn.XLOOKUP(Cantidades[[#This Row],[cod Idu]],APU_IDU[Código],APU_IDU[UM],"",0)</f>
        <v>KG</v>
      </c>
      <c r="F56" s="499">
        <f>+_xlfn.XLOOKUP(Cantidades[[#This Row],[cod Idu]],APU_IDU[Código],APU_IDU[Valor],"",0)</f>
        <v>10706</v>
      </c>
      <c r="G56" s="753"/>
      <c r="H56" s="753"/>
      <c r="I56" s="753"/>
      <c r="J56" s="753"/>
      <c r="K56" s="753"/>
      <c r="L56" s="753"/>
      <c r="M56" s="753"/>
      <c r="N56" s="753"/>
      <c r="O56" s="753"/>
      <c r="P56" s="753"/>
      <c r="Q56" s="753"/>
      <c r="R56" s="753"/>
      <c r="S56" s="753"/>
      <c r="T56" s="753"/>
      <c r="U56" s="753"/>
      <c r="V56" s="753"/>
      <c r="W56" s="753"/>
      <c r="X56" s="753"/>
      <c r="Y56" s="753"/>
      <c r="Z56" s="753"/>
      <c r="AA56" s="753"/>
      <c r="AB56" s="753">
        <v>30</v>
      </c>
      <c r="AC56" s="753"/>
      <c r="AD56" s="753"/>
      <c r="AE56" s="753"/>
      <c r="AF56" s="753"/>
      <c r="AG56" s="753"/>
      <c r="AH56" s="753"/>
      <c r="AI56" s="753"/>
      <c r="AJ56" s="753"/>
      <c r="AK56" s="753"/>
      <c r="AL56" s="753"/>
      <c r="AM56" s="753"/>
      <c r="AN56" s="756"/>
      <c r="AO56" s="756"/>
      <c r="AP56" s="756"/>
      <c r="AQ56" s="756"/>
      <c r="AR56" s="756"/>
      <c r="AS56" s="756"/>
      <c r="AT56" s="756"/>
      <c r="AU56" s="756"/>
      <c r="AV56" s="756"/>
      <c r="AW56" s="756"/>
      <c r="AX56" s="756"/>
      <c r="AY56" s="756"/>
      <c r="AZ56" s="756"/>
      <c r="BA56" s="756"/>
      <c r="BB56" s="755"/>
    </row>
    <row r="57" spans="2:54" ht="43.2" hidden="1" x14ac:dyDescent="0.3">
      <c r="B57" s="498" t="s">
        <v>6826</v>
      </c>
      <c r="C57" s="724">
        <v>7714</v>
      </c>
      <c r="D57" s="511" t="str">
        <f>+_xlfn.XLOOKUP(Cantidades[[#This Row],[cod Idu]],APU_IDU[Código],APU_IDU[Nombre],"",0)</f>
        <v>(DOVELAS) ACERO LISO PARA TRANSFERENCIA DE LOSAS D= 1" (NO INCLUYE CANASTILLA). SUMINISTRO E INSTALACIÓN.</v>
      </c>
      <c r="E57" s="497" t="str">
        <f>+_xlfn.XLOOKUP(Cantidades[[#This Row],[cod Idu]],APU_IDU[Código],APU_IDU[UM],"",0)</f>
        <v>KG</v>
      </c>
      <c r="F57" s="499">
        <f>+_xlfn.XLOOKUP(Cantidades[[#This Row],[cod Idu]],APU_IDU[Código],APU_IDU[Valor],"",0)</f>
        <v>8071</v>
      </c>
      <c r="G57" s="753"/>
      <c r="H57" s="753"/>
      <c r="I57" s="753"/>
      <c r="J57" s="753"/>
      <c r="K57" s="753"/>
      <c r="L57" s="753"/>
      <c r="M57" s="753"/>
      <c r="N57" s="753"/>
      <c r="O57" s="753"/>
      <c r="P57" s="753"/>
      <c r="Q57" s="753"/>
      <c r="R57" s="753"/>
      <c r="S57" s="753"/>
      <c r="T57" s="753"/>
      <c r="U57" s="753"/>
      <c r="V57" s="753"/>
      <c r="W57" s="753"/>
      <c r="X57" s="753"/>
      <c r="Y57" s="753"/>
      <c r="Z57" s="753"/>
      <c r="AA57" s="753"/>
      <c r="AB57" s="753">
        <v>70</v>
      </c>
      <c r="AC57" s="753"/>
      <c r="AD57" s="753"/>
      <c r="AE57" s="753"/>
      <c r="AF57" s="753"/>
      <c r="AG57" s="753"/>
      <c r="AH57" s="753"/>
      <c r="AI57" s="753"/>
      <c r="AJ57" s="753"/>
      <c r="AK57" s="753"/>
      <c r="AL57" s="757"/>
      <c r="AM57" s="753"/>
      <c r="AN57" s="756"/>
      <c r="AO57" s="756"/>
      <c r="AP57" s="756"/>
      <c r="AQ57" s="756"/>
      <c r="AR57" s="756"/>
      <c r="AS57" s="756"/>
      <c r="AT57" s="756"/>
      <c r="AU57" s="756"/>
      <c r="AV57" s="756"/>
      <c r="AW57" s="756"/>
      <c r="AX57" s="756"/>
      <c r="AY57" s="756"/>
      <c r="AZ57" s="756"/>
      <c r="BA57" s="756"/>
      <c r="BB57" s="755"/>
    </row>
    <row r="58" spans="2:54" ht="43.2" hidden="1" x14ac:dyDescent="0.3">
      <c r="B58" s="498" t="s">
        <v>6826</v>
      </c>
      <c r="C58" s="724">
        <v>3806</v>
      </c>
      <c r="D58" s="511" t="str">
        <f>+_xlfn.XLOOKUP(Cantidades[[#This Row],[cod Idu]],APU_IDU[Código],APU_IDU[Nombre],"",0)</f>
        <v>CURADO DE LOSAS DE CONCRETO (SUMINISTRO Y APLICACIÓN)</v>
      </c>
      <c r="E58" s="497" t="str">
        <f>+_xlfn.XLOOKUP(Cantidades[[#This Row],[cod Idu]],APU_IDU[Código],APU_IDU[UM],"",0)</f>
        <v>M2</v>
      </c>
      <c r="F58" s="499">
        <f>+_xlfn.XLOOKUP(Cantidades[[#This Row],[cod Idu]],APU_IDU[Código],APU_IDU[Valor],"",0)</f>
        <v>3405</v>
      </c>
      <c r="G58" s="753"/>
      <c r="H58" s="753"/>
      <c r="I58" s="753"/>
      <c r="J58" s="753"/>
      <c r="K58" s="753"/>
      <c r="L58" s="753"/>
      <c r="M58" s="753"/>
      <c r="N58" s="753"/>
      <c r="O58" s="753"/>
      <c r="P58" s="753"/>
      <c r="Q58" s="753"/>
      <c r="R58" s="753"/>
      <c r="S58" s="753"/>
      <c r="T58" s="753"/>
      <c r="U58" s="753"/>
      <c r="V58" s="753"/>
      <c r="W58" s="753"/>
      <c r="X58" s="753"/>
      <c r="Y58" s="753"/>
      <c r="Z58" s="753"/>
      <c r="AA58" s="753"/>
      <c r="AB58" s="753">
        <f>+AB45</f>
        <v>523.46</v>
      </c>
      <c r="AC58" s="753"/>
      <c r="AD58" s="753"/>
      <c r="AE58" s="753"/>
      <c r="AF58" s="753"/>
      <c r="AG58" s="753"/>
      <c r="AH58" s="753"/>
      <c r="AI58" s="753"/>
      <c r="AJ58" s="753"/>
      <c r="AK58" s="753"/>
      <c r="AL58" s="757"/>
      <c r="AM58" s="753"/>
      <c r="AN58" s="756"/>
      <c r="AO58" s="756"/>
      <c r="AP58" s="756"/>
      <c r="AQ58" s="756"/>
      <c r="AR58" s="756"/>
      <c r="AS58" s="756"/>
      <c r="AT58" s="756"/>
      <c r="AU58" s="756"/>
      <c r="AV58" s="756"/>
      <c r="AW58" s="756"/>
      <c r="AX58" s="756"/>
      <c r="AY58" s="756"/>
      <c r="AZ58" s="756"/>
      <c r="BA58" s="756"/>
      <c r="BB58" s="755"/>
    </row>
    <row r="59" spans="2:54" ht="43.2" hidden="1" x14ac:dyDescent="0.3">
      <c r="B59" s="498" t="s">
        <v>6826</v>
      </c>
      <c r="C59" s="724">
        <v>3837</v>
      </c>
      <c r="D59" s="511" t="str">
        <f>+_xlfn.XLOOKUP(Cantidades[[#This Row],[cod Idu]],APU_IDU[Código],APU_IDU[Nombre],"",0)</f>
        <v>SELLADO DE JUNTAS EN PAVIMENTO DE CONCRETO HIDRAULICO (INCLUYE LIMPIEZA, SUMINISTRO E INSTALACIÓN DE FONDO Y SELLANTE)</v>
      </c>
      <c r="E59" s="497" t="str">
        <f>+_xlfn.XLOOKUP(Cantidades[[#This Row],[cod Idu]],APU_IDU[Código],APU_IDU[UM],"",0)</f>
        <v>ML</v>
      </c>
      <c r="F59" s="499">
        <f>+_xlfn.XLOOKUP(Cantidades[[#This Row],[cod Idu]],APU_IDU[Código],APU_IDU[Valor],"",0)</f>
        <v>15321</v>
      </c>
      <c r="G59" s="753"/>
      <c r="H59" s="753"/>
      <c r="I59" s="753"/>
      <c r="J59" s="753"/>
      <c r="K59" s="753"/>
      <c r="L59" s="753"/>
      <c r="M59" s="753"/>
      <c r="N59" s="753"/>
      <c r="O59" s="753"/>
      <c r="P59" s="753"/>
      <c r="Q59" s="753"/>
      <c r="R59" s="753"/>
      <c r="S59" s="753"/>
      <c r="T59" s="753"/>
      <c r="U59" s="753"/>
      <c r="V59" s="753"/>
      <c r="W59" s="753"/>
      <c r="X59" s="753"/>
      <c r="Y59" s="753"/>
      <c r="Z59" s="753"/>
      <c r="AA59" s="753"/>
      <c r="AB59" s="753">
        <f>+AB47</f>
        <v>104.76</v>
      </c>
      <c r="AC59" s="753"/>
      <c r="AD59" s="753"/>
      <c r="AE59" s="753"/>
      <c r="AF59" s="753"/>
      <c r="AG59" s="753"/>
      <c r="AH59" s="753"/>
      <c r="AI59" s="753"/>
      <c r="AJ59" s="753"/>
      <c r="AK59" s="753"/>
      <c r="AL59" s="753"/>
      <c r="AM59" s="753"/>
      <c r="AN59" s="756"/>
      <c r="AO59" s="756"/>
      <c r="AP59" s="756"/>
      <c r="AQ59" s="756"/>
      <c r="AR59" s="756"/>
      <c r="AS59" s="756"/>
      <c r="AT59" s="756"/>
      <c r="AU59" s="756"/>
      <c r="AV59" s="756"/>
      <c r="AW59" s="756"/>
      <c r="AX59" s="756"/>
      <c r="AY59" s="756"/>
      <c r="AZ59" s="756"/>
      <c r="BA59" s="756"/>
      <c r="BB59" s="755"/>
    </row>
    <row r="60" spans="2:54" ht="43.2" hidden="1" x14ac:dyDescent="0.3">
      <c r="B60" s="498" t="s">
        <v>6826</v>
      </c>
      <c r="C60" s="724">
        <v>4242</v>
      </c>
      <c r="D60" s="511" t="str">
        <f>+_xlfn.XLOOKUP(Cantidades[[#This Row],[cod Idu]],APU_IDU[Código],APU_IDU[Nombre],"",0)</f>
        <v>DEMARCACION LINEA CONTINUA A=0.15M (E=2.3MM,TERMOPLÁSTICA. INC. SUMINISTRO Y APLICACIÓN CON EQUIPO. INCL. MICROESFERAS)</v>
      </c>
      <c r="E60" s="497" t="str">
        <f>+_xlfn.XLOOKUP(Cantidades[[#This Row],[cod Idu]],APU_IDU[Código],APU_IDU[UM],"",0)</f>
        <v>ML</v>
      </c>
      <c r="F60" s="499">
        <f>+_xlfn.XLOOKUP(Cantidades[[#This Row],[cod Idu]],APU_IDU[Código],APU_IDU[Valor],"",0)</f>
        <v>25776</v>
      </c>
      <c r="G60" s="753"/>
      <c r="H60" s="753"/>
      <c r="I60" s="753"/>
      <c r="J60" s="753"/>
      <c r="K60" s="753"/>
      <c r="L60" s="753"/>
      <c r="M60" s="753"/>
      <c r="N60" s="753"/>
      <c r="O60" s="753"/>
      <c r="P60" s="753"/>
      <c r="Q60" s="753"/>
      <c r="R60" s="753"/>
      <c r="S60" s="753"/>
      <c r="T60" s="753"/>
      <c r="U60" s="753"/>
      <c r="V60" s="753"/>
      <c r="W60" s="753"/>
      <c r="X60" s="753"/>
      <c r="Y60" s="753"/>
      <c r="Z60" s="753"/>
      <c r="AA60" s="753"/>
      <c r="AB60" s="753">
        <f>2*AC5</f>
        <v>121.44</v>
      </c>
      <c r="AC60" s="753"/>
      <c r="AD60" s="753"/>
      <c r="AE60" s="753"/>
      <c r="AF60" s="753"/>
      <c r="AG60" s="753"/>
      <c r="AH60" s="753"/>
      <c r="AI60" s="753"/>
      <c r="AJ60" s="753"/>
      <c r="AK60" s="753"/>
      <c r="AL60" s="753"/>
      <c r="AM60" s="753"/>
      <c r="AN60" s="756"/>
      <c r="AO60" s="756"/>
      <c r="AP60" s="756"/>
      <c r="AQ60" s="756"/>
      <c r="AR60" s="756"/>
      <c r="AS60" s="756"/>
      <c r="AT60" s="756"/>
      <c r="AU60" s="756"/>
      <c r="AV60" s="756"/>
      <c r="AW60" s="756"/>
      <c r="AX60" s="756"/>
      <c r="AY60" s="756"/>
      <c r="AZ60" s="756"/>
      <c r="BA60" s="756"/>
      <c r="BB60" s="755"/>
    </row>
    <row r="61" spans="2:54" ht="43.2" hidden="1" x14ac:dyDescent="0.3">
      <c r="B61" s="498" t="s">
        <v>6826</v>
      </c>
      <c r="C61" s="724">
        <v>4243</v>
      </c>
      <c r="D61" s="511" t="str">
        <f>+_xlfn.XLOOKUP(Cantidades[[#This Row],[cod Idu]],APU_IDU[Código],APU_IDU[Nombre],"",0)</f>
        <v>DEMARCACION LINEA DISCONTINUA A=0.15M (E=2.3MM,TERMOPLÁSTICA. INC. SUMINISTRO Y APLICACIÓN CON EQUIPO. INC MICROESFERAS)</v>
      </c>
      <c r="E61" s="497" t="str">
        <f>+_xlfn.XLOOKUP(Cantidades[[#This Row],[cod Idu]],APU_IDU[Código],APU_IDU[UM],"",0)</f>
        <v>ML</v>
      </c>
      <c r="F61" s="499">
        <f>+_xlfn.XLOOKUP(Cantidades[[#This Row],[cod Idu]],APU_IDU[Código],APU_IDU[Valor],"",0)</f>
        <v>25776</v>
      </c>
      <c r="G61" s="753"/>
      <c r="H61" s="753"/>
      <c r="I61" s="753"/>
      <c r="J61" s="753"/>
      <c r="K61" s="753"/>
      <c r="L61" s="753"/>
      <c r="M61" s="753"/>
      <c r="N61" s="753"/>
      <c r="O61" s="753"/>
      <c r="P61" s="753"/>
      <c r="Q61" s="753"/>
      <c r="R61" s="753"/>
      <c r="S61" s="753"/>
      <c r="T61" s="753"/>
      <c r="U61" s="753"/>
      <c r="V61" s="753"/>
      <c r="W61" s="753"/>
      <c r="X61" s="753"/>
      <c r="Y61" s="753"/>
      <c r="Z61" s="753"/>
      <c r="AA61" s="753"/>
      <c r="AB61" s="753">
        <f>+AC5</f>
        <v>60.72</v>
      </c>
      <c r="AC61" s="753"/>
      <c r="AD61" s="753"/>
      <c r="AE61" s="753"/>
      <c r="AF61" s="753"/>
      <c r="AG61" s="753"/>
      <c r="AH61" s="753"/>
      <c r="AI61" s="753"/>
      <c r="AJ61" s="753"/>
      <c r="AK61" s="753"/>
      <c r="AL61" s="753"/>
      <c r="AM61" s="753"/>
      <c r="AN61" s="756"/>
      <c r="AO61" s="756"/>
      <c r="AP61" s="756"/>
      <c r="AQ61" s="756"/>
      <c r="AR61" s="756"/>
      <c r="AS61" s="756"/>
      <c r="AT61" s="756"/>
      <c r="AU61" s="756"/>
      <c r="AV61" s="756"/>
      <c r="AW61" s="756"/>
      <c r="AX61" s="756"/>
      <c r="AY61" s="756"/>
      <c r="AZ61" s="756"/>
      <c r="BA61" s="756"/>
      <c r="BB61" s="755"/>
    </row>
    <row r="62" spans="2:54" ht="43.2" hidden="1" x14ac:dyDescent="0.3">
      <c r="B62" s="498" t="s">
        <v>6826</v>
      </c>
      <c r="C62" s="724">
        <v>4248</v>
      </c>
      <c r="D62" s="511" t="str">
        <f>+_xlfn.XLOOKUP(Cantidades[[#This Row],[cod Idu]],APU_IDU[Código],APU_IDU[Nombre],"",0)</f>
        <v>DEMARCACION PASO PEATONAL-CEBRA (E=2.3MM,TERMOPLÁSTICA. INC. SUMINISTRO Y APLICACIÓN CON EQUIPO. INC MICROESFERAS)</v>
      </c>
      <c r="E62" s="497" t="str">
        <f>+_xlfn.XLOOKUP(Cantidades[[#This Row],[cod Idu]],APU_IDU[Código],APU_IDU[UM],"",0)</f>
        <v>M2</v>
      </c>
      <c r="F62" s="499">
        <f>+_xlfn.XLOOKUP(Cantidades[[#This Row],[cod Idu]],APU_IDU[Código],APU_IDU[Valor],"",0)</f>
        <v>171837</v>
      </c>
      <c r="G62" s="753"/>
      <c r="H62" s="753"/>
      <c r="I62" s="753"/>
      <c r="J62" s="753"/>
      <c r="K62" s="753"/>
      <c r="L62" s="753"/>
      <c r="M62" s="753"/>
      <c r="N62" s="753"/>
      <c r="O62" s="753"/>
      <c r="P62" s="753"/>
      <c r="Q62" s="753"/>
      <c r="R62" s="753"/>
      <c r="S62" s="753"/>
      <c r="T62" s="753"/>
      <c r="U62" s="753"/>
      <c r="V62" s="753"/>
      <c r="W62" s="753"/>
      <c r="X62" s="753"/>
      <c r="Y62" s="753"/>
      <c r="Z62" s="753"/>
      <c r="AA62" s="753"/>
      <c r="AB62" s="753">
        <f>IF($B62=AB$8,ROUND(0.5*2*AB$4,2),0)</f>
        <v>6.46</v>
      </c>
      <c r="AC62" s="753"/>
      <c r="AD62" s="753"/>
      <c r="AE62" s="753"/>
      <c r="AF62" s="753"/>
      <c r="AG62" s="753"/>
      <c r="AH62" s="753"/>
      <c r="AI62" s="753"/>
      <c r="AJ62" s="753"/>
      <c r="AK62" s="753"/>
      <c r="AL62" s="753"/>
      <c r="AM62" s="753"/>
      <c r="AN62" s="756"/>
      <c r="AO62" s="756"/>
      <c r="AP62" s="756"/>
      <c r="AQ62" s="756"/>
      <c r="AR62" s="756"/>
      <c r="AS62" s="756"/>
      <c r="AT62" s="756"/>
      <c r="AU62" s="756"/>
      <c r="AV62" s="756"/>
      <c r="AW62" s="756"/>
      <c r="AX62" s="756"/>
      <c r="AY62" s="756"/>
      <c r="AZ62" s="756"/>
      <c r="BA62" s="756"/>
      <c r="BB62" s="755"/>
    </row>
    <row r="63" spans="2:54" ht="43.2" hidden="1" x14ac:dyDescent="0.3">
      <c r="B63" s="498" t="s">
        <v>6826</v>
      </c>
      <c r="C63" s="724">
        <v>4246</v>
      </c>
      <c r="D63" s="511" t="str">
        <f>+_xlfn.XLOOKUP(Cantidades[[#This Row],[cod Idu]],APU_IDU[Código],APU_IDU[Nombre],"",0)</f>
        <v>FLECHA DIRECCIONAL "DE FRENTE" (E=2.3MM,TERMOPLÁSTICA. INC. SUMINISTRO Y APLICACIÓN CON EQUIPO. INC MICROESFERAS). MARCA VIAL PARA VELOCIDADES MENORES O IGUALES A 60 KM/H AREA DE LA MARCA: 1.20 M2.</v>
      </c>
      <c r="E63" s="497" t="str">
        <f>+_xlfn.XLOOKUP(Cantidades[[#This Row],[cod Idu]],APU_IDU[Código],APU_IDU[UM],"",0)</f>
        <v>UN</v>
      </c>
      <c r="F63" s="499">
        <f>+_xlfn.XLOOKUP(Cantidades[[#This Row],[cod Idu]],APU_IDU[Código],APU_IDU[Valor],"",0)</f>
        <v>206205</v>
      </c>
      <c r="G63" s="753"/>
      <c r="H63" s="753"/>
      <c r="I63" s="753"/>
      <c r="J63" s="753"/>
      <c r="K63" s="753"/>
      <c r="L63" s="753"/>
      <c r="M63" s="753"/>
      <c r="N63" s="753"/>
      <c r="O63" s="753"/>
      <c r="P63" s="753"/>
      <c r="Q63" s="753"/>
      <c r="R63" s="753"/>
      <c r="S63" s="753"/>
      <c r="T63" s="753"/>
      <c r="U63" s="753"/>
      <c r="V63" s="753"/>
      <c r="W63" s="753"/>
      <c r="X63" s="753"/>
      <c r="Y63" s="753"/>
      <c r="Z63" s="753"/>
      <c r="AA63" s="753"/>
      <c r="AB63" s="753">
        <v>2</v>
      </c>
      <c r="AC63" s="753"/>
      <c r="AD63" s="753"/>
      <c r="AE63" s="753"/>
      <c r="AF63" s="753"/>
      <c r="AG63" s="753"/>
      <c r="AH63" s="753"/>
      <c r="AI63" s="753"/>
      <c r="AJ63" s="753"/>
      <c r="AK63" s="753"/>
      <c r="AL63" s="753"/>
      <c r="AM63" s="753"/>
      <c r="AN63" s="756"/>
      <c r="AO63" s="756"/>
      <c r="AP63" s="756"/>
      <c r="AQ63" s="756"/>
      <c r="AR63" s="756"/>
      <c r="AS63" s="756"/>
      <c r="AT63" s="756"/>
      <c r="AU63" s="756"/>
      <c r="AV63" s="756"/>
      <c r="AW63" s="756"/>
      <c r="AX63" s="756"/>
      <c r="AY63" s="756"/>
      <c r="AZ63" s="756"/>
      <c r="BA63" s="756"/>
      <c r="BB63" s="755"/>
    </row>
    <row r="64" spans="2:54" hidden="1" x14ac:dyDescent="0.3">
      <c r="B64" s="721" t="s">
        <v>6827</v>
      </c>
      <c r="C64" s="724">
        <v>3224</v>
      </c>
      <c r="D64" s="511" t="str">
        <f>+_xlfn.XLOOKUP(Cantidades[[#This Row],[cod Idu]],APU_IDU[Código],APU_IDU[Nombre],"",0)</f>
        <v>TUBERIA PVC D=2 1/2" TIPO U.M. RDE 21 (SUMINISTRO E INSTALACIÓN)</v>
      </c>
      <c r="E64" s="497" t="str">
        <f>+_xlfn.XLOOKUP(Cantidades[[#This Row],[cod Idu]],APU_IDU[Código],APU_IDU[UM],"",0)</f>
        <v>ML</v>
      </c>
      <c r="F64" s="499">
        <f>+_xlfn.XLOOKUP(Cantidades[[#This Row],[cod Idu]],APU_IDU[Código],APU_IDU[Valor],"",0)</f>
        <v>36526</v>
      </c>
      <c r="G64" s="753"/>
      <c r="H64" s="753"/>
      <c r="I64" s="753"/>
      <c r="J64" s="753"/>
      <c r="K64" s="753"/>
      <c r="L64" s="753"/>
      <c r="M64" s="753"/>
      <c r="N64" s="753"/>
      <c r="O64" s="753"/>
      <c r="P64" s="753">
        <f>+P5</f>
        <v>25.68</v>
      </c>
      <c r="Q64" s="753"/>
      <c r="R64" s="753"/>
      <c r="S64" s="753"/>
      <c r="T64" s="753"/>
      <c r="U64" s="753"/>
      <c r="V64" s="753"/>
      <c r="W64" s="753"/>
      <c r="X64" s="753"/>
      <c r="Y64" s="753"/>
      <c r="Z64" s="753">
        <v>30</v>
      </c>
      <c r="AA64" s="753"/>
      <c r="AB64" s="753"/>
      <c r="AC64" s="753"/>
      <c r="AD64" s="753"/>
      <c r="AE64" s="753"/>
      <c r="AF64" s="753"/>
      <c r="AG64" s="753"/>
      <c r="AH64" s="753"/>
      <c r="AI64" s="753"/>
      <c r="AJ64" s="753"/>
      <c r="AK64" s="753"/>
      <c r="AL64" s="753"/>
      <c r="AM64" s="753"/>
      <c r="AN64" s="756"/>
      <c r="AO64" s="756"/>
      <c r="AP64" s="756"/>
      <c r="AQ64" s="756"/>
      <c r="AR64" s="756"/>
      <c r="AS64" s="756"/>
      <c r="AT64" s="756"/>
      <c r="AU64" s="756"/>
      <c r="AV64" s="756"/>
      <c r="AW64" s="756"/>
      <c r="AX64" s="756"/>
      <c r="AY64" s="756"/>
      <c r="AZ64" s="756"/>
      <c r="BA64" s="756"/>
      <c r="BB64" s="755"/>
    </row>
    <row r="65" spans="2:54" hidden="1" x14ac:dyDescent="0.3">
      <c r="B65" s="721" t="s">
        <v>6827</v>
      </c>
      <c r="C65" s="724">
        <v>3226</v>
      </c>
      <c r="D65" s="511" t="str">
        <f>+_xlfn.XLOOKUP(Cantidades[[#This Row],[cod Idu]],APU_IDU[Código],APU_IDU[Nombre],"",0)</f>
        <v>TUBERIA PVC D=4" TIPO U.M. RDE 21 (SUMINISTRO E INSTALACIÓN)</v>
      </c>
      <c r="E65" s="497" t="str">
        <f>+_xlfn.XLOOKUP(Cantidades[[#This Row],[cod Idu]],APU_IDU[Código],APU_IDU[UM],"",0)</f>
        <v>ML</v>
      </c>
      <c r="F65" s="499">
        <f>+_xlfn.XLOOKUP(Cantidades[[#This Row],[cod Idu]],APU_IDU[Código],APU_IDU[Valor],"",0)</f>
        <v>76083</v>
      </c>
      <c r="G65" s="753"/>
      <c r="H65" s="753"/>
      <c r="I65" s="753"/>
      <c r="J65" s="753"/>
      <c r="K65" s="753"/>
      <c r="L65" s="753"/>
      <c r="M65" s="753"/>
      <c r="N65" s="753"/>
      <c r="O65" s="753"/>
      <c r="P65" s="753"/>
      <c r="Q65" s="753"/>
      <c r="R65" s="753"/>
      <c r="S65" s="753">
        <f>+S5</f>
        <v>14.92</v>
      </c>
      <c r="T65" s="753"/>
      <c r="U65" s="753"/>
      <c r="V65" s="753"/>
      <c r="W65" s="753"/>
      <c r="X65" s="753"/>
      <c r="Y65" s="753"/>
      <c r="Z65" s="753"/>
      <c r="AA65" s="753"/>
      <c r="AB65" s="753"/>
      <c r="AC65" s="753"/>
      <c r="AD65" s="753"/>
      <c r="AE65" s="753"/>
      <c r="AF65" s="753"/>
      <c r="AG65" s="753"/>
      <c r="AH65" s="753"/>
      <c r="AI65" s="753"/>
      <c r="AJ65" s="753"/>
      <c r="AK65" s="753"/>
      <c r="AL65" s="753"/>
      <c r="AM65" s="753"/>
      <c r="AN65" s="756"/>
      <c r="AO65" s="756"/>
      <c r="AP65" s="756"/>
      <c r="AQ65" s="756"/>
      <c r="AR65" s="756"/>
      <c r="AS65" s="756"/>
      <c r="AT65" s="756"/>
      <c r="AU65" s="756"/>
      <c r="AV65" s="756"/>
      <c r="AW65" s="756"/>
      <c r="AX65" s="756"/>
      <c r="AY65" s="756"/>
      <c r="AZ65" s="756"/>
      <c r="BA65" s="756"/>
      <c r="BB65" s="755"/>
    </row>
    <row r="66" spans="2:54" hidden="1" x14ac:dyDescent="0.3">
      <c r="B66" s="721" t="s">
        <v>6827</v>
      </c>
      <c r="C66" s="724">
        <v>3227</v>
      </c>
      <c r="D66" s="511" t="str">
        <f>+_xlfn.XLOOKUP(Cantidades[[#This Row],[cod Idu]],APU_IDU[Código],APU_IDU[Nombre],"",0)</f>
        <v>TUBERIA PVC D=6" TIPO U.M. RDE 21 (SUMINISTRO E INSTALACIÓN)</v>
      </c>
      <c r="E66" s="497" t="str">
        <f>+_xlfn.XLOOKUP(Cantidades[[#This Row],[cod Idu]],APU_IDU[Código],APU_IDU[UM],"",0)</f>
        <v>ML</v>
      </c>
      <c r="F66" s="499">
        <f>+_xlfn.XLOOKUP(Cantidades[[#This Row],[cod Idu]],APU_IDU[Código],APU_IDU[Valor],"",0)</f>
        <v>151759</v>
      </c>
      <c r="G66" s="753"/>
      <c r="H66" s="753"/>
      <c r="I66" s="753"/>
      <c r="J66" s="753"/>
      <c r="K66" s="753"/>
      <c r="L66" s="753"/>
      <c r="M66" s="753"/>
      <c r="N66" s="753"/>
      <c r="O66" s="753"/>
      <c r="P66" s="753"/>
      <c r="Q66" s="753"/>
      <c r="R66" s="753"/>
      <c r="S66" s="753"/>
      <c r="T66" s="753"/>
      <c r="U66" s="753"/>
      <c r="V66" s="753"/>
      <c r="W66" s="753"/>
      <c r="X66" s="753">
        <v>3.8</v>
      </c>
      <c r="Y66" s="753"/>
      <c r="Z66" s="753"/>
      <c r="AA66" s="753"/>
      <c r="AB66" s="753"/>
      <c r="AC66" s="753"/>
      <c r="AD66" s="753"/>
      <c r="AE66" s="753"/>
      <c r="AF66" s="753"/>
      <c r="AG66" s="753"/>
      <c r="AH66" s="753"/>
      <c r="AI66" s="753"/>
      <c r="AJ66" s="753"/>
      <c r="AK66" s="753"/>
      <c r="AL66" s="753"/>
      <c r="AM66" s="753"/>
      <c r="AN66" s="756"/>
      <c r="AO66" s="756"/>
      <c r="AP66" s="756"/>
      <c r="AQ66" s="756"/>
      <c r="AR66" s="756"/>
      <c r="AS66" s="756"/>
      <c r="AT66" s="756"/>
      <c r="AU66" s="756"/>
      <c r="AV66" s="756"/>
      <c r="AW66" s="756"/>
      <c r="AX66" s="756"/>
      <c r="AY66" s="756"/>
      <c r="AZ66" s="756"/>
      <c r="BA66" s="756"/>
      <c r="BB66" s="755"/>
    </row>
    <row r="67" spans="2:54" hidden="1" x14ac:dyDescent="0.3">
      <c r="B67" s="721" t="s">
        <v>6827</v>
      </c>
      <c r="C67" s="724">
        <v>3391</v>
      </c>
      <c r="D67" s="511" t="str">
        <f>+_xlfn.XLOOKUP(Cantidades[[#This Row],[cod Idu]],APU_IDU[Código],APU_IDU[Nombre],"",0)</f>
        <v>CODO HD 22.5° EXTREMO LISO PARA PVC D=4" (SUMINISTRO E INSTALACIÓN)</v>
      </c>
      <c r="E67" s="497" t="str">
        <f>+_xlfn.XLOOKUP(Cantidades[[#This Row],[cod Idu]],APU_IDU[Código],APU_IDU[UM],"",0)</f>
        <v>UN</v>
      </c>
      <c r="F67" s="499">
        <f>+_xlfn.XLOOKUP(Cantidades[[#This Row],[cod Idu]],APU_IDU[Código],APU_IDU[Valor],"",0)</f>
        <v>329719</v>
      </c>
      <c r="G67" s="753"/>
      <c r="H67" s="753"/>
      <c r="I67" s="753"/>
      <c r="J67" s="753"/>
      <c r="K67" s="753"/>
      <c r="L67" s="753"/>
      <c r="M67" s="753"/>
      <c r="N67" s="753"/>
      <c r="O67" s="753">
        <v>2</v>
      </c>
      <c r="P67" s="753"/>
      <c r="Q67" s="753"/>
      <c r="R67" s="753"/>
      <c r="S67" s="753"/>
      <c r="T67" s="753"/>
      <c r="U67" s="753"/>
      <c r="V67" s="753"/>
      <c r="W67" s="753"/>
      <c r="X67" s="753"/>
      <c r="Y67" s="753"/>
      <c r="Z67" s="753"/>
      <c r="AA67" s="753"/>
      <c r="AB67" s="753"/>
      <c r="AC67" s="753"/>
      <c r="AD67" s="753"/>
      <c r="AE67" s="753"/>
      <c r="AF67" s="753"/>
      <c r="AG67" s="753"/>
      <c r="AH67" s="753"/>
      <c r="AI67" s="753"/>
      <c r="AJ67" s="753"/>
      <c r="AK67" s="753"/>
      <c r="AL67" s="753"/>
      <c r="AM67" s="753"/>
      <c r="AN67" s="756"/>
      <c r="AO67" s="756"/>
      <c r="AP67" s="756"/>
      <c r="AQ67" s="756"/>
      <c r="AR67" s="756"/>
      <c r="AS67" s="756"/>
      <c r="AT67" s="756"/>
      <c r="AU67" s="756"/>
      <c r="AV67" s="756"/>
      <c r="AW67" s="756"/>
      <c r="AX67" s="756"/>
      <c r="AY67" s="756"/>
      <c r="AZ67" s="756"/>
      <c r="BA67" s="756"/>
      <c r="BB67" s="755"/>
    </row>
    <row r="68" spans="2:54" hidden="1" x14ac:dyDescent="0.3">
      <c r="B68" s="721" t="s">
        <v>6827</v>
      </c>
      <c r="C68" s="724">
        <v>3523</v>
      </c>
      <c r="D68" s="511" t="str">
        <f>+_xlfn.XLOOKUP(Cantidades[[#This Row],[cod Idu]],APU_IDU[Código],APU_IDU[Nombre],"",0)</f>
        <v>CODO G.RAD. PVC 45º TIPO U.M. D=4" (SUMINISTRO E INSTALACIÓN)</v>
      </c>
      <c r="E68" s="497" t="str">
        <f>+_xlfn.XLOOKUP(Cantidades[[#This Row],[cod Idu]],APU_IDU[Código],APU_IDU[UM],"",0)</f>
        <v>UN</v>
      </c>
      <c r="F68" s="499">
        <f>+_xlfn.XLOOKUP(Cantidades[[#This Row],[cod Idu]],APU_IDU[Código],APU_IDU[Valor],"",0)</f>
        <v>176892</v>
      </c>
      <c r="G68" s="753"/>
      <c r="H68" s="753"/>
      <c r="I68" s="753"/>
      <c r="J68" s="753">
        <v>1</v>
      </c>
      <c r="K68" s="753"/>
      <c r="L68" s="753">
        <v>1</v>
      </c>
      <c r="M68" s="753"/>
      <c r="N68" s="753"/>
      <c r="O68" s="753"/>
      <c r="P68" s="753"/>
      <c r="Q68" s="753"/>
      <c r="R68" s="753">
        <v>1</v>
      </c>
      <c r="S68" s="753"/>
      <c r="T68" s="753"/>
      <c r="U68" s="753"/>
      <c r="V68" s="753">
        <v>1</v>
      </c>
      <c r="W68" s="753"/>
      <c r="X68" s="753"/>
      <c r="Y68" s="753"/>
      <c r="Z68" s="753"/>
      <c r="AA68" s="753"/>
      <c r="AB68" s="753"/>
      <c r="AC68" s="753"/>
      <c r="AD68" s="753"/>
      <c r="AE68" s="753"/>
      <c r="AF68" s="753"/>
      <c r="AG68" s="753"/>
      <c r="AH68" s="753"/>
      <c r="AI68" s="753"/>
      <c r="AJ68" s="753"/>
      <c r="AK68" s="753"/>
      <c r="AL68" s="753"/>
      <c r="AM68" s="753"/>
      <c r="AN68" s="756"/>
      <c r="AO68" s="756"/>
      <c r="AP68" s="756"/>
      <c r="AQ68" s="756"/>
      <c r="AR68" s="756"/>
      <c r="AS68" s="756"/>
      <c r="AT68" s="756"/>
      <c r="AU68" s="756"/>
      <c r="AV68" s="756"/>
      <c r="AW68" s="756"/>
      <c r="AX68" s="756"/>
      <c r="AY68" s="756"/>
      <c r="AZ68" s="756"/>
      <c r="BA68" s="756"/>
      <c r="BB68" s="755"/>
    </row>
    <row r="69" spans="2:54" hidden="1" x14ac:dyDescent="0.3">
      <c r="B69" s="721" t="s">
        <v>6827</v>
      </c>
      <c r="C69" s="724">
        <v>3532</v>
      </c>
      <c r="D69" s="511" t="str">
        <f>+_xlfn.XLOOKUP(Cantidades[[#This Row],[cod Idu]],APU_IDU[Código],APU_IDU[Nombre],"",0)</f>
        <v>CODO G.RAD. PVC 22.5° TIPO U.M D=6" (SUMINISTRO E INSTALACIÓN)</v>
      </c>
      <c r="E69" s="497" t="str">
        <f>+_xlfn.XLOOKUP(Cantidades[[#This Row],[cod Idu]],APU_IDU[Código],APU_IDU[UM],"",0)</f>
        <v>UN</v>
      </c>
      <c r="F69" s="499">
        <f>+_xlfn.XLOOKUP(Cantidades[[#This Row],[cod Idu]],APU_IDU[Código],APU_IDU[Valor],"",0)</f>
        <v>338771</v>
      </c>
      <c r="G69" s="753"/>
      <c r="H69" s="753">
        <v>1</v>
      </c>
      <c r="I69" s="753"/>
      <c r="J69" s="753"/>
      <c r="K69" s="753"/>
      <c r="L69" s="753"/>
      <c r="M69" s="753"/>
      <c r="N69" s="753"/>
      <c r="O69" s="753"/>
      <c r="P69" s="753"/>
      <c r="Q69" s="753"/>
      <c r="R69" s="753"/>
      <c r="S69" s="753"/>
      <c r="T69" s="753"/>
      <c r="U69" s="753"/>
      <c r="V69" s="753"/>
      <c r="W69" s="753"/>
      <c r="X69" s="753"/>
      <c r="Y69" s="753"/>
      <c r="Z69" s="753"/>
      <c r="AA69" s="753"/>
      <c r="AB69" s="753"/>
      <c r="AC69" s="753"/>
      <c r="AD69" s="753"/>
      <c r="AE69" s="753"/>
      <c r="AF69" s="753"/>
      <c r="AG69" s="753"/>
      <c r="AH69" s="753"/>
      <c r="AI69" s="753"/>
      <c r="AJ69" s="753"/>
      <c r="AK69" s="753"/>
      <c r="AL69" s="753">
        <v>1</v>
      </c>
      <c r="AM69" s="753">
        <v>1</v>
      </c>
      <c r="AN69" s="756"/>
      <c r="AO69" s="756"/>
      <c r="AP69" s="756"/>
      <c r="AQ69" s="756"/>
      <c r="AR69" s="756"/>
      <c r="AS69" s="756"/>
      <c r="AT69" s="756"/>
      <c r="AU69" s="756"/>
      <c r="AV69" s="756"/>
      <c r="AW69" s="756"/>
      <c r="AX69" s="756"/>
      <c r="AY69" s="756"/>
      <c r="AZ69" s="756"/>
      <c r="BA69" s="756"/>
      <c r="BB69" s="755"/>
    </row>
    <row r="70" spans="2:54" hidden="1" x14ac:dyDescent="0.3">
      <c r="B70" s="721" t="s">
        <v>6827</v>
      </c>
      <c r="C70" s="724">
        <v>3535</v>
      </c>
      <c r="D70" s="511" t="str">
        <f>+_xlfn.XLOOKUP(Cantidades[[#This Row],[cod Idu]],APU_IDU[Código],APU_IDU[Nombre],"",0)</f>
        <v>CODO G.RAD. PVC 22.5° TIPO U.M. D=12" (SUMINISTRO E INSTALACIÓN)</v>
      </c>
      <c r="E70" s="497" t="str">
        <f>+_xlfn.XLOOKUP(Cantidades[[#This Row],[cod Idu]],APU_IDU[Código],APU_IDU[UM],"",0)</f>
        <v>UN</v>
      </c>
      <c r="F70" s="499">
        <f>+_xlfn.XLOOKUP(Cantidades[[#This Row],[cod Idu]],APU_IDU[Código],APU_IDU[Valor],"",0)</f>
        <v>2095131</v>
      </c>
      <c r="G70" s="753"/>
      <c r="H70" s="753"/>
      <c r="I70" s="753"/>
      <c r="J70" s="753"/>
      <c r="K70" s="753"/>
      <c r="L70" s="753"/>
      <c r="M70" s="753"/>
      <c r="N70" s="753"/>
      <c r="O70" s="753"/>
      <c r="P70" s="753"/>
      <c r="Q70" s="753">
        <v>1</v>
      </c>
      <c r="R70" s="753"/>
      <c r="S70" s="753"/>
      <c r="T70" s="753"/>
      <c r="U70" s="753"/>
      <c r="V70" s="753"/>
      <c r="W70" s="753"/>
      <c r="X70" s="753"/>
      <c r="Y70" s="753"/>
      <c r="Z70" s="753"/>
      <c r="AA70" s="753"/>
      <c r="AB70" s="753"/>
      <c r="AC70" s="753"/>
      <c r="AD70" s="753"/>
      <c r="AE70" s="753"/>
      <c r="AF70" s="753"/>
      <c r="AG70" s="753"/>
      <c r="AH70" s="753"/>
      <c r="AI70" s="753"/>
      <c r="AJ70" s="753"/>
      <c r="AK70" s="753"/>
      <c r="AL70" s="753"/>
      <c r="AM70" s="753"/>
      <c r="AN70" s="756"/>
      <c r="AO70" s="756"/>
      <c r="AP70" s="756"/>
      <c r="AQ70" s="756"/>
      <c r="AR70" s="756"/>
      <c r="AS70" s="756"/>
      <c r="AT70" s="756"/>
      <c r="AU70" s="756"/>
      <c r="AV70" s="756"/>
      <c r="AW70" s="756"/>
      <c r="AX70" s="756"/>
      <c r="AY70" s="756"/>
      <c r="AZ70" s="756"/>
      <c r="BA70" s="756"/>
      <c r="BB70" s="755"/>
    </row>
    <row r="71" spans="2:54" hidden="1" x14ac:dyDescent="0.3">
      <c r="B71" s="721" t="s">
        <v>6827</v>
      </c>
      <c r="C71" s="724">
        <v>3539</v>
      </c>
      <c r="D71" s="511" t="str">
        <f>+_xlfn.XLOOKUP(Cantidades[[#This Row],[cod Idu]],APU_IDU[Código],APU_IDU[Nombre],"",0)</f>
        <v>CODO G.RAD. PVC 11.25° TIPO U.M. D=4" RDE 21 (SUMINISTRO E INSTALACIÓN)</v>
      </c>
      <c r="E71" s="497" t="str">
        <f>+_xlfn.XLOOKUP(Cantidades[[#This Row],[cod Idu]],APU_IDU[Código],APU_IDU[UM],"",0)</f>
        <v>UN</v>
      </c>
      <c r="F71" s="499">
        <f>+_xlfn.XLOOKUP(Cantidades[[#This Row],[cod Idu]],APU_IDU[Código],APU_IDU[Valor],"",0)</f>
        <v>134877</v>
      </c>
      <c r="G71" s="753"/>
      <c r="H71" s="753"/>
      <c r="I71" s="753"/>
      <c r="J71" s="753"/>
      <c r="K71" s="753"/>
      <c r="L71" s="753"/>
      <c r="M71" s="753"/>
      <c r="N71" s="753"/>
      <c r="O71" s="753"/>
      <c r="P71" s="753"/>
      <c r="Q71" s="753"/>
      <c r="R71" s="753"/>
      <c r="S71" s="753"/>
      <c r="T71" s="753"/>
      <c r="U71" s="753">
        <v>1</v>
      </c>
      <c r="V71" s="753"/>
      <c r="W71" s="753"/>
      <c r="X71" s="753"/>
      <c r="Y71" s="753"/>
      <c r="Z71" s="753"/>
      <c r="AA71" s="753"/>
      <c r="AB71" s="753"/>
      <c r="AC71" s="753"/>
      <c r="AD71" s="753"/>
      <c r="AE71" s="753"/>
      <c r="AF71" s="753"/>
      <c r="AG71" s="753"/>
      <c r="AH71" s="753"/>
      <c r="AI71" s="753"/>
      <c r="AJ71" s="753"/>
      <c r="AK71" s="753"/>
      <c r="AL71" s="753"/>
      <c r="AM71" s="753"/>
      <c r="AN71" s="756"/>
      <c r="AO71" s="756"/>
      <c r="AP71" s="756"/>
      <c r="AQ71" s="756"/>
      <c r="AR71" s="756"/>
      <c r="AS71" s="756"/>
      <c r="AT71" s="756"/>
      <c r="AU71" s="756"/>
      <c r="AV71" s="756"/>
      <c r="AW71" s="756"/>
      <c r="AX71" s="756"/>
      <c r="AY71" s="756"/>
      <c r="AZ71" s="756"/>
      <c r="BA71" s="756"/>
      <c r="BB71" s="755"/>
    </row>
    <row r="72" spans="2:54" hidden="1" x14ac:dyDescent="0.3">
      <c r="B72" s="721" t="s">
        <v>6827</v>
      </c>
      <c r="C72" s="724">
        <v>3540</v>
      </c>
      <c r="D72" s="511" t="str">
        <f>+_xlfn.XLOOKUP(Cantidades[[#This Row],[cod Idu]],APU_IDU[Código],APU_IDU[Nombre],"",0)</f>
        <v>CODO G.RAD. PVC 11.25° TIPO U.M. D=6" (SUMINISTRO E INSTALACIÓN)</v>
      </c>
      <c r="E72" s="497" t="str">
        <f>+_xlfn.XLOOKUP(Cantidades[[#This Row],[cod Idu]],APU_IDU[Código],APU_IDU[UM],"",0)</f>
        <v>UN</v>
      </c>
      <c r="F72" s="499">
        <f>+_xlfn.XLOOKUP(Cantidades[[#This Row],[cod Idu]],APU_IDU[Código],APU_IDU[Valor],"",0)</f>
        <v>304534</v>
      </c>
      <c r="G72" s="753"/>
      <c r="H72" s="753"/>
      <c r="I72" s="753"/>
      <c r="J72" s="753">
        <v>1</v>
      </c>
      <c r="K72" s="753"/>
      <c r="L72" s="753"/>
      <c r="M72" s="753">
        <v>1</v>
      </c>
      <c r="N72" s="753"/>
      <c r="O72" s="753"/>
      <c r="P72" s="753"/>
      <c r="Q72" s="753"/>
      <c r="R72" s="753">
        <v>1</v>
      </c>
      <c r="S72" s="753"/>
      <c r="T72" s="753"/>
      <c r="U72" s="753"/>
      <c r="V72" s="753"/>
      <c r="W72" s="753"/>
      <c r="X72" s="753"/>
      <c r="Y72" s="753"/>
      <c r="Z72" s="753"/>
      <c r="AA72" s="753"/>
      <c r="AB72" s="753"/>
      <c r="AC72" s="753"/>
      <c r="AD72" s="753"/>
      <c r="AE72" s="753"/>
      <c r="AF72" s="753"/>
      <c r="AG72" s="753"/>
      <c r="AH72" s="753"/>
      <c r="AI72" s="753"/>
      <c r="AJ72" s="753"/>
      <c r="AK72" s="753"/>
      <c r="AL72" s="753"/>
      <c r="AM72" s="753"/>
      <c r="AN72" s="756"/>
      <c r="AO72" s="756"/>
      <c r="AP72" s="756"/>
      <c r="AQ72" s="756"/>
      <c r="AR72" s="756"/>
      <c r="AS72" s="756"/>
      <c r="AT72" s="756"/>
      <c r="AU72" s="756"/>
      <c r="AV72" s="756"/>
      <c r="AW72" s="756"/>
      <c r="AX72" s="756"/>
      <c r="AY72" s="756"/>
      <c r="AZ72" s="756"/>
      <c r="BA72" s="756"/>
      <c r="BB72" s="755"/>
    </row>
    <row r="73" spans="2:54" ht="28.8" hidden="1" x14ac:dyDescent="0.3">
      <c r="B73" s="721" t="s">
        <v>6827</v>
      </c>
      <c r="C73" s="724">
        <v>4402</v>
      </c>
      <c r="D73" s="511" t="str">
        <f>+_xlfn.XLOOKUP(Cantidades[[#This Row],[cod Idu]],APU_IDU[Código],APU_IDU[Nombre],"",0)</f>
        <v>VALVULA COMPUERTA ELASTICA VASTAGO NO ASCENDENTE EXTREMO LISO D=4" (SUMINISTRO E INSTALACIÓN)</v>
      </c>
      <c r="E73" s="497" t="str">
        <f>+_xlfn.XLOOKUP(Cantidades[[#This Row],[cod Idu]],APU_IDU[Código],APU_IDU[UM],"",0)</f>
        <v>UN</v>
      </c>
      <c r="F73" s="499">
        <f>+_xlfn.XLOOKUP(Cantidades[[#This Row],[cod Idu]],APU_IDU[Código],APU_IDU[Valor],"",0)</f>
        <v>1190850</v>
      </c>
      <c r="G73" s="753"/>
      <c r="H73" s="753"/>
      <c r="I73" s="753"/>
      <c r="J73" s="753"/>
      <c r="K73" s="753"/>
      <c r="L73" s="753"/>
      <c r="M73" s="753"/>
      <c r="N73" s="753"/>
      <c r="O73" s="753"/>
      <c r="P73" s="753"/>
      <c r="Q73" s="753"/>
      <c r="R73" s="753"/>
      <c r="S73" s="753"/>
      <c r="T73" s="753"/>
      <c r="U73" s="753"/>
      <c r="V73" s="753"/>
      <c r="W73" s="753"/>
      <c r="X73" s="753"/>
      <c r="Y73" s="753"/>
      <c r="Z73" s="753"/>
      <c r="AA73" s="753"/>
      <c r="AB73" s="753"/>
      <c r="AC73" s="753"/>
      <c r="AD73" s="753"/>
      <c r="AE73" s="753">
        <v>1</v>
      </c>
      <c r="AF73" s="753"/>
      <c r="AG73" s="753"/>
      <c r="AH73" s="753"/>
      <c r="AI73" s="753"/>
      <c r="AJ73" s="753"/>
      <c r="AK73" s="753"/>
      <c r="AL73" s="753"/>
      <c r="AM73" s="753"/>
      <c r="AN73" s="756"/>
      <c r="AO73" s="756"/>
      <c r="AP73" s="756"/>
      <c r="AQ73" s="756"/>
      <c r="AR73" s="756"/>
      <c r="AS73" s="756"/>
      <c r="AT73" s="756"/>
      <c r="AU73" s="756"/>
      <c r="AV73" s="756"/>
      <c r="AW73" s="756"/>
      <c r="AX73" s="756"/>
      <c r="AY73" s="756"/>
      <c r="AZ73" s="756"/>
      <c r="BA73" s="756"/>
      <c r="BB73" s="755"/>
    </row>
    <row r="74" spans="2:54" hidden="1" x14ac:dyDescent="0.3">
      <c r="B74" s="721" t="s">
        <v>6827</v>
      </c>
      <c r="C74" s="724">
        <v>4416</v>
      </c>
      <c r="D74" s="511" t="str">
        <f>+_xlfn.XLOOKUP(Cantidades[[#This Row],[cod Idu]],APU_IDU[Código],APU_IDU[Nombre],"",0)</f>
        <v>TAPON PVC TIPO U.M. D=4" (SUMINISTRO E INSTALACIÓN)</v>
      </c>
      <c r="E74" s="497" t="str">
        <f>+_xlfn.XLOOKUP(Cantidades[[#This Row],[cod Idu]],APU_IDU[Código],APU_IDU[UM],"",0)</f>
        <v>UN</v>
      </c>
      <c r="F74" s="499">
        <f>+_xlfn.XLOOKUP(Cantidades[[#This Row],[cod Idu]],APU_IDU[Código],APU_IDU[Valor],"",0)</f>
        <v>109473</v>
      </c>
      <c r="G74" s="753"/>
      <c r="H74" s="753"/>
      <c r="I74" s="753"/>
      <c r="J74" s="753"/>
      <c r="K74" s="753"/>
      <c r="L74" s="753">
        <v>4</v>
      </c>
      <c r="M74" s="753"/>
      <c r="N74" s="753"/>
      <c r="O74" s="753"/>
      <c r="P74" s="753"/>
      <c r="Q74" s="753"/>
      <c r="R74" s="753"/>
      <c r="S74" s="753"/>
      <c r="T74" s="753"/>
      <c r="U74" s="753"/>
      <c r="V74" s="753"/>
      <c r="W74" s="753"/>
      <c r="X74" s="753"/>
      <c r="Y74" s="753"/>
      <c r="Z74" s="753"/>
      <c r="AA74" s="753"/>
      <c r="AB74" s="753"/>
      <c r="AC74" s="753"/>
      <c r="AD74" s="753"/>
      <c r="AE74" s="753"/>
      <c r="AF74" s="753"/>
      <c r="AG74" s="753"/>
      <c r="AH74" s="753"/>
      <c r="AI74" s="753"/>
      <c r="AJ74" s="753"/>
      <c r="AK74" s="753"/>
      <c r="AL74" s="753"/>
      <c r="AM74" s="753"/>
      <c r="AN74" s="756"/>
      <c r="AO74" s="756"/>
      <c r="AP74" s="756"/>
      <c r="AQ74" s="756"/>
      <c r="AR74" s="756"/>
      <c r="AS74" s="756"/>
      <c r="AT74" s="756"/>
      <c r="AU74" s="756"/>
      <c r="AV74" s="756"/>
      <c r="AW74" s="756"/>
      <c r="AX74" s="756"/>
      <c r="AY74" s="756"/>
      <c r="AZ74" s="756"/>
      <c r="BA74" s="756"/>
      <c r="BB74" s="755"/>
    </row>
    <row r="75" spans="2:54" ht="43.2" hidden="1" x14ac:dyDescent="0.3">
      <c r="B75" s="721" t="s">
        <v>6827</v>
      </c>
      <c r="C75" s="724">
        <v>5186</v>
      </c>
      <c r="D75" s="511" t="str">
        <f>+_xlfn.XLOOKUP(Cantidades[[#This Row],[cod Idu]],APU_IDU[Código],APU_IDU[Nombre],"",0)</f>
        <v>ACOMETIDA DOMICILIARIA DE 1/2" CON COLLAR DE DERIVACION DE 4" X 1/2". SUMINISTRO E INSTALACION. (INCLUYE TUBERIA PF, REGISTROS Y ACCESORIOS, LONGITUD PROMEDIO DE 6.5M, INCLUYE CAJILLA EN POLIPROPILENO PARA MEDIDOR)</v>
      </c>
      <c r="E75" s="497" t="str">
        <f>+_xlfn.XLOOKUP(Cantidades[[#This Row],[cod Idu]],APU_IDU[Código],APU_IDU[UM],"",0)</f>
        <v>UN</v>
      </c>
      <c r="F75" s="499">
        <f>+_xlfn.XLOOKUP(Cantidades[[#This Row],[cod Idu]],APU_IDU[Código],APU_IDU[Valor],"",0)</f>
        <v>470326</v>
      </c>
      <c r="G75" s="753"/>
      <c r="H75" s="753"/>
      <c r="I75" s="753"/>
      <c r="J75" s="753"/>
      <c r="K75" s="753"/>
      <c r="L75" s="753"/>
      <c r="M75" s="753"/>
      <c r="N75" s="753"/>
      <c r="O75" s="753"/>
      <c r="P75" s="753"/>
      <c r="Q75" s="753"/>
      <c r="R75" s="753"/>
      <c r="S75" s="753"/>
      <c r="T75" s="753"/>
      <c r="U75" s="753"/>
      <c r="V75" s="753"/>
      <c r="W75" s="753"/>
      <c r="X75" s="753"/>
      <c r="Y75" s="753"/>
      <c r="Z75" s="753"/>
      <c r="AA75" s="753"/>
      <c r="AB75" s="753">
        <v>1</v>
      </c>
      <c r="AC75" s="753">
        <v>1</v>
      </c>
      <c r="AD75" s="753">
        <v>1</v>
      </c>
      <c r="AE75" s="753">
        <v>1</v>
      </c>
      <c r="AF75" s="753">
        <v>1</v>
      </c>
      <c r="AG75" s="753"/>
      <c r="AH75" s="753"/>
      <c r="AI75" s="753"/>
      <c r="AJ75" s="753"/>
      <c r="AK75" s="753"/>
      <c r="AL75" s="753">
        <v>1</v>
      </c>
      <c r="AM75" s="753">
        <v>1</v>
      </c>
      <c r="AN75" s="756"/>
      <c r="AO75" s="756"/>
      <c r="AP75" s="756"/>
      <c r="AQ75" s="756"/>
      <c r="AR75" s="756"/>
      <c r="AS75" s="756"/>
      <c r="AT75" s="756"/>
      <c r="AU75" s="756"/>
      <c r="AV75" s="756"/>
      <c r="AW75" s="756"/>
      <c r="AX75" s="756"/>
      <c r="AY75" s="756"/>
      <c r="AZ75" s="756"/>
      <c r="BA75" s="756"/>
      <c r="BB75" s="755"/>
    </row>
    <row r="76" spans="2:54" hidden="1" x14ac:dyDescent="0.3">
      <c r="B76" s="721" t="s">
        <v>6827</v>
      </c>
      <c r="C76" s="724">
        <v>5078</v>
      </c>
      <c r="D76" s="511" t="str">
        <f>+_xlfn.XLOOKUP(Cantidades[[#This Row],[cod Idu]],APU_IDU[Código],APU_IDU[Nombre],"",0)</f>
        <v>CODO 90° CXE PVC SANITARIA D=4" (INCLUYE SUMINISTRO E INSTALACIÓN).</v>
      </c>
      <c r="E76" s="497" t="str">
        <f>+_xlfn.XLOOKUP(Cantidades[[#This Row],[cod Idu]],APU_IDU[Código],APU_IDU[UM],"",0)</f>
        <v>UN</v>
      </c>
      <c r="F76" s="499">
        <f>+_xlfn.XLOOKUP(Cantidades[[#This Row],[cod Idu]],APU_IDU[Código],APU_IDU[Valor],"",0)</f>
        <v>29796</v>
      </c>
      <c r="G76" s="753"/>
      <c r="H76" s="753"/>
      <c r="I76" s="753">
        <v>1</v>
      </c>
      <c r="J76" s="753"/>
      <c r="K76" s="753">
        <v>1</v>
      </c>
      <c r="L76" s="753"/>
      <c r="M76" s="753"/>
      <c r="N76" s="753"/>
      <c r="O76" s="753"/>
      <c r="P76" s="753"/>
      <c r="Q76" s="753"/>
      <c r="R76" s="753"/>
      <c r="S76" s="753"/>
      <c r="T76" s="753"/>
      <c r="U76" s="753"/>
      <c r="V76" s="753"/>
      <c r="W76" s="753"/>
      <c r="X76" s="753"/>
      <c r="Y76" s="753"/>
      <c r="Z76" s="753"/>
      <c r="AA76" s="753"/>
      <c r="AB76" s="753"/>
      <c r="AC76" s="753"/>
      <c r="AD76" s="753"/>
      <c r="AE76" s="753"/>
      <c r="AF76" s="753"/>
      <c r="AG76" s="753"/>
      <c r="AH76" s="753"/>
      <c r="AI76" s="753"/>
      <c r="AJ76" s="753"/>
      <c r="AK76" s="753"/>
      <c r="AL76" s="753"/>
      <c r="AM76" s="753"/>
      <c r="AN76" s="756"/>
      <c r="AO76" s="756"/>
      <c r="AP76" s="756"/>
      <c r="AQ76" s="756"/>
      <c r="AR76" s="756"/>
      <c r="AS76" s="756"/>
      <c r="AT76" s="756"/>
      <c r="AU76" s="756"/>
      <c r="AV76" s="756"/>
      <c r="AW76" s="756"/>
      <c r="AX76" s="756"/>
      <c r="AY76" s="756"/>
      <c r="AZ76" s="756"/>
      <c r="BA76" s="756"/>
      <c r="BB76" s="755"/>
    </row>
    <row r="77" spans="2:54" hidden="1" x14ac:dyDescent="0.3">
      <c r="B77" s="721" t="s">
        <v>6827</v>
      </c>
      <c r="C77" s="724">
        <v>7419</v>
      </c>
      <c r="D77" s="511" t="str">
        <f>+_xlfn.XLOOKUP(Cantidades[[#This Row],[cod Idu]],APU_IDU[Código],APU_IDU[Nombre],"",0)</f>
        <v>TEE PVC U.M. 4" X 4" (SUMINISTRO E INSTALACIÓN)</v>
      </c>
      <c r="E77" s="497" t="str">
        <f>+_xlfn.XLOOKUP(Cantidades[[#This Row],[cod Idu]],APU_IDU[Código],APU_IDU[UM],"",0)</f>
        <v>UN</v>
      </c>
      <c r="F77" s="499">
        <f>+_xlfn.XLOOKUP(Cantidades[[#This Row],[cod Idu]],APU_IDU[Código],APU_IDU[Valor],"",0)</f>
        <v>288662</v>
      </c>
      <c r="G77" s="753"/>
      <c r="H77" s="753"/>
      <c r="I77" s="753"/>
      <c r="J77" s="753">
        <v>1</v>
      </c>
      <c r="K77" s="753"/>
      <c r="L77" s="753"/>
      <c r="M77" s="753"/>
      <c r="N77" s="753"/>
      <c r="O77" s="753"/>
      <c r="P77" s="753">
        <v>1</v>
      </c>
      <c r="Q77" s="753"/>
      <c r="R77" s="753"/>
      <c r="S77" s="753"/>
      <c r="T77" s="753"/>
      <c r="U77" s="753"/>
      <c r="V77" s="753"/>
      <c r="W77" s="753"/>
      <c r="X77" s="753"/>
      <c r="Y77" s="753"/>
      <c r="Z77" s="753"/>
      <c r="AA77" s="753"/>
      <c r="AB77" s="753"/>
      <c r="AC77" s="753"/>
      <c r="AD77" s="753"/>
      <c r="AE77" s="753"/>
      <c r="AF77" s="753"/>
      <c r="AG77" s="753"/>
      <c r="AH77" s="753"/>
      <c r="AI77" s="753"/>
      <c r="AJ77" s="753"/>
      <c r="AK77" s="753"/>
      <c r="AL77" s="753"/>
      <c r="AM77" s="753"/>
      <c r="AN77" s="756"/>
      <c r="AO77" s="756"/>
      <c r="AP77" s="756"/>
      <c r="AQ77" s="756"/>
      <c r="AR77" s="756"/>
      <c r="AS77" s="756"/>
      <c r="AT77" s="756"/>
      <c r="AU77" s="756"/>
      <c r="AV77" s="756"/>
      <c r="AW77" s="756"/>
      <c r="AX77" s="756"/>
      <c r="AY77" s="756"/>
      <c r="AZ77" s="756"/>
      <c r="BA77" s="756"/>
      <c r="BB77" s="755"/>
    </row>
    <row r="78" spans="2:54" hidden="1" x14ac:dyDescent="0.3">
      <c r="B78" s="721" t="s">
        <v>6827</v>
      </c>
      <c r="C78" s="724">
        <v>7421</v>
      </c>
      <c r="D78" s="511" t="str">
        <f>+_xlfn.XLOOKUP(Cantidades[[#This Row],[cod Idu]],APU_IDU[Código],APU_IDU[Nombre],"",0)</f>
        <v>TEE PVC U.M. 6" X 4" (SUMINISTRO E INSTALACIÓN)</v>
      </c>
      <c r="E78" s="497" t="str">
        <f>+_xlfn.XLOOKUP(Cantidades[[#This Row],[cod Idu]],APU_IDU[Código],APU_IDU[UM],"",0)</f>
        <v>UN</v>
      </c>
      <c r="F78" s="499">
        <f>+_xlfn.XLOOKUP(Cantidades[[#This Row],[cod Idu]],APU_IDU[Código],APU_IDU[Valor],"",0)</f>
        <v>1926775</v>
      </c>
      <c r="G78" s="753"/>
      <c r="H78" s="753"/>
      <c r="I78" s="753"/>
      <c r="J78" s="753"/>
      <c r="K78" s="753"/>
      <c r="L78" s="753"/>
      <c r="M78" s="753"/>
      <c r="N78" s="753"/>
      <c r="O78" s="753"/>
      <c r="P78" s="753"/>
      <c r="Q78" s="753"/>
      <c r="R78" s="753"/>
      <c r="S78" s="753"/>
      <c r="T78" s="753">
        <v>1</v>
      </c>
      <c r="U78" s="753"/>
      <c r="V78" s="753"/>
      <c r="W78" s="753"/>
      <c r="X78" s="753"/>
      <c r="Y78" s="753"/>
      <c r="Z78" s="753"/>
      <c r="AA78" s="753"/>
      <c r="AB78" s="753"/>
      <c r="AC78" s="753"/>
      <c r="AD78" s="753"/>
      <c r="AE78" s="753"/>
      <c r="AF78" s="753"/>
      <c r="AG78" s="753"/>
      <c r="AH78" s="753"/>
      <c r="AI78" s="753"/>
      <c r="AJ78" s="753"/>
      <c r="AK78" s="753"/>
      <c r="AL78" s="753"/>
      <c r="AM78" s="753"/>
      <c r="AN78" s="756"/>
      <c r="AO78" s="756"/>
      <c r="AP78" s="756"/>
      <c r="AQ78" s="756"/>
      <c r="AR78" s="756"/>
      <c r="AS78" s="756"/>
      <c r="AT78" s="756"/>
      <c r="AU78" s="756"/>
      <c r="AV78" s="756"/>
      <c r="AW78" s="756"/>
      <c r="AX78" s="756"/>
      <c r="AY78" s="756"/>
      <c r="AZ78" s="756"/>
      <c r="BA78" s="756"/>
      <c r="BB78" s="755"/>
    </row>
    <row r="79" spans="2:54" hidden="1" x14ac:dyDescent="0.3">
      <c r="B79" s="721" t="s">
        <v>6827</v>
      </c>
      <c r="C79" s="724">
        <v>7727</v>
      </c>
      <c r="D79" s="511" t="str">
        <f>+_xlfn.XLOOKUP(Cantidades[[#This Row],[cod Idu]],APU_IDU[Código],APU_IDU[Nombre],"",0)</f>
        <v>TEE PVC U.M. 8" X 4" (SUMINISTRO E INSTALACIÓN)</v>
      </c>
      <c r="E79" s="497" t="str">
        <f>+_xlfn.XLOOKUP(Cantidades[[#This Row],[cod Idu]],APU_IDU[Código],APU_IDU[UM],"",0)</f>
        <v>UN</v>
      </c>
      <c r="F79" s="499">
        <f>+_xlfn.XLOOKUP(Cantidades[[#This Row],[cod Idu]],APU_IDU[Código],APU_IDU[Valor],"",0)</f>
        <v>3234266</v>
      </c>
      <c r="G79" s="753"/>
      <c r="H79" s="753"/>
      <c r="I79" s="753"/>
      <c r="J79" s="753"/>
      <c r="K79" s="753"/>
      <c r="L79" s="753">
        <v>1</v>
      </c>
      <c r="M79" s="753"/>
      <c r="N79" s="753"/>
      <c r="O79" s="753"/>
      <c r="P79" s="753"/>
      <c r="Q79" s="753">
        <v>1</v>
      </c>
      <c r="R79" s="753"/>
      <c r="S79" s="753"/>
      <c r="T79" s="753">
        <v>1</v>
      </c>
      <c r="U79" s="753"/>
      <c r="V79" s="753"/>
      <c r="W79" s="753"/>
      <c r="X79" s="753"/>
      <c r="Y79" s="753"/>
      <c r="Z79" s="753"/>
      <c r="AA79" s="753"/>
      <c r="AB79" s="753"/>
      <c r="AC79" s="753"/>
      <c r="AD79" s="753"/>
      <c r="AE79" s="753"/>
      <c r="AF79" s="753"/>
      <c r="AG79" s="753"/>
      <c r="AH79" s="753"/>
      <c r="AI79" s="753"/>
      <c r="AJ79" s="753"/>
      <c r="AK79" s="753"/>
      <c r="AL79" s="753"/>
      <c r="AM79" s="753"/>
      <c r="AN79" s="756"/>
      <c r="AO79" s="756"/>
      <c r="AP79" s="756"/>
      <c r="AQ79" s="756"/>
      <c r="AR79" s="756"/>
      <c r="AS79" s="756"/>
      <c r="AT79" s="756"/>
      <c r="AU79" s="756"/>
      <c r="AV79" s="756"/>
      <c r="AW79" s="756"/>
      <c r="AX79" s="756"/>
      <c r="AY79" s="756"/>
      <c r="AZ79" s="756"/>
      <c r="BA79" s="756"/>
      <c r="BB79" s="755"/>
    </row>
    <row r="80" spans="2:54" hidden="1" x14ac:dyDescent="0.3">
      <c r="B80" s="721" t="s">
        <v>6827</v>
      </c>
      <c r="C80" s="724">
        <v>4558</v>
      </c>
      <c r="D80" s="511" t="str">
        <f>+_xlfn.XLOOKUP(Cantidades[[#This Row],[cod Idu]],APU_IDU[Código],APU_IDU[Nombre],"",0)</f>
        <v>SUMIDERO ALCANTARILLADO PLUVIAL EN VIA NS-047-1V4 EAAB</v>
      </c>
      <c r="E80" s="497" t="str">
        <f>+_xlfn.XLOOKUP(Cantidades[[#This Row],[cod Idu]],APU_IDU[Código],APU_IDU[UM],"",0)</f>
        <v>UN</v>
      </c>
      <c r="F80" s="499">
        <f>+_xlfn.XLOOKUP(Cantidades[[#This Row],[cod Idu]],APU_IDU[Código],APU_IDU[Valor],"",0)</f>
        <v>8015596</v>
      </c>
      <c r="G80" s="753"/>
      <c r="H80" s="753"/>
      <c r="I80" s="753"/>
      <c r="J80" s="753"/>
      <c r="K80" s="753"/>
      <c r="L80" s="753"/>
      <c r="M80" s="753"/>
      <c r="N80" s="753"/>
      <c r="O80" s="753"/>
      <c r="P80" s="753"/>
      <c r="Q80" s="753"/>
      <c r="R80" s="753"/>
      <c r="S80" s="753"/>
      <c r="T80" s="753"/>
      <c r="U80" s="753"/>
      <c r="V80" s="753"/>
      <c r="W80" s="753"/>
      <c r="X80" s="753"/>
      <c r="Y80" s="753"/>
      <c r="Z80" s="753"/>
      <c r="AA80" s="753">
        <v>1</v>
      </c>
      <c r="AB80" s="753"/>
      <c r="AC80" s="753"/>
      <c r="AD80" s="753"/>
      <c r="AE80" s="753"/>
      <c r="AF80" s="753"/>
      <c r="AG80" s="753"/>
      <c r="AH80" s="753"/>
      <c r="AI80" s="753"/>
      <c r="AJ80" s="753"/>
      <c r="AK80" s="753"/>
      <c r="AL80" s="753"/>
      <c r="AM80" s="753"/>
      <c r="AN80" s="756"/>
      <c r="AO80" s="756"/>
      <c r="AP80" s="756"/>
      <c r="AQ80" s="756"/>
      <c r="AR80" s="756"/>
      <c r="AS80" s="756"/>
      <c r="AT80" s="756"/>
      <c r="AU80" s="756"/>
      <c r="AV80" s="756"/>
      <c r="AW80" s="756"/>
      <c r="AX80" s="756"/>
      <c r="AY80" s="756"/>
      <c r="AZ80" s="756"/>
      <c r="BA80" s="756"/>
      <c r="BB80" s="755"/>
    </row>
    <row r="81" spans="2:54" ht="28.8" hidden="1" x14ac:dyDescent="0.3">
      <c r="B81" s="721" t="s">
        <v>6827</v>
      </c>
      <c r="C81" s="627">
        <v>5015</v>
      </c>
      <c r="D81" s="511" t="str">
        <f>+_xlfn.XLOOKUP(Cantidades[[#This Row],[cod Idu]],APU_IDU[Código],APU_IDU[Nombre],"",0)</f>
        <v>CAJA DE INSPECCION 0.80X0.8M. SUMINISTRO Y CONSTRUCCION. (H=0.6M. INCLUYE MARCO Y TAPA, NO INCLUYE BASE Y CAÑUELA).</v>
      </c>
      <c r="E81" s="497" t="str">
        <f>+_xlfn.XLOOKUP(Cantidades[[#This Row],[cod Idu]],APU_IDU[Código],APU_IDU[UM],"",0)</f>
        <v>UN</v>
      </c>
      <c r="F81" s="499">
        <f>+_xlfn.XLOOKUP(Cantidades[[#This Row],[cod Idu]],APU_IDU[Código],APU_IDU[Valor],"",0)</f>
        <v>729363</v>
      </c>
      <c r="G81" s="753"/>
      <c r="H81" s="753">
        <v>1</v>
      </c>
      <c r="I81" s="753"/>
      <c r="J81" s="753"/>
      <c r="K81" s="753"/>
      <c r="L81" s="753"/>
      <c r="M81" s="753"/>
      <c r="N81" s="753"/>
      <c r="O81" s="753"/>
      <c r="P81" s="753"/>
      <c r="Q81" s="753"/>
      <c r="R81" s="753"/>
      <c r="S81" s="753"/>
      <c r="T81" s="753"/>
      <c r="U81" s="753"/>
      <c r="V81" s="753"/>
      <c r="W81" s="753"/>
      <c r="X81" s="753">
        <v>1</v>
      </c>
      <c r="Y81" s="753"/>
      <c r="Z81" s="753"/>
      <c r="AA81" s="753"/>
      <c r="AB81" s="753"/>
      <c r="AC81" s="753"/>
      <c r="AD81" s="753"/>
      <c r="AE81" s="753"/>
      <c r="AF81" s="753"/>
      <c r="AG81" s="753"/>
      <c r="AH81" s="753"/>
      <c r="AI81" s="753"/>
      <c r="AJ81" s="753"/>
      <c r="AK81" s="753"/>
      <c r="AL81" s="753"/>
      <c r="AM81" s="753"/>
      <c r="AN81" s="756"/>
      <c r="AO81" s="756"/>
      <c r="AP81" s="756"/>
      <c r="AQ81" s="756"/>
      <c r="AR81" s="756"/>
      <c r="AS81" s="756"/>
      <c r="AT81" s="756"/>
      <c r="AU81" s="756"/>
      <c r="AV81" s="756"/>
      <c r="AW81" s="756"/>
      <c r="AX81" s="756"/>
      <c r="AY81" s="756"/>
      <c r="AZ81" s="756"/>
      <c r="BA81" s="756"/>
      <c r="BB81" s="755"/>
    </row>
    <row r="82" spans="2:54" ht="28.8" hidden="1" x14ac:dyDescent="0.3">
      <c r="B82" s="721" t="s">
        <v>6827</v>
      </c>
      <c r="C82" s="627">
        <v>3779</v>
      </c>
      <c r="D82" s="511" t="str">
        <f>+_xlfn.XLOOKUP(Cantidades[[#This Row],[cod Idu]],APU_IDU[Código],APU_IDU[Nombre],"",0)</f>
        <v>CAJA DE INSPECCIÓN DE 0.6X0.6M (H=0.6M. INCLUYE SUMINISTRO Y CONSTRUCCIÓN. INCLUYE MARCO Y TAPA. NO INC. BASE Y CAÑUELA)</v>
      </c>
      <c r="E82" s="497" t="str">
        <f>+_xlfn.XLOOKUP(Cantidades[[#This Row],[cod Idu]],APU_IDU[Código],APU_IDU[UM],"",0)</f>
        <v>UN</v>
      </c>
      <c r="F82" s="499">
        <f>+_xlfn.XLOOKUP(Cantidades[[#This Row],[cod Idu]],APU_IDU[Código],APU_IDU[Valor],"",0)</f>
        <v>622929</v>
      </c>
      <c r="G82" s="753"/>
      <c r="H82" s="753"/>
      <c r="I82" s="753"/>
      <c r="J82" s="753"/>
      <c r="K82" s="753"/>
      <c r="L82" s="753"/>
      <c r="M82" s="753"/>
      <c r="N82" s="753"/>
      <c r="O82" s="753"/>
      <c r="P82" s="753"/>
      <c r="Q82" s="753"/>
      <c r="R82" s="753"/>
      <c r="S82" s="753"/>
      <c r="T82" s="753"/>
      <c r="U82" s="753"/>
      <c r="V82" s="753"/>
      <c r="W82" s="753"/>
      <c r="X82" s="753">
        <v>1</v>
      </c>
      <c r="Y82" s="753"/>
      <c r="Z82" s="753"/>
      <c r="AA82" s="753"/>
      <c r="AB82" s="753"/>
      <c r="AC82" s="753"/>
      <c r="AD82" s="753"/>
      <c r="AE82" s="753"/>
      <c r="AF82" s="753"/>
      <c r="AG82" s="753"/>
      <c r="AH82" s="753"/>
      <c r="AI82" s="753"/>
      <c r="AJ82" s="753"/>
      <c r="AK82" s="753"/>
      <c r="AL82" s="753"/>
      <c r="AM82" s="753"/>
      <c r="AN82" s="756"/>
      <c r="AO82" s="756"/>
      <c r="AP82" s="756"/>
      <c r="AQ82" s="756"/>
      <c r="AR82" s="756"/>
      <c r="AS82" s="756"/>
      <c r="AT82" s="756"/>
      <c r="AU82" s="756"/>
      <c r="AV82" s="756"/>
      <c r="AW82" s="756"/>
      <c r="AX82" s="756"/>
      <c r="AY82" s="756"/>
      <c r="AZ82" s="756"/>
      <c r="BA82" s="756"/>
      <c r="BB82" s="755"/>
    </row>
    <row r="83" spans="2:54" hidden="1" x14ac:dyDescent="0.3">
      <c r="B83" s="721" t="s">
        <v>6827</v>
      </c>
      <c r="C83" s="627">
        <v>4611</v>
      </c>
      <c r="D83" s="511" t="str">
        <f>+_xlfn.XLOOKUP(Cantidades[[#This Row],[cod Idu]],APU_IDU[Código],APU_IDU[Nombre],"",0)</f>
        <v>CARCAMO PROTECCIÓN DE TUBERÍA Ø 8" (TIPO PLACA) NORMA EAAB NS-090</v>
      </c>
      <c r="E83" s="497" t="str">
        <f>+_xlfn.XLOOKUP(Cantidades[[#This Row],[cod Idu]],APU_IDU[Código],APU_IDU[UM],"",0)</f>
        <v>ML</v>
      </c>
      <c r="F83" s="499">
        <f>+_xlfn.XLOOKUP(Cantidades[[#This Row],[cod Idu]],APU_IDU[Código],APU_IDU[Valor],"",0)</f>
        <v>254780</v>
      </c>
      <c r="G83" s="753"/>
      <c r="H83" s="753"/>
      <c r="I83" s="753"/>
      <c r="J83" s="753">
        <v>15</v>
      </c>
      <c r="K83" s="753"/>
      <c r="L83" s="753"/>
      <c r="M83" s="753"/>
      <c r="N83" s="753"/>
      <c r="O83" s="753"/>
      <c r="P83" s="753"/>
      <c r="Q83" s="753"/>
      <c r="R83" s="753"/>
      <c r="S83" s="753"/>
      <c r="T83" s="753"/>
      <c r="U83" s="753"/>
      <c r="V83" s="753">
        <v>8</v>
      </c>
      <c r="W83" s="753"/>
      <c r="X83" s="753"/>
      <c r="Y83" s="753"/>
      <c r="Z83" s="753"/>
      <c r="AA83" s="753"/>
      <c r="AB83" s="753"/>
      <c r="AC83" s="753"/>
      <c r="AD83" s="753"/>
      <c r="AE83" s="753"/>
      <c r="AF83" s="753"/>
      <c r="AG83" s="753"/>
      <c r="AH83" s="753"/>
      <c r="AI83" s="753"/>
      <c r="AJ83" s="753"/>
      <c r="AK83" s="753"/>
      <c r="AL83" s="753"/>
      <c r="AM83" s="753"/>
      <c r="AN83" s="756"/>
      <c r="AO83" s="756"/>
      <c r="AP83" s="756"/>
      <c r="AQ83" s="756"/>
      <c r="AR83" s="756"/>
      <c r="AS83" s="756"/>
      <c r="AT83" s="756"/>
      <c r="AU83" s="756"/>
      <c r="AV83" s="756"/>
      <c r="AW83" s="756"/>
      <c r="AX83" s="756"/>
      <c r="AY83" s="756"/>
      <c r="AZ83" s="756"/>
      <c r="BA83" s="756"/>
      <c r="BB83" s="755"/>
    </row>
    <row r="84" spans="2:54" hidden="1" x14ac:dyDescent="0.3">
      <c r="B84" s="721" t="s">
        <v>6827</v>
      </c>
      <c r="C84" s="627">
        <v>4612</v>
      </c>
      <c r="D84" s="511" t="str">
        <f>+_xlfn.XLOOKUP(Cantidades[[#This Row],[cod Idu]],APU_IDU[Código],APU_IDU[Nombre],"",0)</f>
        <v>CARCAMO PROTECCIÓN DE TUBERÍA Ø 10" (TIPO PLACA) NORMA EAAB NS-090</v>
      </c>
      <c r="E84" s="497" t="str">
        <f>+_xlfn.XLOOKUP(Cantidades[[#This Row],[cod Idu]],APU_IDU[Código],APU_IDU[UM],"",0)</f>
        <v>ML</v>
      </c>
      <c r="F84" s="499">
        <f>+_xlfn.XLOOKUP(Cantidades[[#This Row],[cod Idu]],APU_IDU[Código],APU_IDU[Valor],"",0)</f>
        <v>254780</v>
      </c>
      <c r="G84" s="753"/>
      <c r="H84" s="753"/>
      <c r="I84" s="753"/>
      <c r="J84" s="753"/>
      <c r="K84" s="753"/>
      <c r="L84" s="753"/>
      <c r="M84" s="753"/>
      <c r="N84" s="753"/>
      <c r="O84" s="753"/>
      <c r="P84" s="753"/>
      <c r="Q84" s="753"/>
      <c r="R84" s="753"/>
      <c r="S84" s="753"/>
      <c r="T84" s="753"/>
      <c r="U84" s="753">
        <v>10</v>
      </c>
      <c r="V84" s="753"/>
      <c r="W84" s="753"/>
      <c r="X84" s="753"/>
      <c r="Y84" s="753"/>
      <c r="Z84" s="753"/>
      <c r="AA84" s="753"/>
      <c r="AB84" s="753"/>
      <c r="AC84" s="753"/>
      <c r="AD84" s="753"/>
      <c r="AE84" s="753"/>
      <c r="AF84" s="753"/>
      <c r="AG84" s="753"/>
      <c r="AH84" s="753"/>
      <c r="AI84" s="753"/>
      <c r="AJ84" s="753"/>
      <c r="AK84" s="753"/>
      <c r="AL84" s="753"/>
      <c r="AM84" s="753"/>
      <c r="AN84" s="756"/>
      <c r="AO84" s="756"/>
      <c r="AP84" s="756"/>
      <c r="AQ84" s="756"/>
      <c r="AR84" s="756"/>
      <c r="AS84" s="756"/>
      <c r="AT84" s="756"/>
      <c r="AU84" s="756"/>
      <c r="AV84" s="756"/>
      <c r="AW84" s="756"/>
      <c r="AX84" s="756"/>
      <c r="AY84" s="756"/>
      <c r="AZ84" s="756"/>
      <c r="BA84" s="756"/>
      <c r="BB84" s="755"/>
    </row>
    <row r="85" spans="2:54" hidden="1" x14ac:dyDescent="0.3">
      <c r="B85" s="721" t="s">
        <v>6827</v>
      </c>
      <c r="C85" s="627">
        <v>4614</v>
      </c>
      <c r="D85" s="511" t="str">
        <f>+_xlfn.XLOOKUP(Cantidades[[#This Row],[cod Idu]],APU_IDU[Código],APU_IDU[Nombre],"",0)</f>
        <v>CARCAMO PROTECCIÓN DE TUBERÍA Ø 12" (TIPO PLACA) NORMA EAAB NS-090</v>
      </c>
      <c r="E85" s="497" t="str">
        <f>+_xlfn.XLOOKUP(Cantidades[[#This Row],[cod Idu]],APU_IDU[Código],APU_IDU[UM],"",0)</f>
        <v>ML</v>
      </c>
      <c r="F85" s="499">
        <f>+_xlfn.XLOOKUP(Cantidades[[#This Row],[cod Idu]],APU_IDU[Código],APU_IDU[Valor],"",0)</f>
        <v>257166</v>
      </c>
      <c r="G85" s="753"/>
      <c r="H85" s="753"/>
      <c r="I85" s="753"/>
      <c r="J85" s="753"/>
      <c r="K85" s="753"/>
      <c r="L85" s="753"/>
      <c r="M85" s="753"/>
      <c r="N85" s="753"/>
      <c r="O85" s="753"/>
      <c r="P85" s="753"/>
      <c r="Q85" s="753"/>
      <c r="R85" s="753"/>
      <c r="S85" s="753">
        <v>8</v>
      </c>
      <c r="T85" s="753">
        <v>3</v>
      </c>
      <c r="U85" s="753"/>
      <c r="V85" s="753"/>
      <c r="W85" s="753"/>
      <c r="X85" s="753"/>
      <c r="Y85" s="753"/>
      <c r="Z85" s="753"/>
      <c r="AA85" s="753"/>
      <c r="AB85" s="753"/>
      <c r="AC85" s="753"/>
      <c r="AD85" s="753"/>
      <c r="AE85" s="753"/>
      <c r="AF85" s="753"/>
      <c r="AG85" s="753"/>
      <c r="AH85" s="753"/>
      <c r="AI85" s="753"/>
      <c r="AJ85" s="753"/>
      <c r="AK85" s="753"/>
      <c r="AL85" s="753"/>
      <c r="AM85" s="753"/>
      <c r="AN85" s="756"/>
      <c r="AO85" s="756"/>
      <c r="AP85" s="756"/>
      <c r="AQ85" s="756"/>
      <c r="AR85" s="756"/>
      <c r="AS85" s="756"/>
      <c r="AT85" s="756"/>
      <c r="AU85" s="756"/>
      <c r="AV85" s="756"/>
      <c r="AW85" s="756"/>
      <c r="AX85" s="756"/>
      <c r="AY85" s="756"/>
      <c r="AZ85" s="756"/>
      <c r="BA85" s="756"/>
      <c r="BB85" s="755"/>
    </row>
    <row r="86" spans="2:54" hidden="1" x14ac:dyDescent="0.3">
      <c r="B86" s="721" t="s">
        <v>6827</v>
      </c>
      <c r="C86" s="725">
        <v>3009</v>
      </c>
      <c r="D86" s="511" t="str">
        <f>+_xlfn.XLOOKUP(Cantidades[[#This Row],[cod Idu]],APU_IDU[Código],APU_IDU[Nombre],"",0)</f>
        <v>EXCAVACION MANUAL PARA REDES PROFUNDIDAD 0M - 2M (INCLUYE CARGUE)</v>
      </c>
      <c r="E86" s="497" t="str">
        <f>+_xlfn.XLOOKUP(Cantidades[[#This Row],[cod Idu]],APU_IDU[Código],APU_IDU[UM],"",0)</f>
        <v>M3</v>
      </c>
      <c r="F86" s="499">
        <f>+_xlfn.XLOOKUP(Cantidades[[#This Row],[cod Idu]],APU_IDU[Código],APU_IDU[Valor],"",0)</f>
        <v>58471</v>
      </c>
      <c r="G86" s="753"/>
      <c r="H86" s="753">
        <f t="shared" ref="H86:AM86" si="36">ROUND(SUM(H$96:H$99)*3*0.8,2)</f>
        <v>147.49</v>
      </c>
      <c r="I86" s="753">
        <f t="shared" si="36"/>
        <v>160.22999999999999</v>
      </c>
      <c r="J86" s="753">
        <f t="shared" si="36"/>
        <v>112.85</v>
      </c>
      <c r="K86" s="753">
        <f t="shared" si="36"/>
        <v>109.06</v>
      </c>
      <c r="L86" s="753">
        <f t="shared" si="36"/>
        <v>114</v>
      </c>
      <c r="M86" s="753">
        <f t="shared" si="36"/>
        <v>0</v>
      </c>
      <c r="N86" s="753">
        <f t="shared" si="36"/>
        <v>30.72</v>
      </c>
      <c r="O86" s="753"/>
      <c r="P86" s="753">
        <f t="shared" si="36"/>
        <v>32.659999999999997</v>
      </c>
      <c r="Q86" s="753">
        <f t="shared" si="36"/>
        <v>84.74</v>
      </c>
      <c r="R86" s="753">
        <f t="shared" si="36"/>
        <v>89.96</v>
      </c>
      <c r="S86" s="753">
        <f t="shared" si="36"/>
        <v>18.98</v>
      </c>
      <c r="T86" s="753">
        <f t="shared" si="36"/>
        <v>39.64</v>
      </c>
      <c r="U86" s="753">
        <f t="shared" si="36"/>
        <v>117.69</v>
      </c>
      <c r="V86" s="753">
        <f t="shared" si="36"/>
        <v>48.65</v>
      </c>
      <c r="W86" s="753">
        <f t="shared" si="36"/>
        <v>90.72</v>
      </c>
      <c r="X86" s="753">
        <f t="shared" si="36"/>
        <v>0</v>
      </c>
      <c r="Y86" s="753"/>
      <c r="Z86" s="753">
        <f t="shared" si="36"/>
        <v>46.1</v>
      </c>
      <c r="AA86" s="753"/>
      <c r="AB86" s="753">
        <f t="shared" si="36"/>
        <v>103.13</v>
      </c>
      <c r="AC86" s="753">
        <f t="shared" si="36"/>
        <v>77.239999999999995</v>
      </c>
      <c r="AD86" s="753">
        <f t="shared" si="36"/>
        <v>48.48</v>
      </c>
      <c r="AE86" s="753">
        <f t="shared" si="36"/>
        <v>33.4</v>
      </c>
      <c r="AF86" s="753">
        <f t="shared" si="36"/>
        <v>129.63</v>
      </c>
      <c r="AG86" s="753"/>
      <c r="AH86" s="753"/>
      <c r="AI86" s="753"/>
      <c r="AJ86" s="753"/>
      <c r="AK86" s="753"/>
      <c r="AL86" s="753">
        <f t="shared" si="36"/>
        <v>193.13</v>
      </c>
      <c r="AM86" s="753">
        <f t="shared" si="36"/>
        <v>129.03</v>
      </c>
      <c r="AN86" s="756"/>
      <c r="AO86" s="756"/>
      <c r="AP86" s="756"/>
      <c r="AQ86" s="756"/>
      <c r="AR86" s="756"/>
      <c r="AS86" s="756"/>
      <c r="AT86" s="756"/>
      <c r="AU86" s="756"/>
      <c r="AV86" s="756"/>
      <c r="AW86" s="756"/>
      <c r="AX86" s="756"/>
      <c r="AY86" s="756"/>
      <c r="AZ86" s="756"/>
      <c r="BA86" s="756"/>
      <c r="BB86" s="755"/>
    </row>
    <row r="87" spans="2:54" ht="43.2" hidden="1" x14ac:dyDescent="0.3">
      <c r="B87" s="721" t="s">
        <v>6827</v>
      </c>
      <c r="C87" s="725">
        <v>3017</v>
      </c>
      <c r="D87" s="511" t="str">
        <f>+_xlfn.XLOOKUP(Cantidades[[#This Row],[cod Idu]],APU_IDU[Código],APU_IDU[Nombre],"",0)</f>
        <v>TRANSPORTE Y DISPOSICIÓN FINAL DE ESCOMBROS EN SITIO AUTORIZADO (DISTANCIA DE TRANSPORTE 21 KM). A DISTANCIA MAYOR DEL ACARREO LIBRE (90 M) EN SITIO AUTORIZADO POR LA ENTIDAD AMBIENTAL COMPETENTE.</v>
      </c>
      <c r="E87" s="497" t="str">
        <f>+_xlfn.XLOOKUP(Cantidades[[#This Row],[cod Idu]],APU_IDU[Código],APU_IDU[UM],"",0)</f>
        <v>M3</v>
      </c>
      <c r="F87" s="499">
        <f>+_xlfn.XLOOKUP(Cantidades[[#This Row],[cod Idu]],APU_IDU[Código],APU_IDU[Valor],"",0)</f>
        <v>45734</v>
      </c>
      <c r="G87" s="753"/>
      <c r="H87" s="753">
        <f t="shared" ref="H87:AM87" si="37">ROUND(H$86*1.3,2)</f>
        <v>191.74</v>
      </c>
      <c r="I87" s="753">
        <f t="shared" si="37"/>
        <v>208.3</v>
      </c>
      <c r="J87" s="753">
        <f t="shared" si="37"/>
        <v>146.71</v>
      </c>
      <c r="K87" s="753">
        <f t="shared" si="37"/>
        <v>141.78</v>
      </c>
      <c r="L87" s="753">
        <f t="shared" si="37"/>
        <v>148.19999999999999</v>
      </c>
      <c r="M87" s="753">
        <f t="shared" si="37"/>
        <v>0</v>
      </c>
      <c r="N87" s="753">
        <f t="shared" si="37"/>
        <v>39.94</v>
      </c>
      <c r="O87" s="753"/>
      <c r="P87" s="753">
        <f t="shared" si="37"/>
        <v>42.46</v>
      </c>
      <c r="Q87" s="753">
        <f t="shared" si="37"/>
        <v>110.16</v>
      </c>
      <c r="R87" s="753">
        <f t="shared" si="37"/>
        <v>116.95</v>
      </c>
      <c r="S87" s="753">
        <f t="shared" si="37"/>
        <v>24.67</v>
      </c>
      <c r="T87" s="753">
        <f t="shared" si="37"/>
        <v>51.53</v>
      </c>
      <c r="U87" s="753">
        <f t="shared" si="37"/>
        <v>153</v>
      </c>
      <c r="V87" s="753">
        <f t="shared" si="37"/>
        <v>63.25</v>
      </c>
      <c r="W87" s="753">
        <f t="shared" si="37"/>
        <v>117.94</v>
      </c>
      <c r="X87" s="753">
        <f t="shared" si="37"/>
        <v>0</v>
      </c>
      <c r="Y87" s="753"/>
      <c r="Z87" s="753">
        <f t="shared" si="37"/>
        <v>59.93</v>
      </c>
      <c r="AA87" s="753"/>
      <c r="AB87" s="753">
        <f t="shared" si="37"/>
        <v>134.07</v>
      </c>
      <c r="AC87" s="753">
        <f t="shared" si="37"/>
        <v>100.41</v>
      </c>
      <c r="AD87" s="753">
        <f t="shared" si="37"/>
        <v>63.02</v>
      </c>
      <c r="AE87" s="753">
        <f t="shared" si="37"/>
        <v>43.42</v>
      </c>
      <c r="AF87" s="753">
        <f t="shared" si="37"/>
        <v>168.52</v>
      </c>
      <c r="AG87" s="753"/>
      <c r="AH87" s="753"/>
      <c r="AI87" s="753"/>
      <c r="AJ87" s="753"/>
      <c r="AK87" s="753"/>
      <c r="AL87" s="753">
        <f t="shared" si="37"/>
        <v>251.07</v>
      </c>
      <c r="AM87" s="753">
        <f t="shared" si="37"/>
        <v>167.74</v>
      </c>
      <c r="AN87" s="756"/>
      <c r="AO87" s="756"/>
      <c r="AP87" s="756"/>
      <c r="AQ87" s="756"/>
      <c r="AR87" s="756"/>
      <c r="AS87" s="756"/>
      <c r="AT87" s="756"/>
      <c r="AU87" s="756"/>
      <c r="AV87" s="756"/>
      <c r="AW87" s="756"/>
      <c r="AX87" s="756"/>
      <c r="AY87" s="756"/>
      <c r="AZ87" s="756"/>
      <c r="BA87" s="756"/>
      <c r="BB87" s="755"/>
    </row>
    <row r="88" spans="2:54" ht="28.8" hidden="1" x14ac:dyDescent="0.3">
      <c r="B88" s="721" t="s">
        <v>6827</v>
      </c>
      <c r="C88" s="725">
        <v>3050</v>
      </c>
      <c r="D88" s="511" t="str">
        <f>+_xlfn.XLOOKUP(Cantidades[[#This Row],[cod Idu]],APU_IDU[Código],APU_IDU[Nombre],"",0)</f>
        <v>RELLENO EN MATERIAL SELECCIONADO PROVENIENTE DE LA EXCAVACIÓN (EXTENDIDO MANUAL, HUMEDECIMIENTO Y COMPACTACIÓN)</v>
      </c>
      <c r="E88" s="497" t="str">
        <f>+_xlfn.XLOOKUP(Cantidades[[#This Row],[cod Idu]],APU_IDU[Código],APU_IDU[UM],"",0)</f>
        <v>M3</v>
      </c>
      <c r="F88" s="499">
        <f>+_xlfn.XLOOKUP(Cantidades[[#This Row],[cod Idu]],APU_IDU[Código],APU_IDU[Valor],"",0)</f>
        <v>48122</v>
      </c>
      <c r="G88" s="753"/>
      <c r="H88" s="753">
        <f>ROUND(H$86*0.1,2)</f>
        <v>14.75</v>
      </c>
      <c r="I88" s="753">
        <f t="shared" ref="I88:Z89" si="38">ROUND(I$86*0.1,2)</f>
        <v>16.02</v>
      </c>
      <c r="J88" s="753"/>
      <c r="K88" s="753">
        <f t="shared" si="38"/>
        <v>10.91</v>
      </c>
      <c r="L88" s="753">
        <f t="shared" si="38"/>
        <v>11.4</v>
      </c>
      <c r="M88" s="753"/>
      <c r="N88" s="753">
        <f t="shared" si="38"/>
        <v>3.07</v>
      </c>
      <c r="O88" s="753"/>
      <c r="P88" s="753">
        <f t="shared" si="38"/>
        <v>3.27</v>
      </c>
      <c r="Q88" s="753">
        <f t="shared" si="38"/>
        <v>8.4700000000000006</v>
      </c>
      <c r="R88" s="753">
        <f t="shared" si="38"/>
        <v>9</v>
      </c>
      <c r="S88" s="753">
        <f t="shared" si="38"/>
        <v>1.9</v>
      </c>
      <c r="T88" s="753">
        <f t="shared" si="38"/>
        <v>3.96</v>
      </c>
      <c r="U88" s="753">
        <f t="shared" si="38"/>
        <v>11.77</v>
      </c>
      <c r="V88" s="753">
        <f t="shared" si="38"/>
        <v>4.87</v>
      </c>
      <c r="W88" s="753">
        <f t="shared" si="38"/>
        <v>9.07</v>
      </c>
      <c r="X88" s="753"/>
      <c r="Y88" s="753"/>
      <c r="Z88" s="753">
        <f t="shared" si="38"/>
        <v>4.6100000000000003</v>
      </c>
      <c r="AA88" s="753"/>
      <c r="AB88" s="753">
        <f t="shared" ref="AB88:AM88" si="39">ROUND(AB$86*0.1,2)</f>
        <v>10.31</v>
      </c>
      <c r="AC88" s="753">
        <f t="shared" si="39"/>
        <v>7.72</v>
      </c>
      <c r="AD88" s="753">
        <f t="shared" si="39"/>
        <v>4.8499999999999996</v>
      </c>
      <c r="AE88" s="753">
        <f t="shared" si="39"/>
        <v>3.34</v>
      </c>
      <c r="AF88" s="753">
        <f t="shared" si="39"/>
        <v>12.96</v>
      </c>
      <c r="AG88" s="753"/>
      <c r="AH88" s="753"/>
      <c r="AI88" s="753"/>
      <c r="AJ88" s="753"/>
      <c r="AK88" s="753"/>
      <c r="AL88" s="753">
        <f t="shared" si="39"/>
        <v>19.309999999999999</v>
      </c>
      <c r="AM88" s="753">
        <f t="shared" si="39"/>
        <v>12.9</v>
      </c>
      <c r="AN88" s="756"/>
      <c r="AO88" s="756"/>
      <c r="AP88" s="756"/>
      <c r="AQ88" s="756"/>
      <c r="AR88" s="756"/>
      <c r="AS88" s="756"/>
      <c r="AT88" s="756"/>
      <c r="AU88" s="756"/>
      <c r="AV88" s="756"/>
      <c r="AW88" s="756"/>
      <c r="AX88" s="756"/>
      <c r="AY88" s="756"/>
      <c r="AZ88" s="756"/>
      <c r="BA88" s="756"/>
      <c r="BB88" s="755"/>
    </row>
    <row r="89" spans="2:54" ht="28.8" hidden="1" x14ac:dyDescent="0.3">
      <c r="B89" s="721" t="s">
        <v>6827</v>
      </c>
      <c r="C89" s="725">
        <v>5412</v>
      </c>
      <c r="D89" s="511" t="str">
        <f>+_xlfn.XLOOKUP(Cantidades[[#This Row],[cod Idu]],APU_IDU[Código],APU_IDU[Nombre],"",0)</f>
        <v>RELLENO EN TRITURADO DE 3/4`` (INCLUYE TRANSPORTE, SUMINISTRO, EXTENDIDO MANUAL Y COLOCACIÓN)</v>
      </c>
      <c r="E89" s="497" t="str">
        <f>+_xlfn.XLOOKUP(Cantidades[[#This Row],[cod Idu]],APU_IDU[Código],APU_IDU[UM],"",0)</f>
        <v>M3</v>
      </c>
      <c r="F89" s="499">
        <f>+_xlfn.XLOOKUP(Cantidades[[#This Row],[cod Idu]],APU_IDU[Código],APU_IDU[Valor],"",0)</f>
        <v>178829</v>
      </c>
      <c r="G89" s="753"/>
      <c r="H89" s="753"/>
      <c r="I89" s="753"/>
      <c r="J89" s="753">
        <f t="shared" si="38"/>
        <v>11.29</v>
      </c>
      <c r="K89" s="753"/>
      <c r="L89" s="753"/>
      <c r="M89" s="753"/>
      <c r="N89" s="753"/>
      <c r="O89" s="753"/>
      <c r="P89" s="753"/>
      <c r="Q89" s="753"/>
      <c r="R89" s="753"/>
      <c r="S89" s="753"/>
      <c r="T89" s="753"/>
      <c r="U89" s="753"/>
      <c r="V89" s="753"/>
      <c r="W89" s="753"/>
      <c r="X89" s="753"/>
      <c r="Y89" s="753"/>
      <c r="Z89" s="753"/>
      <c r="AA89" s="753"/>
      <c r="AB89" s="753"/>
      <c r="AC89" s="753"/>
      <c r="AD89" s="753"/>
      <c r="AE89" s="753"/>
      <c r="AF89" s="753"/>
      <c r="AG89" s="753"/>
      <c r="AH89" s="753"/>
      <c r="AI89" s="753"/>
      <c r="AJ89" s="753"/>
      <c r="AK89" s="753"/>
      <c r="AL89" s="757"/>
      <c r="AM89" s="757"/>
      <c r="AN89" s="756"/>
      <c r="AO89" s="756"/>
      <c r="AP89" s="756"/>
      <c r="AQ89" s="756"/>
      <c r="AR89" s="756"/>
      <c r="AS89" s="756"/>
      <c r="AT89" s="756"/>
      <c r="AU89" s="756"/>
      <c r="AV89" s="756"/>
      <c r="AW89" s="756"/>
      <c r="AX89" s="756"/>
      <c r="AY89" s="756"/>
      <c r="AZ89" s="756"/>
      <c r="BA89" s="756"/>
      <c r="BB89" s="755"/>
    </row>
    <row r="90" spans="2:54" ht="28.8" hidden="1" x14ac:dyDescent="0.3">
      <c r="B90" s="721" t="s">
        <v>6827</v>
      </c>
      <c r="C90" s="725">
        <v>4792</v>
      </c>
      <c r="D90" s="511" t="str">
        <f>+_xlfn.XLOOKUP(Cantidades[[#This Row],[cod Idu]],APU_IDU[Código],APU_IDU[Nombre],"",0)</f>
        <v>RELLENO EN RECEBO COMUN (SUMINISTRO E INSTALACIÓN EXTENDIDO MANUAL, HUMEDECIMIENTO Y COMPACTACIÓN TRANSPORTE A 28 KM).</v>
      </c>
      <c r="E90" s="497" t="str">
        <f>+_xlfn.XLOOKUP(Cantidades[[#This Row],[cod Idu]],APU_IDU[Código],APU_IDU[UM],"",0)</f>
        <v>M3</v>
      </c>
      <c r="F90" s="499">
        <f>+_xlfn.XLOOKUP(Cantidades[[#This Row],[cod Idu]],APU_IDU[Código],APU_IDU[Valor],"",0)</f>
        <v>112980</v>
      </c>
      <c r="G90" s="753"/>
      <c r="H90" s="753">
        <f t="shared" ref="H90:I90" si="40">ROUND(H88*0.1,2)</f>
        <v>1.48</v>
      </c>
      <c r="I90" s="753">
        <f t="shared" si="40"/>
        <v>1.6</v>
      </c>
      <c r="J90" s="753">
        <f t="shared" ref="J90" si="41">+J88*0.1</f>
        <v>0</v>
      </c>
      <c r="K90" s="753"/>
      <c r="L90" s="753">
        <f>ROUND(L88*0.1,2)</f>
        <v>1.1399999999999999</v>
      </c>
      <c r="M90" s="753"/>
      <c r="N90" s="753">
        <f t="shared" ref="N90:AL90" si="42">ROUND(N88*0.1,2)</f>
        <v>0.31</v>
      </c>
      <c r="O90" s="753"/>
      <c r="P90" s="753">
        <f t="shared" si="42"/>
        <v>0.33</v>
      </c>
      <c r="Q90" s="753">
        <f t="shared" si="42"/>
        <v>0.85</v>
      </c>
      <c r="R90" s="753">
        <f t="shared" si="42"/>
        <v>0.9</v>
      </c>
      <c r="S90" s="753">
        <f t="shared" si="42"/>
        <v>0.19</v>
      </c>
      <c r="T90" s="753">
        <f t="shared" si="42"/>
        <v>0.4</v>
      </c>
      <c r="U90" s="753">
        <f t="shared" si="42"/>
        <v>1.18</v>
      </c>
      <c r="V90" s="753">
        <f t="shared" si="42"/>
        <v>0.49</v>
      </c>
      <c r="W90" s="753">
        <f t="shared" si="42"/>
        <v>0.91</v>
      </c>
      <c r="X90" s="753"/>
      <c r="Y90" s="753"/>
      <c r="Z90" s="753">
        <f t="shared" si="42"/>
        <v>0.46</v>
      </c>
      <c r="AA90" s="753"/>
      <c r="AB90" s="753">
        <f t="shared" ref="AB90" si="43">ROUND(AB88*0.1,2)</f>
        <v>1.03</v>
      </c>
      <c r="AC90" s="753">
        <f t="shared" si="42"/>
        <v>0.77</v>
      </c>
      <c r="AD90" s="753">
        <f t="shared" si="42"/>
        <v>0.49</v>
      </c>
      <c r="AE90" s="753">
        <f t="shared" si="42"/>
        <v>0.33</v>
      </c>
      <c r="AF90" s="753">
        <f t="shared" si="42"/>
        <v>1.3</v>
      </c>
      <c r="AG90" s="753"/>
      <c r="AH90" s="753"/>
      <c r="AI90" s="753"/>
      <c r="AJ90" s="753"/>
      <c r="AK90" s="753"/>
      <c r="AL90" s="753">
        <f t="shared" si="42"/>
        <v>1.93</v>
      </c>
      <c r="AM90" s="753">
        <f t="shared" ref="AM90" si="44">ROUND(AM88*0.1,2)</f>
        <v>1.29</v>
      </c>
      <c r="AN90" s="756"/>
      <c r="AO90" s="756"/>
      <c r="AP90" s="756"/>
      <c r="AQ90" s="756"/>
      <c r="AR90" s="756"/>
      <c r="AS90" s="756"/>
      <c r="AT90" s="756"/>
      <c r="AU90" s="756"/>
      <c r="AV90" s="756"/>
      <c r="AW90" s="756"/>
      <c r="AX90" s="756"/>
      <c r="AY90" s="756"/>
      <c r="AZ90" s="756"/>
      <c r="BA90" s="756"/>
      <c r="BB90" s="755"/>
    </row>
    <row r="91" spans="2:54" ht="43.2" hidden="1" x14ac:dyDescent="0.3">
      <c r="B91" s="721" t="s">
        <v>6827</v>
      </c>
      <c r="C91" s="725">
        <v>4837</v>
      </c>
      <c r="D91" s="511" t="str">
        <f>+_xlfn.XLOOKUP(Cantidades[[#This Row],[cod Idu]],APU_IDU[Código],APU_IDU[Nombre],"",0)</f>
        <v>RELLENO CON MEZCLA DE GRAVILLA DE 3/4" Y ARENA DE RIO (RELACIÓN 1:1) SUMINISTRO Y COLOCACIÓN. (INCLUYE TRANSPORTE, SUMINISTRO, EXTENDIDO MANUAL Y COLOCACIÓN).</v>
      </c>
      <c r="E91" s="497" t="str">
        <f>+_xlfn.XLOOKUP(Cantidades[[#This Row],[cod Idu]],APU_IDU[Código],APU_IDU[UM],"",0)</f>
        <v>M3</v>
      </c>
      <c r="F91" s="499">
        <f>+_xlfn.XLOOKUP(Cantidades[[#This Row],[cod Idu]],APU_IDU[Código],APU_IDU[Valor],"",0)</f>
        <v>223097</v>
      </c>
      <c r="G91" s="753"/>
      <c r="H91" s="753">
        <f t="shared" ref="H91:AL91" si="45">ROUND(H86*0.3,2)</f>
        <v>44.25</v>
      </c>
      <c r="I91" s="753">
        <f t="shared" si="45"/>
        <v>48.07</v>
      </c>
      <c r="J91" s="753">
        <f t="shared" si="45"/>
        <v>33.86</v>
      </c>
      <c r="K91" s="753">
        <f t="shared" si="45"/>
        <v>32.72</v>
      </c>
      <c r="L91" s="753">
        <f t="shared" si="45"/>
        <v>34.200000000000003</v>
      </c>
      <c r="M91" s="753"/>
      <c r="N91" s="753">
        <f t="shared" si="45"/>
        <v>9.2200000000000006</v>
      </c>
      <c r="O91" s="753"/>
      <c r="P91" s="753">
        <f t="shared" si="45"/>
        <v>9.8000000000000007</v>
      </c>
      <c r="Q91" s="753">
        <f t="shared" si="45"/>
        <v>25.42</v>
      </c>
      <c r="R91" s="753">
        <f t="shared" si="45"/>
        <v>26.99</v>
      </c>
      <c r="S91" s="753">
        <f t="shared" si="45"/>
        <v>5.69</v>
      </c>
      <c r="T91" s="753">
        <f t="shared" si="45"/>
        <v>11.89</v>
      </c>
      <c r="U91" s="753">
        <f t="shared" si="45"/>
        <v>35.31</v>
      </c>
      <c r="V91" s="753">
        <f t="shared" si="45"/>
        <v>14.6</v>
      </c>
      <c r="W91" s="753">
        <f t="shared" si="45"/>
        <v>27.22</v>
      </c>
      <c r="X91" s="753"/>
      <c r="Y91" s="753"/>
      <c r="Z91" s="753">
        <f t="shared" si="45"/>
        <v>13.83</v>
      </c>
      <c r="AA91" s="753"/>
      <c r="AB91" s="753">
        <f t="shared" ref="AB91" si="46">ROUND(AB86*0.3,2)</f>
        <v>30.94</v>
      </c>
      <c r="AC91" s="753">
        <f t="shared" si="45"/>
        <v>23.17</v>
      </c>
      <c r="AD91" s="753">
        <f t="shared" si="45"/>
        <v>14.54</v>
      </c>
      <c r="AE91" s="753">
        <f t="shared" si="45"/>
        <v>10.02</v>
      </c>
      <c r="AF91" s="753">
        <f t="shared" si="45"/>
        <v>38.89</v>
      </c>
      <c r="AG91" s="753"/>
      <c r="AH91" s="753"/>
      <c r="AI91" s="753"/>
      <c r="AJ91" s="753"/>
      <c r="AK91" s="753"/>
      <c r="AL91" s="753">
        <f t="shared" si="45"/>
        <v>57.94</v>
      </c>
      <c r="AM91" s="753">
        <f t="shared" ref="AM91" si="47">ROUND(AM86*0.3,2)</f>
        <v>38.71</v>
      </c>
      <c r="AN91" s="756"/>
      <c r="AO91" s="756"/>
      <c r="AP91" s="756"/>
      <c r="AQ91" s="756"/>
      <c r="AR91" s="756"/>
      <c r="AS91" s="756"/>
      <c r="AT91" s="756"/>
      <c r="AU91" s="756"/>
      <c r="AV91" s="756"/>
      <c r="AW91" s="756"/>
      <c r="AX91" s="756"/>
      <c r="AY91" s="756"/>
      <c r="AZ91" s="756"/>
      <c r="BA91" s="756"/>
      <c r="BB91" s="755"/>
    </row>
    <row r="92" spans="2:54" ht="28.8" hidden="1" x14ac:dyDescent="0.3">
      <c r="B92" s="721" t="s">
        <v>6827</v>
      </c>
      <c r="C92" s="725">
        <v>3024</v>
      </c>
      <c r="D92" s="511" t="str">
        <f>+_xlfn.XLOOKUP(Cantidades[[#This Row],[cod Idu]],APU_IDU[Código],APU_IDU[Nombre],"",0)</f>
        <v>RELLENO PARA REDES EN ARENA DE PEÑA (SUMINISTRO, EXTENDIDO, HUMEDECIMIENTO Y COMPACTACIÓN)</v>
      </c>
      <c r="E92" s="497" t="str">
        <f>+_xlfn.XLOOKUP(Cantidades[[#This Row],[cod Idu]],APU_IDU[Código],APU_IDU[UM],"",0)</f>
        <v>M3</v>
      </c>
      <c r="F92" s="499">
        <f>+_xlfn.XLOOKUP(Cantidades[[#This Row],[cod Idu]],APU_IDU[Código],APU_IDU[Valor],"",0)</f>
        <v>182185</v>
      </c>
      <c r="G92" s="753"/>
      <c r="H92" s="753">
        <f t="shared" ref="H92:P92" si="48">ROUND(H90*0.1,2)</f>
        <v>0.15</v>
      </c>
      <c r="I92" s="753">
        <f t="shared" si="48"/>
        <v>0.16</v>
      </c>
      <c r="J92" s="753">
        <f>ROUND(J89*0.1,2)</f>
        <v>1.1299999999999999</v>
      </c>
      <c r="K92" s="753"/>
      <c r="L92" s="753">
        <f t="shared" si="48"/>
        <v>0.11</v>
      </c>
      <c r="M92" s="753"/>
      <c r="N92" s="753">
        <f t="shared" si="48"/>
        <v>0.03</v>
      </c>
      <c r="O92" s="753"/>
      <c r="P92" s="753">
        <f t="shared" si="48"/>
        <v>0.03</v>
      </c>
      <c r="Q92" s="753">
        <f t="shared" ref="Q92:W92" si="49">+Q90*0.1</f>
        <v>8.5000000000000006E-2</v>
      </c>
      <c r="R92" s="753">
        <f t="shared" si="49"/>
        <v>9.0000000000000011E-2</v>
      </c>
      <c r="S92" s="753">
        <f t="shared" si="49"/>
        <v>1.9000000000000003E-2</v>
      </c>
      <c r="T92" s="753">
        <f t="shared" si="49"/>
        <v>4.0000000000000008E-2</v>
      </c>
      <c r="U92" s="753">
        <f t="shared" si="49"/>
        <v>0.11799999999999999</v>
      </c>
      <c r="V92" s="753">
        <f t="shared" si="49"/>
        <v>4.9000000000000002E-2</v>
      </c>
      <c r="W92" s="753">
        <f t="shared" si="49"/>
        <v>9.1000000000000011E-2</v>
      </c>
      <c r="X92" s="753"/>
      <c r="Y92" s="753"/>
      <c r="Z92" s="753">
        <f t="shared" ref="Z92" si="50">+Z90*0.1</f>
        <v>4.6000000000000006E-2</v>
      </c>
      <c r="AA92" s="753"/>
      <c r="AB92" s="753">
        <f t="shared" ref="AB92" si="51">+AB90*0.1</f>
        <v>0.10300000000000001</v>
      </c>
      <c r="AC92" s="753">
        <f t="shared" ref="AC92:AL92" si="52">+AC90*0.1</f>
        <v>7.7000000000000013E-2</v>
      </c>
      <c r="AD92" s="753">
        <f t="shared" si="52"/>
        <v>4.9000000000000002E-2</v>
      </c>
      <c r="AE92" s="753">
        <f t="shared" si="52"/>
        <v>3.3000000000000002E-2</v>
      </c>
      <c r="AF92" s="753">
        <f t="shared" si="52"/>
        <v>0.13</v>
      </c>
      <c r="AG92" s="753"/>
      <c r="AH92" s="753"/>
      <c r="AI92" s="753"/>
      <c r="AJ92" s="753"/>
      <c r="AK92" s="753"/>
      <c r="AL92" s="753">
        <f t="shared" si="52"/>
        <v>0.193</v>
      </c>
      <c r="AM92" s="753">
        <f t="shared" ref="AM92" si="53">+AM90*0.1</f>
        <v>0.129</v>
      </c>
      <c r="AN92" s="756"/>
      <c r="AO92" s="756"/>
      <c r="AP92" s="756"/>
      <c r="AQ92" s="756"/>
      <c r="AR92" s="756"/>
      <c r="AS92" s="756"/>
      <c r="AT92" s="756"/>
      <c r="AU92" s="756"/>
      <c r="AV92" s="756"/>
      <c r="AW92" s="756"/>
      <c r="AX92" s="756"/>
      <c r="AY92" s="756"/>
      <c r="AZ92" s="756"/>
      <c r="BA92" s="756"/>
      <c r="BB92" s="755"/>
    </row>
    <row r="93" spans="2:54" ht="28.8" hidden="1" x14ac:dyDescent="0.3">
      <c r="B93" s="721" t="s">
        <v>6827</v>
      </c>
      <c r="C93" s="725">
        <v>3878</v>
      </c>
      <c r="D93" s="511" t="str">
        <f>+_xlfn.XLOOKUP(Cantidades[[#This Row],[cod Idu]],APU_IDU[Código],APU_IDU[Nombre],"",0)</f>
        <v>PLACA CUBIERTA D=1.70M POZO INSPEC. (PREFABRICADA. INCLUYE SUMINISTRO E INSTALACIÓN. INCLUYE TAPA)</v>
      </c>
      <c r="E93" s="497" t="str">
        <f>+_xlfn.XLOOKUP(Cantidades[[#This Row],[cod Idu]],APU_IDU[Código],APU_IDU[UM],"",0)</f>
        <v>UN</v>
      </c>
      <c r="F93" s="499">
        <f>+_xlfn.XLOOKUP(Cantidades[[#This Row],[cod Idu]],APU_IDU[Código],APU_IDU[Valor],"",0)</f>
        <v>2025781</v>
      </c>
      <c r="G93" s="753"/>
      <c r="H93" s="753">
        <v>2</v>
      </c>
      <c r="I93" s="753">
        <v>3</v>
      </c>
      <c r="J93" s="753">
        <v>4</v>
      </c>
      <c r="K93" s="753"/>
      <c r="L93" s="753"/>
      <c r="M93" s="753">
        <v>3</v>
      </c>
      <c r="N93" s="753">
        <v>4</v>
      </c>
      <c r="O93" s="753"/>
      <c r="P93" s="753">
        <v>4</v>
      </c>
      <c r="Q93" s="753"/>
      <c r="R93" s="753">
        <v>2</v>
      </c>
      <c r="S93" s="753">
        <v>4</v>
      </c>
      <c r="T93" s="753"/>
      <c r="U93" s="753">
        <v>2</v>
      </c>
      <c r="V93" s="753">
        <v>3</v>
      </c>
      <c r="W93" s="753">
        <v>2</v>
      </c>
      <c r="X93" s="753">
        <v>3</v>
      </c>
      <c r="Y93" s="753"/>
      <c r="Z93" s="753">
        <v>2</v>
      </c>
      <c r="AA93" s="753"/>
      <c r="AB93" s="753"/>
      <c r="AC93" s="753"/>
      <c r="AD93" s="753"/>
      <c r="AE93" s="753">
        <v>4</v>
      </c>
      <c r="AF93" s="753">
        <v>3</v>
      </c>
      <c r="AG93" s="753"/>
      <c r="AH93" s="753"/>
      <c r="AI93" s="753"/>
      <c r="AJ93" s="753"/>
      <c r="AK93" s="753"/>
      <c r="AL93" s="753">
        <v>3</v>
      </c>
      <c r="AM93" s="753">
        <v>3</v>
      </c>
      <c r="AN93" s="756"/>
      <c r="AO93" s="756"/>
      <c r="AP93" s="756"/>
      <c r="AQ93" s="756"/>
      <c r="AR93" s="756"/>
      <c r="AS93" s="756"/>
      <c r="AT93" s="756"/>
      <c r="AU93" s="756"/>
      <c r="AV93" s="756"/>
      <c r="AW93" s="756"/>
      <c r="AX93" s="756"/>
      <c r="AY93" s="756"/>
      <c r="AZ93" s="756"/>
      <c r="BA93" s="756"/>
      <c r="BB93" s="755"/>
    </row>
    <row r="94" spans="2:54" ht="43.2" hidden="1" x14ac:dyDescent="0.3">
      <c r="B94" s="721" t="s">
        <v>6827</v>
      </c>
      <c r="C94" s="725">
        <v>3471</v>
      </c>
      <c r="D94" s="511" t="str">
        <f>+_xlfn.XLOOKUP(Cantidades[[#This Row],[cod Idu]],APU_IDU[Código],APU_IDU[Nombre],"",0)</f>
        <v>CILINDRO POZO INSP. EN MAMPOSTERIA E=0.25M (INC. SUMIN. Y CONST, ACERO PARA ESCALERAS, GEOTEXTIL NO TEJIDO CON RESISTENCIA A LA TENSION GRAB: ENTRE 450 N Y 500 N Y PAÑETE IMPERMEAB.)</v>
      </c>
      <c r="E94" s="497" t="str">
        <f>+_xlfn.XLOOKUP(Cantidades[[#This Row],[cod Idu]],APU_IDU[Código],APU_IDU[UM],"",0)</f>
        <v>ML</v>
      </c>
      <c r="F94" s="499">
        <f>+_xlfn.XLOOKUP(Cantidades[[#This Row],[cod Idu]],APU_IDU[Código],APU_IDU[Valor],"",0)</f>
        <v>907310</v>
      </c>
      <c r="G94" s="753"/>
      <c r="H94" s="753">
        <f t="shared" ref="H94:AL94" si="54">+H93</f>
        <v>2</v>
      </c>
      <c r="I94" s="753">
        <f t="shared" si="54"/>
        <v>3</v>
      </c>
      <c r="J94" s="753">
        <f t="shared" si="54"/>
        <v>4</v>
      </c>
      <c r="K94" s="753">
        <f t="shared" si="54"/>
        <v>0</v>
      </c>
      <c r="L94" s="753">
        <f t="shared" si="54"/>
        <v>0</v>
      </c>
      <c r="M94" s="753">
        <f t="shared" si="54"/>
        <v>3</v>
      </c>
      <c r="N94" s="753">
        <f t="shared" si="54"/>
        <v>4</v>
      </c>
      <c r="O94" s="753"/>
      <c r="P94" s="753">
        <f t="shared" si="54"/>
        <v>4</v>
      </c>
      <c r="Q94" s="753">
        <f t="shared" si="54"/>
        <v>0</v>
      </c>
      <c r="R94" s="753">
        <f t="shared" si="54"/>
        <v>2</v>
      </c>
      <c r="S94" s="753">
        <f t="shared" si="54"/>
        <v>4</v>
      </c>
      <c r="T94" s="753">
        <f t="shared" si="54"/>
        <v>0</v>
      </c>
      <c r="U94" s="753">
        <f t="shared" si="54"/>
        <v>2</v>
      </c>
      <c r="V94" s="753">
        <f t="shared" si="54"/>
        <v>3</v>
      </c>
      <c r="W94" s="753">
        <f t="shared" si="54"/>
        <v>2</v>
      </c>
      <c r="X94" s="753">
        <f t="shared" si="54"/>
        <v>3</v>
      </c>
      <c r="Y94" s="753"/>
      <c r="Z94" s="753">
        <f t="shared" si="54"/>
        <v>2</v>
      </c>
      <c r="AA94" s="753"/>
      <c r="AB94" s="753">
        <f t="shared" ref="AB94" si="55">+AB93</f>
        <v>0</v>
      </c>
      <c r="AC94" s="753">
        <f t="shared" si="54"/>
        <v>0</v>
      </c>
      <c r="AD94" s="753">
        <f t="shared" si="54"/>
        <v>0</v>
      </c>
      <c r="AE94" s="753">
        <f t="shared" si="54"/>
        <v>4</v>
      </c>
      <c r="AF94" s="753">
        <f t="shared" si="54"/>
        <v>3</v>
      </c>
      <c r="AG94" s="753"/>
      <c r="AH94" s="753"/>
      <c r="AI94" s="753"/>
      <c r="AJ94" s="753"/>
      <c r="AK94" s="753"/>
      <c r="AL94" s="753">
        <f t="shared" si="54"/>
        <v>3</v>
      </c>
      <c r="AM94" s="753">
        <f t="shared" ref="AM94" si="56">+AM93</f>
        <v>3</v>
      </c>
      <c r="AN94" s="756"/>
      <c r="AO94" s="756"/>
      <c r="AP94" s="756"/>
      <c r="AQ94" s="756"/>
      <c r="AR94" s="756"/>
      <c r="AS94" s="756"/>
      <c r="AT94" s="756"/>
      <c r="AU94" s="756"/>
      <c r="AV94" s="756"/>
      <c r="AW94" s="756"/>
      <c r="AX94" s="756"/>
      <c r="AY94" s="756"/>
      <c r="AZ94" s="756"/>
      <c r="BA94" s="756"/>
      <c r="BB94" s="755"/>
    </row>
    <row r="95" spans="2:54" ht="28.8" hidden="1" x14ac:dyDescent="0.3">
      <c r="B95" s="721" t="s">
        <v>6827</v>
      </c>
      <c r="C95" s="725">
        <v>3722</v>
      </c>
      <c r="D95" s="511" t="str">
        <f>+_xlfn.XLOOKUP(Cantidades[[#This Row],[cod Idu]],APU_IDU[Código],APU_IDU[Nombre],"",0)</f>
        <v>NIVELACIÓN DE POZO (HASTA RASANTE EN CONCRETO 3000 PSI HECHO EN OBRA, H=0.15M. INCLUYE SUMINISTRO Y CONSTRUCCIÓN)</v>
      </c>
      <c r="E95" s="497" t="str">
        <f>+_xlfn.XLOOKUP(Cantidades[[#This Row],[cod Idu]],APU_IDU[Código],APU_IDU[UM],"",0)</f>
        <v>UN</v>
      </c>
      <c r="F95" s="499">
        <f>+_xlfn.XLOOKUP(Cantidades[[#This Row],[cod Idu]],APU_IDU[Código],APU_IDU[Valor],"",0)</f>
        <v>146651</v>
      </c>
      <c r="G95" s="753"/>
      <c r="H95" s="753">
        <f t="shared" ref="H95:AL95" si="57">+H93</f>
        <v>2</v>
      </c>
      <c r="I95" s="753">
        <f t="shared" si="57"/>
        <v>3</v>
      </c>
      <c r="J95" s="753">
        <f t="shared" si="57"/>
        <v>4</v>
      </c>
      <c r="K95" s="753">
        <f t="shared" si="57"/>
        <v>0</v>
      </c>
      <c r="L95" s="753">
        <f t="shared" si="57"/>
        <v>0</v>
      </c>
      <c r="M95" s="753">
        <f t="shared" si="57"/>
        <v>3</v>
      </c>
      <c r="N95" s="753">
        <f t="shared" si="57"/>
        <v>4</v>
      </c>
      <c r="O95" s="753"/>
      <c r="P95" s="753">
        <f t="shared" si="57"/>
        <v>4</v>
      </c>
      <c r="Q95" s="753">
        <f t="shared" si="57"/>
        <v>0</v>
      </c>
      <c r="R95" s="753">
        <f t="shared" si="57"/>
        <v>2</v>
      </c>
      <c r="S95" s="753">
        <f t="shared" si="57"/>
        <v>4</v>
      </c>
      <c r="T95" s="753">
        <f t="shared" si="57"/>
        <v>0</v>
      </c>
      <c r="U95" s="753">
        <f t="shared" si="57"/>
        <v>2</v>
      </c>
      <c r="V95" s="753">
        <f t="shared" si="57"/>
        <v>3</v>
      </c>
      <c r="W95" s="753">
        <f t="shared" si="57"/>
        <v>2</v>
      </c>
      <c r="X95" s="753">
        <f t="shared" si="57"/>
        <v>3</v>
      </c>
      <c r="Y95" s="753"/>
      <c r="Z95" s="753">
        <f t="shared" si="57"/>
        <v>2</v>
      </c>
      <c r="AA95" s="753"/>
      <c r="AB95" s="753">
        <f t="shared" ref="AB95" si="58">+AB93</f>
        <v>0</v>
      </c>
      <c r="AC95" s="753">
        <f t="shared" si="57"/>
        <v>0</v>
      </c>
      <c r="AD95" s="753">
        <f t="shared" si="57"/>
        <v>0</v>
      </c>
      <c r="AE95" s="753">
        <f t="shared" si="57"/>
        <v>4</v>
      </c>
      <c r="AF95" s="753">
        <f t="shared" si="57"/>
        <v>3</v>
      </c>
      <c r="AG95" s="753"/>
      <c r="AH95" s="753"/>
      <c r="AI95" s="753"/>
      <c r="AJ95" s="753"/>
      <c r="AK95" s="753"/>
      <c r="AL95" s="753">
        <f t="shared" si="57"/>
        <v>3</v>
      </c>
      <c r="AM95" s="753">
        <f t="shared" ref="AM95" si="59">+AM93</f>
        <v>3</v>
      </c>
      <c r="AN95" s="756"/>
      <c r="AO95" s="756"/>
      <c r="AP95" s="756"/>
      <c r="AQ95" s="756"/>
      <c r="AR95" s="756"/>
      <c r="AS95" s="756"/>
      <c r="AT95" s="756"/>
      <c r="AU95" s="756"/>
      <c r="AV95" s="756"/>
      <c r="AW95" s="756"/>
      <c r="AX95" s="756"/>
      <c r="AY95" s="756"/>
      <c r="AZ95" s="756"/>
      <c r="BA95" s="756"/>
      <c r="BB95" s="755"/>
    </row>
    <row r="96" spans="2:54" hidden="1" x14ac:dyDescent="0.3">
      <c r="B96" s="721" t="s">
        <v>6827</v>
      </c>
      <c r="C96" s="725">
        <v>4265</v>
      </c>
      <c r="D96" s="511" t="str">
        <f>+_xlfn.XLOOKUP(Cantidades[[#This Row],[cod Idu]],APU_IDU[Código],APU_IDU[Nombre],"",0)</f>
        <v>TUBERIA CONCRETO D=10" CL. II SIN REFUERZO (INCLUYE SUMINISTRO E INSTALACIÓN)</v>
      </c>
      <c r="E96" s="497" t="str">
        <f>+_xlfn.XLOOKUP(Cantidades[[#This Row],[cod Idu]],APU_IDU[Código],APU_IDU[UM],"",0)</f>
        <v>ML</v>
      </c>
      <c r="F96" s="499">
        <f>+_xlfn.XLOOKUP(Cantidades[[#This Row],[cod Idu]],APU_IDU[Código],APU_IDU[Valor],"",0)</f>
        <v>154949</v>
      </c>
      <c r="G96" s="753"/>
      <c r="H96" s="753"/>
      <c r="I96" s="753">
        <f>+I$5*0.53</f>
        <v>66.764099999999999</v>
      </c>
      <c r="J96" s="753">
        <f>+J$5*0.53</f>
        <v>47.021599999999999</v>
      </c>
      <c r="K96" s="753"/>
      <c r="L96" s="753">
        <f>+L$5*0.53</f>
        <v>47.498600000000003</v>
      </c>
      <c r="M96" s="753"/>
      <c r="N96" s="753"/>
      <c r="O96" s="753"/>
      <c r="P96" s="753"/>
      <c r="Q96" s="753">
        <f>+Q$5*0.53</f>
        <v>35.308600000000006</v>
      </c>
      <c r="R96" s="753"/>
      <c r="S96" s="753">
        <f>+S$5*0.53</f>
        <v>7.9076000000000004</v>
      </c>
      <c r="T96" s="753">
        <f>+T$5*0.53</f>
        <v>16.514800000000001</v>
      </c>
      <c r="U96" s="753">
        <f>+U$5*0.53</f>
        <v>49.035600000000002</v>
      </c>
      <c r="V96" s="753"/>
      <c r="W96" s="753"/>
      <c r="X96" s="753"/>
      <c r="Y96" s="753"/>
      <c r="Z96" s="753"/>
      <c r="AA96" s="753"/>
      <c r="AB96" s="753"/>
      <c r="AC96" s="753"/>
      <c r="AD96" s="753"/>
      <c r="AE96" s="753"/>
      <c r="AF96" s="753">
        <f>+AF$5*0.53</f>
        <v>54.012300000000003</v>
      </c>
      <c r="AG96" s="753"/>
      <c r="AH96" s="753"/>
      <c r="AI96" s="753"/>
      <c r="AJ96" s="753"/>
      <c r="AK96" s="753"/>
      <c r="AL96" s="753">
        <f>+AL$5*0.53</f>
        <v>80.46990000000001</v>
      </c>
      <c r="AM96" s="753">
        <f>+AM$5*0.53</f>
        <v>53.763200000000005</v>
      </c>
      <c r="AN96" s="756"/>
      <c r="AO96" s="756"/>
      <c r="AP96" s="756"/>
      <c r="AQ96" s="756"/>
      <c r="AR96" s="756"/>
      <c r="AS96" s="756"/>
      <c r="AT96" s="756"/>
      <c r="AU96" s="756"/>
      <c r="AV96" s="756"/>
      <c r="AW96" s="756"/>
      <c r="AX96" s="756"/>
      <c r="AY96" s="756"/>
      <c r="AZ96" s="756"/>
      <c r="BA96" s="756"/>
      <c r="BB96" s="755"/>
    </row>
    <row r="97" spans="2:54" hidden="1" x14ac:dyDescent="0.3">
      <c r="B97" s="721" t="s">
        <v>6827</v>
      </c>
      <c r="C97" s="725">
        <v>3934</v>
      </c>
      <c r="D97" s="511" t="str">
        <f>+_xlfn.XLOOKUP(Cantidades[[#This Row],[cod Idu]],APU_IDU[Código],APU_IDU[Nombre],"",0)</f>
        <v>TUBERIA CONCRETO D=12" CL. II SIN REFUERZO (INCLUYE SUMINISTRO E INSTALACIÓN)</v>
      </c>
      <c r="E97" s="497" t="str">
        <f>+_xlfn.XLOOKUP(Cantidades[[#This Row],[cod Idu]],APU_IDU[Código],APU_IDU[UM],"",0)</f>
        <v>ML</v>
      </c>
      <c r="F97" s="499">
        <f>+_xlfn.XLOOKUP(Cantidades[[#This Row],[cod Idu]],APU_IDU[Código],APU_IDU[Valor],"",0)</f>
        <v>209263</v>
      </c>
      <c r="G97" s="757"/>
      <c r="H97" s="753">
        <f>+H$5*0.53</f>
        <v>61.453500000000005</v>
      </c>
      <c r="I97" s="757"/>
      <c r="J97" s="757"/>
      <c r="K97" s="757"/>
      <c r="L97" s="757"/>
      <c r="M97" s="757"/>
      <c r="N97" s="753">
        <f>+N$5*0.53</f>
        <v>12.7995</v>
      </c>
      <c r="O97" s="753"/>
      <c r="P97" s="753">
        <f>+P$5*0.53</f>
        <v>13.6104</v>
      </c>
      <c r="Q97" s="757"/>
      <c r="R97" s="753">
        <f>+R$5*0.53</f>
        <v>37.4816</v>
      </c>
      <c r="S97" s="757"/>
      <c r="T97" s="757"/>
      <c r="U97" s="757"/>
      <c r="V97" s="753">
        <f>+V$5*0.53</f>
        <v>20.272500000000001</v>
      </c>
      <c r="W97" s="753">
        <f>+W$5*0.53</f>
        <v>37.799599999999998</v>
      </c>
      <c r="X97" s="757"/>
      <c r="Y97" s="757"/>
      <c r="Z97" s="757"/>
      <c r="AA97" s="757"/>
      <c r="AB97" s="753">
        <f>+AB$5*0.53</f>
        <v>42.9724</v>
      </c>
      <c r="AC97" s="753">
        <f>+AC$5*0.53</f>
        <v>32.181600000000003</v>
      </c>
      <c r="AD97" s="753">
        <f>+AD$5*0.53</f>
        <v>20.1983</v>
      </c>
      <c r="AE97" s="753">
        <f>+AE$5*0.53</f>
        <v>13.917800000000002</v>
      </c>
      <c r="AF97" s="757"/>
      <c r="AG97" s="757"/>
      <c r="AH97" s="753"/>
      <c r="AI97" s="753"/>
      <c r="AJ97" s="753"/>
      <c r="AK97" s="753"/>
      <c r="AL97" s="757"/>
      <c r="AM97" s="757"/>
      <c r="AN97" s="755"/>
      <c r="AO97" s="755"/>
      <c r="AP97" s="755"/>
      <c r="AQ97" s="755"/>
      <c r="AR97" s="755"/>
      <c r="AS97" s="755"/>
      <c r="AT97" s="755"/>
      <c r="AU97" s="755"/>
      <c r="AV97" s="755"/>
      <c r="AW97" s="755"/>
      <c r="AX97" s="755"/>
      <c r="AY97" s="755"/>
      <c r="AZ97" s="755"/>
      <c r="BA97" s="756"/>
      <c r="BB97" s="755"/>
    </row>
    <row r="98" spans="2:54" hidden="1" x14ac:dyDescent="0.3">
      <c r="B98" s="721" t="s">
        <v>6827</v>
      </c>
      <c r="C98" s="725">
        <v>3935</v>
      </c>
      <c r="D98" s="511" t="str">
        <f>+_xlfn.XLOOKUP(Cantidades[[#This Row],[cod Idu]],APU_IDU[Código],APU_IDU[Nombre],"",0)</f>
        <v>TUBERIA CONCRETO D=14" CL. II SIN REFUERZO (INCLUYE SUMINISTRO E INSTALACIÓN)</v>
      </c>
      <c r="E98" s="497" t="str">
        <f>+_xlfn.XLOOKUP(Cantidades[[#This Row],[cod Idu]],APU_IDU[Código],APU_IDU[UM],"",0)</f>
        <v>ML</v>
      </c>
      <c r="F98" s="499">
        <f>+_xlfn.XLOOKUP(Cantidades[[#This Row],[cod Idu]],APU_IDU[Código],APU_IDU[Valor],"",0)</f>
        <v>264640</v>
      </c>
      <c r="G98" s="757"/>
      <c r="H98" s="757"/>
      <c r="I98" s="757"/>
      <c r="J98" s="757"/>
      <c r="K98" s="757"/>
      <c r="L98" s="757"/>
      <c r="M98" s="757"/>
      <c r="N98" s="757"/>
      <c r="O98" s="757"/>
      <c r="P98" s="757"/>
      <c r="Q98" s="757"/>
      <c r="R98" s="757"/>
      <c r="S98" s="757"/>
      <c r="T98" s="757"/>
      <c r="U98" s="757"/>
      <c r="V98" s="757"/>
      <c r="W98" s="757"/>
      <c r="X98" s="757"/>
      <c r="Y98" s="753"/>
      <c r="Z98" s="753">
        <f>+Z$5*0.53</f>
        <v>19.2072</v>
      </c>
      <c r="AA98" s="757"/>
      <c r="AB98" s="757"/>
      <c r="AC98" s="757"/>
      <c r="AD98" s="757"/>
      <c r="AE98" s="757"/>
      <c r="AF98" s="757"/>
      <c r="AG98" s="757"/>
      <c r="AH98" s="753"/>
      <c r="AI98" s="753"/>
      <c r="AJ98" s="753"/>
      <c r="AK98" s="753"/>
      <c r="AL98" s="757"/>
      <c r="AM98" s="757"/>
      <c r="AN98" s="755"/>
      <c r="AO98" s="755"/>
      <c r="AP98" s="755"/>
      <c r="AQ98" s="755"/>
      <c r="AR98" s="755"/>
      <c r="AS98" s="755"/>
      <c r="AT98" s="755"/>
      <c r="AU98" s="755"/>
      <c r="AV98" s="755"/>
      <c r="AW98" s="755"/>
      <c r="AX98" s="755"/>
      <c r="AY98" s="755"/>
      <c r="AZ98" s="755"/>
      <c r="BA98" s="756"/>
      <c r="BB98" s="755"/>
    </row>
    <row r="99" spans="2:54" hidden="1" x14ac:dyDescent="0.3">
      <c r="B99" s="721" t="s">
        <v>6827</v>
      </c>
      <c r="C99" s="725">
        <v>3936</v>
      </c>
      <c r="D99" s="511" t="str">
        <f>+_xlfn.XLOOKUP(Cantidades[[#This Row],[cod Idu]],APU_IDU[Código],APU_IDU[Nombre],"",0)</f>
        <v>TUBERIA CONCRETO D=16" CL. II SIN REFUERZO (INCLUYE SUMINISTRO E INSTALACIÓN)</v>
      </c>
      <c r="E99" s="497" t="str">
        <f>+_xlfn.XLOOKUP(Cantidades[[#This Row],[cod Idu]],APU_IDU[Código],APU_IDU[UM],"",0)</f>
        <v>ML</v>
      </c>
      <c r="F99" s="499">
        <f>+_xlfn.XLOOKUP(Cantidades[[#This Row],[cod Idu]],APU_IDU[Código],APU_IDU[Valor],"",0)</f>
        <v>338622</v>
      </c>
      <c r="G99" s="753"/>
      <c r="H99" s="753"/>
      <c r="I99" s="753"/>
      <c r="J99" s="753"/>
      <c r="K99" s="753">
        <f>+K$5*0.53</f>
        <v>45.4422</v>
      </c>
      <c r="L99" s="753"/>
      <c r="M99" s="753"/>
      <c r="N99" s="753"/>
      <c r="O99" s="753"/>
      <c r="P99" s="753"/>
      <c r="Q99" s="753"/>
      <c r="R99" s="753"/>
      <c r="S99" s="753"/>
      <c r="T99" s="753"/>
      <c r="U99" s="753"/>
      <c r="V99" s="753"/>
      <c r="W99" s="753"/>
      <c r="X99" s="753"/>
      <c r="Y99" s="753"/>
      <c r="Z99" s="753"/>
      <c r="AA99" s="753"/>
      <c r="AB99" s="753"/>
      <c r="AC99" s="753"/>
      <c r="AD99" s="753"/>
      <c r="AE99" s="753"/>
      <c r="AF99" s="753"/>
      <c r="AG99" s="753"/>
      <c r="AH99" s="753"/>
      <c r="AI99" s="753"/>
      <c r="AJ99" s="753"/>
      <c r="AK99" s="753"/>
      <c r="AL99" s="757"/>
      <c r="AM99" s="757"/>
      <c r="AN99" s="756"/>
      <c r="AO99" s="756"/>
      <c r="AP99" s="756"/>
      <c r="AQ99" s="756"/>
      <c r="AR99" s="756"/>
      <c r="AS99" s="756"/>
      <c r="AT99" s="756"/>
      <c r="AU99" s="756"/>
      <c r="AV99" s="756"/>
      <c r="AW99" s="756"/>
      <c r="AX99" s="756"/>
      <c r="AY99" s="756"/>
      <c r="AZ99" s="756"/>
      <c r="BA99" s="756"/>
      <c r="BB99" s="755"/>
    </row>
    <row r="100" spans="2:54" ht="28.8" hidden="1" x14ac:dyDescent="0.3">
      <c r="B100" s="721" t="s">
        <v>6827</v>
      </c>
      <c r="C100" s="725">
        <v>3041</v>
      </c>
      <c r="D100" s="511" t="str">
        <f>+_xlfn.XLOOKUP(Cantidades[[#This Row],[cod Idu]],APU_IDU[Código],APU_IDU[Nombre],"",0)</f>
        <v>TUBERIA PVC U.M. EXT CORRUGADO/INT LISO U.M. NORMA NTC 3722-1 D=4" (INCLUYE SUMINISTRO E INSTALACIÓN)</v>
      </c>
      <c r="E100" s="497" t="str">
        <f>+_xlfn.XLOOKUP(Cantidades[[#This Row],[cod Idu]],APU_IDU[Código],APU_IDU[UM],"",0)</f>
        <v>ML</v>
      </c>
      <c r="F100" s="499">
        <f>+_xlfn.XLOOKUP(Cantidades[[#This Row],[cod Idu]],APU_IDU[Código],APU_IDU[Valor],"",0)</f>
        <v>39297</v>
      </c>
      <c r="G100" s="753"/>
      <c r="H100" s="753">
        <f>+H$5*0.53</f>
        <v>61.453500000000005</v>
      </c>
      <c r="I100" s="753">
        <f>+I$5*0.53</f>
        <v>66.764099999999999</v>
      </c>
      <c r="J100" s="753">
        <f>+J$5*0.53</f>
        <v>47.021599999999999</v>
      </c>
      <c r="K100" s="753"/>
      <c r="L100" s="753">
        <f>+L$5*0.53</f>
        <v>47.498600000000003</v>
      </c>
      <c r="M100" s="753"/>
      <c r="N100" s="753"/>
      <c r="O100" s="753"/>
      <c r="P100" s="753">
        <f t="shared" ref="P100:W100" si="60">+P$5*0.53</f>
        <v>13.6104</v>
      </c>
      <c r="Q100" s="753">
        <f t="shared" si="60"/>
        <v>35.308600000000006</v>
      </c>
      <c r="R100" s="753">
        <f t="shared" si="60"/>
        <v>37.4816</v>
      </c>
      <c r="S100" s="753"/>
      <c r="T100" s="753">
        <f t="shared" si="60"/>
        <v>16.514800000000001</v>
      </c>
      <c r="U100" s="753"/>
      <c r="V100" s="753">
        <f t="shared" si="60"/>
        <v>20.272500000000001</v>
      </c>
      <c r="W100" s="753">
        <f t="shared" si="60"/>
        <v>37.799599999999998</v>
      </c>
      <c r="X100" s="753"/>
      <c r="Y100" s="753"/>
      <c r="Z100" s="753"/>
      <c r="AA100" s="753"/>
      <c r="AB100" s="753">
        <f t="shared" ref="AB100:AM101" si="61">+AB$5*0.53</f>
        <v>42.9724</v>
      </c>
      <c r="AC100" s="753"/>
      <c r="AD100" s="753">
        <f t="shared" si="61"/>
        <v>20.1983</v>
      </c>
      <c r="AE100" s="753"/>
      <c r="AF100" s="753">
        <f t="shared" si="61"/>
        <v>54.012300000000003</v>
      </c>
      <c r="AG100" s="753"/>
      <c r="AH100" s="753"/>
      <c r="AI100" s="753"/>
      <c r="AJ100" s="753"/>
      <c r="AK100" s="753"/>
      <c r="AL100" s="753">
        <f t="shared" si="61"/>
        <v>80.46990000000001</v>
      </c>
      <c r="AM100" s="753">
        <f t="shared" si="61"/>
        <v>53.763200000000005</v>
      </c>
      <c r="AN100" s="756"/>
      <c r="AO100" s="756"/>
      <c r="AP100" s="756"/>
      <c r="AQ100" s="756"/>
      <c r="AR100" s="756"/>
      <c r="AS100" s="756"/>
      <c r="AT100" s="756"/>
      <c r="AU100" s="756"/>
      <c r="AV100" s="756"/>
      <c r="AW100" s="756"/>
      <c r="AX100" s="756"/>
      <c r="AY100" s="756"/>
      <c r="AZ100" s="756"/>
      <c r="BA100" s="756"/>
      <c r="BB100" s="755"/>
    </row>
    <row r="101" spans="2:54" ht="28.8" hidden="1" x14ac:dyDescent="0.3">
      <c r="B101" s="721" t="s">
        <v>6827</v>
      </c>
      <c r="C101" s="725">
        <v>3042</v>
      </c>
      <c r="D101" s="511" t="str">
        <f>+_xlfn.XLOOKUP(Cantidades[[#This Row],[cod Idu]],APU_IDU[Código],APU_IDU[Nombre],"",0)</f>
        <v>TUBERIA PVC U.M. EXT CORRUGADO/INT LISO U.M. NORMA NTC 3722-1 D=6" (INCLUYE SUMINISTRO E INSTALACIÓN)</v>
      </c>
      <c r="E101" s="497" t="str">
        <f>+_xlfn.XLOOKUP(Cantidades[[#This Row],[cod Idu]],APU_IDU[Código],APU_IDU[UM],"",0)</f>
        <v>ML</v>
      </c>
      <c r="F101" s="499">
        <f>+_xlfn.XLOOKUP(Cantidades[[#This Row],[cod Idu]],APU_IDU[Código],APU_IDU[Valor],"",0)</f>
        <v>66044</v>
      </c>
      <c r="G101" s="753"/>
      <c r="H101" s="753"/>
      <c r="I101" s="753"/>
      <c r="J101" s="753"/>
      <c r="K101" s="753"/>
      <c r="L101" s="753"/>
      <c r="M101" s="753"/>
      <c r="N101" s="753"/>
      <c r="O101" s="753"/>
      <c r="P101" s="753"/>
      <c r="Q101" s="753"/>
      <c r="R101" s="753"/>
      <c r="S101" s="753"/>
      <c r="T101" s="753"/>
      <c r="U101" s="753"/>
      <c r="V101" s="753"/>
      <c r="W101" s="753"/>
      <c r="X101" s="753"/>
      <c r="Y101" s="753"/>
      <c r="Z101" s="753"/>
      <c r="AA101" s="753"/>
      <c r="AB101" s="753"/>
      <c r="AC101" s="753">
        <f t="shared" si="61"/>
        <v>32.181600000000003</v>
      </c>
      <c r="AD101" s="753"/>
      <c r="AE101" s="753">
        <f t="shared" si="61"/>
        <v>13.917800000000002</v>
      </c>
      <c r="AF101" s="753"/>
      <c r="AG101" s="753"/>
      <c r="AH101" s="753"/>
      <c r="AI101" s="753"/>
      <c r="AJ101" s="753"/>
      <c r="AK101" s="753"/>
      <c r="AL101" s="753"/>
      <c r="AM101" s="753"/>
      <c r="AN101" s="756"/>
      <c r="AO101" s="756"/>
      <c r="AP101" s="756"/>
      <c r="AQ101" s="756"/>
      <c r="AR101" s="756"/>
      <c r="AS101" s="756"/>
      <c r="AT101" s="756"/>
      <c r="AU101" s="756"/>
      <c r="AV101" s="756"/>
      <c r="AW101" s="756"/>
      <c r="AX101" s="756"/>
      <c r="AY101" s="756"/>
      <c r="AZ101" s="756"/>
      <c r="BA101" s="756"/>
      <c r="BB101" s="755"/>
    </row>
    <row r="102" spans="2:54" ht="28.8" hidden="1" x14ac:dyDescent="0.3">
      <c r="B102" s="721" t="s">
        <v>6827</v>
      </c>
      <c r="C102" s="725">
        <v>3043</v>
      </c>
      <c r="D102" s="511" t="str">
        <f>+_xlfn.XLOOKUP(Cantidades[[#This Row],[cod Idu]],APU_IDU[Código],APU_IDU[Nombre],"",0)</f>
        <v>TUBERIA PVC U.M. EXT CORRUGADO/INT LISO U.M. NORMA NTC 3722-1 D=8" (INCLUYE SUMINISTRO E INSTALACIÓN)</v>
      </c>
      <c r="E102" s="497" t="str">
        <f>+_xlfn.XLOOKUP(Cantidades[[#This Row],[cod Idu]],APU_IDU[Código],APU_IDU[UM],"",0)</f>
        <v>ML</v>
      </c>
      <c r="F102" s="499">
        <f>+_xlfn.XLOOKUP(Cantidades[[#This Row],[cod Idu]],APU_IDU[Código],APU_IDU[Valor],"",0)</f>
        <v>91366</v>
      </c>
      <c r="G102" s="753"/>
      <c r="H102" s="753"/>
      <c r="I102" s="753"/>
      <c r="J102" s="753"/>
      <c r="K102" s="753">
        <f>+K$5*0.53</f>
        <v>45.4422</v>
      </c>
      <c r="L102" s="753"/>
      <c r="M102" s="753"/>
      <c r="N102" s="753"/>
      <c r="O102" s="753"/>
      <c r="P102" s="753"/>
      <c r="Q102" s="753"/>
      <c r="R102" s="753"/>
      <c r="S102" s="753"/>
      <c r="T102" s="753"/>
      <c r="U102" s="753"/>
      <c r="V102" s="753"/>
      <c r="W102" s="753"/>
      <c r="X102" s="753"/>
      <c r="Y102" s="753"/>
      <c r="Z102" s="753"/>
      <c r="AA102" s="753"/>
      <c r="AB102" s="753"/>
      <c r="AC102" s="753"/>
      <c r="AD102" s="753"/>
      <c r="AE102" s="753"/>
      <c r="AF102" s="753"/>
      <c r="AG102" s="753"/>
      <c r="AH102" s="753"/>
      <c r="AI102" s="753"/>
      <c r="AJ102" s="753"/>
      <c r="AK102" s="753"/>
      <c r="AL102" s="753"/>
      <c r="AM102" s="753"/>
      <c r="AN102" s="756"/>
      <c r="AO102" s="756"/>
      <c r="AP102" s="756"/>
      <c r="AQ102" s="756"/>
      <c r="AR102" s="756"/>
      <c r="AS102" s="756"/>
      <c r="AT102" s="756"/>
      <c r="AU102" s="756"/>
      <c r="AV102" s="756"/>
      <c r="AW102" s="756"/>
      <c r="AX102" s="756"/>
      <c r="AY102" s="756"/>
      <c r="AZ102" s="756"/>
      <c r="BA102" s="756"/>
      <c r="BB102" s="755"/>
    </row>
    <row r="103" spans="2:54" ht="28.8" hidden="1" x14ac:dyDescent="0.3">
      <c r="B103" s="721" t="s">
        <v>6827</v>
      </c>
      <c r="C103" s="725">
        <v>3044</v>
      </c>
      <c r="D103" s="511" t="str">
        <f>+_xlfn.XLOOKUP(Cantidades[[#This Row],[cod Idu]],APU_IDU[Código],APU_IDU[Nombre],"",0)</f>
        <v>TUBERIA PVC U.M. EXT CORRUGADO/INT LISO U.M. NORMA NTC 3722-1 D=10" (INCLUYE SUMINISTRO E INSTALACIÓN)</v>
      </c>
      <c r="E103" s="497" t="str">
        <f>+_xlfn.XLOOKUP(Cantidades[[#This Row],[cod Idu]],APU_IDU[Código],APU_IDU[UM],"",0)</f>
        <v>ML</v>
      </c>
      <c r="F103" s="499">
        <f>+_xlfn.XLOOKUP(Cantidades[[#This Row],[cod Idu]],APU_IDU[Código],APU_IDU[Valor],"",0)</f>
        <v>128594</v>
      </c>
      <c r="G103" s="753"/>
      <c r="H103" s="753"/>
      <c r="I103" s="753"/>
      <c r="J103" s="753"/>
      <c r="K103" s="753"/>
      <c r="L103" s="753"/>
      <c r="M103" s="753"/>
      <c r="N103" s="753"/>
      <c r="O103" s="753"/>
      <c r="P103" s="753"/>
      <c r="Q103" s="753"/>
      <c r="R103" s="753"/>
      <c r="S103" s="753"/>
      <c r="T103" s="753"/>
      <c r="U103" s="753">
        <f t="shared" ref="U103" si="62">+U$5*0.53</f>
        <v>49.035600000000002</v>
      </c>
      <c r="V103" s="753"/>
      <c r="W103" s="753"/>
      <c r="X103" s="753"/>
      <c r="Y103" s="753"/>
      <c r="Z103" s="753"/>
      <c r="AA103" s="753"/>
      <c r="AB103" s="753"/>
      <c r="AC103" s="753"/>
      <c r="AD103" s="753"/>
      <c r="AE103" s="753"/>
      <c r="AF103" s="753"/>
      <c r="AG103" s="753"/>
      <c r="AH103" s="753"/>
      <c r="AI103" s="753"/>
      <c r="AJ103" s="753"/>
      <c r="AK103" s="753"/>
      <c r="AL103" s="753"/>
      <c r="AM103" s="753"/>
      <c r="AN103" s="756"/>
      <c r="AO103" s="756"/>
      <c r="AP103" s="756"/>
      <c r="AQ103" s="756"/>
      <c r="AR103" s="756"/>
      <c r="AS103" s="756"/>
      <c r="AT103" s="756"/>
      <c r="AU103" s="756"/>
      <c r="AV103" s="756"/>
      <c r="AW103" s="756"/>
      <c r="AX103" s="756"/>
      <c r="AY103" s="756"/>
      <c r="AZ103" s="756"/>
      <c r="BA103" s="756"/>
      <c r="BB103" s="755"/>
    </row>
    <row r="104" spans="2:54" ht="28.8" hidden="1" x14ac:dyDescent="0.3">
      <c r="B104" s="721" t="s">
        <v>6827</v>
      </c>
      <c r="C104" s="725">
        <v>3045</v>
      </c>
      <c r="D104" s="511" t="str">
        <f>+_xlfn.XLOOKUP(Cantidades[[#This Row],[cod Idu]],APU_IDU[Código],APU_IDU[Nombre],"",0)</f>
        <v>TUBERIA PVC U.M. EXT CORRUGADO/INT LISO U.M. NORMA NTC 3722-1 D=12" (INCLUYE SUMINISTRO E INSTALACIÓN)</v>
      </c>
      <c r="E104" s="497" t="str">
        <f>+_xlfn.XLOOKUP(Cantidades[[#This Row],[cod Idu]],APU_IDU[Código],APU_IDU[UM],"",0)</f>
        <v>ML</v>
      </c>
      <c r="F104" s="499">
        <f>+_xlfn.XLOOKUP(Cantidades[[#This Row],[cod Idu]],APU_IDU[Código],APU_IDU[Valor],"",0)</f>
        <v>179457</v>
      </c>
      <c r="G104" s="753"/>
      <c r="H104" s="753"/>
      <c r="I104" s="753"/>
      <c r="J104" s="753"/>
      <c r="K104" s="753"/>
      <c r="L104" s="753"/>
      <c r="M104" s="753"/>
      <c r="N104" s="753"/>
      <c r="O104" s="753"/>
      <c r="P104" s="753"/>
      <c r="Q104" s="753"/>
      <c r="R104" s="753"/>
      <c r="S104" s="753">
        <f t="shared" ref="S104" si="63">+S$5*0.53</f>
        <v>7.9076000000000004</v>
      </c>
      <c r="T104" s="753"/>
      <c r="U104" s="753"/>
      <c r="V104" s="753"/>
      <c r="W104" s="753"/>
      <c r="X104" s="753"/>
      <c r="Y104" s="753"/>
      <c r="Z104" s="753"/>
      <c r="AA104" s="753"/>
      <c r="AB104" s="753"/>
      <c r="AC104" s="753"/>
      <c r="AD104" s="753"/>
      <c r="AE104" s="753"/>
      <c r="AF104" s="753"/>
      <c r="AG104" s="753"/>
      <c r="AH104" s="753"/>
      <c r="AI104" s="753"/>
      <c r="AJ104" s="753"/>
      <c r="AK104" s="753"/>
      <c r="AL104" s="757"/>
      <c r="AM104" s="757"/>
      <c r="AN104" s="756"/>
      <c r="AO104" s="756"/>
      <c r="AP104" s="756"/>
      <c r="AQ104" s="756"/>
      <c r="AR104" s="756"/>
      <c r="AS104" s="756"/>
      <c r="AT104" s="756"/>
      <c r="AU104" s="756"/>
      <c r="AV104" s="756"/>
      <c r="AW104" s="756"/>
      <c r="AX104" s="756"/>
      <c r="AY104" s="756"/>
      <c r="AZ104" s="756"/>
      <c r="BA104" s="756"/>
      <c r="BB104" s="755"/>
    </row>
    <row r="105" spans="2:54" ht="28.8" hidden="1" x14ac:dyDescent="0.3">
      <c r="B105" s="721" t="s">
        <v>6827</v>
      </c>
      <c r="C105" s="725">
        <v>3047</v>
      </c>
      <c r="D105" s="511" t="str">
        <f>+_xlfn.XLOOKUP(Cantidades[[#This Row],[cod Idu]],APU_IDU[Código],APU_IDU[Nombre],"",0)</f>
        <v>TUBERIA PVC U.M. EXT CORRUGADO/INT LISO U.M. NORMA NTC 3722-1 D=18" (INCLUYE SUMINISTRO E INSTALACIÓN)</v>
      </c>
      <c r="E105" s="497" t="str">
        <f>+_xlfn.XLOOKUP(Cantidades[[#This Row],[cod Idu]],APU_IDU[Código],APU_IDU[UM],"",0)</f>
        <v>ML</v>
      </c>
      <c r="F105" s="499">
        <f>+_xlfn.XLOOKUP(Cantidades[[#This Row],[cod Idu]],APU_IDU[Código],APU_IDU[Valor],"",0)</f>
        <v>430046</v>
      </c>
      <c r="G105" s="753"/>
      <c r="H105" s="753"/>
      <c r="I105" s="753"/>
      <c r="J105" s="753"/>
      <c r="K105" s="753"/>
      <c r="L105" s="753"/>
      <c r="M105" s="753"/>
      <c r="N105" s="753">
        <f t="shared" ref="N105" si="64">+N$5*0.53</f>
        <v>12.7995</v>
      </c>
      <c r="O105" s="753"/>
      <c r="P105" s="753"/>
      <c r="Q105" s="753"/>
      <c r="R105" s="753"/>
      <c r="S105" s="753"/>
      <c r="T105" s="753"/>
      <c r="U105" s="753"/>
      <c r="V105" s="753"/>
      <c r="W105" s="753"/>
      <c r="X105" s="753"/>
      <c r="Y105" s="753"/>
      <c r="Z105" s="753"/>
      <c r="AA105" s="753"/>
      <c r="AB105" s="753"/>
      <c r="AC105" s="753"/>
      <c r="AD105" s="753"/>
      <c r="AE105" s="753"/>
      <c r="AF105" s="753"/>
      <c r="AG105" s="753"/>
      <c r="AH105" s="753"/>
      <c r="AI105" s="753"/>
      <c r="AJ105" s="753"/>
      <c r="AK105" s="753"/>
      <c r="AL105" s="757"/>
      <c r="AM105" s="757"/>
      <c r="AN105" s="756"/>
      <c r="AO105" s="756"/>
      <c r="AP105" s="756"/>
      <c r="AQ105" s="756"/>
      <c r="AR105" s="756"/>
      <c r="AS105" s="756"/>
      <c r="AT105" s="756"/>
      <c r="AU105" s="756"/>
      <c r="AV105" s="756"/>
      <c r="AW105" s="756"/>
      <c r="AX105" s="756"/>
      <c r="AY105" s="756"/>
      <c r="AZ105" s="756"/>
      <c r="BA105" s="756"/>
      <c r="BB105" s="755"/>
    </row>
    <row r="106" spans="2:54" ht="115.2" hidden="1" x14ac:dyDescent="0.3">
      <c r="B106" s="721" t="s">
        <v>6827</v>
      </c>
      <c r="C106" s="725">
        <v>8001</v>
      </c>
      <c r="D106" s="606" t="str">
        <f>+_xlfn.XLOOKUP(Cantidades[[#This Row],[cod Idu]],APU_IDU[Código],APU_IDU[Nombre],"",0)</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06" s="609" t="str">
        <f>+_xlfn.XLOOKUP(Cantidades[[#This Row],[cod Idu]],APU_IDU[Código],APU_IDU[UM],"",0)</f>
        <v>ML</v>
      </c>
      <c r="F106" s="743">
        <f>+_xlfn.XLOOKUP(Cantidades[[#This Row],[cod Idu]],APU_IDU[Código],APU_IDU[Valor],"",0)</f>
        <v>1725500</v>
      </c>
      <c r="G106" s="753"/>
      <c r="H106" s="753"/>
      <c r="I106" s="753"/>
      <c r="J106" s="753"/>
      <c r="K106" s="753"/>
      <c r="L106" s="753"/>
      <c r="M106" s="753"/>
      <c r="N106" s="753"/>
      <c r="O106" s="753"/>
      <c r="P106" s="753"/>
      <c r="Q106" s="753"/>
      <c r="R106" s="753"/>
      <c r="S106" s="753"/>
      <c r="T106" s="753"/>
      <c r="U106" s="753"/>
      <c r="V106" s="753"/>
      <c r="W106" s="753"/>
      <c r="X106" s="753"/>
      <c r="Y106" s="753">
        <f>+Y5</f>
        <v>13.15</v>
      </c>
      <c r="Z106" s="753"/>
      <c r="AA106" s="753"/>
      <c r="AB106" s="753"/>
      <c r="AC106" s="753"/>
      <c r="AD106" s="753"/>
      <c r="AE106" s="753"/>
      <c r="AF106" s="753"/>
      <c r="AG106" s="753"/>
      <c r="AH106" s="753"/>
      <c r="AI106" s="753"/>
      <c r="AJ106" s="753"/>
      <c r="AK106" s="753"/>
      <c r="AL106" s="753"/>
      <c r="AM106" s="753"/>
      <c r="AN106" s="756"/>
      <c r="AO106" s="756"/>
      <c r="AP106" s="756"/>
      <c r="AQ106" s="756"/>
      <c r="AR106" s="756"/>
      <c r="AS106" s="756"/>
      <c r="AT106" s="756"/>
      <c r="AU106" s="756"/>
      <c r="AV106" s="756"/>
      <c r="AW106" s="756"/>
      <c r="AX106" s="756"/>
      <c r="AY106" s="756"/>
      <c r="AZ106" s="756"/>
      <c r="BA106" s="756"/>
      <c r="BB106" s="756"/>
    </row>
    <row r="107" spans="2:54" ht="115.2" hidden="1" x14ac:dyDescent="0.3">
      <c r="B107" s="721" t="s">
        <v>6827</v>
      </c>
      <c r="C107" s="725">
        <v>8002</v>
      </c>
      <c r="D107" s="606" t="str">
        <f>+_xlfn.XLOOKUP(Cantidades[[#This Row],[cod Idu]],APU_IDU[Código],APU_IDU[Nombre],"",0)</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07" s="609" t="str">
        <f>+_xlfn.XLOOKUP(Cantidades[[#This Row],[cod Idu]],APU_IDU[Código],APU_IDU[UM],"",0)</f>
        <v>ML</v>
      </c>
      <c r="F107" s="743">
        <f>+_xlfn.XLOOKUP(Cantidades[[#This Row],[cod Idu]],APU_IDU[Código],APU_IDU[Valor],"",0)</f>
        <v>1892100</v>
      </c>
      <c r="G107" s="753"/>
      <c r="H107" s="753"/>
      <c r="I107" s="753"/>
      <c r="J107" s="753"/>
      <c r="K107" s="753"/>
      <c r="L107" s="753"/>
      <c r="M107" s="753"/>
      <c r="N107" s="753"/>
      <c r="O107" s="753"/>
      <c r="P107" s="753"/>
      <c r="Q107" s="753"/>
      <c r="R107" s="753"/>
      <c r="S107" s="753"/>
      <c r="T107" s="753"/>
      <c r="U107" s="753"/>
      <c r="V107" s="753"/>
      <c r="W107" s="753"/>
      <c r="X107" s="753"/>
      <c r="Y107" s="753"/>
      <c r="Z107" s="753"/>
      <c r="AA107" s="753">
        <f>+AA5</f>
        <v>20.94</v>
      </c>
      <c r="AB107" s="753"/>
      <c r="AC107" s="753"/>
      <c r="AD107" s="753"/>
      <c r="AE107" s="753"/>
      <c r="AF107" s="753"/>
      <c r="AG107" s="753"/>
      <c r="AH107" s="753"/>
      <c r="AI107" s="753"/>
      <c r="AJ107" s="753"/>
      <c r="AK107" s="753"/>
      <c r="AL107" s="753"/>
      <c r="AM107" s="753"/>
      <c r="AN107" s="756"/>
      <c r="AO107" s="756"/>
      <c r="AP107" s="756"/>
      <c r="AQ107" s="756"/>
      <c r="AR107" s="756"/>
      <c r="AS107" s="756"/>
      <c r="AT107" s="756"/>
      <c r="AU107" s="756"/>
      <c r="AV107" s="756"/>
      <c r="AW107" s="756"/>
      <c r="AX107" s="756"/>
      <c r="AY107" s="756"/>
      <c r="AZ107" s="756"/>
      <c r="BA107" s="756"/>
      <c r="BB107" s="756"/>
    </row>
    <row r="108" spans="2:54" ht="115.2" hidden="1" x14ac:dyDescent="0.3">
      <c r="B108" s="721" t="s">
        <v>6827</v>
      </c>
      <c r="C108" s="725">
        <v>8003</v>
      </c>
      <c r="D108" s="606" t="str">
        <f>+_xlfn.XLOOKUP(Cantidades[[#This Row],[cod Idu]],APU_IDU[Código],APU_IDU[Nombre],"",0)</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08" s="609" t="str">
        <f>+_xlfn.XLOOKUP(Cantidades[[#This Row],[cod Idu]],APU_IDU[Código],APU_IDU[UM],"",0)</f>
        <v>ML</v>
      </c>
      <c r="F108" s="743">
        <f>+_xlfn.XLOOKUP(Cantidades[[#This Row],[cod Idu]],APU_IDU[Código],APU_IDU[Valor],"",0)</f>
        <v>2082500</v>
      </c>
      <c r="G108" s="753"/>
      <c r="H108" s="753"/>
      <c r="I108" s="753"/>
      <c r="J108" s="753"/>
      <c r="K108" s="753"/>
      <c r="L108" s="753"/>
      <c r="M108" s="753"/>
      <c r="N108" s="753"/>
      <c r="O108" s="753">
        <f>ROUND($O$5,2)</f>
        <v>8.64</v>
      </c>
      <c r="P108" s="753"/>
      <c r="Q108" s="753"/>
      <c r="R108" s="753"/>
      <c r="S108" s="753"/>
      <c r="T108" s="753"/>
      <c r="U108" s="753"/>
      <c r="V108" s="753"/>
      <c r="W108" s="753"/>
      <c r="X108" s="753"/>
      <c r="Y108" s="753"/>
      <c r="Z108" s="753"/>
      <c r="AA108" s="753"/>
      <c r="AB108" s="753"/>
      <c r="AC108" s="753"/>
      <c r="AD108" s="753"/>
      <c r="AE108" s="753"/>
      <c r="AF108" s="753"/>
      <c r="AG108" s="753"/>
      <c r="AH108" s="753"/>
      <c r="AI108" s="753"/>
      <c r="AJ108" s="753"/>
      <c r="AK108" s="753"/>
      <c r="AL108" s="753"/>
      <c r="AM108" s="753"/>
      <c r="AN108" s="756"/>
      <c r="AO108" s="756"/>
      <c r="AP108" s="756"/>
      <c r="AQ108" s="756"/>
      <c r="AR108" s="756"/>
      <c r="AS108" s="756"/>
      <c r="AT108" s="756"/>
      <c r="AU108" s="756"/>
      <c r="AV108" s="756"/>
      <c r="AW108" s="756"/>
      <c r="AX108" s="756"/>
      <c r="AY108" s="756"/>
      <c r="AZ108" s="756"/>
      <c r="BA108" s="756"/>
      <c r="BB108" s="756"/>
    </row>
    <row r="109" spans="2:54" ht="28.8" hidden="1" x14ac:dyDescent="0.3">
      <c r="B109" s="721" t="s">
        <v>6827</v>
      </c>
      <c r="C109" s="725">
        <v>4553</v>
      </c>
      <c r="D109" s="511" t="str">
        <f>+_xlfn.XLOOKUP(Cantidades[[#This Row],[cod Idu]],APU_IDU[Código],APU_IDU[Nombre],"",0)</f>
        <v>POZO DE INSPECCION D=1.7 M (INCL. SUMINISTRO E INSTALACION). INCLUYE CILINDRO POZO DE INSPECCION EN MAMPOSTERIA, CONO PREFABRICADO, PLACA FONDO.</v>
      </c>
      <c r="E109" s="497" t="str">
        <f>+_xlfn.XLOOKUP(Cantidades[[#This Row],[cod Idu]],APU_IDU[Código],APU_IDU[UM],"",0)</f>
        <v>UN</v>
      </c>
      <c r="F109" s="499">
        <f>+_xlfn.XLOOKUP(Cantidades[[#This Row],[cod Idu]],APU_IDU[Código],APU_IDU[Valor],"",0)</f>
        <v>4518654</v>
      </c>
      <c r="G109" s="753"/>
      <c r="H109" s="753"/>
      <c r="I109" s="753"/>
      <c r="J109" s="753"/>
      <c r="K109" s="753">
        <v>1</v>
      </c>
      <c r="L109" s="753"/>
      <c r="M109" s="753"/>
      <c r="N109" s="753"/>
      <c r="O109" s="753"/>
      <c r="P109" s="753"/>
      <c r="Q109" s="753"/>
      <c r="R109" s="753"/>
      <c r="S109" s="753"/>
      <c r="T109" s="753"/>
      <c r="U109" s="753"/>
      <c r="V109" s="753"/>
      <c r="W109" s="753"/>
      <c r="X109" s="753"/>
      <c r="Y109" s="753"/>
      <c r="Z109" s="753"/>
      <c r="AA109" s="753"/>
      <c r="AB109" s="753"/>
      <c r="AC109" s="753"/>
      <c r="AD109" s="753"/>
      <c r="AE109" s="753"/>
      <c r="AF109" s="753"/>
      <c r="AG109" s="753"/>
      <c r="AH109" s="753"/>
      <c r="AI109" s="753"/>
      <c r="AJ109" s="753"/>
      <c r="AK109" s="753"/>
      <c r="AL109" s="757"/>
      <c r="AM109" s="757"/>
      <c r="AN109" s="756"/>
      <c r="AO109" s="756"/>
      <c r="AP109" s="756"/>
      <c r="AQ109" s="756"/>
      <c r="AR109" s="756"/>
      <c r="AS109" s="756"/>
      <c r="AT109" s="756"/>
      <c r="AU109" s="756"/>
      <c r="AV109" s="756"/>
      <c r="AW109" s="756"/>
      <c r="AX109" s="756"/>
      <c r="AY109" s="756"/>
      <c r="AZ109" s="756"/>
      <c r="BA109" s="756"/>
      <c r="BB109" s="755"/>
    </row>
    <row r="110" spans="2:54" hidden="1" x14ac:dyDescent="0.3">
      <c r="B110" s="632" t="s">
        <v>6485</v>
      </c>
      <c r="C110" s="716">
        <v>3800</v>
      </c>
      <c r="D110" s="511" t="str">
        <f>+_xlfn.XLOOKUP(Cantidades[[#This Row],[cod Idu]],APU_IDU[Código],APU_IDU[Nombre],"",0)</f>
        <v>NIVELACION Y COMPACTACIÓN DE SUBRASANTE</v>
      </c>
      <c r="E110" s="497" t="str">
        <f>+_xlfn.XLOOKUP(Cantidades[[#This Row],[cod Idu]],APU_IDU[Código],APU_IDU[UM],"",0)</f>
        <v>M2</v>
      </c>
      <c r="F110" s="499">
        <f>+_xlfn.XLOOKUP(Cantidades[[#This Row],[cod Idu]],APU_IDU[Código],APU_IDU[Valor],"",0)</f>
        <v>1919</v>
      </c>
      <c r="G110" s="757"/>
      <c r="H110" s="757"/>
      <c r="I110" s="757"/>
      <c r="J110" s="757"/>
      <c r="K110" s="757"/>
      <c r="L110" s="757"/>
      <c r="M110" s="757"/>
      <c r="N110" s="757"/>
      <c r="O110" s="757"/>
      <c r="P110" s="757"/>
      <c r="Q110" s="757"/>
      <c r="R110" s="757"/>
      <c r="S110" s="757"/>
      <c r="T110" s="757"/>
      <c r="U110" s="757"/>
      <c r="V110" s="757"/>
      <c r="W110" s="757"/>
      <c r="X110" s="757"/>
      <c r="Y110" s="757"/>
      <c r="Z110" s="757"/>
      <c r="AA110" s="757"/>
      <c r="AB110" s="757"/>
      <c r="AC110" s="757"/>
      <c r="AD110" s="757"/>
      <c r="AE110" s="757"/>
      <c r="AF110" s="757"/>
      <c r="AG110" s="757"/>
      <c r="AH110" s="753"/>
      <c r="AI110" s="753"/>
      <c r="AJ110" s="753"/>
      <c r="AK110" s="753"/>
      <c r="AL110" s="757"/>
      <c r="AM110" s="753"/>
      <c r="AN110" s="757">
        <f t="shared" ref="AN110:BB110" si="65">+AN6</f>
        <v>157.38</v>
      </c>
      <c r="AO110" s="757">
        <f t="shared" si="65"/>
        <v>110.14</v>
      </c>
      <c r="AP110" s="757">
        <f t="shared" si="65"/>
        <v>30.97</v>
      </c>
      <c r="AQ110" s="757">
        <f t="shared" si="65"/>
        <v>155.35</v>
      </c>
      <c r="AR110" s="757">
        <f t="shared" si="65"/>
        <v>67.83</v>
      </c>
      <c r="AS110" s="757">
        <f t="shared" si="65"/>
        <v>174.27</v>
      </c>
      <c r="AT110" s="757">
        <f t="shared" si="65"/>
        <v>267.25</v>
      </c>
      <c r="AU110" s="757">
        <f t="shared" si="65"/>
        <v>360.09</v>
      </c>
      <c r="AV110" s="757">
        <f t="shared" si="65"/>
        <v>19.02</v>
      </c>
      <c r="AW110" s="757">
        <f t="shared" si="65"/>
        <v>417.55</v>
      </c>
      <c r="AX110" s="757">
        <f t="shared" si="65"/>
        <v>430.38</v>
      </c>
      <c r="AY110" s="757">
        <f t="shared" si="65"/>
        <v>441.41</v>
      </c>
      <c r="AZ110" s="757">
        <f t="shared" si="65"/>
        <v>445.04</v>
      </c>
      <c r="BA110" s="757">
        <f t="shared" si="65"/>
        <v>216.48</v>
      </c>
      <c r="BB110" s="757">
        <f t="shared" si="65"/>
        <v>67.69</v>
      </c>
    </row>
    <row r="111" spans="2:54" ht="28.8" hidden="1" x14ac:dyDescent="0.3">
      <c r="B111" s="632" t="s">
        <v>6485</v>
      </c>
      <c r="C111" s="724">
        <v>4396</v>
      </c>
      <c r="D111" s="511" t="str">
        <f>+_xlfn.XLOOKUP(Cantidades[[#This Row],[cod Idu]],APU_IDU[Código],APU_IDU[Nombre],"",0)</f>
        <v>ADOQUIN DE ARCILLA TR. LIVIANO 20X10X6CM (SUMINISTRO E INSTALACIÓN. INCLUYE BASE 4CM ARENA NIVELACION Y ARENA DE SELLO)</v>
      </c>
      <c r="E111" s="497" t="str">
        <f>+_xlfn.XLOOKUP(Cantidades[[#This Row],[cod Idu]],APU_IDU[Código],APU_IDU[UM],"",0)</f>
        <v>M2</v>
      </c>
      <c r="F111" s="499">
        <f>+_xlfn.XLOOKUP(Cantidades[[#This Row],[cod Idu]],APU_IDU[Código],APU_IDU[Valor],"",0)</f>
        <v>86412</v>
      </c>
      <c r="G111" s="753"/>
      <c r="H111" s="753"/>
      <c r="I111" s="753"/>
      <c r="J111" s="753"/>
      <c r="K111" s="753"/>
      <c r="L111" s="753"/>
      <c r="M111" s="753"/>
      <c r="N111" s="753"/>
      <c r="O111" s="753"/>
      <c r="P111" s="753"/>
      <c r="Q111" s="753"/>
      <c r="R111" s="753"/>
      <c r="S111" s="753"/>
      <c r="T111" s="753"/>
      <c r="U111" s="753"/>
      <c r="V111" s="753"/>
      <c r="W111" s="753"/>
      <c r="X111" s="753"/>
      <c r="Y111" s="753"/>
      <c r="Z111" s="753"/>
      <c r="AA111" s="753"/>
      <c r="AB111" s="753"/>
      <c r="AC111" s="753"/>
      <c r="AD111" s="753"/>
      <c r="AE111" s="753"/>
      <c r="AF111" s="753"/>
      <c r="AG111" s="753"/>
      <c r="AH111" s="753"/>
      <c r="AI111" s="753"/>
      <c r="AJ111" s="753"/>
      <c r="AK111" s="753"/>
      <c r="AL111" s="753"/>
      <c r="AM111" s="753"/>
      <c r="AN111" s="757">
        <f>+AN$5/2</f>
        <v>39.020000000000003</v>
      </c>
      <c r="AO111" s="753"/>
      <c r="AP111" s="753"/>
      <c r="AQ111" s="753"/>
      <c r="AR111" s="753"/>
      <c r="AS111" s="753"/>
      <c r="AT111" s="753"/>
      <c r="AU111" s="753"/>
      <c r="AV111" s="753"/>
      <c r="AW111" s="753"/>
      <c r="AX111" s="753"/>
      <c r="AY111" s="753"/>
      <c r="AZ111" s="753"/>
      <c r="BA111" s="753"/>
      <c r="BB111" s="757"/>
    </row>
    <row r="112" spans="2:54" ht="28.8" hidden="1" x14ac:dyDescent="0.3">
      <c r="B112" s="632" t="s">
        <v>6485</v>
      </c>
      <c r="C112" s="724">
        <v>4919</v>
      </c>
      <c r="D112" s="511" t="str">
        <f>+_xlfn.XLOOKUP(Cantidades[[#This Row],[cod Idu]],APU_IDU[Código],APU_IDU[Nombre],"",0)</f>
        <v>ADOQUIN EN CONCRETO 200X100X60MM A25 (SUMINISTRO E INSTALACIÓN. INCLUYE BASE 4CM MORTERO 2000 PSI Y ARENA DE SELLO).</v>
      </c>
      <c r="E112" s="497" t="str">
        <f>+_xlfn.XLOOKUP(Cantidades[[#This Row],[cod Idu]],APU_IDU[Código],APU_IDU[UM],"",0)</f>
        <v>M2</v>
      </c>
      <c r="F112" s="499">
        <f>+_xlfn.XLOOKUP(Cantidades[[#This Row],[cod Idu]],APU_IDU[Código],APU_IDU[Valor],"",0)</f>
        <v>147839</v>
      </c>
      <c r="G112" s="753"/>
      <c r="H112" s="753"/>
      <c r="I112" s="753"/>
      <c r="J112" s="753"/>
      <c r="K112" s="753"/>
      <c r="L112" s="753"/>
      <c r="M112" s="753"/>
      <c r="N112" s="753"/>
      <c r="O112" s="753"/>
      <c r="P112" s="753"/>
      <c r="Q112" s="753"/>
      <c r="R112" s="753"/>
      <c r="S112" s="753"/>
      <c r="T112" s="753"/>
      <c r="U112" s="753"/>
      <c r="V112" s="753"/>
      <c r="W112" s="753"/>
      <c r="X112" s="753"/>
      <c r="Y112" s="753"/>
      <c r="Z112" s="753"/>
      <c r="AA112" s="753"/>
      <c r="AB112" s="753"/>
      <c r="AC112" s="753"/>
      <c r="AD112" s="753"/>
      <c r="AE112" s="753"/>
      <c r="AF112" s="753"/>
      <c r="AG112" s="753"/>
      <c r="AH112" s="753"/>
      <c r="AI112" s="753"/>
      <c r="AJ112" s="753"/>
      <c r="AK112" s="753"/>
      <c r="AL112" s="753"/>
      <c r="AM112" s="753"/>
      <c r="AN112" s="753"/>
      <c r="AO112" s="757">
        <f>+AO$5</f>
        <v>64.650000000000006</v>
      </c>
      <c r="AP112" s="753"/>
      <c r="AQ112" s="753"/>
      <c r="AR112" s="753"/>
      <c r="AS112" s="753"/>
      <c r="AT112" s="753"/>
      <c r="AU112" s="753"/>
      <c r="AV112" s="753"/>
      <c r="AW112" s="753"/>
      <c r="AX112" s="753"/>
      <c r="AY112" s="753"/>
      <c r="AZ112" s="753"/>
      <c r="BA112" s="753"/>
      <c r="BB112" s="757"/>
    </row>
    <row r="113" spans="2:54" ht="28.8" hidden="1" x14ac:dyDescent="0.3">
      <c r="B113" s="632" t="s">
        <v>6485</v>
      </c>
      <c r="C113" s="724">
        <v>5047</v>
      </c>
      <c r="D113" s="511" t="str">
        <f>+_xlfn.XLOOKUP(Cantidades[[#This Row],[cod Idu]],APU_IDU[Código],APU_IDU[Nombre],"",0)</f>
        <v>ADOQUIN EN CONCRETO COLOR OCRE A25 (20X10X6cm) (Suministro e instalación. Incluye base 4cm mortero 2000 PSI y arena de sello)</v>
      </c>
      <c r="E113" s="497" t="str">
        <f>+_xlfn.XLOOKUP(Cantidades[[#This Row],[cod Idu]],APU_IDU[Código],APU_IDU[UM],"",0)</f>
        <v>M2</v>
      </c>
      <c r="F113" s="499">
        <f>+_xlfn.XLOOKUP(Cantidades[[#This Row],[cod Idu]],APU_IDU[Código],APU_IDU[Valor],"",0)</f>
        <v>159094</v>
      </c>
      <c r="G113" s="753"/>
      <c r="H113" s="753"/>
      <c r="I113" s="753"/>
      <c r="J113" s="753"/>
      <c r="K113" s="753"/>
      <c r="L113" s="753"/>
      <c r="M113" s="753"/>
      <c r="N113" s="753"/>
      <c r="O113" s="753"/>
      <c r="P113" s="753"/>
      <c r="Q113" s="753"/>
      <c r="R113" s="753"/>
      <c r="S113" s="753"/>
      <c r="T113" s="753"/>
      <c r="U113" s="753"/>
      <c r="V113" s="753"/>
      <c r="W113" s="753"/>
      <c r="X113" s="753"/>
      <c r="Y113" s="753"/>
      <c r="Z113" s="753"/>
      <c r="AA113" s="753"/>
      <c r="AB113" s="753"/>
      <c r="AC113" s="753"/>
      <c r="AD113" s="753"/>
      <c r="AE113" s="753"/>
      <c r="AF113" s="753"/>
      <c r="AG113" s="753"/>
      <c r="AH113" s="753"/>
      <c r="AI113" s="753"/>
      <c r="AJ113" s="753"/>
      <c r="AK113" s="753"/>
      <c r="AL113" s="753"/>
      <c r="AM113" s="753"/>
      <c r="AN113" s="757">
        <f>+AN$5/2</f>
        <v>39.020000000000003</v>
      </c>
      <c r="AO113" s="753"/>
      <c r="AP113" s="753"/>
      <c r="AQ113" s="753"/>
      <c r="AR113" s="753"/>
      <c r="AS113" s="753"/>
      <c r="AT113" s="753"/>
      <c r="AU113" s="753"/>
      <c r="AV113" s="753"/>
      <c r="AW113" s="753"/>
      <c r="AX113" s="753"/>
      <c r="AY113" s="753"/>
      <c r="AZ113" s="753"/>
      <c r="BA113" s="753"/>
      <c r="BB113" s="757"/>
    </row>
    <row r="114" spans="2:54" ht="43.2" hidden="1" x14ac:dyDescent="0.3">
      <c r="B114" s="632" t="s">
        <v>6485</v>
      </c>
      <c r="C114" s="724">
        <v>6021</v>
      </c>
      <c r="D114" s="511" t="str">
        <f>+_xlfn.XLOOKUP(Cantidades[[#This Row],[cod Idu]],APU_IDU[Código],APU_IDU[Nombre],"",0)</f>
        <v>CONCRETO DE NIVELACIÓN 2000 PSI GRAVA COMÚN (140 KG/CM2) (PREMEZCLADO. INCLUYE SUMINISTRO, FUNDIDA Y NIVELACIÓN Y COLOCACIÓN. NO INCLUYE REFUERZO, CURADO) PARA MEJORAMIENTO, ADECUACIÓN Y REHABILITACIÓN DE ESPACIO PÚBLICO.</v>
      </c>
      <c r="E114" s="497" t="str">
        <f>+_xlfn.XLOOKUP(Cantidades[[#This Row],[cod Idu]],APU_IDU[Código],APU_IDU[UM],"",0)</f>
        <v>M3</v>
      </c>
      <c r="F114" s="499">
        <f>+_xlfn.XLOOKUP(Cantidades[[#This Row],[cod Idu]],APU_IDU[Código],APU_IDU[Valor],"",0)</f>
        <v>840181</v>
      </c>
      <c r="G114" s="753"/>
      <c r="H114" s="753"/>
      <c r="I114" s="753"/>
      <c r="J114" s="753"/>
      <c r="K114" s="753"/>
      <c r="L114" s="753"/>
      <c r="M114" s="753"/>
      <c r="N114" s="753"/>
      <c r="O114" s="753"/>
      <c r="P114" s="753"/>
      <c r="Q114" s="753"/>
      <c r="R114" s="753"/>
      <c r="S114" s="753"/>
      <c r="T114" s="753"/>
      <c r="U114" s="753"/>
      <c r="V114" s="753"/>
      <c r="W114" s="753"/>
      <c r="X114" s="753"/>
      <c r="Y114" s="753"/>
      <c r="Z114" s="753"/>
      <c r="AA114" s="753"/>
      <c r="AB114" s="753"/>
      <c r="AC114" s="753"/>
      <c r="AD114" s="753"/>
      <c r="AE114" s="753"/>
      <c r="AF114" s="753"/>
      <c r="AG114" s="753"/>
      <c r="AH114" s="753"/>
      <c r="AI114" s="753"/>
      <c r="AJ114" s="753"/>
      <c r="AK114" s="753"/>
      <c r="AL114" s="753"/>
      <c r="AM114" s="753"/>
      <c r="AN114" s="753"/>
      <c r="AO114" s="753"/>
      <c r="AP114" s="757">
        <f>0.1*AP$6</f>
        <v>3.097</v>
      </c>
      <c r="AQ114" s="757"/>
      <c r="AR114" s="757"/>
      <c r="AS114" s="753"/>
      <c r="AT114" s="753"/>
      <c r="AU114" s="753"/>
      <c r="AV114" s="757">
        <f>0.1*AV$6</f>
        <v>1.9020000000000001</v>
      </c>
      <c r="AW114" s="753"/>
      <c r="AX114" s="753"/>
      <c r="AY114" s="753"/>
      <c r="AZ114" s="753"/>
      <c r="BA114" s="753"/>
      <c r="BB114" s="757"/>
    </row>
    <row r="115" spans="2:54" ht="28.8" hidden="1" x14ac:dyDescent="0.3">
      <c r="B115" s="632" t="s">
        <v>6485</v>
      </c>
      <c r="C115" s="724">
        <v>4908</v>
      </c>
      <c r="D115" s="511" t="str">
        <f>+_xlfn.XLOOKUP(Cantidades[[#This Row],[cod Idu]],APU_IDU[Código],APU_IDU[Nombre],"",0)</f>
        <v>MATERIAL SELECCIONADO. (INCLUYE SUMINISTRO, EXTENDIDO MANUAL, NIVELACIÓN, HUMEDECIMIENTO, COMPACTACIÓN Y TRANSPORTE A 21Km).</v>
      </c>
      <c r="E115" s="497" t="str">
        <f>+_xlfn.XLOOKUP(Cantidades[[#This Row],[cod Idu]],APU_IDU[Código],APU_IDU[UM],"",0)</f>
        <v>M3</v>
      </c>
      <c r="F115" s="499">
        <f>+_xlfn.XLOOKUP(Cantidades[[#This Row],[cod Idu]],APU_IDU[Código],APU_IDU[Valor],"",0)</f>
        <v>133633</v>
      </c>
      <c r="G115" s="753"/>
      <c r="H115" s="753"/>
      <c r="I115" s="753"/>
      <c r="J115" s="753"/>
      <c r="K115" s="753"/>
      <c r="L115" s="753"/>
      <c r="M115" s="753"/>
      <c r="N115" s="753"/>
      <c r="O115" s="753"/>
      <c r="P115" s="753"/>
      <c r="Q115" s="753"/>
      <c r="R115" s="753"/>
      <c r="S115" s="753"/>
      <c r="T115" s="753"/>
      <c r="U115" s="753"/>
      <c r="V115" s="753"/>
      <c r="W115" s="753"/>
      <c r="X115" s="753"/>
      <c r="Y115" s="753"/>
      <c r="Z115" s="753"/>
      <c r="AA115" s="753"/>
      <c r="AB115" s="753"/>
      <c r="AC115" s="753"/>
      <c r="AD115" s="753"/>
      <c r="AE115" s="753"/>
      <c r="AF115" s="753"/>
      <c r="AG115" s="753"/>
      <c r="AH115" s="753"/>
      <c r="AI115" s="753"/>
      <c r="AJ115" s="753"/>
      <c r="AK115" s="753"/>
      <c r="AL115" s="753"/>
      <c r="AM115" s="753"/>
      <c r="AN115" s="753"/>
      <c r="AO115" s="757">
        <f t="shared" ref="AO115" si="66">+AO$12*AO$6</f>
        <v>16.521000000000001</v>
      </c>
      <c r="AP115" s="753"/>
      <c r="AQ115" s="753"/>
      <c r="AR115" s="757">
        <f t="shared" ref="AR115" si="67">+AR$12*AR$6</f>
        <v>10.1745</v>
      </c>
      <c r="AS115" s="753"/>
      <c r="AT115" s="753"/>
      <c r="AU115" s="753"/>
      <c r="AV115" s="753"/>
      <c r="AW115" s="753"/>
      <c r="AX115" s="753"/>
      <c r="AY115" s="753"/>
      <c r="AZ115" s="753"/>
      <c r="BA115" s="753"/>
      <c r="BB115" s="757"/>
    </row>
    <row r="116" spans="2:54" ht="28.8" hidden="1" x14ac:dyDescent="0.3">
      <c r="B116" s="632" t="s">
        <v>6485</v>
      </c>
      <c r="C116" s="716">
        <v>3011</v>
      </c>
      <c r="D116" s="511" t="str">
        <f>+_xlfn.XLOOKUP(Cantidades[[#This Row],[cod Idu]],APU_IDU[Código],APU_IDU[Nombre],"",0)</f>
        <v>DEMOLICION MANUAL SARDINEL EXISTENTE (INCLUYE CARGUE). NO INCLUYE TRANSPORTE Y DISPOSICIÓN FINAL DE SOBRANTES.</v>
      </c>
      <c r="E116" s="497" t="str">
        <f>+_xlfn.XLOOKUP(Cantidades[[#This Row],[cod Idu]],APU_IDU[Código],APU_IDU[UM],"",0)</f>
        <v>ML</v>
      </c>
      <c r="F116" s="499">
        <f>+_xlfn.XLOOKUP(Cantidades[[#This Row],[cod Idu]],APU_IDU[Código],APU_IDU[Valor],"",0)</f>
        <v>8176</v>
      </c>
      <c r="G116" s="757"/>
      <c r="H116" s="757"/>
      <c r="I116" s="757"/>
      <c r="J116" s="757"/>
      <c r="K116" s="757"/>
      <c r="L116" s="757"/>
      <c r="M116" s="757"/>
      <c r="N116" s="757"/>
      <c r="O116" s="757"/>
      <c r="P116" s="757"/>
      <c r="Q116" s="757"/>
      <c r="R116" s="757"/>
      <c r="S116" s="757"/>
      <c r="T116" s="757"/>
      <c r="U116" s="757"/>
      <c r="V116" s="757"/>
      <c r="W116" s="757"/>
      <c r="X116" s="757"/>
      <c r="Y116" s="757"/>
      <c r="Z116" s="757"/>
      <c r="AA116" s="757"/>
      <c r="AB116" s="757"/>
      <c r="AC116" s="757"/>
      <c r="AD116" s="757"/>
      <c r="AE116" s="757"/>
      <c r="AF116" s="757"/>
      <c r="AG116" s="757"/>
      <c r="AH116" s="753"/>
      <c r="AI116" s="753"/>
      <c r="AJ116" s="753"/>
      <c r="AK116" s="753"/>
      <c r="AL116" s="757"/>
      <c r="AM116" s="753"/>
      <c r="AN116" s="757">
        <f>+AN$5</f>
        <v>78.040000000000006</v>
      </c>
      <c r="AO116" s="757">
        <f t="shared" ref="AO116:AZ116" si="68">+AO5</f>
        <v>64.650000000000006</v>
      </c>
      <c r="AP116" s="757">
        <f t="shared" si="68"/>
        <v>20.010000000000002</v>
      </c>
      <c r="AQ116" s="757">
        <f t="shared" si="68"/>
        <v>27.67</v>
      </c>
      <c r="AR116" s="757">
        <f t="shared" si="68"/>
        <v>12.7</v>
      </c>
      <c r="AS116" s="757">
        <f t="shared" si="68"/>
        <v>41.85</v>
      </c>
      <c r="AT116" s="757">
        <f t="shared" si="68"/>
        <v>86.68</v>
      </c>
      <c r="AU116" s="757">
        <f t="shared" si="68"/>
        <v>78.11</v>
      </c>
      <c r="AV116" s="757">
        <f t="shared" si="68"/>
        <v>8</v>
      </c>
      <c r="AW116" s="757">
        <f t="shared" si="68"/>
        <v>172.21</v>
      </c>
      <c r="AX116" s="757">
        <f t="shared" si="68"/>
        <v>171.88</v>
      </c>
      <c r="AY116" s="757">
        <f t="shared" si="68"/>
        <v>176.66</v>
      </c>
      <c r="AZ116" s="757">
        <f t="shared" si="68"/>
        <v>177.87</v>
      </c>
      <c r="BA116" s="757">
        <f t="shared" ref="BA116:BB116" si="69">+BA5</f>
        <v>35.14</v>
      </c>
      <c r="BB116" s="757">
        <f t="shared" si="69"/>
        <v>39.770000000000003</v>
      </c>
    </row>
    <row r="117" spans="2:54" ht="28.8" hidden="1" x14ac:dyDescent="0.3">
      <c r="B117" s="632" t="s">
        <v>6485</v>
      </c>
      <c r="C117" s="716">
        <v>3012</v>
      </c>
      <c r="D117" s="511" t="str">
        <f>+_xlfn.XLOOKUP(Cantidades[[#This Row],[cod Idu]],APU_IDU[Código],APU_IDU[Nombre],"",0)</f>
        <v>DEMOLICIÓN PISOS DE CONCRETO (ESPESOR VARIABLE HASTA 0.10 M. INCLUYE CARGUE). NO INCLUYE TRANSPORTE Y DISPOSICIÓN FINAL DE SOBRANTES.</v>
      </c>
      <c r="E117" s="497" t="str">
        <f>+_xlfn.XLOOKUP(Cantidades[[#This Row],[cod Idu]],APU_IDU[Código],APU_IDU[UM],"",0)</f>
        <v>M2</v>
      </c>
      <c r="F117" s="499">
        <f>+_xlfn.XLOOKUP(Cantidades[[#This Row],[cod Idu]],APU_IDU[Código],APU_IDU[Valor],"",0)</f>
        <v>9583</v>
      </c>
      <c r="G117" s="757"/>
      <c r="H117" s="757"/>
      <c r="I117" s="757"/>
      <c r="J117" s="757"/>
      <c r="K117" s="757"/>
      <c r="L117" s="757"/>
      <c r="M117" s="757"/>
      <c r="N117" s="757"/>
      <c r="O117" s="757"/>
      <c r="P117" s="757"/>
      <c r="Q117" s="757"/>
      <c r="R117" s="757"/>
      <c r="S117" s="757"/>
      <c r="T117" s="757"/>
      <c r="U117" s="757"/>
      <c r="V117" s="757"/>
      <c r="W117" s="757"/>
      <c r="X117" s="757"/>
      <c r="Y117" s="757"/>
      <c r="Z117" s="757"/>
      <c r="AA117" s="757"/>
      <c r="AB117" s="757"/>
      <c r="AC117" s="757"/>
      <c r="AD117" s="757"/>
      <c r="AE117" s="757"/>
      <c r="AF117" s="757"/>
      <c r="AG117" s="757"/>
      <c r="AH117" s="753"/>
      <c r="AI117" s="753"/>
      <c r="AJ117" s="753"/>
      <c r="AK117" s="753"/>
      <c r="AL117" s="757"/>
      <c r="AM117" s="753"/>
      <c r="AN117" s="757"/>
      <c r="AO117" s="757"/>
      <c r="AP117" s="757">
        <f t="shared" ref="AP117:AZ117" si="70">+AP6</f>
        <v>30.97</v>
      </c>
      <c r="AQ117" s="757">
        <f t="shared" si="70"/>
        <v>155.35</v>
      </c>
      <c r="AR117" s="757">
        <f t="shared" si="70"/>
        <v>67.83</v>
      </c>
      <c r="AS117" s="757">
        <f t="shared" si="70"/>
        <v>174.27</v>
      </c>
      <c r="AT117" s="757">
        <f t="shared" si="70"/>
        <v>267.25</v>
      </c>
      <c r="AU117" s="757">
        <f t="shared" si="70"/>
        <v>360.09</v>
      </c>
      <c r="AV117" s="757">
        <f t="shared" si="70"/>
        <v>19.02</v>
      </c>
      <c r="AW117" s="757">
        <f t="shared" si="70"/>
        <v>417.55</v>
      </c>
      <c r="AX117" s="757">
        <f t="shared" si="70"/>
        <v>430.38</v>
      </c>
      <c r="AY117" s="757">
        <f t="shared" si="70"/>
        <v>441.41</v>
      </c>
      <c r="AZ117" s="757">
        <f t="shared" si="70"/>
        <v>445.04</v>
      </c>
      <c r="BA117" s="757">
        <f t="shared" ref="BA117:BB117" si="71">+BA6</f>
        <v>216.48</v>
      </c>
      <c r="BB117" s="757">
        <f t="shared" si="71"/>
        <v>67.69</v>
      </c>
    </row>
    <row r="118" spans="2:54" ht="43.2" hidden="1" x14ac:dyDescent="0.3">
      <c r="B118" s="632" t="s">
        <v>6485</v>
      </c>
      <c r="C118" s="716">
        <v>3017</v>
      </c>
      <c r="D118" s="511" t="str">
        <f>+_xlfn.XLOOKUP(Cantidades[[#This Row],[cod Idu]],APU_IDU[Código],APU_IDU[Nombre],"",0)</f>
        <v>TRANSPORTE Y DISPOSICIÓN FINAL DE ESCOMBROS EN SITIO AUTORIZADO (DISTANCIA DE TRANSPORTE 21 KM). A DISTANCIA MAYOR DEL ACARREO LIBRE (90 M) EN SITIO AUTORIZADO POR LA ENTIDAD AMBIENTAL COMPETENTE.</v>
      </c>
      <c r="E118" s="497" t="str">
        <f>+_xlfn.XLOOKUP(Cantidades[[#This Row],[cod Idu]],APU_IDU[Código],APU_IDU[UM],"",0)</f>
        <v>M3</v>
      </c>
      <c r="F118" s="499">
        <f>+_xlfn.XLOOKUP(Cantidades[[#This Row],[cod Idu]],APU_IDU[Código],APU_IDU[Valor],"",0)</f>
        <v>45734</v>
      </c>
      <c r="G118" s="757"/>
      <c r="H118" s="757"/>
      <c r="I118" s="757"/>
      <c r="J118" s="757"/>
      <c r="K118" s="757"/>
      <c r="L118" s="757"/>
      <c r="M118" s="757"/>
      <c r="N118" s="757"/>
      <c r="O118" s="757"/>
      <c r="P118" s="757"/>
      <c r="Q118" s="757"/>
      <c r="R118" s="757"/>
      <c r="S118" s="757"/>
      <c r="T118" s="757"/>
      <c r="U118" s="757"/>
      <c r="V118" s="757"/>
      <c r="W118" s="757"/>
      <c r="X118" s="757"/>
      <c r="Y118" s="757"/>
      <c r="Z118" s="757"/>
      <c r="AA118" s="757"/>
      <c r="AB118" s="757"/>
      <c r="AC118" s="757"/>
      <c r="AD118" s="757"/>
      <c r="AE118" s="757"/>
      <c r="AF118" s="757"/>
      <c r="AG118" s="757"/>
      <c r="AH118" s="753"/>
      <c r="AI118" s="753"/>
      <c r="AJ118" s="753"/>
      <c r="AK118" s="753"/>
      <c r="AL118" s="757"/>
      <c r="AM118" s="753"/>
      <c r="AN118" s="757">
        <f>+AN117+AN116+(AN119*$BD$14)</f>
        <v>109.43731000000001</v>
      </c>
      <c r="AO118" s="757">
        <f>+AO117+AO116+(AO119*$BD$14)</f>
        <v>86.622930000000011</v>
      </c>
      <c r="AP118" s="757">
        <f t="shared" ref="AP118:BB118" si="72">+AP117+AP116+(AP119*$BD$14)</f>
        <v>57.158515000000001</v>
      </c>
      <c r="AQ118" s="757">
        <f t="shared" si="72"/>
        <v>214.01232499999998</v>
      </c>
      <c r="AR118" s="757">
        <f t="shared" si="72"/>
        <v>94.062084999999996</v>
      </c>
      <c r="AS118" s="757">
        <f t="shared" si="72"/>
        <v>250.886865</v>
      </c>
      <c r="AT118" s="757">
        <f t="shared" si="72"/>
        <v>407.246375</v>
      </c>
      <c r="AU118" s="757">
        <f t="shared" si="72"/>
        <v>510.03795500000001</v>
      </c>
      <c r="AV118" s="757">
        <f t="shared" si="72"/>
        <v>30.814489999999999</v>
      </c>
      <c r="AW118" s="757">
        <f t="shared" si="72"/>
        <v>673.06122500000004</v>
      </c>
      <c r="AX118" s="757">
        <f t="shared" si="72"/>
        <v>688.12081000000001</v>
      </c>
      <c r="AY118" s="757">
        <f t="shared" si="72"/>
        <v>706.13129500000002</v>
      </c>
      <c r="AZ118" s="757">
        <f t="shared" si="72"/>
        <v>711.69548000000009</v>
      </c>
      <c r="BA118" s="757">
        <f t="shared" si="72"/>
        <v>294.80776000000003</v>
      </c>
      <c r="BB118" s="757">
        <f t="shared" si="72"/>
        <v>120.96415500000001</v>
      </c>
    </row>
    <row r="119" spans="2:54" hidden="1" x14ac:dyDescent="0.3">
      <c r="B119" s="632" t="s">
        <v>6485</v>
      </c>
      <c r="C119" s="717">
        <v>3464</v>
      </c>
      <c r="D119" s="511" t="str">
        <f>+_xlfn.XLOOKUP(Cantidades[[#This Row],[cod Idu]],APU_IDU[Código],APU_IDU[Nombre],"",0)</f>
        <v>EXCAVACION MANUAL EN MATERIAL COMUN. INCLUYE CARGUE.</v>
      </c>
      <c r="E119" s="497" t="str">
        <f>+_xlfn.XLOOKUP(Cantidades[[#This Row],[cod Idu]],APU_IDU[Código],APU_IDU[UM],"",0)</f>
        <v>M3</v>
      </c>
      <c r="F119" s="499">
        <f>+_xlfn.XLOOKUP(Cantidades[[#This Row],[cod Idu]],APU_IDU[Código],APU_IDU[Valor],"",0)</f>
        <v>58471</v>
      </c>
      <c r="G119" s="757"/>
      <c r="H119" s="757"/>
      <c r="I119" s="757"/>
      <c r="J119" s="757"/>
      <c r="K119" s="757"/>
      <c r="L119" s="757"/>
      <c r="M119" s="757"/>
      <c r="N119" s="757"/>
      <c r="O119" s="757"/>
      <c r="P119" s="757"/>
      <c r="Q119" s="757"/>
      <c r="R119" s="757"/>
      <c r="S119" s="757"/>
      <c r="T119" s="757"/>
      <c r="U119" s="757"/>
      <c r="V119" s="757"/>
      <c r="W119" s="757"/>
      <c r="X119" s="757"/>
      <c r="Y119" s="757"/>
      <c r="Z119" s="757"/>
      <c r="AA119" s="757"/>
      <c r="AB119" s="757"/>
      <c r="AC119" s="757"/>
      <c r="AD119" s="757"/>
      <c r="AE119" s="757"/>
      <c r="AF119" s="757"/>
      <c r="AG119" s="757"/>
      <c r="AH119" s="753"/>
      <c r="AI119" s="753"/>
      <c r="AJ119" s="753"/>
      <c r="AK119" s="753"/>
      <c r="AL119" s="757"/>
      <c r="AM119" s="753"/>
      <c r="AN119" s="757">
        <f>+AN$12*AN$6</f>
        <v>23.606999999999999</v>
      </c>
      <c r="AO119" s="757">
        <f t="shared" ref="AO119:AS119" si="73">+AO$12*AO$6</f>
        <v>16.521000000000001</v>
      </c>
      <c r="AP119" s="757">
        <f t="shared" si="73"/>
        <v>4.6454999999999993</v>
      </c>
      <c r="AQ119" s="757">
        <f t="shared" si="73"/>
        <v>23.302499999999998</v>
      </c>
      <c r="AR119" s="757">
        <f t="shared" si="73"/>
        <v>10.1745</v>
      </c>
      <c r="AS119" s="757">
        <f t="shared" si="73"/>
        <v>26.140499999999999</v>
      </c>
      <c r="AT119" s="757">
        <f t="shared" ref="AT119:BB119" si="74">+AT$12*AT$6</f>
        <v>40.087499999999999</v>
      </c>
      <c r="AU119" s="757">
        <f t="shared" si="74"/>
        <v>54.013499999999993</v>
      </c>
      <c r="AV119" s="757">
        <f t="shared" si="74"/>
        <v>2.8529999999999998</v>
      </c>
      <c r="AW119" s="757">
        <f t="shared" si="74"/>
        <v>62.6325</v>
      </c>
      <c r="AX119" s="757">
        <f t="shared" si="74"/>
        <v>64.557000000000002</v>
      </c>
      <c r="AY119" s="757">
        <f t="shared" si="74"/>
        <v>66.211500000000001</v>
      </c>
      <c r="AZ119" s="757">
        <f t="shared" si="74"/>
        <v>66.756</v>
      </c>
      <c r="BA119" s="757">
        <f t="shared" si="74"/>
        <v>32.471999999999994</v>
      </c>
      <c r="BB119" s="757">
        <f t="shared" si="74"/>
        <v>10.153499999999999</v>
      </c>
    </row>
    <row r="120" spans="2:54" ht="43.2" hidden="1" x14ac:dyDescent="0.3">
      <c r="B120" s="632" t="s">
        <v>6485</v>
      </c>
      <c r="C120" s="717">
        <v>4032</v>
      </c>
      <c r="D120" s="511" t="str">
        <f>+_xlfn.XLOOKUP(Cantidades[[#This Row],[cod Idu]],APU_IDU[Código],APU_IDU[Nombre],"",0)</f>
        <v>GEOTEXTIL TEJIDO CON RESISTENCIA A LA TENSION METODO TIRA ANCHA SENTIDO LONGITUDINAL: ENTRE 40 KN/M Y 43 KN/M. PARA SEPARACION SUBRASANTE/CAPAS GRANULARES. (INCLUYE SUMINISTRO E INSTALACION).</v>
      </c>
      <c r="E120" s="497" t="str">
        <f>+_xlfn.XLOOKUP(Cantidades[[#This Row],[cod Idu]],APU_IDU[Código],APU_IDU[UM],"",0)</f>
        <v>M2</v>
      </c>
      <c r="F120" s="499">
        <f>+_xlfn.XLOOKUP(Cantidades[[#This Row],[cod Idu]],APU_IDU[Código],APU_IDU[Valor],"",0)</f>
        <v>15400</v>
      </c>
      <c r="G120" s="757"/>
      <c r="H120" s="757"/>
      <c r="I120" s="757"/>
      <c r="J120" s="757"/>
      <c r="K120" s="757"/>
      <c r="L120" s="757"/>
      <c r="M120" s="757"/>
      <c r="N120" s="757"/>
      <c r="O120" s="757"/>
      <c r="P120" s="757"/>
      <c r="Q120" s="757"/>
      <c r="R120" s="757"/>
      <c r="S120" s="757"/>
      <c r="T120" s="757"/>
      <c r="U120" s="757"/>
      <c r="V120" s="757"/>
      <c r="W120" s="757"/>
      <c r="X120" s="757"/>
      <c r="Y120" s="757"/>
      <c r="Z120" s="757"/>
      <c r="AA120" s="757"/>
      <c r="AB120" s="757"/>
      <c r="AC120" s="757"/>
      <c r="AD120" s="757"/>
      <c r="AE120" s="757"/>
      <c r="AF120" s="757"/>
      <c r="AG120" s="757"/>
      <c r="AH120" s="753"/>
      <c r="AI120" s="753"/>
      <c r="AJ120" s="753"/>
      <c r="AK120" s="753"/>
      <c r="AL120" s="757"/>
      <c r="AM120" s="753"/>
      <c r="AN120" s="757">
        <v>0</v>
      </c>
      <c r="AO120" s="757">
        <f>+AO6</f>
        <v>110.14</v>
      </c>
      <c r="AP120" s="757">
        <f>+AP6</f>
        <v>30.97</v>
      </c>
      <c r="AQ120" s="757">
        <v>0</v>
      </c>
      <c r="AR120" s="757">
        <v>0</v>
      </c>
      <c r="AS120" s="757">
        <v>0</v>
      </c>
      <c r="AT120" s="757">
        <v>0</v>
      </c>
      <c r="AU120" s="757">
        <v>0</v>
      </c>
      <c r="AV120" s="757">
        <v>0</v>
      </c>
      <c r="AW120" s="757">
        <v>0</v>
      </c>
      <c r="AX120" s="757">
        <v>0</v>
      </c>
      <c r="AY120" s="757">
        <v>0</v>
      </c>
      <c r="AZ120" s="757">
        <v>0</v>
      </c>
      <c r="BA120" s="757">
        <v>0</v>
      </c>
      <c r="BB120" s="757">
        <v>0</v>
      </c>
    </row>
    <row r="121" spans="2:54" ht="43.2" hidden="1" x14ac:dyDescent="0.3">
      <c r="B121" s="632" t="s">
        <v>6485</v>
      </c>
      <c r="C121" s="717">
        <v>6471</v>
      </c>
      <c r="D121" s="511" t="str">
        <f>+_xlfn.XLOOKUP(Cantidades[[#This Row],[cod Idu]],APU_IDU[Código],APU_IDU[Nombre],"",0)</f>
        <v>SUBBASE GRANULAR PEATONAL SBG_PEA. (SUMINISTRO, EXTENDIDO  Y NIVELACIÓN MANUAL, HUMEDECIMIENTO MECÁNICO Y COMPACTACIÓN MECÁNICA CON VIBROCOMPACTADOR TÁNDEM PEQUEÑO, INCLUYE OPERARIO Y COMBUSTIBLE).</v>
      </c>
      <c r="E121" s="497" t="str">
        <f>+_xlfn.XLOOKUP(Cantidades[[#This Row],[cod Idu]],APU_IDU[Código],APU_IDU[UM],"",0)</f>
        <v>M3</v>
      </c>
      <c r="F121" s="499">
        <f>+_xlfn.XLOOKUP(Cantidades[[#This Row],[cod Idu]],APU_IDU[Código],APU_IDU[Valor],"",0)</f>
        <v>199033</v>
      </c>
      <c r="G121" s="757"/>
      <c r="H121" s="757"/>
      <c r="I121" s="757"/>
      <c r="J121" s="757"/>
      <c r="K121" s="757"/>
      <c r="L121" s="757"/>
      <c r="M121" s="757"/>
      <c r="N121" s="757"/>
      <c r="O121" s="757"/>
      <c r="P121" s="757"/>
      <c r="Q121" s="757"/>
      <c r="R121" s="757"/>
      <c r="S121" s="757"/>
      <c r="T121" s="757"/>
      <c r="U121" s="757"/>
      <c r="V121" s="757"/>
      <c r="W121" s="757"/>
      <c r="X121" s="757"/>
      <c r="Y121" s="757"/>
      <c r="Z121" s="757"/>
      <c r="AA121" s="757"/>
      <c r="AB121" s="757"/>
      <c r="AC121" s="757"/>
      <c r="AD121" s="757"/>
      <c r="AE121" s="757"/>
      <c r="AF121" s="757"/>
      <c r="AG121" s="757"/>
      <c r="AH121" s="753"/>
      <c r="AI121" s="753"/>
      <c r="AJ121" s="753"/>
      <c r="AK121" s="753"/>
      <c r="AL121" s="757"/>
      <c r="AM121" s="753"/>
      <c r="AN121" s="757">
        <f t="shared" ref="AN121:BB121" si="75">+AN12*AN6</f>
        <v>23.606999999999999</v>
      </c>
      <c r="AO121" s="757">
        <v>0</v>
      </c>
      <c r="AP121" s="757">
        <f t="shared" si="75"/>
        <v>4.6454999999999993</v>
      </c>
      <c r="AQ121" s="757">
        <f t="shared" si="75"/>
        <v>23.302499999999998</v>
      </c>
      <c r="AR121" s="757">
        <v>0</v>
      </c>
      <c r="AS121" s="757">
        <f t="shared" si="75"/>
        <v>26.140499999999999</v>
      </c>
      <c r="AT121" s="757">
        <f t="shared" si="75"/>
        <v>40.087499999999999</v>
      </c>
      <c r="AU121" s="757">
        <f t="shared" si="75"/>
        <v>54.013499999999993</v>
      </c>
      <c r="AV121" s="757">
        <f t="shared" si="75"/>
        <v>2.8529999999999998</v>
      </c>
      <c r="AW121" s="757">
        <f t="shared" si="75"/>
        <v>62.6325</v>
      </c>
      <c r="AX121" s="757">
        <f t="shared" si="75"/>
        <v>64.557000000000002</v>
      </c>
      <c r="AY121" s="757">
        <f t="shared" si="75"/>
        <v>66.211500000000001</v>
      </c>
      <c r="AZ121" s="757">
        <f t="shared" si="75"/>
        <v>66.756</v>
      </c>
      <c r="BA121" s="757">
        <f t="shared" si="75"/>
        <v>32.471999999999994</v>
      </c>
      <c r="BB121" s="757">
        <f t="shared" si="75"/>
        <v>10.153499999999999</v>
      </c>
    </row>
    <row r="122" spans="2:54" ht="43.2" hidden="1" x14ac:dyDescent="0.3">
      <c r="B122" s="632" t="s">
        <v>6485</v>
      </c>
      <c r="C122" s="717">
        <v>8228</v>
      </c>
      <c r="D122" s="511" t="str">
        <f>+_xlfn.XLOOKUP(Cantidades[[#This Row],[cod Idu]],APU_IDU[Código],APU_IDU[Nombre],"",0)</f>
        <v>CENEFA LINEAL EN LOSETA PREFABRICADA TÁCTIL ALERTA A57 / A58 ANCHO 0.20M COLOR AMARILLO. (SUMINISTRO E INSTALACIÓN. INCLUYE BASE EN ARENA DE NIVELACIÓN E= 4CM Y ARENA DE SELLO).</v>
      </c>
      <c r="E122" s="497" t="str">
        <f>+_xlfn.XLOOKUP(Cantidades[[#This Row],[cod Idu]],APU_IDU[Código],APU_IDU[UM],"",0)</f>
        <v>ML</v>
      </c>
      <c r="F122" s="801">
        <f>+_xlfn.XLOOKUP(Cantidades[[#This Row],[cod Idu]],APU_IDU[Código],APU_IDU[Valor],"",0)</f>
        <v>34645</v>
      </c>
      <c r="G122" s="757"/>
      <c r="H122" s="757"/>
      <c r="I122" s="757"/>
      <c r="J122" s="757"/>
      <c r="K122" s="757"/>
      <c r="L122" s="757"/>
      <c r="M122" s="757"/>
      <c r="N122" s="757"/>
      <c r="O122" s="757"/>
      <c r="P122" s="757"/>
      <c r="Q122" s="757"/>
      <c r="R122" s="757"/>
      <c r="S122" s="757"/>
      <c r="T122" s="757"/>
      <c r="U122" s="757"/>
      <c r="V122" s="757"/>
      <c r="W122" s="757"/>
      <c r="X122" s="757"/>
      <c r="Y122" s="757"/>
      <c r="Z122" s="757"/>
      <c r="AA122" s="757"/>
      <c r="AB122" s="757"/>
      <c r="AC122" s="757"/>
      <c r="AD122" s="757"/>
      <c r="AE122" s="757"/>
      <c r="AF122" s="757"/>
      <c r="AG122" s="757"/>
      <c r="AH122" s="753"/>
      <c r="AI122" s="753"/>
      <c r="AJ122" s="753"/>
      <c r="AK122" s="753"/>
      <c r="AL122" s="757"/>
      <c r="AM122" s="753"/>
      <c r="AN122" s="757"/>
      <c r="AO122" s="757"/>
      <c r="AP122" s="757">
        <f t="shared" ref="AP122:AW122" si="76">+AP5</f>
        <v>20.010000000000002</v>
      </c>
      <c r="AQ122" s="757">
        <f t="shared" si="76"/>
        <v>27.67</v>
      </c>
      <c r="AR122" s="757">
        <f t="shared" si="76"/>
        <v>12.7</v>
      </c>
      <c r="AS122" s="757">
        <f t="shared" si="76"/>
        <v>41.85</v>
      </c>
      <c r="AT122" s="757">
        <f t="shared" si="76"/>
        <v>86.68</v>
      </c>
      <c r="AU122" s="757">
        <f t="shared" si="76"/>
        <v>78.11</v>
      </c>
      <c r="AV122" s="757">
        <f t="shared" si="76"/>
        <v>8</v>
      </c>
      <c r="AW122" s="757">
        <f t="shared" si="76"/>
        <v>172.21</v>
      </c>
      <c r="AX122" s="757"/>
      <c r="AY122" s="757"/>
      <c r="AZ122" s="757"/>
      <c r="BA122" s="753"/>
      <c r="BB122" s="757"/>
    </row>
    <row r="123" spans="2:54" ht="43.2" hidden="1" x14ac:dyDescent="0.3">
      <c r="B123" s="632" t="s">
        <v>6485</v>
      </c>
      <c r="C123" s="717">
        <v>6102</v>
      </c>
      <c r="D123" s="511" t="str">
        <f>+_xlfn.XLOOKUP(Cantidades[[#This Row],[cod Idu]],APU_IDU[Código],APU_IDU[Nombre],"",0)</f>
        <v>CENEFA LINEAL EN LOSETA PREFABRICADA TÁCTIL ALERTA Y GUÍA A55 / A56 ANCHO 0.40m (SUMINISTRO E INSTALACIÓN. INCLUYE BASE EN ARENA DE NIVELACIÓN e= 4cm Y ARENA DE SELLO).</v>
      </c>
      <c r="E123" s="497" t="str">
        <f>+_xlfn.XLOOKUP(Cantidades[[#This Row],[cod Idu]],APU_IDU[Código],APU_IDU[UM],"",0)</f>
        <v>ML</v>
      </c>
      <c r="F123" s="801">
        <f>+_xlfn.XLOOKUP(Cantidades[[#This Row],[cod Idu]],APU_IDU[Código],APU_IDU[Valor],"",0)</f>
        <v>49918</v>
      </c>
      <c r="G123" s="757"/>
      <c r="H123" s="757"/>
      <c r="I123" s="757"/>
      <c r="J123" s="757"/>
      <c r="K123" s="757"/>
      <c r="L123" s="757"/>
      <c r="M123" s="757"/>
      <c r="N123" s="757"/>
      <c r="O123" s="757"/>
      <c r="P123" s="757"/>
      <c r="Q123" s="757"/>
      <c r="R123" s="757"/>
      <c r="S123" s="757"/>
      <c r="T123" s="757"/>
      <c r="U123" s="757"/>
      <c r="V123" s="757"/>
      <c r="W123" s="757"/>
      <c r="X123" s="757"/>
      <c r="Y123" s="757"/>
      <c r="Z123" s="757"/>
      <c r="AA123" s="757"/>
      <c r="AB123" s="757"/>
      <c r="AC123" s="757"/>
      <c r="AD123" s="757"/>
      <c r="AE123" s="757"/>
      <c r="AF123" s="757"/>
      <c r="AG123" s="757"/>
      <c r="AH123" s="753"/>
      <c r="AI123" s="753"/>
      <c r="AJ123" s="753"/>
      <c r="AK123" s="753"/>
      <c r="AL123" s="757"/>
      <c r="AM123" s="753"/>
      <c r="AN123" s="757"/>
      <c r="AO123" s="757"/>
      <c r="AP123" s="757"/>
      <c r="AQ123" s="757"/>
      <c r="AR123" s="757"/>
      <c r="AS123" s="757"/>
      <c r="AT123" s="757"/>
      <c r="AU123" s="757"/>
      <c r="AV123" s="757"/>
      <c r="AW123" s="757"/>
      <c r="AX123" s="757">
        <f>+AX5</f>
        <v>171.88</v>
      </c>
      <c r="AY123" s="757">
        <f>+AY5</f>
        <v>176.66</v>
      </c>
      <c r="AZ123" s="757">
        <f>+AZ5</f>
        <v>177.87</v>
      </c>
      <c r="BA123" s="757">
        <f t="shared" ref="BA123:BB123" si="77">+BA5</f>
        <v>35.14</v>
      </c>
      <c r="BB123" s="757">
        <f t="shared" si="77"/>
        <v>39.770000000000003</v>
      </c>
    </row>
    <row r="124" spans="2:54" ht="28.8" hidden="1" x14ac:dyDescent="0.3">
      <c r="B124" s="632" t="s">
        <v>6485</v>
      </c>
      <c r="C124" s="717">
        <v>6422</v>
      </c>
      <c r="D124" s="511" t="str">
        <f>+_xlfn.XLOOKUP(Cantidades[[#This Row],[cod Idu]],APU_IDU[Código],APU_IDU[Nombre],"",0)</f>
        <v>REJILLA PREFABRICADA EN CONCRETO 0,4M X 0,4M. (INCLUYE SUMINISTRO Y COLOCACIÓN, MORTERO DE 2000 PSI Y MANO DE OBRA)</v>
      </c>
      <c r="E124" s="497" t="str">
        <f>+_xlfn.XLOOKUP(Cantidades[[#This Row],[cod Idu]],APU_IDU[Código],APU_IDU[UM],"",0)</f>
        <v>UN</v>
      </c>
      <c r="F124" s="499">
        <f>+_xlfn.XLOOKUP(Cantidades[[#This Row],[cod Idu]],APU_IDU[Código],APU_IDU[Valor],"",0)</f>
        <v>96916</v>
      </c>
      <c r="G124" s="757"/>
      <c r="H124" s="757"/>
      <c r="I124" s="757"/>
      <c r="J124" s="757"/>
      <c r="K124" s="757"/>
      <c r="L124" s="757"/>
      <c r="M124" s="757"/>
      <c r="N124" s="757"/>
      <c r="O124" s="757"/>
      <c r="P124" s="757"/>
      <c r="Q124" s="757"/>
      <c r="R124" s="757"/>
      <c r="S124" s="757"/>
      <c r="T124" s="757"/>
      <c r="U124" s="757"/>
      <c r="V124" s="757"/>
      <c r="W124" s="757"/>
      <c r="X124" s="757"/>
      <c r="Y124" s="757"/>
      <c r="Z124" s="757"/>
      <c r="AA124" s="757"/>
      <c r="AB124" s="757"/>
      <c r="AC124" s="757"/>
      <c r="AD124" s="757"/>
      <c r="AE124" s="757"/>
      <c r="AF124" s="757"/>
      <c r="AG124" s="757"/>
      <c r="AH124" s="753"/>
      <c r="AI124" s="753"/>
      <c r="AJ124" s="753"/>
      <c r="AK124" s="753"/>
      <c r="AL124" s="757"/>
      <c r="AM124" s="753"/>
      <c r="AN124" s="757"/>
      <c r="AO124" s="757"/>
      <c r="AP124" s="757">
        <v>1</v>
      </c>
      <c r="AQ124" s="757">
        <v>1</v>
      </c>
      <c r="AR124" s="757">
        <v>1</v>
      </c>
      <c r="AS124" s="757">
        <v>1</v>
      </c>
      <c r="AT124" s="757">
        <v>1</v>
      </c>
      <c r="AU124" s="757">
        <v>1</v>
      </c>
      <c r="AV124" s="757">
        <v>1</v>
      </c>
      <c r="AW124" s="757">
        <v>1</v>
      </c>
      <c r="AX124" s="757">
        <v>1</v>
      </c>
      <c r="AY124" s="757">
        <v>1</v>
      </c>
      <c r="AZ124" s="757">
        <v>1</v>
      </c>
      <c r="BA124" s="753"/>
      <c r="BB124" s="757"/>
    </row>
    <row r="125" spans="2:54" hidden="1" x14ac:dyDescent="0.3">
      <c r="B125" s="632" t="s">
        <v>6485</v>
      </c>
      <c r="C125" s="744">
        <v>4751</v>
      </c>
      <c r="D125" s="511" t="str">
        <f>+_xlfn.XLOOKUP(Cantidades[[#This Row],[cod Idu]],APU_IDU[Código],APU_IDU[Nombre],"",0)</f>
        <v>FRANJA DE AJUSTE EN CONCRETO 3000 PSI E= 10 CM ANCHO ENTRE 12-20CM</v>
      </c>
      <c r="E125" s="497" t="str">
        <f>+_xlfn.XLOOKUP(Cantidades[[#This Row],[cod Idu]],APU_IDU[Código],APU_IDU[UM],"",0)</f>
        <v>ML</v>
      </c>
      <c r="F125" s="499">
        <f>+_xlfn.XLOOKUP(Cantidades[[#This Row],[cod Idu]],APU_IDU[Código],APU_IDU[Valor],"",0)</f>
        <v>16528</v>
      </c>
      <c r="G125" s="753"/>
      <c r="H125" s="753"/>
      <c r="I125" s="753"/>
      <c r="J125" s="753"/>
      <c r="K125" s="753"/>
      <c r="L125" s="753"/>
      <c r="M125" s="753"/>
      <c r="N125" s="753"/>
      <c r="O125" s="753"/>
      <c r="P125" s="753"/>
      <c r="Q125" s="753"/>
      <c r="R125" s="753"/>
      <c r="S125" s="753"/>
      <c r="T125" s="753"/>
      <c r="U125" s="753"/>
      <c r="V125" s="753"/>
      <c r="W125" s="753"/>
      <c r="X125" s="753"/>
      <c r="Y125" s="753"/>
      <c r="Z125" s="753"/>
      <c r="AA125" s="753"/>
      <c r="AB125" s="753"/>
      <c r="AC125" s="753"/>
      <c r="AD125" s="753"/>
      <c r="AE125" s="753"/>
      <c r="AF125" s="753"/>
      <c r="AG125" s="753"/>
      <c r="AH125" s="753"/>
      <c r="AI125" s="753"/>
      <c r="AJ125" s="753"/>
      <c r="AK125" s="753"/>
      <c r="AL125" s="753"/>
      <c r="AM125" s="753"/>
      <c r="AN125" s="753">
        <v>0</v>
      </c>
      <c r="AO125" s="753">
        <v>0</v>
      </c>
      <c r="AP125" s="753"/>
      <c r="AQ125" s="757">
        <f t="shared" ref="AO125:BB128" si="78">+AQ$5</f>
        <v>27.67</v>
      </c>
      <c r="AR125" s="753"/>
      <c r="AS125" s="753"/>
      <c r="AT125" s="753"/>
      <c r="AU125" s="753"/>
      <c r="AV125" s="757">
        <v>0</v>
      </c>
      <c r="AW125" s="753"/>
      <c r="AX125" s="753"/>
      <c r="AY125" s="753"/>
      <c r="AZ125" s="753"/>
      <c r="BA125" s="753"/>
      <c r="BB125" s="757"/>
    </row>
    <row r="126" spans="2:54" ht="28.8" hidden="1" x14ac:dyDescent="0.3">
      <c r="B126" s="632" t="s">
        <v>6485</v>
      </c>
      <c r="C126" s="744">
        <v>3210</v>
      </c>
      <c r="D126" s="511" t="str">
        <f>+_xlfn.XLOOKUP(Cantidades[[#This Row],[cod Idu]],APU_IDU[Código],APU_IDU[Nombre],"",0)</f>
        <v>BORDILLO PREFABRICADO A80 (SUMINISTRO E INSTALACIÓN. INCLUYE 3CM MORTERO DE NIVELACIÓN 2000 PSI)</v>
      </c>
      <c r="E126" s="497" t="str">
        <f>+_xlfn.XLOOKUP(Cantidades[[#This Row],[cod Idu]],APU_IDU[Código],APU_IDU[UM],"",0)</f>
        <v>ML</v>
      </c>
      <c r="F126" s="499">
        <f>+_xlfn.XLOOKUP(Cantidades[[#This Row],[cod Idu]],APU_IDU[Código],APU_IDU[Valor],"",0)</f>
        <v>82582</v>
      </c>
      <c r="G126" s="753"/>
      <c r="H126" s="753"/>
      <c r="I126" s="753"/>
      <c r="J126" s="753"/>
      <c r="K126" s="753"/>
      <c r="L126" s="753"/>
      <c r="M126" s="753"/>
      <c r="N126" s="753"/>
      <c r="O126" s="753"/>
      <c r="P126" s="753"/>
      <c r="Q126" s="753"/>
      <c r="R126" s="753"/>
      <c r="S126" s="753"/>
      <c r="T126" s="753"/>
      <c r="U126" s="753"/>
      <c r="V126" s="753"/>
      <c r="W126" s="753"/>
      <c r="X126" s="753"/>
      <c r="Y126" s="753"/>
      <c r="Z126" s="753"/>
      <c r="AA126" s="753"/>
      <c r="AB126" s="753"/>
      <c r="AC126" s="753"/>
      <c r="AD126" s="753"/>
      <c r="AE126" s="753"/>
      <c r="AF126" s="753"/>
      <c r="AG126" s="753"/>
      <c r="AH126" s="753"/>
      <c r="AI126" s="753"/>
      <c r="AJ126" s="753"/>
      <c r="AK126" s="753"/>
      <c r="AL126" s="753"/>
      <c r="AM126" s="753"/>
      <c r="AN126" s="753">
        <v>0</v>
      </c>
      <c r="AO126" s="753">
        <v>0</v>
      </c>
      <c r="AP126" s="757">
        <f t="shared" si="78"/>
        <v>20.010000000000002</v>
      </c>
      <c r="AQ126" s="753"/>
      <c r="AR126" s="753"/>
      <c r="AS126" s="753"/>
      <c r="AT126" s="753"/>
      <c r="AU126" s="753"/>
      <c r="AV126" s="753"/>
      <c r="AW126" s="757">
        <f t="shared" si="78"/>
        <v>172.21</v>
      </c>
      <c r="AX126" s="757">
        <f>+AX$5</f>
        <v>171.88</v>
      </c>
      <c r="AY126" s="757">
        <f t="shared" si="78"/>
        <v>176.66</v>
      </c>
      <c r="AZ126" s="757">
        <f t="shared" si="78"/>
        <v>177.87</v>
      </c>
      <c r="BA126" s="757">
        <f t="shared" si="78"/>
        <v>35.14</v>
      </c>
      <c r="BB126" s="757">
        <f t="shared" si="78"/>
        <v>39.770000000000003</v>
      </c>
    </row>
    <row r="127" spans="2:54" ht="43.2" hidden="1" x14ac:dyDescent="0.3">
      <c r="B127" s="632" t="s">
        <v>6485</v>
      </c>
      <c r="C127" s="744">
        <v>6475</v>
      </c>
      <c r="D127" s="511" t="str">
        <f>+_xlfn.XLOOKUP(Cantidades[[#This Row],[cod Idu]],APU_IDU[Código],APU_IDU[Nombre],"",0)</f>
        <v>BORDILLO PREFABRICADO A80 (SUMINISTRO E INSTALACIÓN. INCLUYE 3CM MORTERO DE PEGA 2000 PSI Y NIVELACIÓN DEL TERRENO CON RELLENO EN MATERIAL SELECCIONADO PROVENIENTE DE EXCAVACIÓN).</v>
      </c>
      <c r="E127" s="497" t="str">
        <f>+_xlfn.XLOOKUP(Cantidades[[#This Row],[cod Idu]],APU_IDU[Código],APU_IDU[UM],"",0)</f>
        <v>ML</v>
      </c>
      <c r="F127" s="499">
        <f>+_xlfn.XLOOKUP(Cantidades[[#This Row],[cod Idu]],APU_IDU[Código],APU_IDU[Valor],"",0)</f>
        <v>89764</v>
      </c>
      <c r="G127" s="753"/>
      <c r="H127" s="753"/>
      <c r="I127" s="753"/>
      <c r="J127" s="753"/>
      <c r="K127" s="753"/>
      <c r="L127" s="753"/>
      <c r="M127" s="753"/>
      <c r="N127" s="753"/>
      <c r="O127" s="753"/>
      <c r="P127" s="753"/>
      <c r="Q127" s="753"/>
      <c r="R127" s="753"/>
      <c r="S127" s="753"/>
      <c r="T127" s="753"/>
      <c r="U127" s="753"/>
      <c r="V127" s="753"/>
      <c r="W127" s="753"/>
      <c r="X127" s="753"/>
      <c r="Y127" s="753"/>
      <c r="Z127" s="753"/>
      <c r="AA127" s="753"/>
      <c r="AB127" s="753"/>
      <c r="AC127" s="753"/>
      <c r="AD127" s="753"/>
      <c r="AE127" s="753"/>
      <c r="AF127" s="753"/>
      <c r="AG127" s="753"/>
      <c r="AH127" s="753"/>
      <c r="AI127" s="753"/>
      <c r="AJ127" s="753"/>
      <c r="AK127" s="753"/>
      <c r="AL127" s="753"/>
      <c r="AM127" s="753"/>
      <c r="AN127" s="753">
        <v>0</v>
      </c>
      <c r="AO127" s="753">
        <v>0</v>
      </c>
      <c r="AP127" s="753"/>
      <c r="AQ127" s="753"/>
      <c r="AR127" s="757">
        <f t="shared" si="78"/>
        <v>12.7</v>
      </c>
      <c r="AS127" s="753"/>
      <c r="AT127" s="753"/>
      <c r="AU127" s="753"/>
      <c r="AV127" s="753"/>
      <c r="AW127" s="753"/>
      <c r="AX127" s="753"/>
      <c r="AY127" s="753"/>
      <c r="AZ127" s="753"/>
      <c r="BA127" s="753"/>
      <c r="BB127" s="757"/>
    </row>
    <row r="128" spans="2:54" hidden="1" x14ac:dyDescent="0.3">
      <c r="B128" s="632" t="s">
        <v>6485</v>
      </c>
      <c r="C128" s="717">
        <v>4054</v>
      </c>
      <c r="D128" s="511" t="str">
        <f>+_xlfn.XLOOKUP(Cantidades[[#This Row],[cod Idu]],APU_IDU[Código],APU_IDU[Nombre],"",0)</f>
        <v>SARDINEL TIPO A10 (SUMINISTRO E INSTALACIÓN. INCLUYE 3CM MORTERO 2000 PSI)</v>
      </c>
      <c r="E128" s="497" t="str">
        <f>+_xlfn.XLOOKUP(Cantidades[[#This Row],[cod Idu]],APU_IDU[Código],APU_IDU[UM],"",0)</f>
        <v>ML</v>
      </c>
      <c r="F128" s="499">
        <f>+_xlfn.XLOOKUP(Cantidades[[#This Row],[cod Idu]],APU_IDU[Código],APU_IDU[Valor],"",0)</f>
        <v>92669</v>
      </c>
      <c r="G128" s="757"/>
      <c r="H128" s="757"/>
      <c r="I128" s="757"/>
      <c r="J128" s="757"/>
      <c r="K128" s="757"/>
      <c r="L128" s="757"/>
      <c r="M128" s="757"/>
      <c r="N128" s="757"/>
      <c r="O128" s="757"/>
      <c r="P128" s="757"/>
      <c r="Q128" s="757"/>
      <c r="R128" s="757"/>
      <c r="S128" s="757"/>
      <c r="T128" s="757"/>
      <c r="U128" s="757"/>
      <c r="V128" s="757"/>
      <c r="W128" s="757"/>
      <c r="X128" s="757"/>
      <c r="Y128" s="757"/>
      <c r="Z128" s="757"/>
      <c r="AA128" s="757"/>
      <c r="AB128" s="757"/>
      <c r="AC128" s="757"/>
      <c r="AD128" s="757"/>
      <c r="AE128" s="757"/>
      <c r="AF128" s="757"/>
      <c r="AG128" s="757"/>
      <c r="AH128" s="753"/>
      <c r="AI128" s="753"/>
      <c r="AJ128" s="753"/>
      <c r="AK128" s="753"/>
      <c r="AL128" s="757"/>
      <c r="AM128" s="753"/>
      <c r="AN128" s="757">
        <f>+AN$5</f>
        <v>78.040000000000006</v>
      </c>
      <c r="AO128" s="757">
        <f t="shared" si="78"/>
        <v>64.650000000000006</v>
      </c>
      <c r="AP128" s="757"/>
      <c r="AQ128" s="757">
        <f t="shared" si="78"/>
        <v>27.67</v>
      </c>
      <c r="AR128" s="757">
        <v>0</v>
      </c>
      <c r="AS128" s="757">
        <f t="shared" si="78"/>
        <v>41.85</v>
      </c>
      <c r="AT128" s="757">
        <f t="shared" si="78"/>
        <v>86.68</v>
      </c>
      <c r="AU128" s="757">
        <f t="shared" si="78"/>
        <v>78.11</v>
      </c>
      <c r="AV128" s="757">
        <f t="shared" si="78"/>
        <v>8</v>
      </c>
      <c r="AW128" s="757"/>
      <c r="AX128" s="757"/>
      <c r="AY128" s="757"/>
      <c r="AZ128" s="757"/>
      <c r="BA128" s="753"/>
      <c r="BB128" s="757"/>
    </row>
    <row r="129" spans="1:54" ht="28.8" hidden="1" x14ac:dyDescent="0.3">
      <c r="B129" s="632" t="s">
        <v>6485</v>
      </c>
      <c r="C129" s="717">
        <v>4088</v>
      </c>
      <c r="D129" s="511" t="str">
        <f>+_xlfn.XLOOKUP(Cantidades[[#This Row],[cod Idu]],APU_IDU[Código],APU_IDU[Nombre],"",0)</f>
        <v>SARDINEL BAJO A85 PARA RAMPAS (SUMINISTRO E INSTALACIÓN. INCLUYE 3CM MORTERO 2000 PSI)</v>
      </c>
      <c r="E129" s="497" t="str">
        <f>+_xlfn.XLOOKUP(Cantidades[[#This Row],[cod Idu]],APU_IDU[Código],APU_IDU[UM],"",0)</f>
        <v>ML</v>
      </c>
      <c r="F129" s="499">
        <f>+_xlfn.XLOOKUP(Cantidades[[#This Row],[cod Idu]],APU_IDU[Código],APU_IDU[Valor],"",0)</f>
        <v>74246</v>
      </c>
      <c r="G129" s="757"/>
      <c r="H129" s="757"/>
      <c r="I129" s="757"/>
      <c r="J129" s="757"/>
      <c r="K129" s="757"/>
      <c r="L129" s="757"/>
      <c r="M129" s="757"/>
      <c r="N129" s="757"/>
      <c r="O129" s="757"/>
      <c r="P129" s="757"/>
      <c r="Q129" s="757"/>
      <c r="R129" s="757"/>
      <c r="S129" s="757"/>
      <c r="T129" s="757"/>
      <c r="U129" s="757"/>
      <c r="V129" s="757"/>
      <c r="W129" s="757"/>
      <c r="X129" s="757"/>
      <c r="Y129" s="757"/>
      <c r="Z129" s="757"/>
      <c r="AA129" s="757"/>
      <c r="AB129" s="757"/>
      <c r="AC129" s="757"/>
      <c r="AD129" s="757"/>
      <c r="AE129" s="757"/>
      <c r="AF129" s="757"/>
      <c r="AG129" s="757"/>
      <c r="AH129" s="753"/>
      <c r="AI129" s="753"/>
      <c r="AJ129" s="753"/>
      <c r="AK129" s="753"/>
      <c r="AL129" s="757"/>
      <c r="AM129" s="753"/>
      <c r="AN129" s="757">
        <f>+$AN$128*0.3</f>
        <v>23.412000000000003</v>
      </c>
      <c r="AO129" s="757">
        <f t="shared" ref="AO129:AZ129" si="79">+AO128*0.3</f>
        <v>19.395</v>
      </c>
      <c r="AP129" s="757">
        <f t="shared" si="79"/>
        <v>0</v>
      </c>
      <c r="AQ129" s="757">
        <f t="shared" si="79"/>
        <v>8.3010000000000002</v>
      </c>
      <c r="AR129" s="757">
        <f t="shared" si="79"/>
        <v>0</v>
      </c>
      <c r="AS129" s="757">
        <f>+$AS$128*0.3</f>
        <v>12.555</v>
      </c>
      <c r="AT129" s="757">
        <f t="shared" si="79"/>
        <v>26.004000000000001</v>
      </c>
      <c r="AU129" s="757">
        <f t="shared" si="79"/>
        <v>23.433</v>
      </c>
      <c r="AV129" s="757">
        <f t="shared" si="79"/>
        <v>2.4</v>
      </c>
      <c r="AW129" s="757">
        <f t="shared" si="79"/>
        <v>0</v>
      </c>
      <c r="AX129" s="757"/>
      <c r="AY129" s="757">
        <f t="shared" si="79"/>
        <v>0</v>
      </c>
      <c r="AZ129" s="757">
        <f t="shared" si="79"/>
        <v>0</v>
      </c>
      <c r="BA129" s="753"/>
      <c r="BB129" s="757"/>
    </row>
    <row r="130" spans="1:54" ht="28.8" hidden="1" x14ac:dyDescent="0.3">
      <c r="B130" s="632" t="s">
        <v>6485</v>
      </c>
      <c r="C130" s="744">
        <v>6880</v>
      </c>
      <c r="D130" s="511" t="str">
        <f>+_xlfn.XLOOKUP(Cantidades[[#This Row],[cod Idu]],APU_IDU[Código],APU_IDU[Nombre],"",0)</f>
        <v>CONCRETO MR41 COLOR OCRE PARA RAMPAS Y ESCALERAS (PREMEZCLADO. INCLUYE SUMINISTRO, FORMALETEO, COLOCACIÓN Y CURADO. NO INCLUYE REFUERZO).</v>
      </c>
      <c r="E130" s="497" t="str">
        <f>+_xlfn.XLOOKUP(Cantidades[[#This Row],[cod Idu]],APU_IDU[Código],APU_IDU[UM],"",0)</f>
        <v>M3</v>
      </c>
      <c r="F130" s="499">
        <f>+_xlfn.XLOOKUP(Cantidades[[#This Row],[cod Idu]],APU_IDU[Código],APU_IDU[Valor],"",0)</f>
        <v>1566542</v>
      </c>
      <c r="G130" s="753"/>
      <c r="H130" s="753"/>
      <c r="I130" s="753"/>
      <c r="J130" s="753"/>
      <c r="K130" s="753"/>
      <c r="L130" s="753"/>
      <c r="M130" s="753"/>
      <c r="N130" s="753"/>
      <c r="O130" s="753"/>
      <c r="P130" s="753"/>
      <c r="Q130" s="753"/>
      <c r="R130" s="753"/>
      <c r="S130" s="753"/>
      <c r="T130" s="753"/>
      <c r="U130" s="753"/>
      <c r="V130" s="753"/>
      <c r="W130" s="753"/>
      <c r="X130" s="753"/>
      <c r="Y130" s="753"/>
      <c r="Z130" s="753"/>
      <c r="AA130" s="753"/>
      <c r="AB130" s="753"/>
      <c r="AC130" s="753"/>
      <c r="AD130" s="753"/>
      <c r="AE130" s="753"/>
      <c r="AF130" s="753"/>
      <c r="AG130" s="753"/>
      <c r="AH130" s="753"/>
      <c r="AI130" s="753"/>
      <c r="AJ130" s="753"/>
      <c r="AK130" s="753"/>
      <c r="AL130" s="753"/>
      <c r="AM130" s="753"/>
      <c r="AN130" s="753"/>
      <c r="AO130" s="753"/>
      <c r="AP130" s="753"/>
      <c r="AQ130" s="753"/>
      <c r="AR130" s="757">
        <f>+AR$6*0.1*0.1</f>
        <v>0.67830000000000013</v>
      </c>
      <c r="AS130" s="753"/>
      <c r="AT130" s="757">
        <f>+AT$6*0.1*0.1</f>
        <v>2.6725000000000003</v>
      </c>
      <c r="AU130" s="753"/>
      <c r="AV130" s="753"/>
      <c r="AW130" s="753"/>
      <c r="AX130" s="753"/>
      <c r="AY130" s="753"/>
      <c r="AZ130" s="753"/>
      <c r="BA130" s="753"/>
      <c r="BB130" s="757"/>
    </row>
    <row r="131" spans="1:54" ht="28.8" hidden="1" x14ac:dyDescent="0.3">
      <c r="B131" s="632" t="s">
        <v>6485</v>
      </c>
      <c r="C131" s="744">
        <v>4920</v>
      </c>
      <c r="D131" s="511" t="str">
        <f>+_xlfn.XLOOKUP(Cantidades[[#This Row],[cod Idu]],APU_IDU[Código],APU_IDU[Nombre],"",0)</f>
        <v>CANECA DE ACERO INOXIDABLE M121 TIPO BARCELONA (SUMINISTRO E INSTALACIÓN. INCLUYE CONCRETO PARA ANCLAJE DE 3000 PSI PREMEZCLADO GRAVA COMÚN.</v>
      </c>
      <c r="E131" s="497" t="str">
        <f>+_xlfn.XLOOKUP(Cantidades[[#This Row],[cod Idu]],APU_IDU[Código],APU_IDU[UM],"",0)</f>
        <v>UN</v>
      </c>
      <c r="F131" s="499">
        <f>+_xlfn.XLOOKUP(Cantidades[[#This Row],[cod Idu]],APU_IDU[Código],APU_IDU[Valor],"",0)</f>
        <v>913129</v>
      </c>
      <c r="G131" s="753"/>
      <c r="H131" s="753"/>
      <c r="I131" s="753"/>
      <c r="J131" s="753"/>
      <c r="K131" s="753"/>
      <c r="L131" s="753"/>
      <c r="M131" s="753"/>
      <c r="N131" s="753"/>
      <c r="O131" s="753"/>
      <c r="P131" s="753"/>
      <c r="Q131" s="753"/>
      <c r="R131" s="753"/>
      <c r="S131" s="753"/>
      <c r="T131" s="753"/>
      <c r="U131" s="753"/>
      <c r="V131" s="753"/>
      <c r="W131" s="753"/>
      <c r="X131" s="753"/>
      <c r="Y131" s="753"/>
      <c r="Z131" s="753"/>
      <c r="AA131" s="753"/>
      <c r="AB131" s="753"/>
      <c r="AC131" s="753"/>
      <c r="AD131" s="753"/>
      <c r="AE131" s="753"/>
      <c r="AF131" s="753"/>
      <c r="AG131" s="753"/>
      <c r="AH131" s="753"/>
      <c r="AI131" s="753"/>
      <c r="AJ131" s="753"/>
      <c r="AK131" s="753"/>
      <c r="AL131" s="753"/>
      <c r="AM131" s="753"/>
      <c r="AN131" s="753"/>
      <c r="AO131" s="753"/>
      <c r="AP131" s="753">
        <v>1</v>
      </c>
      <c r="AQ131" s="753"/>
      <c r="AR131" s="753"/>
      <c r="AS131" s="753"/>
      <c r="AT131" s="753"/>
      <c r="AU131" s="753"/>
      <c r="AV131" s="753">
        <v>1</v>
      </c>
      <c r="AW131" s="753"/>
      <c r="AX131" s="753"/>
      <c r="AY131" s="753"/>
      <c r="AZ131" s="753">
        <v>1</v>
      </c>
      <c r="BA131" s="753"/>
      <c r="BB131" s="757"/>
    </row>
    <row r="132" spans="1:54" ht="43.2" hidden="1" x14ac:dyDescent="0.3">
      <c r="B132" s="632" t="s">
        <v>6485</v>
      </c>
      <c r="C132" s="744">
        <v>8953</v>
      </c>
      <c r="D132" s="511" t="str">
        <f>+_xlfn.XLOOKUP(Cantidades[[#This Row],[cod Idu]],APU_IDU[Código],APU_IDU[Nombre],"",0)</f>
        <v>BARANDA METALICA M-82 PREFABRICADA MOV. REDUCIDA BORDE DE VIA (Incluye dados de concreto 3000psi grava común de 0.20 x 0.20m y recubrimiento en epóxico y esmalte uretano). Suministro e Instalación</v>
      </c>
      <c r="E132" s="497" t="str">
        <f>+_xlfn.XLOOKUP(Cantidades[[#This Row],[cod Idu]],APU_IDU[Código],APU_IDU[UM],"",0)</f>
        <v>ML</v>
      </c>
      <c r="F132" s="499">
        <f>+_xlfn.XLOOKUP(Cantidades[[#This Row],[cod Idu]],APU_IDU[Código],APU_IDU[Valor],"",0)</f>
        <v>639161</v>
      </c>
      <c r="G132" s="753"/>
      <c r="H132" s="753"/>
      <c r="I132" s="753"/>
      <c r="J132" s="753"/>
      <c r="K132" s="753"/>
      <c r="L132" s="753"/>
      <c r="M132" s="753"/>
      <c r="N132" s="753"/>
      <c r="O132" s="753"/>
      <c r="P132" s="753"/>
      <c r="Q132" s="753"/>
      <c r="R132" s="753"/>
      <c r="S132" s="753"/>
      <c r="T132" s="753"/>
      <c r="U132" s="753"/>
      <c r="V132" s="753"/>
      <c r="W132" s="753"/>
      <c r="X132" s="753"/>
      <c r="Y132" s="753"/>
      <c r="Z132" s="753"/>
      <c r="AA132" s="753"/>
      <c r="AB132" s="753"/>
      <c r="AC132" s="753"/>
      <c r="AD132" s="753"/>
      <c r="AE132" s="753"/>
      <c r="AF132" s="753"/>
      <c r="AG132" s="753"/>
      <c r="AH132" s="753"/>
      <c r="AI132" s="753"/>
      <c r="AJ132" s="753"/>
      <c r="AK132" s="753"/>
      <c r="AL132" s="753"/>
      <c r="AM132" s="753"/>
      <c r="AN132" s="753"/>
      <c r="AO132" s="753"/>
      <c r="AP132" s="753"/>
      <c r="AQ132" s="753"/>
      <c r="AR132" s="753"/>
      <c r="AS132" s="757">
        <f>+$AN$128*0.3</f>
        <v>23.412000000000003</v>
      </c>
      <c r="AT132" s="753"/>
      <c r="AU132" s="753"/>
      <c r="AV132" s="753"/>
      <c r="AW132" s="753"/>
      <c r="AX132" s="753"/>
      <c r="AY132" s="753"/>
      <c r="AZ132" s="753"/>
      <c r="BA132" s="753"/>
      <c r="BB132" s="757"/>
    </row>
    <row r="133" spans="1:54" ht="28.8" hidden="1" x14ac:dyDescent="0.3">
      <c r="B133" s="632" t="s">
        <v>6485</v>
      </c>
      <c r="C133" s="744">
        <v>4859</v>
      </c>
      <c r="D133" s="511" t="str">
        <f>+_xlfn.XLOOKUP(Cantidades[[#This Row],[cod Idu]],APU_IDU[Código],APU_IDU[Nombre],"",0)</f>
        <v>BORDE CONTENEDOR DE RAICES A 70 (INCLUYE SUMINISTRO E INSTALACIÓN, INCLUYE BASE DE 3CM EN MORTERO 1:3 HECHO EN OBRA)</v>
      </c>
      <c r="E133" s="497" t="str">
        <f>+_xlfn.XLOOKUP(Cantidades[[#This Row],[cod Idu]],APU_IDU[Código],APU_IDU[UM],"",0)</f>
        <v>ML</v>
      </c>
      <c r="F133" s="499">
        <f>+_xlfn.XLOOKUP(Cantidades[[#This Row],[cod Idu]],APU_IDU[Código],APU_IDU[Valor],"",0)</f>
        <v>53964</v>
      </c>
      <c r="G133" s="753"/>
      <c r="H133" s="753"/>
      <c r="I133" s="753"/>
      <c r="J133" s="753"/>
      <c r="K133" s="753"/>
      <c r="L133" s="753"/>
      <c r="M133" s="753"/>
      <c r="N133" s="753"/>
      <c r="O133" s="753"/>
      <c r="P133" s="753"/>
      <c r="Q133" s="753"/>
      <c r="R133" s="753"/>
      <c r="S133" s="753"/>
      <c r="T133" s="753"/>
      <c r="U133" s="753"/>
      <c r="V133" s="753"/>
      <c r="W133" s="753"/>
      <c r="X133" s="753"/>
      <c r="Y133" s="753"/>
      <c r="Z133" s="753"/>
      <c r="AA133" s="753"/>
      <c r="AB133" s="753"/>
      <c r="AC133" s="753"/>
      <c r="AD133" s="753"/>
      <c r="AE133" s="753"/>
      <c r="AF133" s="753"/>
      <c r="AG133" s="753"/>
      <c r="AH133" s="753"/>
      <c r="AI133" s="753"/>
      <c r="AJ133" s="753"/>
      <c r="AK133" s="753"/>
      <c r="AL133" s="753"/>
      <c r="AM133" s="753"/>
      <c r="AN133" s="753"/>
      <c r="AO133" s="753"/>
      <c r="AP133" s="753"/>
      <c r="AQ133" s="753"/>
      <c r="AR133" s="753">
        <v>5</v>
      </c>
      <c r="AS133" s="753"/>
      <c r="AT133" s="753"/>
      <c r="AU133" s="753"/>
      <c r="AV133" s="753"/>
      <c r="AW133" s="753"/>
      <c r="AX133" s="753"/>
      <c r="AY133" s="753"/>
      <c r="AZ133" s="753"/>
      <c r="BA133" s="753"/>
      <c r="BB133" s="757"/>
    </row>
    <row r="134" spans="1:54" ht="28.8" hidden="1" x14ac:dyDescent="0.3">
      <c r="B134" s="632" t="s">
        <v>6485</v>
      </c>
      <c r="C134" s="744">
        <v>3403</v>
      </c>
      <c r="D134" s="511" t="str">
        <f>+_xlfn.XLOOKUP(Cantidades[[#This Row],[cod Idu]],APU_IDU[Código],APU_IDU[Nombre],"",0)</f>
        <v>CONTENEDOR DE RAICES TIPO B20 (TIPO A) (1.2X1.2X1.40M. INC. SUMINISTRO, CONSTRUCCIÓN Y FILTRO EN GRAVILLA. NO INC. TIERRA)</v>
      </c>
      <c r="E134" s="497" t="str">
        <f>+_xlfn.XLOOKUP(Cantidades[[#This Row],[cod Idu]],APU_IDU[Código],APU_IDU[UM],"",0)</f>
        <v>UN</v>
      </c>
      <c r="F134" s="499">
        <f>+_xlfn.XLOOKUP(Cantidades[[#This Row],[cod Idu]],APU_IDU[Código],APU_IDU[Valor],"",0)</f>
        <v>974631</v>
      </c>
      <c r="G134" s="753"/>
      <c r="H134" s="753"/>
      <c r="I134" s="753"/>
      <c r="J134" s="753"/>
      <c r="K134" s="753"/>
      <c r="L134" s="753"/>
      <c r="M134" s="753"/>
      <c r="N134" s="753"/>
      <c r="O134" s="753"/>
      <c r="P134" s="753"/>
      <c r="Q134" s="753"/>
      <c r="R134" s="753"/>
      <c r="S134" s="753"/>
      <c r="T134" s="753"/>
      <c r="U134" s="753"/>
      <c r="V134" s="753"/>
      <c r="W134" s="753"/>
      <c r="X134" s="753"/>
      <c r="Y134" s="753"/>
      <c r="Z134" s="753"/>
      <c r="AA134" s="753"/>
      <c r="AB134" s="753"/>
      <c r="AC134" s="753"/>
      <c r="AD134" s="753"/>
      <c r="AE134" s="753"/>
      <c r="AF134" s="753"/>
      <c r="AG134" s="753"/>
      <c r="AH134" s="753"/>
      <c r="AI134" s="753"/>
      <c r="AJ134" s="753"/>
      <c r="AK134" s="753"/>
      <c r="AL134" s="753"/>
      <c r="AM134" s="753"/>
      <c r="AN134" s="753"/>
      <c r="AO134" s="753"/>
      <c r="AP134" s="753"/>
      <c r="AQ134" s="753"/>
      <c r="AR134" s="753">
        <v>4</v>
      </c>
      <c r="AS134" s="753"/>
      <c r="AT134" s="753"/>
      <c r="AU134" s="753"/>
      <c r="AV134" s="753"/>
      <c r="AW134" s="753"/>
      <c r="AX134" s="753"/>
      <c r="AY134" s="753"/>
      <c r="AZ134" s="753"/>
      <c r="BA134" s="753"/>
      <c r="BB134" s="757"/>
    </row>
    <row r="135" spans="1:54" ht="28.8" hidden="1" x14ac:dyDescent="0.3">
      <c r="B135" s="632" t="s">
        <v>6485</v>
      </c>
      <c r="C135" s="744">
        <v>3721</v>
      </c>
      <c r="D135" s="511" t="str">
        <f>+_xlfn.XLOOKUP(Cantidades[[#This Row],[cod Idu]],APU_IDU[Código],APU_IDU[Nombre],"",0)</f>
        <v>SIEMBRA DE GRAMA (INCLUYE SUMINISTRO E INSTALACIÓN. INCLUYE 10CM DE TIERRA NEGRA)</v>
      </c>
      <c r="E135" s="497" t="str">
        <f>+_xlfn.XLOOKUP(Cantidades[[#This Row],[cod Idu]],APU_IDU[Código],APU_IDU[UM],"",0)</f>
        <v>M2</v>
      </c>
      <c r="F135" s="499">
        <f>+_xlfn.XLOOKUP(Cantidades[[#This Row],[cod Idu]],APU_IDU[Código],APU_IDU[Valor],"",0)</f>
        <v>35923</v>
      </c>
      <c r="G135" s="753"/>
      <c r="H135" s="753"/>
      <c r="I135" s="753"/>
      <c r="J135" s="753"/>
      <c r="K135" s="753"/>
      <c r="L135" s="753"/>
      <c r="M135" s="753"/>
      <c r="N135" s="753"/>
      <c r="O135" s="753"/>
      <c r="P135" s="753"/>
      <c r="Q135" s="753"/>
      <c r="R135" s="753"/>
      <c r="S135" s="753"/>
      <c r="T135" s="753"/>
      <c r="U135" s="753"/>
      <c r="V135" s="753"/>
      <c r="W135" s="753"/>
      <c r="X135" s="753"/>
      <c r="Y135" s="753"/>
      <c r="Z135" s="753"/>
      <c r="AA135" s="753"/>
      <c r="AB135" s="753"/>
      <c r="AC135" s="753"/>
      <c r="AD135" s="753"/>
      <c r="AE135" s="753"/>
      <c r="AF135" s="753"/>
      <c r="AG135" s="753"/>
      <c r="AH135" s="753"/>
      <c r="AI135" s="753"/>
      <c r="AJ135" s="753"/>
      <c r="AK135" s="753"/>
      <c r="AL135" s="753"/>
      <c r="AM135" s="753"/>
      <c r="AN135" s="753"/>
      <c r="AO135" s="753"/>
      <c r="AP135" s="753"/>
      <c r="AQ135" s="753"/>
      <c r="AR135" s="753"/>
      <c r="AS135" s="753"/>
      <c r="AT135" s="753"/>
      <c r="AU135" s="753"/>
      <c r="AV135" s="753"/>
      <c r="AW135" s="753"/>
      <c r="AX135" s="753">
        <v>10</v>
      </c>
      <c r="AY135" s="753"/>
      <c r="AZ135" s="753"/>
      <c r="BA135" s="753"/>
      <c r="BB135" s="757"/>
    </row>
    <row r="136" spans="1:54" ht="43.2" hidden="1" x14ac:dyDescent="0.3">
      <c r="B136" s="632" t="s">
        <v>6485</v>
      </c>
      <c r="C136" s="744">
        <v>4909</v>
      </c>
      <c r="D136" s="511" t="str">
        <f>+_xlfn.XLOOKUP(Cantidades[[#This Row],[cod Idu]],APU_IDU[Código],APU_IDU[Nombre],"",0)</f>
        <v>RAMPA VEHICULAR FUNDIDA EN EL SITIO EN CONCRETO PREMEZCLADO DE 3000 PSI (GRAVA COMUN) SUM, CONSTR. E INSTALACIÓN. INCLUYE ACABADO EN ADOQUIN DE ARCILLA TIPO TRÁFICO PESADO O SIMILAR, BASE DE 4CM EN MORTERO DE 2000 PSI.</v>
      </c>
      <c r="E136" s="497" t="str">
        <f>+_xlfn.XLOOKUP(Cantidades[[#This Row],[cod Idu]],APU_IDU[Código],APU_IDU[UM],"",0)</f>
        <v>M2</v>
      </c>
      <c r="F136" s="499">
        <f>+_xlfn.XLOOKUP(Cantidades[[#This Row],[cod Idu]],APU_IDU[Código],APU_IDU[Valor],"",0)</f>
        <v>215223</v>
      </c>
      <c r="G136" s="753"/>
      <c r="H136" s="753"/>
      <c r="I136" s="753"/>
      <c r="J136" s="753"/>
      <c r="K136" s="753"/>
      <c r="L136" s="753"/>
      <c r="M136" s="753"/>
      <c r="N136" s="753"/>
      <c r="O136" s="753"/>
      <c r="P136" s="753"/>
      <c r="Q136" s="753"/>
      <c r="R136" s="753"/>
      <c r="S136" s="753"/>
      <c r="T136" s="753"/>
      <c r="U136" s="753"/>
      <c r="V136" s="753"/>
      <c r="W136" s="753"/>
      <c r="X136" s="753"/>
      <c r="Y136" s="753"/>
      <c r="Z136" s="753"/>
      <c r="AA136" s="753"/>
      <c r="AB136" s="753"/>
      <c r="AC136" s="753"/>
      <c r="AD136" s="753"/>
      <c r="AE136" s="753"/>
      <c r="AF136" s="753"/>
      <c r="AG136" s="753"/>
      <c r="AH136" s="753"/>
      <c r="AI136" s="753"/>
      <c r="AJ136" s="753"/>
      <c r="AK136" s="753"/>
      <c r="AL136" s="753"/>
      <c r="AM136" s="753"/>
      <c r="AN136" s="753"/>
      <c r="AO136" s="753"/>
      <c r="AP136" s="757">
        <f>+AP$6*0.1</f>
        <v>3.097</v>
      </c>
      <c r="AQ136" s="753"/>
      <c r="AR136" s="753"/>
      <c r="AS136" s="753"/>
      <c r="AT136" s="753"/>
      <c r="AU136" s="753"/>
      <c r="AV136" s="753"/>
      <c r="AW136" s="757">
        <f>+AW$6*0.1</f>
        <v>41.755000000000003</v>
      </c>
      <c r="AX136" s="753"/>
      <c r="AY136" s="753"/>
      <c r="AZ136" s="753"/>
      <c r="BA136" s="753"/>
      <c r="BB136" s="757"/>
    </row>
    <row r="137" spans="1:54" ht="28.8" hidden="1" x14ac:dyDescent="0.3">
      <c r="B137" s="632" t="s">
        <v>6485</v>
      </c>
      <c r="C137" s="744">
        <v>8499</v>
      </c>
      <c r="D137" s="511" t="str">
        <f>+_xlfn.XLOOKUP(Cantidades[[#This Row],[cod Idu]],APU_IDU[Código],APU_IDU[Nombre],"",0)</f>
        <v>LOSETA PREFABRICADA EN CONCRETO A20 TIPO PANOT DE 20X20X6CM COLOR GRIS (SUMINISTRO E INSTALACIÓN. INCLUYE MORTERO DE 1500 PSI DE NIVELACIÓN)</v>
      </c>
      <c r="E137" s="497" t="str">
        <f>+_xlfn.XLOOKUP(Cantidades[[#This Row],[cod Idu]],APU_IDU[Código],APU_IDU[UM],"",0)</f>
        <v>M2</v>
      </c>
      <c r="F137" s="499">
        <f>+_xlfn.XLOOKUP(Cantidades[[#This Row],[cod Idu]],APU_IDU[Código],APU_IDU[Valor],"",0)</f>
        <v>152558</v>
      </c>
      <c r="G137" s="753"/>
      <c r="H137" s="753"/>
      <c r="I137" s="753"/>
      <c r="J137" s="753"/>
      <c r="K137" s="753"/>
      <c r="L137" s="753"/>
      <c r="M137" s="753"/>
      <c r="N137" s="753"/>
      <c r="O137" s="753"/>
      <c r="P137" s="753"/>
      <c r="Q137" s="753"/>
      <c r="R137" s="753"/>
      <c r="S137" s="753"/>
      <c r="T137" s="753"/>
      <c r="U137" s="753"/>
      <c r="V137" s="753"/>
      <c r="W137" s="753"/>
      <c r="X137" s="753"/>
      <c r="Y137" s="753"/>
      <c r="Z137" s="753"/>
      <c r="AA137" s="753"/>
      <c r="AB137" s="753"/>
      <c r="AC137" s="753"/>
      <c r="AD137" s="753"/>
      <c r="AE137" s="753"/>
      <c r="AF137" s="753"/>
      <c r="AG137" s="753"/>
      <c r="AH137" s="753"/>
      <c r="AI137" s="753"/>
      <c r="AJ137" s="753"/>
      <c r="AK137" s="753"/>
      <c r="AL137" s="753"/>
      <c r="AM137" s="753"/>
      <c r="AN137" s="753">
        <v>0</v>
      </c>
      <c r="AO137" s="753">
        <v>0</v>
      </c>
      <c r="AP137" s="753"/>
      <c r="AQ137" s="757">
        <f t="shared" ref="AQ137:BB139" si="80">+AQ$6</f>
        <v>155.35</v>
      </c>
      <c r="AR137" s="753"/>
      <c r="AS137" s="753"/>
      <c r="AT137" s="753"/>
      <c r="AU137" s="757">
        <f t="shared" si="80"/>
        <v>360.09</v>
      </c>
      <c r="AV137" s="753"/>
      <c r="AW137" s="753"/>
      <c r="AX137" s="753"/>
      <c r="AY137" s="753"/>
      <c r="AZ137" s="753"/>
      <c r="BA137" s="753"/>
      <c r="BB137" s="757"/>
    </row>
    <row r="138" spans="1:54" s="520" customFormat="1" ht="28.8" hidden="1" x14ac:dyDescent="0.3">
      <c r="A138"/>
      <c r="B138" s="632" t="s">
        <v>6485</v>
      </c>
      <c r="C138" s="716">
        <v>5426</v>
      </c>
      <c r="D138" s="511" t="str">
        <f>+_xlfn.XLOOKUP(Cantidades[[#This Row],[cod Idu]],APU_IDU[Código],APU_IDU[Nombre],"",0)</f>
        <v>CONCRETO 4000 PSI GRAVA COMÚN PARA RAMPAS Y ESCALERAS (PREMEZCLADO. INCL. SUMINISTRO, FORMALETEO Y COLOCACIÓN. NO INCL. REFUERZO, CURADO).</v>
      </c>
      <c r="E138" s="497" t="str">
        <f>+_xlfn.XLOOKUP(Cantidades[[#This Row],[cod Idu]],APU_IDU[Código],APU_IDU[UM],"",0)</f>
        <v>M3</v>
      </c>
      <c r="F138" s="499">
        <f>+_xlfn.XLOOKUP(Cantidades[[#This Row],[cod Idu]],APU_IDU[Código],APU_IDU[Valor],"",0)</f>
        <v>1041490</v>
      </c>
      <c r="G138" s="757"/>
      <c r="H138" s="757"/>
      <c r="I138" s="757"/>
      <c r="J138" s="757"/>
      <c r="K138" s="757"/>
      <c r="L138" s="757"/>
      <c r="M138" s="757"/>
      <c r="N138" s="757"/>
      <c r="O138" s="757"/>
      <c r="P138" s="757"/>
      <c r="Q138" s="757"/>
      <c r="R138" s="757"/>
      <c r="S138" s="757"/>
      <c r="T138" s="757"/>
      <c r="U138" s="757"/>
      <c r="V138" s="757"/>
      <c r="W138" s="757"/>
      <c r="X138" s="757"/>
      <c r="Y138" s="757"/>
      <c r="Z138" s="757"/>
      <c r="AA138" s="757"/>
      <c r="AB138" s="757"/>
      <c r="AC138" s="757"/>
      <c r="AD138" s="757"/>
      <c r="AE138" s="757"/>
      <c r="AF138" s="757"/>
      <c r="AG138" s="757"/>
      <c r="AH138" s="753"/>
      <c r="AI138" s="753"/>
      <c r="AJ138" s="753"/>
      <c r="AK138" s="753"/>
      <c r="AL138" s="757"/>
      <c r="AM138" s="753"/>
      <c r="AN138" s="757">
        <v>0</v>
      </c>
      <c r="AO138" s="757">
        <v>0</v>
      </c>
      <c r="AP138" s="757">
        <v>0</v>
      </c>
      <c r="AQ138" s="757">
        <v>0</v>
      </c>
      <c r="AR138" s="757">
        <v>0</v>
      </c>
      <c r="AS138" s="757">
        <v>0</v>
      </c>
      <c r="AT138" s="757">
        <v>0</v>
      </c>
      <c r="AU138" s="757">
        <f>+AU6*0.1*0.1</f>
        <v>3.6009000000000002</v>
      </c>
      <c r="AV138" s="757">
        <v>0</v>
      </c>
      <c r="AW138" s="757">
        <v>0</v>
      </c>
      <c r="AX138" s="757">
        <v>0</v>
      </c>
      <c r="AY138" s="757">
        <v>0</v>
      </c>
      <c r="AZ138" s="757">
        <v>0</v>
      </c>
      <c r="BA138" s="757">
        <v>0</v>
      </c>
      <c r="BB138" s="757">
        <v>0</v>
      </c>
    </row>
    <row r="139" spans="1:54" ht="28.8" hidden="1" x14ac:dyDescent="0.3">
      <c r="B139" s="632" t="s">
        <v>6485</v>
      </c>
      <c r="C139" s="716">
        <v>4051</v>
      </c>
      <c r="D139" s="511" t="str">
        <f>+_xlfn.XLOOKUP(Cantidades[[#This Row],[cod Idu]],APU_IDU[Código],APU_IDU[Nombre],"",0)</f>
        <v>ANDEN CONCRETO 3000 PSI (210 KG/CM2) HECHO EN OBRA E=0.10M (INCLUYE MEZCLA, FORMALETEO, FUNDIDA Y CURADO)</v>
      </c>
      <c r="E139" s="497" t="str">
        <f>+_xlfn.XLOOKUP(Cantidades[[#This Row],[cod Idu]],APU_IDU[Código],APU_IDU[UM],"",0)</f>
        <v>M2</v>
      </c>
      <c r="F139" s="499">
        <f>+_xlfn.XLOOKUP(Cantidades[[#This Row],[cod Idu]],APU_IDU[Código],APU_IDU[Valor],"",0)</f>
        <v>89665</v>
      </c>
      <c r="G139" s="757"/>
      <c r="H139" s="757"/>
      <c r="I139" s="757"/>
      <c r="J139" s="757"/>
      <c r="K139" s="757"/>
      <c r="L139" s="757"/>
      <c r="M139" s="757"/>
      <c r="N139" s="757"/>
      <c r="O139" s="757"/>
      <c r="P139" s="757"/>
      <c r="Q139" s="757"/>
      <c r="R139" s="757"/>
      <c r="S139" s="757"/>
      <c r="T139" s="757"/>
      <c r="U139" s="757"/>
      <c r="V139" s="757"/>
      <c r="W139" s="757"/>
      <c r="X139" s="757"/>
      <c r="Y139" s="757"/>
      <c r="Z139" s="757"/>
      <c r="AA139" s="757"/>
      <c r="AB139" s="757"/>
      <c r="AC139" s="757"/>
      <c r="AD139" s="757"/>
      <c r="AE139" s="757"/>
      <c r="AF139" s="757"/>
      <c r="AG139" s="757"/>
      <c r="AH139" s="753"/>
      <c r="AI139" s="753"/>
      <c r="AJ139" s="753"/>
      <c r="AK139" s="753"/>
      <c r="AL139" s="757"/>
      <c r="AM139" s="753"/>
      <c r="AN139" s="757">
        <v>0</v>
      </c>
      <c r="AO139" s="757">
        <v>0</v>
      </c>
      <c r="AP139" s="757">
        <f>+AP$6</f>
        <v>30.97</v>
      </c>
      <c r="AQ139" s="757">
        <v>0</v>
      </c>
      <c r="AR139" s="757">
        <f t="shared" si="80"/>
        <v>67.83</v>
      </c>
      <c r="AS139" s="757">
        <f t="shared" si="80"/>
        <v>174.27</v>
      </c>
      <c r="AT139" s="757">
        <f t="shared" si="80"/>
        <v>267.25</v>
      </c>
      <c r="AU139" s="757">
        <v>0</v>
      </c>
      <c r="AV139" s="757">
        <f t="shared" si="80"/>
        <v>19.02</v>
      </c>
      <c r="AW139" s="757">
        <f t="shared" si="80"/>
        <v>417.55</v>
      </c>
      <c r="AX139" s="757">
        <f>+AX$6</f>
        <v>430.38</v>
      </c>
      <c r="AY139" s="757">
        <f t="shared" si="80"/>
        <v>441.41</v>
      </c>
      <c r="AZ139" s="757">
        <f t="shared" si="80"/>
        <v>445.04</v>
      </c>
      <c r="BA139" s="757">
        <f t="shared" si="80"/>
        <v>216.48</v>
      </c>
      <c r="BB139" s="757">
        <f t="shared" si="80"/>
        <v>67.69</v>
      </c>
    </row>
  </sheetData>
  <mergeCells count="13">
    <mergeCell ref="E2:F2"/>
    <mergeCell ref="E14:F14"/>
    <mergeCell ref="E3:F3"/>
    <mergeCell ref="E4:F4"/>
    <mergeCell ref="E5:F5"/>
    <mergeCell ref="E6:F6"/>
    <mergeCell ref="E7:F7"/>
    <mergeCell ref="E8:F8"/>
    <mergeCell ref="E9:F9"/>
    <mergeCell ref="E10:F10"/>
    <mergeCell ref="E11:F11"/>
    <mergeCell ref="E12:F12"/>
    <mergeCell ref="E13:F13"/>
  </mergeCells>
  <phoneticPr fontId="18" type="noConversion"/>
  <conditionalFormatting sqref="G2:Y2">
    <cfRule type="duplicateValues" dxfId="11" priority="24"/>
  </conditionalFormatting>
  <conditionalFormatting sqref="G2:AM2">
    <cfRule type="duplicateValues" dxfId="10" priority="25"/>
  </conditionalFormatting>
  <conditionalFormatting sqref="G3:AM3">
    <cfRule type="duplicateValues" dxfId="9" priority="3"/>
    <cfRule type="duplicateValues" dxfId="8" priority="4"/>
  </conditionalFormatting>
  <conditionalFormatting sqref="AG2:AM2">
    <cfRule type="duplicateValues" dxfId="7" priority="23"/>
  </conditionalFormatting>
  <conditionalFormatting sqref="AM15">
    <cfRule type="duplicateValues" dxfId="6" priority="1"/>
    <cfRule type="duplicateValues" dxfId="5" priority="2"/>
  </conditionalFormatting>
  <conditionalFormatting sqref="AN3:BB3 AN15:BB15">
    <cfRule type="containsBlanks" dxfId="4" priority="30">
      <formula>LEN(TRIM(AN3))=0</formula>
    </cfRule>
  </conditionalFormatting>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9E0FA-2026-49AB-B513-A6E378716244}">
  <dimension ref="A1:BB116"/>
  <sheetViews>
    <sheetView zoomScale="85" zoomScaleNormal="85" workbookViewId="0">
      <selection activeCell="AK1" sqref="E1:AK1"/>
    </sheetView>
  </sheetViews>
  <sheetFormatPr baseColWidth="10" defaultColWidth="11.44140625" defaultRowHeight="14.4" x14ac:dyDescent="0.3"/>
  <cols>
    <col min="1" max="1" width="19.6640625" bestFit="1" customWidth="1"/>
    <col min="2" max="2" width="79.6640625" style="19" customWidth="1"/>
    <col min="4" max="4" width="15.33203125" bestFit="1" customWidth="1"/>
    <col min="5" max="9" width="11.88671875" customWidth="1"/>
    <col min="10" max="37" width="11.44140625" customWidth="1"/>
    <col min="53" max="53" width="14.88671875" customWidth="1"/>
    <col min="54" max="54" width="18" bestFit="1" customWidth="1"/>
    <col min="55" max="55" width="20.21875" customWidth="1"/>
  </cols>
  <sheetData>
    <row r="1" spans="1:54" ht="15" thickBot="1" x14ac:dyDescent="0.35">
      <c r="A1" s="635" t="s">
        <v>6755</v>
      </c>
      <c r="B1" s="636" t="s">
        <v>6756</v>
      </c>
      <c r="C1" s="637" t="s">
        <v>17</v>
      </c>
      <c r="D1" s="637" t="s">
        <v>6757</v>
      </c>
      <c r="E1" s="749" t="s">
        <v>6805</v>
      </c>
      <c r="F1" s="749" t="s">
        <v>6758</v>
      </c>
      <c r="G1" s="749" t="s">
        <v>6806</v>
      </c>
      <c r="H1" s="749" t="s">
        <v>6807</v>
      </c>
      <c r="I1" s="749" t="s">
        <v>6808</v>
      </c>
      <c r="J1" s="749" t="s">
        <v>6809</v>
      </c>
      <c r="K1" s="749" t="s">
        <v>6759</v>
      </c>
      <c r="L1" s="749" t="s">
        <v>6760</v>
      </c>
      <c r="M1" s="749" t="s">
        <v>6761</v>
      </c>
      <c r="N1" s="749" t="s">
        <v>6762</v>
      </c>
      <c r="O1" s="749" t="s">
        <v>6810</v>
      </c>
      <c r="P1" s="749" t="s">
        <v>6811</v>
      </c>
      <c r="Q1" s="749" t="s">
        <v>6812</v>
      </c>
      <c r="R1" s="749" t="s">
        <v>6813</v>
      </c>
      <c r="S1" s="749" t="s">
        <v>6814</v>
      </c>
      <c r="T1" s="749" t="s">
        <v>6815</v>
      </c>
      <c r="U1" s="749" t="s">
        <v>6816</v>
      </c>
      <c r="V1" s="749" t="s">
        <v>6910</v>
      </c>
      <c r="W1" s="749" t="s">
        <v>6817</v>
      </c>
      <c r="X1" s="749" t="s">
        <v>6818</v>
      </c>
      <c r="Y1" s="749" t="s">
        <v>6819</v>
      </c>
      <c r="Z1" s="749" t="s">
        <v>6820</v>
      </c>
      <c r="AA1" s="749" t="s">
        <v>6821</v>
      </c>
      <c r="AB1" s="749" t="s">
        <v>6822</v>
      </c>
      <c r="AC1" s="749" t="s">
        <v>6901</v>
      </c>
      <c r="AD1" s="749" t="s">
        <v>6948</v>
      </c>
      <c r="AE1" s="749" t="s">
        <v>6949</v>
      </c>
      <c r="AF1" s="749" t="s">
        <v>6950</v>
      </c>
      <c r="AG1" s="749" t="s">
        <v>6951</v>
      </c>
      <c r="AH1" s="749" t="s">
        <v>6952</v>
      </c>
      <c r="AI1" s="749" t="s">
        <v>6953</v>
      </c>
      <c r="AJ1" s="749" t="s">
        <v>6954</v>
      </c>
      <c r="AK1" s="820" t="s">
        <v>6962</v>
      </c>
      <c r="AL1" s="748" t="s">
        <v>6765</v>
      </c>
      <c r="AM1" s="749" t="s">
        <v>6763</v>
      </c>
      <c r="AN1" s="749" t="s">
        <v>6764</v>
      </c>
      <c r="AO1" s="749" t="s">
        <v>6766</v>
      </c>
      <c r="AP1" s="749" t="s">
        <v>6955</v>
      </c>
      <c r="AQ1" s="749" t="s">
        <v>6768</v>
      </c>
      <c r="AR1" s="749" t="s">
        <v>6767</v>
      </c>
      <c r="AS1" s="749" t="s">
        <v>6769</v>
      </c>
      <c r="AT1" s="749" t="s">
        <v>6770</v>
      </c>
      <c r="AU1" s="749" t="s">
        <v>6823</v>
      </c>
      <c r="AV1" s="749" t="s">
        <v>6824</v>
      </c>
      <c r="AW1" s="749" t="s">
        <v>6803</v>
      </c>
      <c r="AX1" s="804" t="s">
        <v>6825</v>
      </c>
      <c r="AY1" s="804" t="s">
        <v>6956</v>
      </c>
      <c r="AZ1" s="750" t="s">
        <v>6957</v>
      </c>
      <c r="BA1" s="628" t="s">
        <v>6740</v>
      </c>
      <c r="BB1" s="629" t="s">
        <v>6741</v>
      </c>
    </row>
    <row r="2" spans="1:54" ht="15" thickBot="1" x14ac:dyDescent="0.35">
      <c r="A2">
        <v>3007</v>
      </c>
      <c r="B2" s="511" t="str">
        <f>+_xlfn.XLOOKUP(CantidadesConsolidadas[[#This Row],[cod Idu]],APU_IDU[Código],APU_IDU[Nombre],"",0)</f>
        <v>REPLANTEO GENERAL</v>
      </c>
      <c r="C2" s="497" t="str">
        <f>+_xlfn.XLOOKUP(CantidadesConsolidadas[[#This Row],[cod Idu]],APU_IDU[Código],APU_IDU[UM],"",0)</f>
        <v>M2</v>
      </c>
      <c r="D2" s="499">
        <f>+_xlfn.XLOOKUP(CantidadesConsolidadas[[#This Row],[cod Idu]],APU_IDU[Código],APU_IDU[Valor],"",0)</f>
        <v>1081</v>
      </c>
      <c r="E2" s="497">
        <f>ROUND(SUMIFS(Cantidades[91013913],Cantidades[cod Idu],'CantidadesConsolidadas'!$A2),2)</f>
        <v>1489.08</v>
      </c>
      <c r="F2" s="497">
        <f>ROUND(SUMIFS(Cantidades[472330],Cantidades[cod Idu],'CantidadesConsolidadas'!$A2),2)</f>
        <v>726</v>
      </c>
      <c r="G2" s="497">
        <f>ROUND(SUMIFS(Cantidades[167810],Cantidades[cod Idu],'CantidadesConsolidadas'!$A2),2)</f>
        <v>781.12</v>
      </c>
      <c r="H2" s="497">
        <f>ROUND(SUMIFS(Cantidades[166646],Cantidades[cod Idu],'CantidadesConsolidadas'!$A2),2)</f>
        <v>474.81</v>
      </c>
      <c r="I2" s="497">
        <f>ROUND(SUMIFS(Cantidades[167491],Cantidades[cod Idu],'CantidadesConsolidadas'!$A2),2)</f>
        <v>442.11</v>
      </c>
      <c r="J2" s="497">
        <f>ROUND(SUMIFS(Cantidades[167266],Cantidades[cod Idu],'CantidadesConsolidadas'!$A2),2)</f>
        <v>567.01</v>
      </c>
      <c r="K2" s="497">
        <f>ROUND(SUMIFS(Cantidades[170896],Cantidades[cod Idu],'CantidadesConsolidadas'!$A2),2)</f>
        <v>112.52</v>
      </c>
      <c r="L2" s="497">
        <f>ROUND(SUMIFS(Cantidades[170897],Cantidades[cod Idu],'CantidadesConsolidadas'!$A2),2)</f>
        <v>125.44</v>
      </c>
      <c r="M2" s="497">
        <f>ROUND(SUMIFS(Cantidades[170898],Cantidades[cod Idu],'CantidadesConsolidadas'!$A2),2)</f>
        <v>49.89</v>
      </c>
      <c r="N2" s="497">
        <f>ROUND(SUMIFS(Cantidades[91064150],Cantidades[cod Idu],'CantidadesConsolidadas'!$A2),2)</f>
        <v>148.31</v>
      </c>
      <c r="O2" s="497">
        <f>ROUND(SUMIFS(Cantidades[168919],Cantidades[cod Idu],'CantidadesConsolidadas'!$A2),2)</f>
        <v>484.43</v>
      </c>
      <c r="P2" s="497">
        <f>ROUND(SUMIFS(Cantidades[168426],Cantidades[cod Idu],'CantidadesConsolidadas'!$A2),2)</f>
        <v>426.72</v>
      </c>
      <c r="Q2" s="497">
        <f>ROUND(SUMIFS(Cantidades[91020796],Cantidades[cod Idu],'CantidadesConsolidadas'!$A2),2)</f>
        <v>116.78</v>
      </c>
      <c r="R2" s="497">
        <f>ROUND(SUMIFS(Cantidades[176184],Cantidades[cod Idu],'CantidadesConsolidadas'!$A2),2)</f>
        <v>237.65</v>
      </c>
      <c r="S2" s="497">
        <f>ROUND(SUMIFS(Cantidades[167636],Cantidades[cod Idu],'CantidadesConsolidadas'!$A2),2)</f>
        <v>533.41</v>
      </c>
      <c r="T2" s="497">
        <f>ROUND(SUMIFS(Cantidades[176730],Cantidades[cod Idu],'CantidadesConsolidadas'!$A2),2)</f>
        <v>144.71</v>
      </c>
      <c r="U2" s="497">
        <f>ROUND(SUMIFS(Cantidades[173038],Cantidades[cod Idu],'CantidadesConsolidadas'!$A2),2)</f>
        <v>495.42</v>
      </c>
      <c r="V2" s="497">
        <f>ROUND(SUMIFS(Cantidades[170222],Cantidades[cod Idu],'CantidadesConsolidadas'!$A2),2)</f>
        <v>845.83</v>
      </c>
      <c r="W2" s="497">
        <f>ROUND(SUMIFS(Cantidades[170229],Cantidades[cod Idu],'CantidadesConsolidadas'!$A2),2)</f>
        <v>75.92</v>
      </c>
      <c r="X2" s="497">
        <f>ROUND(SUMIFS(Cantidades[170227],Cantidades[cod Idu],'CantidadesConsolidadas'!$A2),2)</f>
        <v>187.93</v>
      </c>
      <c r="Y2" s="497">
        <f>ROUND(SUMIFS(Cantidades[170226],Cantidades[cod Idu],'CantidadesConsolidadas'!$A2),2)</f>
        <v>102.95</v>
      </c>
      <c r="Z2" s="497">
        <f>ROUND(SUMIFS(Cantidades[171567],Cantidades[cod Idu],'CantidadesConsolidadas'!$A2),2)</f>
        <v>523.46</v>
      </c>
      <c r="AA2" s="497">
        <f>ROUND(SUMIFS(Cantidades[166632],Cantidades[cod Idu],'CantidadesConsolidadas'!$A2),2)</f>
        <v>327.35000000000002</v>
      </c>
      <c r="AB2" s="497">
        <f>ROUND(SUMIFS(Cantidades[170228],Cantidades[cod Idu],'CantidadesConsolidadas'!$A2),2)</f>
        <v>205.14</v>
      </c>
      <c r="AC2" s="497">
        <f>ROUND(SUMIFS(Cantidades[172926],Cantidades[cod Idu],'CantidadesConsolidadas'!$A2),2)</f>
        <v>144.43</v>
      </c>
      <c r="AD2" s="497">
        <f>ROUND(SUMIFS(Cantidades[171152],Cantidades[cod Idu],'CantidadesConsolidadas'!$A2),2)</f>
        <v>751.07</v>
      </c>
      <c r="AE2" s="497">
        <f>ROUND(SUMIFS(Cantidades[173058],Cantidades[cod Idu],'CantidadesConsolidadas'!$A2),2)</f>
        <v>196.67</v>
      </c>
      <c r="AF2" s="497">
        <f>ROUND(SUMIFS(Cantidades[174478],Cantidades[cod Idu],'CantidadesConsolidadas'!$A2),2)</f>
        <v>924.18</v>
      </c>
      <c r="AG2" s="497">
        <f>ROUND(SUMIFS(Cantidades[91010089],Cantidades[cod Idu],'CantidadesConsolidadas'!$A2),2)</f>
        <v>297.23</v>
      </c>
      <c r="AH2" s="497">
        <f>ROUND(SUMIFS(Cantidades[176122],Cantidades[cod Idu],'CantidadesConsolidadas'!$A2),2)</f>
        <v>693.96</v>
      </c>
      <c r="AI2" s="497">
        <f>ROUND(SUMIFS(Cantidades[168536],Cantidades[cod Idu],'CantidadesConsolidadas'!$A2),2)</f>
        <v>606.14</v>
      </c>
      <c r="AJ2" s="497">
        <f>ROUND(SUMIFS(Cantidades[166934],Cantidades[cod Idu],'CantidadesConsolidadas'!$A2),2)</f>
        <v>939.11</v>
      </c>
      <c r="AK2" s="497">
        <f>ROUND(SUMIFS(Cantidades[174353],Cantidades[cod Idu],'CantidadesConsolidadas'!$A2),2)</f>
        <v>525.6</v>
      </c>
      <c r="AL2" s="751">
        <f>ROUND(SUMIFS(Cantidades[52531],Cantidades[cod Idu],'CantidadesConsolidadas'!$A2),2)</f>
        <v>0</v>
      </c>
      <c r="AM2" s="500">
        <f>ROUND(SUMIFS(Cantidades[52456],Cantidades[cod Idu],'CantidadesConsolidadas'!$A2),2)</f>
        <v>0</v>
      </c>
      <c r="AN2" s="500">
        <f>ROUND(SUMIFS(Cantidades[92058103],Cantidades[cod Idu],'CantidadesConsolidadas'!$A2),2)</f>
        <v>0</v>
      </c>
      <c r="AO2" s="500">
        <f>ROUND(SUMIFS(Cantidades[20011114],Cantidades[cod Idu],'CantidadesConsolidadas'!$A2),2)</f>
        <v>0</v>
      </c>
      <c r="AP2" s="500">
        <f>ROUND(SUMIFS(Cantidades[20013540],Cantidades[cod Idu],'CantidadesConsolidadas'!$A2),2)</f>
        <v>0</v>
      </c>
      <c r="AQ2" s="500">
        <f>ROUND(SUMIFS(Cantidades[55337],Cantidades[cod Idu],'CantidadesConsolidadas'!$A2),2)</f>
        <v>0</v>
      </c>
      <c r="AR2" s="500">
        <f>ROUND(SUMIFS(Cantidades[92087422],Cantidades[cod Idu],'CantidadesConsolidadas'!$A2),2)</f>
        <v>0</v>
      </c>
      <c r="AS2" s="500">
        <f>ROUND(SUMIFS(Cantidades[55259],Cantidades[cod Idu],'CantidadesConsolidadas'!$A2),2)</f>
        <v>0</v>
      </c>
      <c r="AT2" s="500">
        <f>ROUND(SUMIFS(Cantidades[466904],Cantidades[cod Idu],'CantidadesConsolidadas'!$A2),2)</f>
        <v>0</v>
      </c>
      <c r="AU2" s="500">
        <f>ROUND(SUMIFS(Cantidades[48591],Cantidades[cod Idu],'CantidadesConsolidadas'!$A2),2)</f>
        <v>0</v>
      </c>
      <c r="AV2" s="500">
        <f>ROUND(SUMIFS(Cantidades[48590],Cantidades[cod Idu],'CantidadesConsolidadas'!$A2),2)</f>
        <v>0</v>
      </c>
      <c r="AW2" s="500">
        <f>ROUND(SUMIFS(Cantidades[48561],Cantidades[cod Idu],'CantidadesConsolidadas'!$A2),2)</f>
        <v>0</v>
      </c>
      <c r="AX2" s="500">
        <f>ROUND(SUMIFS(Cantidades[48560],Cantidades[cod Idu],'CantidadesConsolidadas'!$A2),2)</f>
        <v>0</v>
      </c>
      <c r="AY2" s="500">
        <f>ROUND(SUMIFS(Cantidades[48657],Cantidades[cod Idu],'CantidadesConsolidadas'!$A2),2)</f>
        <v>0</v>
      </c>
      <c r="AZ2" s="500">
        <f>ROUND(SUMIFS(Cantidades[48655],Cantidades[cod Idu],'CantidadesConsolidadas'!$A2),2)</f>
        <v>0</v>
      </c>
      <c r="BA2" s="758">
        <f>SUBTOTAL(9,CantidadesConsolidadas[[#This Row],[91013913]:[48655]])</f>
        <v>14702.380000000003</v>
      </c>
      <c r="BB2" s="638">
        <f>ROUND(CantidadesConsolidadas[[#This Row],[Total]]*CantidadesConsolidadas[[#This Row],[VU]],0)</f>
        <v>15893273</v>
      </c>
    </row>
    <row r="3" spans="1:54" ht="29.4" thickBot="1" x14ac:dyDescent="0.35">
      <c r="A3">
        <v>5360</v>
      </c>
      <c r="B3" s="606" t="str">
        <f>+_xlfn.XLOOKUP(CantidadesConsolidadas[[#This Row],[cod Idu]],APU_IDU[Código],APU_IDU[Nombre],"",0)</f>
        <v>ACOPIO Y TRASIEGO MECANICO DE MATERIAL DE FRESADO EN EL SITIO DE ALMACENAMIENTO TRANSITORIO.</v>
      </c>
      <c r="C3" s="609" t="str">
        <f>+_xlfn.XLOOKUP(CantidadesConsolidadas[[#This Row],[cod Idu]],APU_IDU[Código],APU_IDU[UM],"",0)</f>
        <v>HR</v>
      </c>
      <c r="D3" s="743">
        <f>+_xlfn.XLOOKUP(CantidadesConsolidadas[[#This Row],[cod Idu]],APU_IDU[Código],APU_IDU[Valor],"",0)</f>
        <v>182788</v>
      </c>
      <c r="E3" s="497">
        <f>ROUND(SUMIFS(Cantidades[91013913],Cantidades[cod Idu],'CantidadesConsolidadas'!$A3),2)</f>
        <v>0</v>
      </c>
      <c r="F3" s="497">
        <f>ROUND(SUMIFS(Cantidades[472330],Cantidades[cod Idu],'CantidadesConsolidadas'!$A3),2)</f>
        <v>0</v>
      </c>
      <c r="G3" s="497">
        <f>ROUND(SUMIFS(Cantidades[167810],Cantidades[cod Idu],'CantidadesConsolidadas'!$A3),2)</f>
        <v>0</v>
      </c>
      <c r="H3" s="497">
        <f>ROUND(SUMIFS(Cantidades[166646],Cantidades[cod Idu],'CantidadesConsolidadas'!$A3),2)</f>
        <v>0</v>
      </c>
      <c r="I3" s="497">
        <f>ROUND(SUMIFS(Cantidades[167491],Cantidades[cod Idu],'CantidadesConsolidadas'!$A3),2)</f>
        <v>0</v>
      </c>
      <c r="J3" s="497">
        <f>ROUND(SUMIFS(Cantidades[167266],Cantidades[cod Idu],'CantidadesConsolidadas'!$A3),2)</f>
        <v>0</v>
      </c>
      <c r="K3" s="497">
        <f>ROUND(SUMIFS(Cantidades[170896],Cantidades[cod Idu],'CantidadesConsolidadas'!$A3),2)</f>
        <v>4</v>
      </c>
      <c r="L3" s="497">
        <f>ROUND(SUMIFS(Cantidades[170897],Cantidades[cod Idu],'CantidadesConsolidadas'!$A3),2)</f>
        <v>5</v>
      </c>
      <c r="M3" s="497">
        <f>ROUND(SUMIFS(Cantidades[170898],Cantidades[cod Idu],'CantidadesConsolidadas'!$A3),2)</f>
        <v>4</v>
      </c>
      <c r="N3" s="497">
        <f>ROUND(SUMIFS(Cantidades[91064150],Cantidades[cod Idu],'CantidadesConsolidadas'!$A3),2)</f>
        <v>5</v>
      </c>
      <c r="O3" s="497">
        <f>ROUND(SUMIFS(Cantidades[168919],Cantidades[cod Idu],'CantidadesConsolidadas'!$A3),2)</f>
        <v>0</v>
      </c>
      <c r="P3" s="497">
        <f>ROUND(SUMIFS(Cantidades[168426],Cantidades[cod Idu],'CantidadesConsolidadas'!$A3),2)</f>
        <v>0</v>
      </c>
      <c r="Q3" s="497">
        <f>ROUND(SUMIFS(Cantidades[91020796],Cantidades[cod Idu],'CantidadesConsolidadas'!$A3),2)</f>
        <v>6</v>
      </c>
      <c r="R3" s="497">
        <f>ROUND(SUMIFS(Cantidades[176184],Cantidades[cod Idu],'CantidadesConsolidadas'!$A3),2)</f>
        <v>0</v>
      </c>
      <c r="S3" s="497">
        <f>ROUND(SUMIFS(Cantidades[167636],Cantidades[cod Idu],'CantidadesConsolidadas'!$A3),2)</f>
        <v>5</v>
      </c>
      <c r="T3" s="497">
        <f>ROUND(SUMIFS(Cantidades[176730],Cantidades[cod Idu],'CantidadesConsolidadas'!$A3),2)</f>
        <v>0</v>
      </c>
      <c r="U3" s="497">
        <f>ROUND(SUMIFS(Cantidades[173038],Cantidades[cod Idu],'CantidadesConsolidadas'!$A3),2)</f>
        <v>0</v>
      </c>
      <c r="V3" s="497">
        <f>ROUND(SUMIFS(Cantidades[170222],Cantidades[cod Idu],'CantidadesConsolidadas'!$A3),2)</f>
        <v>6</v>
      </c>
      <c r="W3" s="497">
        <f>ROUND(SUMIFS(Cantidades[170229],Cantidades[cod Idu],'CantidadesConsolidadas'!$A3),2)</f>
        <v>0</v>
      </c>
      <c r="X3" s="497">
        <f>ROUND(SUMIFS(Cantidades[170227],Cantidades[cod Idu],'CantidadesConsolidadas'!$A3),2)</f>
        <v>0</v>
      </c>
      <c r="Y3" s="497">
        <f>ROUND(SUMIFS(Cantidades[170226],Cantidades[cod Idu],'CantidadesConsolidadas'!$A3),2)</f>
        <v>6</v>
      </c>
      <c r="Z3" s="497">
        <f>ROUND(SUMIFS(Cantidades[171567],Cantidades[cod Idu],'CantidadesConsolidadas'!$A3),2)</f>
        <v>0</v>
      </c>
      <c r="AA3" s="497">
        <f>ROUND(SUMIFS(Cantidades[166632],Cantidades[cod Idu],'CantidadesConsolidadas'!$A3),2)</f>
        <v>6</v>
      </c>
      <c r="AB3" s="497">
        <f>ROUND(SUMIFS(Cantidades[170228],Cantidades[cod Idu],'CantidadesConsolidadas'!$A3),2)</f>
        <v>0</v>
      </c>
      <c r="AC3" s="497">
        <f>ROUND(SUMIFS(Cantidades[172926],Cantidades[cod Idu],'CantidadesConsolidadas'!$A3),2)</f>
        <v>0</v>
      </c>
      <c r="AD3" s="497">
        <f>ROUND(SUMIFS(Cantidades[171152],Cantidades[cod Idu],'CantidadesConsolidadas'!$A3),2)</f>
        <v>0</v>
      </c>
      <c r="AE3" s="497">
        <f>ROUND(SUMIFS(Cantidades[173058],Cantidades[cod Idu],'CantidadesConsolidadas'!$A3),2)</f>
        <v>0</v>
      </c>
      <c r="AF3" s="726">
        <f>ROUND(SUMIFS(Cantidades[174478],Cantidades[cod Idu],'CantidadesConsolidadas'!$A3),2)</f>
        <v>0</v>
      </c>
      <c r="AG3" s="726">
        <f>ROUND(SUMIFS(Cantidades[91010089],Cantidades[cod Idu],'CantidadesConsolidadas'!$A3),2)</f>
        <v>0</v>
      </c>
      <c r="AH3" s="726">
        <f>ROUND(SUMIFS(Cantidades[176122],Cantidades[cod Idu],'CantidadesConsolidadas'!$A3),2)</f>
        <v>0</v>
      </c>
      <c r="AI3" s="726">
        <f>ROUND(SUMIFS(Cantidades[168536],Cantidades[cod Idu],'CantidadesConsolidadas'!$A3),2)</f>
        <v>0</v>
      </c>
      <c r="AJ3" s="497">
        <f>ROUND(SUMIFS(Cantidades[166934],Cantidades[cod Idu],'CantidadesConsolidadas'!$A3),2)</f>
        <v>1</v>
      </c>
      <c r="AK3" s="497">
        <f>ROUND(SUMIFS(Cantidades[174353],Cantidades[cod Idu],'CantidadesConsolidadas'!$A3),2)</f>
        <v>1</v>
      </c>
      <c r="AL3" s="751">
        <f>ROUND(SUMIFS(Cantidades[52531],Cantidades[cod Idu],'CantidadesConsolidadas'!$A3),2)</f>
        <v>0</v>
      </c>
      <c r="AM3" s="500">
        <f>ROUND(SUMIFS(Cantidades[52456],Cantidades[cod Idu],'CantidadesConsolidadas'!$A3),2)</f>
        <v>0</v>
      </c>
      <c r="AN3" s="500">
        <f>ROUND(SUMIFS(Cantidades[92058103],Cantidades[cod Idu],'CantidadesConsolidadas'!$A3),2)</f>
        <v>0</v>
      </c>
      <c r="AO3" s="500">
        <f>ROUND(SUMIFS(Cantidades[20011114],Cantidades[cod Idu],'CantidadesConsolidadas'!$A3),2)</f>
        <v>0</v>
      </c>
      <c r="AP3" s="500">
        <f>ROUND(SUMIFS(Cantidades[20013540],Cantidades[cod Idu],'CantidadesConsolidadas'!$A3),2)</f>
        <v>0</v>
      </c>
      <c r="AQ3" s="500">
        <f>ROUND(SUMIFS(Cantidades[55337],Cantidades[cod Idu],'CantidadesConsolidadas'!$A3),2)</f>
        <v>0</v>
      </c>
      <c r="AR3" s="500">
        <f>ROUND(SUMIFS(Cantidades[92087422],Cantidades[cod Idu],'CantidadesConsolidadas'!$A3),2)</f>
        <v>0</v>
      </c>
      <c r="AS3" s="500">
        <f>ROUND(SUMIFS(Cantidades[55259],Cantidades[cod Idu],'CantidadesConsolidadas'!$A3),2)</f>
        <v>0</v>
      </c>
      <c r="AT3" s="500">
        <f>ROUND(SUMIFS(Cantidades[466904],Cantidades[cod Idu],'CantidadesConsolidadas'!$A3),2)</f>
        <v>0</v>
      </c>
      <c r="AU3" s="500">
        <f>ROUND(SUMIFS(Cantidades[48591],Cantidades[cod Idu],'CantidadesConsolidadas'!$A3),2)</f>
        <v>0</v>
      </c>
      <c r="AV3" s="500">
        <f>ROUND(SUMIFS(Cantidades[48590],Cantidades[cod Idu],'CantidadesConsolidadas'!$A3),2)</f>
        <v>0</v>
      </c>
      <c r="AW3" s="500">
        <f>ROUND(SUMIFS(Cantidades[48561],Cantidades[cod Idu],'CantidadesConsolidadas'!$A3),2)</f>
        <v>0</v>
      </c>
      <c r="AX3" s="726">
        <f>ROUND(SUMIFS(Cantidades[48560],Cantidades[cod Idu],'CantidadesConsolidadas'!$A3),2)</f>
        <v>0</v>
      </c>
      <c r="AY3" s="805">
        <f>ROUND(SUMIFS(Cantidades[48657],Cantidades[cod Idu],'CantidadesConsolidadas'!$A3),2)</f>
        <v>0</v>
      </c>
      <c r="AZ3" s="752">
        <f>ROUND(SUMIFS(Cantidades[48655],Cantidades[cod Idu],'CantidadesConsolidadas'!$A3),2)</f>
        <v>0</v>
      </c>
      <c r="BA3" s="758">
        <f>SUBTOTAL(9,CantidadesConsolidadas[[#This Row],[91013913]:[48655]])</f>
        <v>49</v>
      </c>
      <c r="BB3" s="638">
        <f>ROUND(CantidadesConsolidadas[[#This Row],[Total]]*CantidadesConsolidadas[[#This Row],[VU]],0)</f>
        <v>8956612</v>
      </c>
    </row>
    <row r="4" spans="1:54" ht="29.4" thickBot="1" x14ac:dyDescent="0.35">
      <c r="A4">
        <v>3010</v>
      </c>
      <c r="B4" s="606" t="str">
        <f>+_xlfn.XLOOKUP(CantidadesConsolidadas[[#This Row],[cod Idu]],APU_IDU[Código],APU_IDU[Nombre],"",0)</f>
        <v>DEMOLICION PAVIMENTO ASFALTICO (INCLUYE CARGUE). NO INCLUYE TRANSPORTE Y DISPOSICIÓN FINAL DE SOBRANTES.</v>
      </c>
      <c r="C4" s="609" t="str">
        <f>+_xlfn.XLOOKUP(CantidadesConsolidadas[[#This Row],[cod Idu]],APU_IDU[Código],APU_IDU[UM],"",0)</f>
        <v>M3</v>
      </c>
      <c r="D4" s="743">
        <f>+_xlfn.XLOOKUP(CantidadesConsolidadas[[#This Row],[cod Idu]],APU_IDU[Código],APU_IDU[Valor],"",0)</f>
        <v>43555</v>
      </c>
      <c r="E4" s="497">
        <f>ROUND(SUMIFS(Cantidades[91013913],Cantidades[cod Idu],'CantidadesConsolidadas'!$A4),2)</f>
        <v>223.36</v>
      </c>
      <c r="F4" s="497">
        <f>ROUND(SUMIFS(Cantidades[472330],Cantidades[cod Idu],'CantidadesConsolidadas'!$A4),2)</f>
        <v>108.9</v>
      </c>
      <c r="G4" s="497">
        <f>ROUND(SUMIFS(Cantidades[167810],Cantidades[cod Idu],'CantidadesConsolidadas'!$A4),2)</f>
        <v>117.17</v>
      </c>
      <c r="H4" s="497">
        <f>ROUND(SUMIFS(Cantidades[166646],Cantidades[cod Idu],'CantidadesConsolidadas'!$A4),2)</f>
        <v>71.22</v>
      </c>
      <c r="I4" s="497">
        <f>ROUND(SUMIFS(Cantidades[167491],Cantidades[cod Idu],'CantidadesConsolidadas'!$A4),2)</f>
        <v>66.319999999999993</v>
      </c>
      <c r="J4" s="497">
        <f>ROUND(SUMIFS(Cantidades[167266],Cantidades[cod Idu],'CantidadesConsolidadas'!$A4),2)</f>
        <v>85.05</v>
      </c>
      <c r="K4" s="497">
        <f>ROUND(SUMIFS(Cantidades[170896],Cantidades[cod Idu],'CantidadesConsolidadas'!$A4),2)</f>
        <v>16.88</v>
      </c>
      <c r="L4" s="497">
        <f>ROUND(SUMIFS(Cantidades[170897],Cantidades[cod Idu],'CantidadesConsolidadas'!$A4),2)</f>
        <v>18.82</v>
      </c>
      <c r="M4" s="497">
        <f>ROUND(SUMIFS(Cantidades[170898],Cantidades[cod Idu],'CantidadesConsolidadas'!$A4),2)</f>
        <v>7.48</v>
      </c>
      <c r="N4" s="497">
        <f>ROUND(SUMIFS(Cantidades[91064150],Cantidades[cod Idu],'CantidadesConsolidadas'!$A4),2)</f>
        <v>22.25</v>
      </c>
      <c r="O4" s="497">
        <f>ROUND(SUMIFS(Cantidades[168919],Cantidades[cod Idu],'CantidadesConsolidadas'!$A4),2)</f>
        <v>72.66</v>
      </c>
      <c r="P4" s="497">
        <f>ROUND(SUMIFS(Cantidades[168426],Cantidades[cod Idu],'CantidadesConsolidadas'!$A4),2)</f>
        <v>64.010000000000005</v>
      </c>
      <c r="Q4" s="497">
        <f>ROUND(SUMIFS(Cantidades[91020796],Cantidades[cod Idu],'CantidadesConsolidadas'!$A4),2)</f>
        <v>17.52</v>
      </c>
      <c r="R4" s="497">
        <f>ROUND(SUMIFS(Cantidades[176184],Cantidades[cod Idu],'CantidadesConsolidadas'!$A4),2)</f>
        <v>35.65</v>
      </c>
      <c r="S4" s="497">
        <f>ROUND(SUMIFS(Cantidades[167636],Cantidades[cod Idu],'CantidadesConsolidadas'!$A4),2)</f>
        <v>80.010000000000005</v>
      </c>
      <c r="T4" s="497">
        <f>ROUND(SUMIFS(Cantidades[176730],Cantidades[cod Idu],'CantidadesConsolidadas'!$A4),2)</f>
        <v>21.71</v>
      </c>
      <c r="U4" s="497">
        <f>ROUND(SUMIFS(Cantidades[173038],Cantidades[cod Idu],'CantidadesConsolidadas'!$A4),2)</f>
        <v>74.31</v>
      </c>
      <c r="V4" s="497">
        <f>ROUND(SUMIFS(Cantidades[170222],Cantidades[cod Idu],'CantidadesConsolidadas'!$A4),2)</f>
        <v>126.87</v>
      </c>
      <c r="W4" s="497">
        <f>ROUND(SUMIFS(Cantidades[170229],Cantidades[cod Idu],'CantidadesConsolidadas'!$A4),2)</f>
        <v>11.39</v>
      </c>
      <c r="X4" s="497">
        <f>ROUND(SUMIFS(Cantidades[170227],Cantidades[cod Idu],'CantidadesConsolidadas'!$A4),2)</f>
        <v>28.19</v>
      </c>
      <c r="Y4" s="497">
        <f>ROUND(SUMIFS(Cantidades[170226],Cantidades[cod Idu],'CantidadesConsolidadas'!$A4),2)</f>
        <v>15.44</v>
      </c>
      <c r="Z4" s="497">
        <f>ROUND(SUMIFS(Cantidades[171567],Cantidades[cod Idu],'CantidadesConsolidadas'!$A4),2)</f>
        <v>0</v>
      </c>
      <c r="AA4" s="497">
        <f>ROUND(SUMIFS(Cantidades[166632],Cantidades[cod Idu],'CantidadesConsolidadas'!$A4),2)</f>
        <v>49.1</v>
      </c>
      <c r="AB4" s="497">
        <f>ROUND(SUMIFS(Cantidades[170228],Cantidades[cod Idu],'CantidadesConsolidadas'!$A4),2)</f>
        <v>30.77</v>
      </c>
      <c r="AC4" s="497">
        <f>ROUND(SUMIFS(Cantidades[172926],Cantidades[cod Idu],'CantidadesConsolidadas'!$A4),2)</f>
        <v>21.66</v>
      </c>
      <c r="AD4" s="497">
        <f>ROUND(SUMIFS(Cantidades[171152],Cantidades[cod Idu],'CantidadesConsolidadas'!$A4),2)</f>
        <v>112.66</v>
      </c>
      <c r="AE4" s="497">
        <f>ROUND(SUMIFS(Cantidades[173058],Cantidades[cod Idu],'CantidadesConsolidadas'!$A4),2)</f>
        <v>29.5</v>
      </c>
      <c r="AF4" s="726">
        <f>ROUND(SUMIFS(Cantidades[174478],Cantidades[cod Idu],'CantidadesConsolidadas'!$A4),2)</f>
        <v>138.63</v>
      </c>
      <c r="AG4" s="726">
        <f>ROUND(SUMIFS(Cantidades[91010089],Cantidades[cod Idu],'CantidadesConsolidadas'!$A4),2)</f>
        <v>44.58</v>
      </c>
      <c r="AH4" s="726">
        <f>ROUND(SUMIFS(Cantidades[176122],Cantidades[cod Idu],'CantidadesConsolidadas'!$A4),2)</f>
        <v>104.09</v>
      </c>
      <c r="AI4" s="726">
        <f>ROUND(SUMIFS(Cantidades[168536],Cantidades[cod Idu],'CantidadesConsolidadas'!$A4),2)</f>
        <v>90.92</v>
      </c>
      <c r="AJ4" s="497">
        <f>ROUND(SUMIFS(Cantidades[166934],Cantidades[cod Idu],'CantidadesConsolidadas'!$A4),2)</f>
        <v>140.87</v>
      </c>
      <c r="AK4" s="497">
        <f>ROUND(SUMIFS(Cantidades[174353],Cantidades[cod Idu],'CantidadesConsolidadas'!$A4),2)</f>
        <v>78.84</v>
      </c>
      <c r="AL4" s="751">
        <f>ROUND(SUMIFS(Cantidades[52531],Cantidades[cod Idu],'CantidadesConsolidadas'!$A4),2)</f>
        <v>0</v>
      </c>
      <c r="AM4" s="500">
        <f>ROUND(SUMIFS(Cantidades[52456],Cantidades[cod Idu],'CantidadesConsolidadas'!$A4),2)</f>
        <v>0</v>
      </c>
      <c r="AN4" s="500">
        <f>ROUND(SUMIFS(Cantidades[92058103],Cantidades[cod Idu],'CantidadesConsolidadas'!$A4),2)</f>
        <v>0</v>
      </c>
      <c r="AO4" s="500">
        <f>ROUND(SUMIFS(Cantidades[20011114],Cantidades[cod Idu],'CantidadesConsolidadas'!$A4),2)</f>
        <v>0</v>
      </c>
      <c r="AP4" s="500">
        <f>ROUND(SUMIFS(Cantidades[20013540],Cantidades[cod Idu],'CantidadesConsolidadas'!$A4),2)</f>
        <v>0</v>
      </c>
      <c r="AQ4" s="500">
        <f>ROUND(SUMIFS(Cantidades[55337],Cantidades[cod Idu],'CantidadesConsolidadas'!$A4),2)</f>
        <v>0</v>
      </c>
      <c r="AR4" s="500">
        <f>ROUND(SUMIFS(Cantidades[92087422],Cantidades[cod Idu],'CantidadesConsolidadas'!$A4),2)</f>
        <v>0</v>
      </c>
      <c r="AS4" s="500">
        <f>ROUND(SUMIFS(Cantidades[55259],Cantidades[cod Idu],'CantidadesConsolidadas'!$A4),2)</f>
        <v>0</v>
      </c>
      <c r="AT4" s="500">
        <f>ROUND(SUMIFS(Cantidades[466904],Cantidades[cod Idu],'CantidadesConsolidadas'!$A4),2)</f>
        <v>0</v>
      </c>
      <c r="AU4" s="500">
        <f>ROUND(SUMIFS(Cantidades[48591],Cantidades[cod Idu],'CantidadesConsolidadas'!$A4),2)</f>
        <v>0</v>
      </c>
      <c r="AV4" s="500">
        <f>ROUND(SUMIFS(Cantidades[48590],Cantidades[cod Idu],'CantidadesConsolidadas'!$A4),2)</f>
        <v>0</v>
      </c>
      <c r="AW4" s="500">
        <f>ROUND(SUMIFS(Cantidades[48561],Cantidades[cod Idu],'CantidadesConsolidadas'!$A4),2)</f>
        <v>0</v>
      </c>
      <c r="AX4" s="805">
        <f>ROUND(SUMIFS(Cantidades[48560],Cantidades[cod Idu],'CantidadesConsolidadas'!$A4),2)</f>
        <v>0</v>
      </c>
      <c r="AY4" s="805">
        <f>ROUND(SUMIFS(Cantidades[48657],Cantidades[cod Idu],'CantidadesConsolidadas'!$A4),2)</f>
        <v>0</v>
      </c>
      <c r="AZ4" s="752">
        <f>ROUND(SUMIFS(Cantidades[48655],Cantidades[cod Idu],'CantidadesConsolidadas'!$A4),2)</f>
        <v>0</v>
      </c>
      <c r="BA4" s="758">
        <f>SUBTOTAL(9,CantidadesConsolidadas[[#This Row],[91013913]:[48655]])</f>
        <v>2126.8300000000004</v>
      </c>
      <c r="BB4" s="638">
        <f>ROUND(CantidadesConsolidadas[[#This Row],[Total]]*CantidadesConsolidadas[[#This Row],[VU]],0)</f>
        <v>92634081</v>
      </c>
    </row>
    <row r="5" spans="1:54" ht="15" thickBot="1" x14ac:dyDescent="0.35">
      <c r="A5">
        <v>3710</v>
      </c>
      <c r="B5" s="606" t="str">
        <f>+_xlfn.XLOOKUP(CantidadesConsolidadas[[#This Row],[cod Idu]],APU_IDU[Código],APU_IDU[Nombre],"",0)</f>
        <v>EXCAVACIÓN MECÁNICA EN MATERIAL COMÚN (INCLUYE CARGUE)</v>
      </c>
      <c r="C5" s="609" t="str">
        <f>+_xlfn.XLOOKUP(CantidadesConsolidadas[[#This Row],[cod Idu]],APU_IDU[Código],APU_IDU[UM],"",0)</f>
        <v>M3</v>
      </c>
      <c r="D5" s="743">
        <f>+_xlfn.XLOOKUP(CantidadesConsolidadas[[#This Row],[cod Idu]],APU_IDU[Código],APU_IDU[Valor],"",0)</f>
        <v>5998</v>
      </c>
      <c r="E5" s="497">
        <f>ROUND(SUMIFS(Cantidades[91013913],Cantidades[cod Idu],'CantidadesConsolidadas'!$A5),2)</f>
        <v>1191.26</v>
      </c>
      <c r="F5" s="497">
        <f>ROUND(SUMIFS(Cantidades[472330],Cantidades[cod Idu],'CantidadesConsolidadas'!$A5),2)</f>
        <v>399.3</v>
      </c>
      <c r="G5" s="497">
        <f>ROUND(SUMIFS(Cantidades[167810],Cantidades[cod Idu],'CantidadesConsolidadas'!$A5),2)</f>
        <v>429.62</v>
      </c>
      <c r="H5" s="497">
        <f>ROUND(SUMIFS(Cantidades[166646],Cantidades[cod Idu],'CantidadesConsolidadas'!$A5),2)</f>
        <v>308.63</v>
      </c>
      <c r="I5" s="497">
        <f>ROUND(SUMIFS(Cantidades[167491],Cantidades[cod Idu],'CantidadesConsolidadas'!$A5),2)</f>
        <v>287.37</v>
      </c>
      <c r="J5" s="497">
        <f>ROUND(SUMIFS(Cantidades[167266],Cantidades[cod Idu],'CantidadesConsolidadas'!$A5),2)</f>
        <v>311.86</v>
      </c>
      <c r="K5" s="497">
        <f>ROUND(SUMIFS(Cantidades[170896],Cantidades[cod Idu],'CantidadesConsolidadas'!$A5),2)</f>
        <v>67.510000000000005</v>
      </c>
      <c r="L5" s="497">
        <f>ROUND(SUMIFS(Cantidades[170897],Cantidades[cod Idu],'CantidadesConsolidadas'!$A5),2)</f>
        <v>75.260000000000005</v>
      </c>
      <c r="M5" s="497">
        <f>ROUND(SUMIFS(Cantidades[170898],Cantidades[cod Idu],'CantidadesConsolidadas'!$A5),2)</f>
        <v>29.93</v>
      </c>
      <c r="N5" s="497">
        <f>ROUND(SUMIFS(Cantidades[91064150],Cantidades[cod Idu],'CantidadesConsolidadas'!$A5),2)</f>
        <v>88.99</v>
      </c>
      <c r="O5" s="497">
        <f>ROUND(SUMIFS(Cantidades[168919],Cantidades[cod Idu],'CantidadesConsolidadas'!$A5),2)</f>
        <v>314.88</v>
      </c>
      <c r="P5" s="497">
        <f>ROUND(SUMIFS(Cantidades[168426],Cantidades[cod Idu],'CantidadesConsolidadas'!$A5),2)</f>
        <v>277.37</v>
      </c>
      <c r="Q5" s="497">
        <f>ROUND(SUMIFS(Cantidades[91020796],Cantidades[cod Idu],'CantidadesConsolidadas'!$A5),2)</f>
        <v>70.069999999999993</v>
      </c>
      <c r="R5" s="497">
        <f>ROUND(SUMIFS(Cantidades[176184],Cantidades[cod Idu],'CantidadesConsolidadas'!$A5),2)</f>
        <v>142.59</v>
      </c>
      <c r="S5" s="497">
        <f>ROUND(SUMIFS(Cantidades[167636],Cantidades[cod Idu],'CantidadesConsolidadas'!$A5),2)</f>
        <v>346.72</v>
      </c>
      <c r="T5" s="497">
        <f>ROUND(SUMIFS(Cantidades[176730],Cantidades[cod Idu],'CantidadesConsolidadas'!$A5),2)</f>
        <v>86.83</v>
      </c>
      <c r="U5" s="497">
        <f>ROUND(SUMIFS(Cantidades[173038],Cantidades[cod Idu],'CantidadesConsolidadas'!$A5),2)</f>
        <v>322.02</v>
      </c>
      <c r="V5" s="497">
        <f>ROUND(SUMIFS(Cantidades[170222],Cantidades[cod Idu],'CantidadesConsolidadas'!$A5),2)</f>
        <v>549.79</v>
      </c>
      <c r="W5" s="497">
        <f>ROUND(SUMIFS(Cantidades[170229],Cantidades[cod Idu],'CantidadesConsolidadas'!$A5),2)</f>
        <v>45.55</v>
      </c>
      <c r="X5" s="497">
        <f>ROUND(SUMIFS(Cantidades[170227],Cantidades[cod Idu],'CantidadesConsolidadas'!$A5),2)</f>
        <v>112.76</v>
      </c>
      <c r="Y5" s="497">
        <f>ROUND(SUMIFS(Cantidades[170226],Cantidades[cod Idu],'CantidadesConsolidadas'!$A5),2)</f>
        <v>61.77</v>
      </c>
      <c r="Z5" s="497">
        <f>ROUND(SUMIFS(Cantidades[171567],Cantidades[cod Idu],'CantidadesConsolidadas'!$A5),2)</f>
        <v>340.25</v>
      </c>
      <c r="AA5" s="497">
        <f>ROUND(SUMIFS(Cantidades[166632],Cantidades[cod Idu],'CantidadesConsolidadas'!$A5),2)</f>
        <v>196.41</v>
      </c>
      <c r="AB5" s="497">
        <f>ROUND(SUMIFS(Cantidades[170228],Cantidades[cod Idu],'CantidadesConsolidadas'!$A5),2)</f>
        <v>123.08</v>
      </c>
      <c r="AC5" s="497">
        <f>ROUND(SUMIFS(Cantidades[172926],Cantidades[cod Idu],'CantidadesConsolidadas'!$A5),2)</f>
        <v>86.66</v>
      </c>
      <c r="AD5" s="497">
        <f>ROUND(SUMIFS(Cantidades[171152],Cantidades[cod Idu],'CantidadesConsolidadas'!$A5),2)</f>
        <v>600.86</v>
      </c>
      <c r="AE5" s="497">
        <f>ROUND(SUMIFS(Cantidades[173058],Cantidades[cod Idu],'CantidadesConsolidadas'!$A5),2)</f>
        <v>118</v>
      </c>
      <c r="AF5" s="726">
        <f>ROUND(SUMIFS(Cantidades[174478],Cantidades[cod Idu],'CantidadesConsolidadas'!$A5),2)</f>
        <v>739.34</v>
      </c>
      <c r="AG5" s="726">
        <f>ROUND(SUMIFS(Cantidades[91010089],Cantidades[cod Idu],'CantidadesConsolidadas'!$A5),2)</f>
        <v>237.78</v>
      </c>
      <c r="AH5" s="726">
        <f>ROUND(SUMIFS(Cantidades[176122],Cantidades[cod Idu],'CantidadesConsolidadas'!$A5),2)</f>
        <v>555.16999999999996</v>
      </c>
      <c r="AI5" s="726">
        <f>ROUND(SUMIFS(Cantidades[168536],Cantidades[cod Idu],'CantidadesConsolidadas'!$A5),2)</f>
        <v>484.91</v>
      </c>
      <c r="AJ5" s="497">
        <f>ROUND(SUMIFS(Cantidades[166934],Cantidades[cod Idu],'CantidadesConsolidadas'!$A5),2)</f>
        <v>610.41999999999996</v>
      </c>
      <c r="AK5" s="497">
        <f>ROUND(SUMIFS(Cantidades[174353],Cantidades[cod Idu],'CantidadesConsolidadas'!$A5),2)</f>
        <v>341.64</v>
      </c>
      <c r="AL5" s="751">
        <f>ROUND(SUMIFS(Cantidades[52531],Cantidades[cod Idu],'CantidadesConsolidadas'!$A5),2)</f>
        <v>0</v>
      </c>
      <c r="AM5" s="500">
        <f>ROUND(SUMIFS(Cantidades[52456],Cantidades[cod Idu],'CantidadesConsolidadas'!$A5),2)</f>
        <v>0</v>
      </c>
      <c r="AN5" s="500">
        <f>ROUND(SUMIFS(Cantidades[92058103],Cantidades[cod Idu],'CantidadesConsolidadas'!$A5),2)</f>
        <v>0</v>
      </c>
      <c r="AO5" s="500">
        <f>ROUND(SUMIFS(Cantidades[20011114],Cantidades[cod Idu],'CantidadesConsolidadas'!$A5),2)</f>
        <v>0</v>
      </c>
      <c r="AP5" s="500">
        <f>ROUND(SUMIFS(Cantidades[20013540],Cantidades[cod Idu],'CantidadesConsolidadas'!$A5),2)</f>
        <v>0</v>
      </c>
      <c r="AQ5" s="500">
        <f>ROUND(SUMIFS(Cantidades[55337],Cantidades[cod Idu],'CantidadesConsolidadas'!$A5),2)</f>
        <v>0</v>
      </c>
      <c r="AR5" s="500">
        <f>ROUND(SUMIFS(Cantidades[92087422],Cantidades[cod Idu],'CantidadesConsolidadas'!$A5),2)</f>
        <v>0</v>
      </c>
      <c r="AS5" s="500">
        <f>ROUND(SUMIFS(Cantidades[55259],Cantidades[cod Idu],'CantidadesConsolidadas'!$A5),2)</f>
        <v>0</v>
      </c>
      <c r="AT5" s="500">
        <f>ROUND(SUMIFS(Cantidades[466904],Cantidades[cod Idu],'CantidadesConsolidadas'!$A5),2)</f>
        <v>0</v>
      </c>
      <c r="AU5" s="500">
        <f>ROUND(SUMIFS(Cantidades[48591],Cantidades[cod Idu],'CantidadesConsolidadas'!$A5),2)</f>
        <v>0</v>
      </c>
      <c r="AV5" s="500">
        <f>ROUND(SUMIFS(Cantidades[48590],Cantidades[cod Idu],'CantidadesConsolidadas'!$A5),2)</f>
        <v>0</v>
      </c>
      <c r="AW5" s="500">
        <f>ROUND(SUMIFS(Cantidades[48561],Cantidades[cod Idu],'CantidadesConsolidadas'!$A5),2)</f>
        <v>0</v>
      </c>
      <c r="AX5" s="805">
        <f>ROUND(SUMIFS(Cantidades[48560],Cantidades[cod Idu],'CantidadesConsolidadas'!$A5),2)</f>
        <v>0</v>
      </c>
      <c r="AY5" s="805">
        <f>ROUND(SUMIFS(Cantidades[48657],Cantidades[cod Idu],'CantidadesConsolidadas'!$A5),2)</f>
        <v>0</v>
      </c>
      <c r="AZ5" s="752">
        <f>ROUND(SUMIFS(Cantidades[48655],Cantidades[cod Idu],'CantidadesConsolidadas'!$A5),2)</f>
        <v>0</v>
      </c>
      <c r="BA5" s="758">
        <f>SUBTOTAL(9,CantidadesConsolidadas[[#This Row],[91013913]:[48655]])</f>
        <v>9954.6</v>
      </c>
      <c r="BB5" s="638">
        <f>ROUND(CantidadesConsolidadas[[#This Row],[Total]]*CantidadesConsolidadas[[#This Row],[VU]],0)</f>
        <v>59707691</v>
      </c>
    </row>
    <row r="6" spans="1:54" ht="43.8" thickBot="1" x14ac:dyDescent="0.35">
      <c r="A6">
        <v>3017</v>
      </c>
      <c r="B6" s="606" t="str">
        <f>+_xlfn.XLOOKUP(CantidadesConsolidadas[[#This Row],[cod Idu]],APU_IDU[Código],APU_IDU[Nombre],"",0)</f>
        <v>TRANSPORTE Y DISPOSICIÓN FINAL DE ESCOMBROS EN SITIO AUTORIZADO (DISTANCIA DE TRANSPORTE 21 KM). A DISTANCIA MAYOR DEL ACARREO LIBRE (90 M) EN SITIO AUTORIZADO POR LA ENTIDAD AMBIENTAL COMPETENTE.</v>
      </c>
      <c r="C6" s="609" t="str">
        <f>+_xlfn.XLOOKUP(CantidadesConsolidadas[[#This Row],[cod Idu]],APU_IDU[Código],APU_IDU[UM],"",0)</f>
        <v>M3</v>
      </c>
      <c r="D6" s="743">
        <f>+_xlfn.XLOOKUP(CantidadesConsolidadas[[#This Row],[cod Idu]],APU_IDU[Código],APU_IDU[Valor],"",0)</f>
        <v>45734</v>
      </c>
      <c r="E6" s="497">
        <f>ROUND(SUMIFS(Cantidades[91013913],Cantidades[cod Idu],'CantidadesConsolidadas'!$A6),2)</f>
        <v>1839.01</v>
      </c>
      <c r="F6" s="497">
        <f>ROUND(SUMIFS(Cantidades[472330],Cantidades[cod Idu],'CantidadesConsolidadas'!$A6),2)</f>
        <v>852.4</v>
      </c>
      <c r="G6" s="497">
        <f>ROUND(SUMIFS(Cantidades[167810],Cantidades[cod Idu],'CantidadesConsolidadas'!$A6),2)</f>
        <v>919.13</v>
      </c>
      <c r="H6" s="497">
        <f>ROUND(SUMIFS(Cantidades[166646],Cantidades[cod Idu],'CantidadesConsolidadas'!$A6),2)</f>
        <v>640.52</v>
      </c>
      <c r="I6" s="497">
        <f>ROUND(SUMIFS(Cantidades[167491],Cantidades[cod Idu],'CantidadesConsolidadas'!$A6),2)</f>
        <v>601.58000000000004</v>
      </c>
      <c r="J6" s="497">
        <f>ROUND(SUMIFS(Cantidades[167266],Cantidades[cod Idu],'CantidadesConsolidadas'!$A6),2)</f>
        <v>664.18</v>
      </c>
      <c r="K6" s="497">
        <f>ROUND(SUMIFS(Cantidades[170896],Cantidades[cod Idu],'CantidadesConsolidadas'!$A6),2)</f>
        <v>112.71</v>
      </c>
      <c r="L6" s="497">
        <f>ROUND(SUMIFS(Cantidades[170897],Cantidades[cod Idu],'CantidadesConsolidadas'!$A6),2)</f>
        <v>162.24</v>
      </c>
      <c r="M6" s="497">
        <f>ROUND(SUMIFS(Cantidades[170898],Cantidades[cod Idu],'CantidadesConsolidadas'!$A6),2)</f>
        <v>48.63</v>
      </c>
      <c r="N6" s="497">
        <f>ROUND(SUMIFS(Cantidades[91064150],Cantidades[cod Idu],'CantidadesConsolidadas'!$A6),2)</f>
        <v>187.07</v>
      </c>
      <c r="O6" s="497">
        <f>ROUND(SUMIFS(Cantidades[168919],Cantidades[cod Idu],'CantidadesConsolidadas'!$A6),2)</f>
        <v>613.96</v>
      </c>
      <c r="P6" s="497">
        <f>ROUND(SUMIFS(Cantidades[168426],Cantidades[cod Idu],'CantidadesConsolidadas'!$A6),2)</f>
        <v>560.74</v>
      </c>
      <c r="Q6" s="497">
        <f>ROUND(SUMIFS(Cantidades[91020796],Cantidades[cod Idu],'CantidadesConsolidadas'!$A6),2)</f>
        <v>138.54</v>
      </c>
      <c r="R6" s="497">
        <f>ROUND(SUMIFS(Cantidades[176184],Cantidades[cod Idu],'CantidadesConsolidadas'!$A6),2)</f>
        <v>288.24</v>
      </c>
      <c r="S6" s="497">
        <f>ROUND(SUMIFS(Cantidades[167636],Cantidades[cod Idu],'CantidadesConsolidadas'!$A6),2)</f>
        <v>707.75</v>
      </c>
      <c r="T6" s="497">
        <f>ROUND(SUMIFS(Cantidades[176730],Cantidades[cod Idu],'CantidadesConsolidadas'!$A6),2)</f>
        <v>204.35</v>
      </c>
      <c r="U6" s="497">
        <f>ROUND(SUMIFS(Cantidades[173038],Cantidades[cod Idu],'CantidadesConsolidadas'!$A6),2)</f>
        <v>633.16999999999996</v>
      </c>
      <c r="V6" s="497">
        <f>ROUND(SUMIFS(Cantidades[170222],Cantidades[cod Idu],'CantidadesConsolidadas'!$A6),2)</f>
        <v>879.66</v>
      </c>
      <c r="W6" s="497">
        <f>ROUND(SUMIFS(Cantidades[170229],Cantidades[cod Idu],'CantidadesConsolidadas'!$A6),2)</f>
        <v>74.02</v>
      </c>
      <c r="X6" s="497">
        <f>ROUND(SUMIFS(Cantidades[170227],Cantidades[cod Idu],'CantidadesConsolidadas'!$A6),2)</f>
        <v>243.17</v>
      </c>
      <c r="Y6" s="497">
        <f>ROUND(SUMIFS(Cantidades[170226],Cantidades[cod Idu],'CantidadesConsolidadas'!$A6),2)</f>
        <v>100.37</v>
      </c>
      <c r="Z6" s="497">
        <f>ROUND(SUMIFS(Cantidades[171567],Cantidades[cod Idu],'CantidadesConsolidadas'!$A6),2)</f>
        <v>647.05999999999995</v>
      </c>
      <c r="AA6" s="497">
        <f>ROUND(SUMIFS(Cantidades[166632],Cantidades[cod Idu],'CantidadesConsolidadas'!$A6),2)</f>
        <v>419.57</v>
      </c>
      <c r="AB6" s="497">
        <f>ROUND(SUMIFS(Cantidades[170228],Cantidades[cod Idu],'CantidadesConsolidadas'!$A6),2)</f>
        <v>263.02999999999997</v>
      </c>
      <c r="AC6" s="497">
        <f>ROUND(SUMIFS(Cantidades[172926],Cantidades[cod Idu],'CantidadesConsolidadas'!$A6),2)</f>
        <v>184.24</v>
      </c>
      <c r="AD6" s="497">
        <f>ROUND(SUMIFS(Cantidades[171152],Cantidades[cod Idu],'CantidadesConsolidadas'!$A6),2)</f>
        <v>1096.0999999999999</v>
      </c>
      <c r="AE6" s="497">
        <f>ROUND(SUMIFS(Cantidades[173058],Cantidades[cod Idu],'CantidadesConsolidadas'!$A6),2)</f>
        <v>191.75</v>
      </c>
      <c r="AF6" s="726">
        <f>ROUND(SUMIFS(Cantidades[174478],Cantidades[cod Idu],'CantidadesConsolidadas'!$A6),2)</f>
        <v>1141.3599999999999</v>
      </c>
      <c r="AG6" s="726">
        <f>ROUND(SUMIFS(Cantidades[91010089],Cantidades[cod Idu],'CantidadesConsolidadas'!$A6),2)</f>
        <v>367.07</v>
      </c>
      <c r="AH6" s="726">
        <f>ROUND(SUMIFS(Cantidades[176122],Cantidades[cod Idu],'CantidadesConsolidadas'!$A6),2)</f>
        <v>857.04</v>
      </c>
      <c r="AI6" s="726">
        <f>ROUND(SUMIFS(Cantidades[168536],Cantidades[cod Idu],'CantidadesConsolidadas'!$A6),2)</f>
        <v>748.58</v>
      </c>
      <c r="AJ6" s="497">
        <f>ROUND(SUMIFS(Cantidades[166934],Cantidades[cod Idu],'CantidadesConsolidadas'!$A6),2)</f>
        <v>1227.75</v>
      </c>
      <c r="AK6" s="497">
        <f>ROUND(SUMIFS(Cantidades[174353],Cantidades[cod Idu],'CantidadesConsolidadas'!$A6),2)</f>
        <v>714.36</v>
      </c>
      <c r="AL6" s="751">
        <f>ROUND(SUMIFS(Cantidades[52531],Cantidades[cod Idu],'CantidadesConsolidadas'!$A6),2)</f>
        <v>109.44</v>
      </c>
      <c r="AM6" s="500">
        <f>ROUND(SUMIFS(Cantidades[52456],Cantidades[cod Idu],'CantidadesConsolidadas'!$A6),2)</f>
        <v>86.62</v>
      </c>
      <c r="AN6" s="500">
        <f>ROUND(SUMIFS(Cantidades[92058103],Cantidades[cod Idu],'CantidadesConsolidadas'!$A6),2)</f>
        <v>57.16</v>
      </c>
      <c r="AO6" s="500">
        <f>ROUND(SUMIFS(Cantidades[20011114],Cantidades[cod Idu],'CantidadesConsolidadas'!$A6),2)</f>
        <v>214.01</v>
      </c>
      <c r="AP6" s="500">
        <f>ROUND(SUMIFS(Cantidades[20013540],Cantidades[cod Idu],'CantidadesConsolidadas'!$A6),2)</f>
        <v>94.06</v>
      </c>
      <c r="AQ6" s="500">
        <f>ROUND(SUMIFS(Cantidades[55337],Cantidades[cod Idu],'CantidadesConsolidadas'!$A6),2)</f>
        <v>250.89</v>
      </c>
      <c r="AR6" s="500">
        <f>ROUND(SUMIFS(Cantidades[92087422],Cantidades[cod Idu],'CantidadesConsolidadas'!$A6),2)</f>
        <v>407.25</v>
      </c>
      <c r="AS6" s="500">
        <f>ROUND(SUMIFS(Cantidades[55259],Cantidades[cod Idu],'CantidadesConsolidadas'!$A6),2)</f>
        <v>510.04</v>
      </c>
      <c r="AT6" s="500">
        <f>ROUND(SUMIFS(Cantidades[466904],Cantidades[cod Idu],'CantidadesConsolidadas'!$A6),2)</f>
        <v>30.81</v>
      </c>
      <c r="AU6" s="500">
        <f>ROUND(SUMIFS(Cantidades[48591],Cantidades[cod Idu],'CantidadesConsolidadas'!$A6),2)</f>
        <v>673.06</v>
      </c>
      <c r="AV6" s="500">
        <f>ROUND(SUMIFS(Cantidades[48590],Cantidades[cod Idu],'CantidadesConsolidadas'!$A6),2)</f>
        <v>688.12</v>
      </c>
      <c r="AW6" s="500">
        <f>ROUND(SUMIFS(Cantidades[48561],Cantidades[cod Idu],'CantidadesConsolidadas'!$A6),2)</f>
        <v>706.13</v>
      </c>
      <c r="AX6" s="805">
        <f>ROUND(SUMIFS(Cantidades[48560],Cantidades[cod Idu],'CantidadesConsolidadas'!$A6),2)</f>
        <v>711.7</v>
      </c>
      <c r="AY6" s="805">
        <f>ROUND(SUMIFS(Cantidades[48657],Cantidades[cod Idu],'CantidadesConsolidadas'!$A6),2)</f>
        <v>294.81</v>
      </c>
      <c r="AZ6" s="752">
        <f>ROUND(SUMIFS(Cantidades[48655],Cantidades[cod Idu],'CantidadesConsolidadas'!$A6),2)</f>
        <v>120.96</v>
      </c>
      <c r="BA6" s="758">
        <f>SUBTOTAL(9,CantidadesConsolidadas[[#This Row],[91013913]:[48655]])</f>
        <v>23284.410000000003</v>
      </c>
      <c r="BB6" s="638">
        <f>ROUND(CantidadesConsolidadas[[#This Row],[Total]]*CantidadesConsolidadas[[#This Row],[VU]],0)</f>
        <v>1064889207</v>
      </c>
    </row>
    <row r="7" spans="1:54" ht="29.4" thickBot="1" x14ac:dyDescent="0.35">
      <c r="A7">
        <v>4015</v>
      </c>
      <c r="B7" s="606" t="str">
        <f>+_xlfn.XLOOKUP(CantidadesConsolidadas[[#This Row],[cod Idu]],APU_IDU[Código],APU_IDU[Nombre],"",0)</f>
        <v>GEOTEXTIL NO TEJIDO CON RESISTENCIA A LA TENSION GRAB: ENTRE 850 N Y 980 N. PARA SEPARACION SUBRASANTE/CAPAS GRANULARES. (INCLUYE SUMINISTRO E INSTALACION).</v>
      </c>
      <c r="C7" s="609" t="str">
        <f>+_xlfn.XLOOKUP(CantidadesConsolidadas[[#This Row],[cod Idu]],APU_IDU[Código],APU_IDU[UM],"",0)</f>
        <v>M2</v>
      </c>
      <c r="D7" s="743">
        <f>+_xlfn.XLOOKUP(CantidadesConsolidadas[[#This Row],[cod Idu]],APU_IDU[Código],APU_IDU[Valor],"",0)</f>
        <v>22923</v>
      </c>
      <c r="E7" s="497">
        <f>ROUND(SUMIFS(Cantidades[91013913],Cantidades[cod Idu],'CantidadesConsolidadas'!$A7),2)</f>
        <v>1489.08</v>
      </c>
      <c r="F7" s="497">
        <f>ROUND(SUMIFS(Cantidades[472330],Cantidades[cod Idu],'CantidadesConsolidadas'!$A7),2)</f>
        <v>726</v>
      </c>
      <c r="G7" s="497">
        <f>ROUND(SUMIFS(Cantidades[167810],Cantidades[cod Idu],'CantidadesConsolidadas'!$A7),2)</f>
        <v>781.12</v>
      </c>
      <c r="H7" s="497">
        <f>ROUND(SUMIFS(Cantidades[166646],Cantidades[cod Idu],'CantidadesConsolidadas'!$A7),2)</f>
        <v>474.81</v>
      </c>
      <c r="I7" s="497">
        <f>ROUND(SUMIFS(Cantidades[167491],Cantidades[cod Idu],'CantidadesConsolidadas'!$A7),2)</f>
        <v>442.11</v>
      </c>
      <c r="J7" s="497">
        <f>ROUND(SUMIFS(Cantidades[167266],Cantidades[cod Idu],'CantidadesConsolidadas'!$A7),2)</f>
        <v>567.01</v>
      </c>
      <c r="K7" s="497">
        <f>ROUND(SUMIFS(Cantidades[170896],Cantidades[cod Idu],'CantidadesConsolidadas'!$A7),2)</f>
        <v>112.52</v>
      </c>
      <c r="L7" s="497">
        <f>ROUND(SUMIFS(Cantidades[170897],Cantidades[cod Idu],'CantidadesConsolidadas'!$A7),2)</f>
        <v>125.44</v>
      </c>
      <c r="M7" s="497">
        <f>ROUND(SUMIFS(Cantidades[170898],Cantidades[cod Idu],'CantidadesConsolidadas'!$A7),2)</f>
        <v>49.89</v>
      </c>
      <c r="N7" s="497">
        <f>ROUND(SUMIFS(Cantidades[91064150],Cantidades[cod Idu],'CantidadesConsolidadas'!$A7),2)</f>
        <v>148.31</v>
      </c>
      <c r="O7" s="497">
        <f>ROUND(SUMIFS(Cantidades[168919],Cantidades[cod Idu],'CantidadesConsolidadas'!$A7),2)</f>
        <v>484.43</v>
      </c>
      <c r="P7" s="497">
        <f>ROUND(SUMIFS(Cantidades[168426],Cantidades[cod Idu],'CantidadesConsolidadas'!$A7),2)</f>
        <v>426.72</v>
      </c>
      <c r="Q7" s="497">
        <f>ROUND(SUMIFS(Cantidades[91020796],Cantidades[cod Idu],'CantidadesConsolidadas'!$A7),2)</f>
        <v>116.78</v>
      </c>
      <c r="R7" s="497">
        <f>ROUND(SUMIFS(Cantidades[176184],Cantidades[cod Idu],'CantidadesConsolidadas'!$A7),2)</f>
        <v>237.65</v>
      </c>
      <c r="S7" s="497">
        <f>ROUND(SUMIFS(Cantidades[167636],Cantidades[cod Idu],'CantidadesConsolidadas'!$A7),2)</f>
        <v>533.41</v>
      </c>
      <c r="T7" s="497">
        <f>ROUND(SUMIFS(Cantidades[176730],Cantidades[cod Idu],'CantidadesConsolidadas'!$A7),2)</f>
        <v>144.71</v>
      </c>
      <c r="U7" s="497">
        <f>ROUND(SUMIFS(Cantidades[173038],Cantidades[cod Idu],'CantidadesConsolidadas'!$A7),2)</f>
        <v>495.42</v>
      </c>
      <c r="V7" s="497">
        <f>ROUND(SUMIFS(Cantidades[170222],Cantidades[cod Idu],'CantidadesConsolidadas'!$A7),2)</f>
        <v>845.83</v>
      </c>
      <c r="W7" s="497">
        <f>ROUND(SUMIFS(Cantidades[170229],Cantidades[cod Idu],'CantidadesConsolidadas'!$A7),2)</f>
        <v>75.92</v>
      </c>
      <c r="X7" s="497">
        <f>ROUND(SUMIFS(Cantidades[170227],Cantidades[cod Idu],'CantidadesConsolidadas'!$A7),2)</f>
        <v>187.93</v>
      </c>
      <c r="Y7" s="497">
        <f>ROUND(SUMIFS(Cantidades[170226],Cantidades[cod Idu],'CantidadesConsolidadas'!$A7),2)</f>
        <v>102.95</v>
      </c>
      <c r="Z7" s="497">
        <f>ROUND(SUMIFS(Cantidades[171567],Cantidades[cod Idu],'CantidadesConsolidadas'!$A7),2)</f>
        <v>523.46</v>
      </c>
      <c r="AA7" s="497">
        <f>ROUND(SUMIFS(Cantidades[166632],Cantidades[cod Idu],'CantidadesConsolidadas'!$A7),2)</f>
        <v>327.35000000000002</v>
      </c>
      <c r="AB7" s="497">
        <f>ROUND(SUMIFS(Cantidades[170228],Cantidades[cod Idu],'CantidadesConsolidadas'!$A7),2)</f>
        <v>205.14</v>
      </c>
      <c r="AC7" s="497">
        <f>ROUND(SUMIFS(Cantidades[172926],Cantidades[cod Idu],'CantidadesConsolidadas'!$A7),2)</f>
        <v>144.43</v>
      </c>
      <c r="AD7" s="497">
        <f>ROUND(SUMIFS(Cantidades[171152],Cantidades[cod Idu],'CantidadesConsolidadas'!$A7),2)</f>
        <v>751.07</v>
      </c>
      <c r="AE7" s="497">
        <f>ROUND(SUMIFS(Cantidades[173058],Cantidades[cod Idu],'CantidadesConsolidadas'!$A7),2)</f>
        <v>196.67</v>
      </c>
      <c r="AF7" s="726">
        <f>ROUND(SUMIFS(Cantidades[174478],Cantidades[cod Idu],'CantidadesConsolidadas'!$A7),2)</f>
        <v>924.18</v>
      </c>
      <c r="AG7" s="726">
        <f>ROUND(SUMIFS(Cantidades[91010089],Cantidades[cod Idu],'CantidadesConsolidadas'!$A7),2)</f>
        <v>297.23</v>
      </c>
      <c r="AH7" s="726">
        <f>ROUND(SUMIFS(Cantidades[176122],Cantidades[cod Idu],'CantidadesConsolidadas'!$A7),2)</f>
        <v>693.96</v>
      </c>
      <c r="AI7" s="726">
        <f>ROUND(SUMIFS(Cantidades[168536],Cantidades[cod Idu],'CantidadesConsolidadas'!$A7),2)</f>
        <v>606.14</v>
      </c>
      <c r="AJ7" s="497">
        <f>ROUND(SUMIFS(Cantidades[166934],Cantidades[cod Idu],'CantidadesConsolidadas'!$A7),2)</f>
        <v>939.11</v>
      </c>
      <c r="AK7" s="497">
        <f>ROUND(SUMIFS(Cantidades[174353],Cantidades[cod Idu],'CantidadesConsolidadas'!$A7),2)</f>
        <v>525.6</v>
      </c>
      <c r="AL7" s="751">
        <f>ROUND(SUMIFS(Cantidades[52531],Cantidades[cod Idu],'CantidadesConsolidadas'!$A7),2)</f>
        <v>0</v>
      </c>
      <c r="AM7" s="500">
        <f>ROUND(SUMIFS(Cantidades[52456],Cantidades[cod Idu],'CantidadesConsolidadas'!$A7),2)</f>
        <v>0</v>
      </c>
      <c r="AN7" s="500">
        <f>ROUND(SUMIFS(Cantidades[92058103],Cantidades[cod Idu],'CantidadesConsolidadas'!$A7),2)</f>
        <v>0</v>
      </c>
      <c r="AO7" s="500">
        <f>ROUND(SUMIFS(Cantidades[20011114],Cantidades[cod Idu],'CantidadesConsolidadas'!$A7),2)</f>
        <v>0</v>
      </c>
      <c r="AP7" s="500">
        <f>ROUND(SUMIFS(Cantidades[20013540],Cantidades[cod Idu],'CantidadesConsolidadas'!$A7),2)</f>
        <v>0</v>
      </c>
      <c r="AQ7" s="500">
        <f>ROUND(SUMIFS(Cantidades[55337],Cantidades[cod Idu],'CantidadesConsolidadas'!$A7),2)</f>
        <v>0</v>
      </c>
      <c r="AR7" s="500">
        <f>ROUND(SUMIFS(Cantidades[92087422],Cantidades[cod Idu],'CantidadesConsolidadas'!$A7),2)</f>
        <v>0</v>
      </c>
      <c r="AS7" s="500">
        <f>ROUND(SUMIFS(Cantidades[55259],Cantidades[cod Idu],'CantidadesConsolidadas'!$A7),2)</f>
        <v>0</v>
      </c>
      <c r="AT7" s="500">
        <f>ROUND(SUMIFS(Cantidades[466904],Cantidades[cod Idu],'CantidadesConsolidadas'!$A7),2)</f>
        <v>0</v>
      </c>
      <c r="AU7" s="500">
        <f>ROUND(SUMIFS(Cantidades[48591],Cantidades[cod Idu],'CantidadesConsolidadas'!$A7),2)</f>
        <v>0</v>
      </c>
      <c r="AV7" s="500">
        <f>ROUND(SUMIFS(Cantidades[48590],Cantidades[cod Idu],'CantidadesConsolidadas'!$A7),2)</f>
        <v>0</v>
      </c>
      <c r="AW7" s="500">
        <f>ROUND(SUMIFS(Cantidades[48561],Cantidades[cod Idu],'CantidadesConsolidadas'!$A7),2)</f>
        <v>0</v>
      </c>
      <c r="AX7" s="805">
        <f>ROUND(SUMIFS(Cantidades[48560],Cantidades[cod Idu],'CantidadesConsolidadas'!$A7),2)</f>
        <v>0</v>
      </c>
      <c r="AY7" s="805">
        <f>ROUND(SUMIFS(Cantidades[48657],Cantidades[cod Idu],'CantidadesConsolidadas'!$A7),2)</f>
        <v>0</v>
      </c>
      <c r="AZ7" s="752">
        <f>ROUND(SUMIFS(Cantidades[48655],Cantidades[cod Idu],'CantidadesConsolidadas'!$A7),2)</f>
        <v>0</v>
      </c>
      <c r="BA7" s="758">
        <f>SUBTOTAL(9,CantidadesConsolidadas[[#This Row],[91013913]:[48655]])</f>
        <v>14702.380000000003</v>
      </c>
      <c r="BB7" s="638">
        <f>ROUND(CantidadesConsolidadas[[#This Row],[Total]]*CantidadesConsolidadas[[#This Row],[VU]],0)</f>
        <v>337022657</v>
      </c>
    </row>
    <row r="8" spans="1:54" ht="29.4" thickBot="1" x14ac:dyDescent="0.35">
      <c r="A8">
        <v>6053</v>
      </c>
      <c r="B8" s="606" t="str">
        <f>+_xlfn.XLOOKUP(CantidadesConsolidadas[[#This Row],[cod Idu]],APU_IDU[Código],APU_IDU[Nombre],"",0)</f>
        <v>CAPA DE SUELO DE SUBRASANTE ESTABILIZADA CON CAL HIDRATADA TIPO N, IN SITU AL 4%. (SUMINISTRO, EXTENDIDO, NIVELACION, HUMEDECIMIENTO Y COMPACTACION).</v>
      </c>
      <c r="C8" s="609" t="str">
        <f>+_xlfn.XLOOKUP(CantidadesConsolidadas[[#This Row],[cod Idu]],APU_IDU[Código],APU_IDU[UM],"",0)</f>
        <v>M3</v>
      </c>
      <c r="D8" s="743">
        <f>+_xlfn.XLOOKUP(CantidadesConsolidadas[[#This Row],[cod Idu]],APU_IDU[Código],APU_IDU[Valor],"",0)</f>
        <v>128511</v>
      </c>
      <c r="E8" s="497">
        <f>ROUND(SUMIFS(Cantidades[91013913],Cantidades[cod Idu],'CantidadesConsolidadas'!$A8),2)</f>
        <v>297.82</v>
      </c>
      <c r="F8" s="497">
        <f>ROUND(SUMIFS(Cantidades[472330],Cantidades[cod Idu],'CantidadesConsolidadas'!$A8),2)</f>
        <v>0</v>
      </c>
      <c r="G8" s="497">
        <f>ROUND(SUMIFS(Cantidades[167810],Cantidades[cod Idu],'CantidadesConsolidadas'!$A8),2)</f>
        <v>0</v>
      </c>
      <c r="H8" s="497">
        <f>ROUND(SUMIFS(Cantidades[166646],Cantidades[cod Idu],'CantidadesConsolidadas'!$A8),2)</f>
        <v>33.24</v>
      </c>
      <c r="I8" s="497">
        <f>ROUND(SUMIFS(Cantidades[167491],Cantidades[cod Idu],'CantidadesConsolidadas'!$A8),2)</f>
        <v>30.95</v>
      </c>
      <c r="J8" s="497">
        <f>ROUND(SUMIFS(Cantidades[167266],Cantidades[cod Idu],'CantidadesConsolidadas'!$A8),2)</f>
        <v>0</v>
      </c>
      <c r="K8" s="497">
        <f>ROUND(SUMIFS(Cantidades[170896],Cantidades[cod Idu],'CantidadesConsolidadas'!$A8),2)</f>
        <v>7.88</v>
      </c>
      <c r="L8" s="497">
        <f>ROUND(SUMIFS(Cantidades[170897],Cantidades[cod Idu],'CantidadesConsolidadas'!$A8),2)</f>
        <v>8.7799999999999994</v>
      </c>
      <c r="M8" s="497">
        <f>ROUND(SUMIFS(Cantidades[170898],Cantidades[cod Idu],'CantidadesConsolidadas'!$A8),2)</f>
        <v>0</v>
      </c>
      <c r="N8" s="497">
        <f>ROUND(SUMIFS(Cantidades[91064150],Cantidades[cod Idu],'CantidadesConsolidadas'!$A8),2)</f>
        <v>10.38</v>
      </c>
      <c r="O8" s="497">
        <f>ROUND(SUMIFS(Cantidades[168919],Cantidades[cod Idu],'CantidadesConsolidadas'!$A8),2)</f>
        <v>33.909999999999997</v>
      </c>
      <c r="P8" s="497">
        <f>ROUND(SUMIFS(Cantidades[168426],Cantidades[cod Idu],'CantidadesConsolidadas'!$A8),2)</f>
        <v>29.87</v>
      </c>
      <c r="Q8" s="497">
        <f>ROUND(SUMIFS(Cantidades[91020796],Cantidades[cod Idu],'CantidadesConsolidadas'!$A8),2)</f>
        <v>8.17</v>
      </c>
      <c r="R8" s="497">
        <f>ROUND(SUMIFS(Cantidades[176184],Cantidades[cod Idu],'CantidadesConsolidadas'!$A8),2)</f>
        <v>16.64</v>
      </c>
      <c r="S8" s="497">
        <f>ROUND(SUMIFS(Cantidades[167636],Cantidades[cod Idu],'CantidadesConsolidadas'!$A8),2)</f>
        <v>37.340000000000003</v>
      </c>
      <c r="T8" s="497">
        <f>ROUND(SUMIFS(Cantidades[176730],Cantidades[cod Idu],'CantidadesConsolidadas'!$A8),2)</f>
        <v>10.130000000000001</v>
      </c>
      <c r="U8" s="497">
        <f>ROUND(SUMIFS(Cantidades[173038],Cantidades[cod Idu],'CantidadesConsolidadas'!$A8),2)</f>
        <v>34.68</v>
      </c>
      <c r="V8" s="497">
        <f>ROUND(SUMIFS(Cantidades[170222],Cantidades[cod Idu],'CantidadesConsolidadas'!$A8),2)</f>
        <v>59.21</v>
      </c>
      <c r="W8" s="497">
        <f>ROUND(SUMIFS(Cantidades[170229],Cantidades[cod Idu],'CantidadesConsolidadas'!$A8),2)</f>
        <v>0</v>
      </c>
      <c r="X8" s="497">
        <f>ROUND(SUMIFS(Cantidades[170227],Cantidades[cod Idu],'CantidadesConsolidadas'!$A8),2)</f>
        <v>13.16</v>
      </c>
      <c r="Y8" s="497">
        <f>ROUND(SUMIFS(Cantidades[170226],Cantidades[cod Idu],'CantidadesConsolidadas'!$A8),2)</f>
        <v>7.21</v>
      </c>
      <c r="Z8" s="497">
        <f>ROUND(SUMIFS(Cantidades[171567],Cantidades[cod Idu],'CantidadesConsolidadas'!$A8),2)</f>
        <v>0</v>
      </c>
      <c r="AA8" s="497">
        <f>ROUND(SUMIFS(Cantidades[166632],Cantidades[cod Idu],'CantidadesConsolidadas'!$A8),2)</f>
        <v>22.91</v>
      </c>
      <c r="AB8" s="497">
        <f>ROUND(SUMIFS(Cantidades[170228],Cantidades[cod Idu],'CantidadesConsolidadas'!$A8),2)</f>
        <v>14.36</v>
      </c>
      <c r="AC8" s="497">
        <f>ROUND(SUMIFS(Cantidades[172926],Cantidades[cod Idu],'CantidadesConsolidadas'!$A8),2)</f>
        <v>10.11</v>
      </c>
      <c r="AD8" s="497">
        <f>ROUND(SUMIFS(Cantidades[171152],Cantidades[cod Idu],'CantidadesConsolidadas'!$A8),2)</f>
        <v>105.15</v>
      </c>
      <c r="AE8" s="497">
        <f>ROUND(SUMIFS(Cantidades[173058],Cantidades[cod Idu],'CantidadesConsolidadas'!$A8),2)</f>
        <v>13.77</v>
      </c>
      <c r="AF8" s="726">
        <f>ROUND(SUMIFS(Cantidades[174478],Cantidades[cod Idu],'CantidadesConsolidadas'!$A8),2)</f>
        <v>129.38999999999999</v>
      </c>
      <c r="AG8" s="726">
        <f>ROUND(SUMIFS(Cantidades[91010089],Cantidades[cod Idu],'CantidadesConsolidadas'!$A8),2)</f>
        <v>41.61</v>
      </c>
      <c r="AH8" s="726">
        <f>ROUND(SUMIFS(Cantidades[176122],Cantidades[cod Idu],'CantidadesConsolidadas'!$A8),2)</f>
        <v>97.15</v>
      </c>
      <c r="AI8" s="726">
        <f>ROUND(SUMIFS(Cantidades[168536],Cantidades[cod Idu],'CantidadesConsolidadas'!$A8),2)</f>
        <v>84.86</v>
      </c>
      <c r="AJ8" s="497">
        <f>ROUND(SUMIFS(Cantidades[166934],Cantidades[cod Idu],'CantidadesConsolidadas'!$A8),2)</f>
        <v>65.739999999999995</v>
      </c>
      <c r="AK8" s="497">
        <f>ROUND(SUMIFS(Cantidades[174353],Cantidades[cod Idu],'CantidadesConsolidadas'!$A8),2)</f>
        <v>36.79</v>
      </c>
      <c r="AL8" s="751">
        <f>ROUND(SUMIFS(Cantidades[52531],Cantidades[cod Idu],'CantidadesConsolidadas'!$A8),2)</f>
        <v>0</v>
      </c>
      <c r="AM8" s="500">
        <f>ROUND(SUMIFS(Cantidades[52456],Cantidades[cod Idu],'CantidadesConsolidadas'!$A8),2)</f>
        <v>0</v>
      </c>
      <c r="AN8" s="500">
        <f>ROUND(SUMIFS(Cantidades[92058103],Cantidades[cod Idu],'CantidadesConsolidadas'!$A8),2)</f>
        <v>0</v>
      </c>
      <c r="AO8" s="500">
        <f>ROUND(SUMIFS(Cantidades[20011114],Cantidades[cod Idu],'CantidadesConsolidadas'!$A8),2)</f>
        <v>0</v>
      </c>
      <c r="AP8" s="500">
        <f>ROUND(SUMIFS(Cantidades[20013540],Cantidades[cod Idu],'CantidadesConsolidadas'!$A8),2)</f>
        <v>0</v>
      </c>
      <c r="AQ8" s="500">
        <f>ROUND(SUMIFS(Cantidades[55337],Cantidades[cod Idu],'CantidadesConsolidadas'!$A8),2)</f>
        <v>0</v>
      </c>
      <c r="AR8" s="500">
        <f>ROUND(SUMIFS(Cantidades[92087422],Cantidades[cod Idu],'CantidadesConsolidadas'!$A8),2)</f>
        <v>0</v>
      </c>
      <c r="AS8" s="500">
        <f>ROUND(SUMIFS(Cantidades[55259],Cantidades[cod Idu],'CantidadesConsolidadas'!$A8),2)</f>
        <v>0</v>
      </c>
      <c r="AT8" s="500">
        <f>ROUND(SUMIFS(Cantidades[466904],Cantidades[cod Idu],'CantidadesConsolidadas'!$A8),2)</f>
        <v>0</v>
      </c>
      <c r="AU8" s="500">
        <f>ROUND(SUMIFS(Cantidades[48591],Cantidades[cod Idu],'CantidadesConsolidadas'!$A8),2)</f>
        <v>0</v>
      </c>
      <c r="AV8" s="500">
        <f>ROUND(SUMIFS(Cantidades[48590],Cantidades[cod Idu],'CantidadesConsolidadas'!$A8),2)</f>
        <v>0</v>
      </c>
      <c r="AW8" s="500">
        <f>ROUND(SUMIFS(Cantidades[48561],Cantidades[cod Idu],'CantidadesConsolidadas'!$A8),2)</f>
        <v>0</v>
      </c>
      <c r="AX8" s="805">
        <f>ROUND(SUMIFS(Cantidades[48560],Cantidades[cod Idu],'CantidadesConsolidadas'!$A8),2)</f>
        <v>0</v>
      </c>
      <c r="AY8" s="805">
        <f>ROUND(SUMIFS(Cantidades[48657],Cantidades[cod Idu],'CantidadesConsolidadas'!$A8),2)</f>
        <v>0</v>
      </c>
      <c r="AZ8" s="752">
        <f>ROUND(SUMIFS(Cantidades[48655],Cantidades[cod Idu],'CantidadesConsolidadas'!$A8),2)</f>
        <v>0</v>
      </c>
      <c r="BA8" s="758">
        <f>SUBTOTAL(9,CantidadesConsolidadas[[#This Row],[91013913]:[48655]])</f>
        <v>1261.2099999999998</v>
      </c>
      <c r="BB8" s="638">
        <f>ROUND(CantidadesConsolidadas[[#This Row],[Total]]*CantidadesConsolidadas[[#This Row],[VU]],0)</f>
        <v>162079358</v>
      </c>
    </row>
    <row r="9" spans="1:54" ht="43.8" thickBot="1" x14ac:dyDescent="0.35">
      <c r="A9">
        <v>6016</v>
      </c>
      <c r="B9" s="606" t="str">
        <f>+_xlfn.XLOOKUP(CantidadesConsolidadas[[#This Row],[cod Idu]],APU_IDU[Código],APU_IDU[Nombre],"",0)</f>
        <v>ESTABILIZACIÓN DE SUBRASANTE CON RAJÓN, INCLUYE EQUIPO DE COMPACTACIÓN (SUMINISTRO, EXTENDIDO, NIVELACIÓN Y COMPACTACIÓN CON EQUIPO MECÁNICO. NO INCLUYE MATERIAL DE SELLO)</v>
      </c>
      <c r="C9" s="609" t="str">
        <f>+_xlfn.XLOOKUP(CantidadesConsolidadas[[#This Row],[cod Idu]],APU_IDU[Código],APU_IDU[UM],"",0)</f>
        <v>M3</v>
      </c>
      <c r="D9" s="743">
        <f>+_xlfn.XLOOKUP(CantidadesConsolidadas[[#This Row],[cod Idu]],APU_IDU[Código],APU_IDU[Valor],"",0)</f>
        <v>148762</v>
      </c>
      <c r="E9" s="497">
        <f>ROUND(SUMIFS(Cantidades[91013913],Cantidades[cod Idu],'CantidadesConsolidadas'!$A9),2)</f>
        <v>0</v>
      </c>
      <c r="F9" s="497">
        <f>ROUND(SUMIFS(Cantidades[472330],Cantidades[cod Idu],'CantidadesConsolidadas'!$A9),2)</f>
        <v>0</v>
      </c>
      <c r="G9" s="497">
        <f>ROUND(SUMIFS(Cantidades[167810],Cantidades[cod Idu],'CantidadesConsolidadas'!$A9),2)</f>
        <v>0</v>
      </c>
      <c r="H9" s="497">
        <f>ROUND(SUMIFS(Cantidades[166646],Cantidades[cod Idu],'CantidadesConsolidadas'!$A9),2)</f>
        <v>14.24</v>
      </c>
      <c r="I9" s="497">
        <f>ROUND(SUMIFS(Cantidades[167491],Cantidades[cod Idu],'CantidadesConsolidadas'!$A9),2)</f>
        <v>13.26</v>
      </c>
      <c r="J9" s="497">
        <f>ROUND(SUMIFS(Cantidades[167266],Cantidades[cod Idu],'CantidadesConsolidadas'!$A9),2)</f>
        <v>0</v>
      </c>
      <c r="K9" s="497">
        <f>ROUND(SUMIFS(Cantidades[170896],Cantidades[cod Idu],'CantidadesConsolidadas'!$A9),2)</f>
        <v>3.38</v>
      </c>
      <c r="L9" s="497">
        <f>ROUND(SUMIFS(Cantidades[170897],Cantidades[cod Idu],'CantidadesConsolidadas'!$A9),2)</f>
        <v>3.76</v>
      </c>
      <c r="M9" s="497">
        <f>ROUND(SUMIFS(Cantidades[170898],Cantidades[cod Idu],'CantidadesConsolidadas'!$A9),2)</f>
        <v>4.99</v>
      </c>
      <c r="N9" s="497">
        <f>ROUND(SUMIFS(Cantidades[91064150],Cantidades[cod Idu],'CantidadesConsolidadas'!$A9),2)</f>
        <v>4.45</v>
      </c>
      <c r="O9" s="497">
        <f>ROUND(SUMIFS(Cantidades[168919],Cantidades[cod Idu],'CantidadesConsolidadas'!$A9),2)</f>
        <v>14.53</v>
      </c>
      <c r="P9" s="497">
        <f>ROUND(SUMIFS(Cantidades[168426],Cantidades[cod Idu],'CantidadesConsolidadas'!$A9),2)</f>
        <v>12.8</v>
      </c>
      <c r="Q9" s="497">
        <f>ROUND(SUMIFS(Cantidades[91020796],Cantidades[cod Idu],'CantidadesConsolidadas'!$A9),2)</f>
        <v>3.5</v>
      </c>
      <c r="R9" s="497">
        <f>ROUND(SUMIFS(Cantidades[176184],Cantidades[cod Idu],'CantidadesConsolidadas'!$A9),2)</f>
        <v>7.13</v>
      </c>
      <c r="S9" s="497">
        <f>ROUND(SUMIFS(Cantidades[167636],Cantidades[cod Idu],'CantidadesConsolidadas'!$A9),2)</f>
        <v>16</v>
      </c>
      <c r="T9" s="497">
        <f>ROUND(SUMIFS(Cantidades[176730],Cantidades[cod Idu],'CantidadesConsolidadas'!$A9),2)</f>
        <v>4.34</v>
      </c>
      <c r="U9" s="497">
        <f>ROUND(SUMIFS(Cantidades[173038],Cantidades[cod Idu],'CantidadesConsolidadas'!$A9),2)</f>
        <v>14.86</v>
      </c>
      <c r="V9" s="497">
        <f>ROUND(SUMIFS(Cantidades[170222],Cantidades[cod Idu],'CantidadesConsolidadas'!$A9),2)</f>
        <v>25.37</v>
      </c>
      <c r="W9" s="497">
        <f>ROUND(SUMIFS(Cantidades[170229],Cantidades[cod Idu],'CantidadesConsolidadas'!$A9),2)</f>
        <v>7.59</v>
      </c>
      <c r="X9" s="497">
        <f>ROUND(SUMIFS(Cantidades[170227],Cantidades[cod Idu],'CantidadesConsolidadas'!$A9),2)</f>
        <v>5.64</v>
      </c>
      <c r="Y9" s="497">
        <f>ROUND(SUMIFS(Cantidades[170226],Cantidades[cod Idu],'CantidadesConsolidadas'!$A9),2)</f>
        <v>3.09</v>
      </c>
      <c r="Z9" s="497">
        <f>ROUND(SUMIFS(Cantidades[171567],Cantidades[cod Idu],'CantidadesConsolidadas'!$A9),2)</f>
        <v>52.35</v>
      </c>
      <c r="AA9" s="497">
        <f>ROUND(SUMIFS(Cantidades[166632],Cantidades[cod Idu],'CantidadesConsolidadas'!$A9),2)</f>
        <v>9.82</v>
      </c>
      <c r="AB9" s="497">
        <f>ROUND(SUMIFS(Cantidades[170228],Cantidades[cod Idu],'CantidadesConsolidadas'!$A9),2)</f>
        <v>6.15</v>
      </c>
      <c r="AC9" s="497">
        <f>ROUND(SUMIFS(Cantidades[172926],Cantidades[cod Idu],'CantidadesConsolidadas'!$A9),2)</f>
        <v>4.33</v>
      </c>
      <c r="AD9" s="497">
        <f>ROUND(SUMIFS(Cantidades[171152],Cantidades[cod Idu],'CantidadesConsolidadas'!$A9),2)</f>
        <v>45.06</v>
      </c>
      <c r="AE9" s="497">
        <f>ROUND(SUMIFS(Cantidades[173058],Cantidades[cod Idu],'CantidadesConsolidadas'!$A9),2)</f>
        <v>5.9</v>
      </c>
      <c r="AF9" s="726">
        <f>ROUND(SUMIFS(Cantidades[174478],Cantidades[cod Idu],'CantidadesConsolidadas'!$A9),2)</f>
        <v>55.45</v>
      </c>
      <c r="AG9" s="726">
        <f>ROUND(SUMIFS(Cantidades[91010089],Cantidades[cod Idu],'CantidadesConsolidadas'!$A9),2)</f>
        <v>17.829999999999998</v>
      </c>
      <c r="AH9" s="726">
        <f>ROUND(SUMIFS(Cantidades[176122],Cantidades[cod Idu],'CantidadesConsolidadas'!$A9),2)</f>
        <v>41.64</v>
      </c>
      <c r="AI9" s="726">
        <f>ROUND(SUMIFS(Cantidades[168536],Cantidades[cod Idu],'CantidadesConsolidadas'!$A9),2)</f>
        <v>36.369999999999997</v>
      </c>
      <c r="AJ9" s="497">
        <f>ROUND(SUMIFS(Cantidades[166934],Cantidades[cod Idu],'CantidadesConsolidadas'!$A9),2)</f>
        <v>28.17</v>
      </c>
      <c r="AK9" s="497">
        <f>ROUND(SUMIFS(Cantidades[174353],Cantidades[cod Idu],'CantidadesConsolidadas'!$A9),2)</f>
        <v>15.77</v>
      </c>
      <c r="AL9" s="751">
        <f>ROUND(SUMIFS(Cantidades[52531],Cantidades[cod Idu],'CantidadesConsolidadas'!$A9),2)</f>
        <v>0</v>
      </c>
      <c r="AM9" s="500">
        <f>ROUND(SUMIFS(Cantidades[52456],Cantidades[cod Idu],'CantidadesConsolidadas'!$A9),2)</f>
        <v>0</v>
      </c>
      <c r="AN9" s="500">
        <f>ROUND(SUMIFS(Cantidades[92058103],Cantidades[cod Idu],'CantidadesConsolidadas'!$A9),2)</f>
        <v>0</v>
      </c>
      <c r="AO9" s="500">
        <f>ROUND(SUMIFS(Cantidades[20011114],Cantidades[cod Idu],'CantidadesConsolidadas'!$A9),2)</f>
        <v>0</v>
      </c>
      <c r="AP9" s="500">
        <f>ROUND(SUMIFS(Cantidades[20013540],Cantidades[cod Idu],'CantidadesConsolidadas'!$A9),2)</f>
        <v>0</v>
      </c>
      <c r="AQ9" s="500">
        <f>ROUND(SUMIFS(Cantidades[55337],Cantidades[cod Idu],'CantidadesConsolidadas'!$A9),2)</f>
        <v>0</v>
      </c>
      <c r="AR9" s="500">
        <f>ROUND(SUMIFS(Cantidades[92087422],Cantidades[cod Idu],'CantidadesConsolidadas'!$A9),2)</f>
        <v>0</v>
      </c>
      <c r="AS9" s="500">
        <f>ROUND(SUMIFS(Cantidades[55259],Cantidades[cod Idu],'CantidadesConsolidadas'!$A9),2)</f>
        <v>0</v>
      </c>
      <c r="AT9" s="500">
        <f>ROUND(SUMIFS(Cantidades[466904],Cantidades[cod Idu],'CantidadesConsolidadas'!$A9),2)</f>
        <v>0</v>
      </c>
      <c r="AU9" s="500">
        <f>ROUND(SUMIFS(Cantidades[48591],Cantidades[cod Idu],'CantidadesConsolidadas'!$A9),2)</f>
        <v>0</v>
      </c>
      <c r="AV9" s="500">
        <f>ROUND(SUMIFS(Cantidades[48590],Cantidades[cod Idu],'CantidadesConsolidadas'!$A9),2)</f>
        <v>0</v>
      </c>
      <c r="AW9" s="500">
        <f>ROUND(SUMIFS(Cantidades[48561],Cantidades[cod Idu],'CantidadesConsolidadas'!$A9),2)</f>
        <v>0</v>
      </c>
      <c r="AX9" s="805">
        <f>ROUND(SUMIFS(Cantidades[48560],Cantidades[cod Idu],'CantidadesConsolidadas'!$A9),2)</f>
        <v>0</v>
      </c>
      <c r="AY9" s="805">
        <f>ROUND(SUMIFS(Cantidades[48657],Cantidades[cod Idu],'CantidadesConsolidadas'!$A9),2)</f>
        <v>0</v>
      </c>
      <c r="AZ9" s="752">
        <f>ROUND(SUMIFS(Cantidades[48655],Cantidades[cod Idu],'CantidadesConsolidadas'!$A9),2)</f>
        <v>0</v>
      </c>
      <c r="BA9" s="758">
        <f>SUBTOTAL(9,CantidadesConsolidadas[[#This Row],[91013913]:[48655]])</f>
        <v>477.76999999999992</v>
      </c>
      <c r="BB9" s="638">
        <f>ROUND(CantidadesConsolidadas[[#This Row],[Total]]*CantidadesConsolidadas[[#This Row],[VU]],0)</f>
        <v>71074021</v>
      </c>
    </row>
    <row r="10" spans="1:54" ht="29.4" thickBot="1" x14ac:dyDescent="0.35">
      <c r="A10">
        <v>4142</v>
      </c>
      <c r="B10" s="606" t="str">
        <f>+_xlfn.XLOOKUP(CantidadesConsolidadas[[#This Row],[cod Idu]],APU_IDU[Código],APU_IDU[Nombre],"",0)</f>
        <v>SUBBASE GRANULAR SBG-A (SUMINISTRO, EXTENDIDO, NIVELACIÓN, HUMEDECIMIENTO Y COMPACTACIÓN CON VIBROCOMPACTADOR)</v>
      </c>
      <c r="C10" s="609" t="str">
        <f>+_xlfn.XLOOKUP(CantidadesConsolidadas[[#This Row],[cod Idu]],APU_IDU[Código],APU_IDU[UM],"",0)</f>
        <v>M3</v>
      </c>
      <c r="D10" s="743">
        <f>+_xlfn.XLOOKUP(CantidadesConsolidadas[[#This Row],[cod Idu]],APU_IDU[Código],APU_IDU[Valor],"",0)</f>
        <v>221997</v>
      </c>
      <c r="E10" s="497">
        <f>ROUND(SUMIFS(Cantidades[91013913],Cantidades[cod Idu],'CantidadesConsolidadas'!$A10),2)</f>
        <v>0</v>
      </c>
      <c r="F10" s="497">
        <f>ROUND(SUMIFS(Cantidades[472330],Cantidades[cod Idu],'CantidadesConsolidadas'!$A10),2)</f>
        <v>0</v>
      </c>
      <c r="G10" s="497">
        <f>ROUND(SUMIFS(Cantidades[167810],Cantidades[cod Idu],'CantidadesConsolidadas'!$A10),2)</f>
        <v>0</v>
      </c>
      <c r="H10" s="497">
        <f>ROUND(SUMIFS(Cantidades[166646],Cantidades[cod Idu],'CantidadesConsolidadas'!$A10),2)</f>
        <v>0</v>
      </c>
      <c r="I10" s="497">
        <f>ROUND(SUMIFS(Cantidades[167491],Cantidades[cod Idu],'CantidadesConsolidadas'!$A10),2)</f>
        <v>0</v>
      </c>
      <c r="J10" s="497">
        <f>ROUND(SUMIFS(Cantidades[167266],Cantidades[cod Idu],'CantidadesConsolidadas'!$A10),2)</f>
        <v>0</v>
      </c>
      <c r="K10" s="497">
        <f>ROUND(SUMIFS(Cantidades[170896],Cantidades[cod Idu],'CantidadesConsolidadas'!$A10),2)</f>
        <v>0</v>
      </c>
      <c r="L10" s="497">
        <f>ROUND(SUMIFS(Cantidades[170897],Cantidades[cod Idu],'CantidadesConsolidadas'!$A10),2)</f>
        <v>0</v>
      </c>
      <c r="M10" s="497">
        <f>ROUND(SUMIFS(Cantidades[170898],Cantidades[cod Idu],'CantidadesConsolidadas'!$A10),2)</f>
        <v>14.97</v>
      </c>
      <c r="N10" s="497">
        <f>ROUND(SUMIFS(Cantidades[91064150],Cantidades[cod Idu],'CantidadesConsolidadas'!$A10),2)</f>
        <v>0</v>
      </c>
      <c r="O10" s="497">
        <f>ROUND(SUMIFS(Cantidades[168919],Cantidades[cod Idu],'CantidadesConsolidadas'!$A10),2)</f>
        <v>0</v>
      </c>
      <c r="P10" s="497">
        <f>ROUND(SUMIFS(Cantidades[168426],Cantidades[cod Idu],'CantidadesConsolidadas'!$A10),2)</f>
        <v>0</v>
      </c>
      <c r="Q10" s="497">
        <f>ROUND(SUMIFS(Cantidades[91020796],Cantidades[cod Idu],'CantidadesConsolidadas'!$A10),2)</f>
        <v>0</v>
      </c>
      <c r="R10" s="497">
        <f>ROUND(SUMIFS(Cantidades[176184],Cantidades[cod Idu],'CantidadesConsolidadas'!$A10),2)</f>
        <v>0</v>
      </c>
      <c r="S10" s="497">
        <f>ROUND(SUMIFS(Cantidades[167636],Cantidades[cod Idu],'CantidadesConsolidadas'!$A10),2)</f>
        <v>0</v>
      </c>
      <c r="T10" s="497">
        <f>ROUND(SUMIFS(Cantidades[176730],Cantidades[cod Idu],'CantidadesConsolidadas'!$A10),2)</f>
        <v>0</v>
      </c>
      <c r="U10" s="497">
        <f>ROUND(SUMIFS(Cantidades[173038],Cantidades[cod Idu],'CantidadesConsolidadas'!$A10),2)</f>
        <v>0</v>
      </c>
      <c r="V10" s="497">
        <f>ROUND(SUMIFS(Cantidades[170222],Cantidades[cod Idu],'CantidadesConsolidadas'!$A10),2)</f>
        <v>0</v>
      </c>
      <c r="W10" s="497">
        <f>ROUND(SUMIFS(Cantidades[170229],Cantidades[cod Idu],'CantidadesConsolidadas'!$A10),2)</f>
        <v>22.78</v>
      </c>
      <c r="X10" s="497">
        <f>ROUND(SUMIFS(Cantidades[170227],Cantidades[cod Idu],'CantidadesConsolidadas'!$A10),2)</f>
        <v>0</v>
      </c>
      <c r="Y10" s="497">
        <f>ROUND(SUMIFS(Cantidades[170226],Cantidades[cod Idu],'CantidadesConsolidadas'!$A10),2)</f>
        <v>0</v>
      </c>
      <c r="Z10" s="497">
        <f>ROUND(SUMIFS(Cantidades[171567],Cantidades[cod Idu],'CantidadesConsolidadas'!$A10),2)</f>
        <v>0</v>
      </c>
      <c r="AA10" s="497">
        <f>ROUND(SUMIFS(Cantidades[166632],Cantidades[cod Idu],'CantidadesConsolidadas'!$A10),2)</f>
        <v>0</v>
      </c>
      <c r="AB10" s="497">
        <f>ROUND(SUMIFS(Cantidades[170228],Cantidades[cod Idu],'CantidadesConsolidadas'!$A10),2)</f>
        <v>0</v>
      </c>
      <c r="AC10" s="497">
        <f>ROUND(SUMIFS(Cantidades[172926],Cantidades[cod Idu],'CantidadesConsolidadas'!$A10),2)</f>
        <v>0</v>
      </c>
      <c r="AD10" s="497">
        <f>ROUND(SUMIFS(Cantidades[171152],Cantidades[cod Idu],'CantidadesConsolidadas'!$A10),2)</f>
        <v>0</v>
      </c>
      <c r="AE10" s="497">
        <f>ROUND(SUMIFS(Cantidades[173058],Cantidades[cod Idu],'CantidadesConsolidadas'!$A10),2)</f>
        <v>0</v>
      </c>
      <c r="AF10" s="726">
        <f>ROUND(SUMIFS(Cantidades[174478],Cantidades[cod Idu],'CantidadesConsolidadas'!$A10),2)</f>
        <v>0</v>
      </c>
      <c r="AG10" s="726">
        <f>ROUND(SUMIFS(Cantidades[91010089],Cantidades[cod Idu],'CantidadesConsolidadas'!$A10),2)</f>
        <v>0</v>
      </c>
      <c r="AH10" s="726">
        <f>ROUND(SUMIFS(Cantidades[176122],Cantidades[cod Idu],'CantidadesConsolidadas'!$A10),2)</f>
        <v>0</v>
      </c>
      <c r="AI10" s="726">
        <f>ROUND(SUMIFS(Cantidades[168536],Cantidades[cod Idu],'CantidadesConsolidadas'!$A10),2)</f>
        <v>0</v>
      </c>
      <c r="AJ10" s="497">
        <f>ROUND(SUMIFS(Cantidades[166934],Cantidades[cod Idu],'CantidadesConsolidadas'!$A10),2)</f>
        <v>0</v>
      </c>
      <c r="AK10" s="497">
        <f>ROUND(SUMIFS(Cantidades[174353],Cantidades[cod Idu],'CantidadesConsolidadas'!$A10),2)</f>
        <v>0</v>
      </c>
      <c r="AL10" s="751">
        <f>ROUND(SUMIFS(Cantidades[52531],Cantidades[cod Idu],'CantidadesConsolidadas'!$A10),2)</f>
        <v>0</v>
      </c>
      <c r="AM10" s="500">
        <f>ROUND(SUMIFS(Cantidades[52456],Cantidades[cod Idu],'CantidadesConsolidadas'!$A10),2)</f>
        <v>0</v>
      </c>
      <c r="AN10" s="500">
        <f>ROUND(SUMIFS(Cantidades[92058103],Cantidades[cod Idu],'CantidadesConsolidadas'!$A10),2)</f>
        <v>0</v>
      </c>
      <c r="AO10" s="500">
        <f>ROUND(SUMIFS(Cantidades[20011114],Cantidades[cod Idu],'CantidadesConsolidadas'!$A10),2)</f>
        <v>0</v>
      </c>
      <c r="AP10" s="500">
        <f>ROUND(SUMIFS(Cantidades[20013540],Cantidades[cod Idu],'CantidadesConsolidadas'!$A10),2)</f>
        <v>0</v>
      </c>
      <c r="AQ10" s="500">
        <f>ROUND(SUMIFS(Cantidades[55337],Cantidades[cod Idu],'CantidadesConsolidadas'!$A10),2)</f>
        <v>0</v>
      </c>
      <c r="AR10" s="500">
        <f>ROUND(SUMIFS(Cantidades[92087422],Cantidades[cod Idu],'CantidadesConsolidadas'!$A10),2)</f>
        <v>0</v>
      </c>
      <c r="AS10" s="500">
        <f>ROUND(SUMIFS(Cantidades[55259],Cantidades[cod Idu],'CantidadesConsolidadas'!$A10),2)</f>
        <v>0</v>
      </c>
      <c r="AT10" s="500">
        <f>ROUND(SUMIFS(Cantidades[466904],Cantidades[cod Idu],'CantidadesConsolidadas'!$A10),2)</f>
        <v>0</v>
      </c>
      <c r="AU10" s="500">
        <f>ROUND(SUMIFS(Cantidades[48591],Cantidades[cod Idu],'CantidadesConsolidadas'!$A10),2)</f>
        <v>0</v>
      </c>
      <c r="AV10" s="500">
        <f>ROUND(SUMIFS(Cantidades[48590],Cantidades[cod Idu],'CantidadesConsolidadas'!$A10),2)</f>
        <v>0</v>
      </c>
      <c r="AW10" s="500">
        <f>ROUND(SUMIFS(Cantidades[48561],Cantidades[cod Idu],'CantidadesConsolidadas'!$A10),2)</f>
        <v>0</v>
      </c>
      <c r="AX10" s="805">
        <f>ROUND(SUMIFS(Cantidades[48560],Cantidades[cod Idu],'CantidadesConsolidadas'!$A10),2)</f>
        <v>0</v>
      </c>
      <c r="AY10" s="805">
        <f>ROUND(SUMIFS(Cantidades[48657],Cantidades[cod Idu],'CantidadesConsolidadas'!$A10),2)</f>
        <v>0</v>
      </c>
      <c r="AZ10" s="752">
        <f>ROUND(SUMIFS(Cantidades[48655],Cantidades[cod Idu],'CantidadesConsolidadas'!$A10),2)</f>
        <v>0</v>
      </c>
      <c r="BA10" s="758">
        <f>SUBTOTAL(9,CantidadesConsolidadas[[#This Row],[91013913]:[48655]])</f>
        <v>37.75</v>
      </c>
      <c r="BB10" s="638">
        <f>ROUND(CantidadesConsolidadas[[#This Row],[Total]]*CantidadesConsolidadas[[#This Row],[VU]],0)</f>
        <v>8380387</v>
      </c>
    </row>
    <row r="11" spans="1:54" ht="29.4" thickBot="1" x14ac:dyDescent="0.35">
      <c r="A11">
        <v>8617</v>
      </c>
      <c r="B11" s="606" t="str">
        <f>+_xlfn.XLOOKUP(CantidadesConsolidadas[[#This Row],[cod Idu]],APU_IDU[Código],APU_IDU[Nombre],"",0)</f>
        <v>AGREGADOS RECICLADOS PARA SUBBASE GRANULAR (AR_SBG50) (Suministro, Extendido, Nivelación, Humedecimiento y Compactación con vibrocompactador)</v>
      </c>
      <c r="C11" s="609" t="str">
        <f>+_xlfn.XLOOKUP(CantidadesConsolidadas[[#This Row],[cod Idu]],APU_IDU[Código],APU_IDU[UM],"",0)</f>
        <v>M3</v>
      </c>
      <c r="D11" s="743">
        <f>+_xlfn.XLOOKUP(CantidadesConsolidadas[[#This Row],[cod Idu]],APU_IDU[Código],APU_IDU[Valor],"",0)</f>
        <v>204760</v>
      </c>
      <c r="E11" s="497">
        <f>ROUND(SUMIFS(Cantidades[91013913],Cantidades[cod Idu],'CantidadesConsolidadas'!$A11),2)</f>
        <v>0</v>
      </c>
      <c r="F11" s="497">
        <f>ROUND(SUMIFS(Cantidades[472330],Cantidades[cod Idu],'CantidadesConsolidadas'!$A11),2)</f>
        <v>0</v>
      </c>
      <c r="G11" s="497">
        <f>ROUND(SUMIFS(Cantidades[167810],Cantidades[cod Idu],'CantidadesConsolidadas'!$A11),2)</f>
        <v>0</v>
      </c>
      <c r="H11" s="497">
        <f>ROUND(SUMIFS(Cantidades[166646],Cantidades[cod Idu],'CantidadesConsolidadas'!$A11),2)</f>
        <v>142.44</v>
      </c>
      <c r="I11" s="497">
        <f>ROUND(SUMIFS(Cantidades[167491],Cantidades[cod Idu],'CantidadesConsolidadas'!$A11),2)</f>
        <v>0</v>
      </c>
      <c r="J11" s="497">
        <f>ROUND(SUMIFS(Cantidades[167266],Cantidades[cod Idu],'CantidadesConsolidadas'!$A11),2)</f>
        <v>0</v>
      </c>
      <c r="K11" s="497">
        <f>ROUND(SUMIFS(Cantidades[170896],Cantidades[cod Idu],'CantidadesConsolidadas'!$A11),2)</f>
        <v>0</v>
      </c>
      <c r="L11" s="497">
        <f>ROUND(SUMIFS(Cantidades[170897],Cantidades[cod Idu],'CantidadesConsolidadas'!$A11),2)</f>
        <v>0</v>
      </c>
      <c r="M11" s="497">
        <f>ROUND(SUMIFS(Cantidades[170898],Cantidades[cod Idu],'CantidadesConsolidadas'!$A11),2)</f>
        <v>0</v>
      </c>
      <c r="N11" s="497">
        <f>ROUND(SUMIFS(Cantidades[91064150],Cantidades[cod Idu],'CantidadesConsolidadas'!$A11),2)</f>
        <v>0</v>
      </c>
      <c r="O11" s="497">
        <f>ROUND(SUMIFS(Cantidades[168919],Cantidades[cod Idu],'CantidadesConsolidadas'!$A11),2)</f>
        <v>0</v>
      </c>
      <c r="P11" s="497">
        <f>ROUND(SUMIFS(Cantidades[168426],Cantidades[cod Idu],'CantidadesConsolidadas'!$A11),2)</f>
        <v>0</v>
      </c>
      <c r="Q11" s="497">
        <f>ROUND(SUMIFS(Cantidades[91020796],Cantidades[cod Idu],'CantidadesConsolidadas'!$A11),2)</f>
        <v>0</v>
      </c>
      <c r="R11" s="497">
        <f>ROUND(SUMIFS(Cantidades[176184],Cantidades[cod Idu],'CantidadesConsolidadas'!$A11),2)</f>
        <v>0</v>
      </c>
      <c r="S11" s="497">
        <f>ROUND(SUMIFS(Cantidades[167636],Cantidades[cod Idu],'CantidadesConsolidadas'!$A11),2)</f>
        <v>0</v>
      </c>
      <c r="T11" s="497">
        <f>ROUND(SUMIFS(Cantidades[176730],Cantidades[cod Idu],'CantidadesConsolidadas'!$A11),2)</f>
        <v>0</v>
      </c>
      <c r="U11" s="497">
        <f>ROUND(SUMIFS(Cantidades[173038],Cantidades[cod Idu],'CantidadesConsolidadas'!$A11),2)</f>
        <v>0</v>
      </c>
      <c r="V11" s="497">
        <f>ROUND(SUMIFS(Cantidades[170222],Cantidades[cod Idu],'CantidadesConsolidadas'!$A11),2)</f>
        <v>0</v>
      </c>
      <c r="W11" s="497">
        <f>ROUND(SUMIFS(Cantidades[170229],Cantidades[cod Idu],'CantidadesConsolidadas'!$A11),2)</f>
        <v>0</v>
      </c>
      <c r="X11" s="497">
        <f>ROUND(SUMIFS(Cantidades[170227],Cantidades[cod Idu],'CantidadesConsolidadas'!$A11),2)</f>
        <v>0</v>
      </c>
      <c r="Y11" s="497">
        <f>ROUND(SUMIFS(Cantidades[170226],Cantidades[cod Idu],'CantidadesConsolidadas'!$A11),2)</f>
        <v>0</v>
      </c>
      <c r="Z11" s="497">
        <f>ROUND(SUMIFS(Cantidades[171567],Cantidades[cod Idu],'CantidadesConsolidadas'!$A11),2)</f>
        <v>0</v>
      </c>
      <c r="AA11" s="497">
        <f>ROUND(SUMIFS(Cantidades[166632],Cantidades[cod Idu],'CantidadesConsolidadas'!$A11),2)</f>
        <v>0</v>
      </c>
      <c r="AB11" s="497">
        <f>ROUND(SUMIFS(Cantidades[170228],Cantidades[cod Idu],'CantidadesConsolidadas'!$A11),2)</f>
        <v>0</v>
      </c>
      <c r="AC11" s="497">
        <f>ROUND(SUMIFS(Cantidades[172926],Cantidades[cod Idu],'CantidadesConsolidadas'!$A11),2)</f>
        <v>0</v>
      </c>
      <c r="AD11" s="497">
        <f>ROUND(SUMIFS(Cantidades[171152],Cantidades[cod Idu],'CantidadesConsolidadas'!$A11),2)</f>
        <v>0</v>
      </c>
      <c r="AE11" s="497">
        <f>ROUND(SUMIFS(Cantidades[173058],Cantidades[cod Idu],'CantidadesConsolidadas'!$A11),2)</f>
        <v>0</v>
      </c>
      <c r="AF11" s="726">
        <f>ROUND(SUMIFS(Cantidades[174478],Cantidades[cod Idu],'CantidadesConsolidadas'!$A11),2)</f>
        <v>0</v>
      </c>
      <c r="AG11" s="726">
        <f>ROUND(SUMIFS(Cantidades[91010089],Cantidades[cod Idu],'CantidadesConsolidadas'!$A11),2)</f>
        <v>0</v>
      </c>
      <c r="AH11" s="726">
        <f>ROUND(SUMIFS(Cantidades[176122],Cantidades[cod Idu],'CantidadesConsolidadas'!$A11),2)</f>
        <v>0</v>
      </c>
      <c r="AI11" s="726">
        <f>ROUND(SUMIFS(Cantidades[168536],Cantidades[cod Idu],'CantidadesConsolidadas'!$A11),2)</f>
        <v>0</v>
      </c>
      <c r="AJ11" s="497">
        <f>ROUND(SUMIFS(Cantidades[166934],Cantidades[cod Idu],'CantidadesConsolidadas'!$A11),2)</f>
        <v>0</v>
      </c>
      <c r="AK11" s="497">
        <f>ROUND(SUMIFS(Cantidades[174353],Cantidades[cod Idu],'CantidadesConsolidadas'!$A11),2)</f>
        <v>0</v>
      </c>
      <c r="AL11" s="751">
        <f>ROUND(SUMIFS(Cantidades[52531],Cantidades[cod Idu],'CantidadesConsolidadas'!$A11),2)</f>
        <v>0</v>
      </c>
      <c r="AM11" s="500">
        <f>ROUND(SUMIFS(Cantidades[52456],Cantidades[cod Idu],'CantidadesConsolidadas'!$A11),2)</f>
        <v>0</v>
      </c>
      <c r="AN11" s="500">
        <f>ROUND(SUMIFS(Cantidades[92058103],Cantidades[cod Idu],'CantidadesConsolidadas'!$A11),2)</f>
        <v>0</v>
      </c>
      <c r="AO11" s="500">
        <f>ROUND(SUMIFS(Cantidades[20011114],Cantidades[cod Idu],'CantidadesConsolidadas'!$A11),2)</f>
        <v>0</v>
      </c>
      <c r="AP11" s="500">
        <f>ROUND(SUMIFS(Cantidades[20013540],Cantidades[cod Idu],'CantidadesConsolidadas'!$A11),2)</f>
        <v>0</v>
      </c>
      <c r="AQ11" s="500">
        <f>ROUND(SUMIFS(Cantidades[55337],Cantidades[cod Idu],'CantidadesConsolidadas'!$A11),2)</f>
        <v>0</v>
      </c>
      <c r="AR11" s="500">
        <f>ROUND(SUMIFS(Cantidades[92087422],Cantidades[cod Idu],'CantidadesConsolidadas'!$A11),2)</f>
        <v>0</v>
      </c>
      <c r="AS11" s="500">
        <f>ROUND(SUMIFS(Cantidades[55259],Cantidades[cod Idu],'CantidadesConsolidadas'!$A11),2)</f>
        <v>0</v>
      </c>
      <c r="AT11" s="500">
        <f>ROUND(SUMIFS(Cantidades[466904],Cantidades[cod Idu],'CantidadesConsolidadas'!$A11),2)</f>
        <v>0</v>
      </c>
      <c r="AU11" s="500">
        <f>ROUND(SUMIFS(Cantidades[48591],Cantidades[cod Idu],'CantidadesConsolidadas'!$A11),2)</f>
        <v>0</v>
      </c>
      <c r="AV11" s="500">
        <f>ROUND(SUMIFS(Cantidades[48590],Cantidades[cod Idu],'CantidadesConsolidadas'!$A11),2)</f>
        <v>0</v>
      </c>
      <c r="AW11" s="500">
        <f>ROUND(SUMIFS(Cantidades[48561],Cantidades[cod Idu],'CantidadesConsolidadas'!$A11),2)</f>
        <v>0</v>
      </c>
      <c r="AX11" s="805">
        <f>ROUND(SUMIFS(Cantidades[48560],Cantidades[cod Idu],'CantidadesConsolidadas'!$A11),2)</f>
        <v>0</v>
      </c>
      <c r="AY11" s="805">
        <f>ROUND(SUMIFS(Cantidades[48657],Cantidades[cod Idu],'CantidadesConsolidadas'!$A11),2)</f>
        <v>0</v>
      </c>
      <c r="AZ11" s="752">
        <f>ROUND(SUMIFS(Cantidades[48655],Cantidades[cod Idu],'CantidadesConsolidadas'!$A11),2)</f>
        <v>0</v>
      </c>
      <c r="BA11" s="758">
        <f>SUBTOTAL(9,CantidadesConsolidadas[[#This Row],[91013913]:[48655]])</f>
        <v>142.44</v>
      </c>
      <c r="BB11" s="638">
        <f>ROUND(CantidadesConsolidadas[[#This Row],[Total]]*CantidadesConsolidadas[[#This Row],[VU]],0)</f>
        <v>29166014</v>
      </c>
    </row>
    <row r="12" spans="1:54" ht="43.8" thickBot="1" x14ac:dyDescent="0.35">
      <c r="A12">
        <v>4140</v>
      </c>
      <c r="B12" s="606" t="str">
        <f>+_xlfn.XLOOKUP(CantidadesConsolidadas[[#This Row],[cod Idu]],APU_IDU[Código],APU_IDU[Nombre],"",0)</f>
        <v>BASE GRANULAR BG-A.  (SUMINISTRO, EXTENDIDO, NIVELACIÓN Y HUMEDECIMIENTO MECÁNICO,  COMPACTACIÓN MECÁNICA CON VIBROCOMPACTADOR TÁNDEM PEQUEÑO, INCLUYE OPERARIO  Y COMBUSTIBLE).</v>
      </c>
      <c r="C12" s="609" t="str">
        <f>+_xlfn.XLOOKUP(CantidadesConsolidadas[[#This Row],[cod Idu]],APU_IDU[Código],APU_IDU[UM],"",0)</f>
        <v>M3</v>
      </c>
      <c r="D12" s="743">
        <f>+_xlfn.XLOOKUP(CantidadesConsolidadas[[#This Row],[cod Idu]],APU_IDU[Código],APU_IDU[Valor],"",0)</f>
        <v>262698</v>
      </c>
      <c r="E12" s="497">
        <f>ROUND(SUMIFS(Cantidades[91013913],Cantidades[cod Idu],'CantidadesConsolidadas'!$A12),2)</f>
        <v>0</v>
      </c>
      <c r="F12" s="497">
        <f>ROUND(SUMIFS(Cantidades[472330],Cantidades[cod Idu],'CantidadesConsolidadas'!$A12),2)</f>
        <v>0</v>
      </c>
      <c r="G12" s="497">
        <f>ROUND(SUMIFS(Cantidades[167810],Cantidades[cod Idu],'CantidadesConsolidadas'!$A12),2)</f>
        <v>0</v>
      </c>
      <c r="H12" s="497">
        <f>ROUND(SUMIFS(Cantidades[166646],Cantidades[cod Idu],'CantidadesConsolidadas'!$A12),2)</f>
        <v>0</v>
      </c>
      <c r="I12" s="497">
        <f>ROUND(SUMIFS(Cantidades[167491],Cantidades[cod Idu],'CantidadesConsolidadas'!$A12),2)</f>
        <v>0</v>
      </c>
      <c r="J12" s="497">
        <f>ROUND(SUMIFS(Cantidades[167266],Cantidades[cod Idu],'CantidadesConsolidadas'!$A12),2)</f>
        <v>0</v>
      </c>
      <c r="K12" s="497">
        <f>ROUND(SUMIFS(Cantidades[170896],Cantidades[cod Idu],'CantidadesConsolidadas'!$A12),2)</f>
        <v>0</v>
      </c>
      <c r="L12" s="497">
        <f>ROUND(SUMIFS(Cantidades[170897],Cantidades[cod Idu],'CantidadesConsolidadas'!$A12),2)</f>
        <v>0</v>
      </c>
      <c r="M12" s="497">
        <f>ROUND(SUMIFS(Cantidades[170898],Cantidades[cod Idu],'CantidadesConsolidadas'!$A12),2)</f>
        <v>9.98</v>
      </c>
      <c r="N12" s="497">
        <f>ROUND(SUMIFS(Cantidades[91064150],Cantidades[cod Idu],'CantidadesConsolidadas'!$A12),2)</f>
        <v>0</v>
      </c>
      <c r="O12" s="497">
        <f>ROUND(SUMIFS(Cantidades[168919],Cantidades[cod Idu],'CantidadesConsolidadas'!$A12),2)</f>
        <v>0</v>
      </c>
      <c r="P12" s="497">
        <f>ROUND(SUMIFS(Cantidades[168426],Cantidades[cod Idu],'CantidadesConsolidadas'!$A12),2)</f>
        <v>0</v>
      </c>
      <c r="Q12" s="497">
        <f>ROUND(SUMIFS(Cantidades[91020796],Cantidades[cod Idu],'CantidadesConsolidadas'!$A12),2)</f>
        <v>0</v>
      </c>
      <c r="R12" s="497">
        <f>ROUND(SUMIFS(Cantidades[176184],Cantidades[cod Idu],'CantidadesConsolidadas'!$A12),2)</f>
        <v>0</v>
      </c>
      <c r="S12" s="497">
        <f>ROUND(SUMIFS(Cantidades[167636],Cantidades[cod Idu],'CantidadesConsolidadas'!$A12),2)</f>
        <v>0</v>
      </c>
      <c r="T12" s="497">
        <f>ROUND(SUMIFS(Cantidades[176730],Cantidades[cod Idu],'CantidadesConsolidadas'!$A12),2)</f>
        <v>0</v>
      </c>
      <c r="U12" s="497">
        <f>ROUND(SUMIFS(Cantidades[173038],Cantidades[cod Idu],'CantidadesConsolidadas'!$A12),2)</f>
        <v>0</v>
      </c>
      <c r="V12" s="497">
        <f>ROUND(SUMIFS(Cantidades[170222],Cantidades[cod Idu],'CantidadesConsolidadas'!$A12),2)</f>
        <v>0</v>
      </c>
      <c r="W12" s="497">
        <f>ROUND(SUMIFS(Cantidades[170229],Cantidades[cod Idu],'CantidadesConsolidadas'!$A12),2)</f>
        <v>15.18</v>
      </c>
      <c r="X12" s="497">
        <f>ROUND(SUMIFS(Cantidades[170227],Cantidades[cod Idu],'CantidadesConsolidadas'!$A12),2)</f>
        <v>0</v>
      </c>
      <c r="Y12" s="497">
        <f>ROUND(SUMIFS(Cantidades[170226],Cantidades[cod Idu],'CantidadesConsolidadas'!$A12),2)</f>
        <v>20.59</v>
      </c>
      <c r="Z12" s="497">
        <f>ROUND(SUMIFS(Cantidades[171567],Cantidades[cod Idu],'CantidadesConsolidadas'!$A12),2)</f>
        <v>0</v>
      </c>
      <c r="AA12" s="497">
        <f>ROUND(SUMIFS(Cantidades[166632],Cantidades[cod Idu],'CantidadesConsolidadas'!$A12),2)</f>
        <v>0</v>
      </c>
      <c r="AB12" s="497">
        <f>ROUND(SUMIFS(Cantidades[170228],Cantidades[cod Idu],'CantidadesConsolidadas'!$A12),2)</f>
        <v>0</v>
      </c>
      <c r="AC12" s="497">
        <f>ROUND(SUMIFS(Cantidades[172926],Cantidades[cod Idu],'CantidadesConsolidadas'!$A12),2)</f>
        <v>0</v>
      </c>
      <c r="AD12" s="497">
        <f>ROUND(SUMIFS(Cantidades[171152],Cantidades[cod Idu],'CantidadesConsolidadas'!$A12),2)</f>
        <v>0</v>
      </c>
      <c r="AE12" s="497">
        <f>ROUND(SUMIFS(Cantidades[173058],Cantidades[cod Idu],'CantidadesConsolidadas'!$A12),2)</f>
        <v>0</v>
      </c>
      <c r="AF12" s="726">
        <f>ROUND(SUMIFS(Cantidades[174478],Cantidades[cod Idu],'CantidadesConsolidadas'!$A12),2)</f>
        <v>0</v>
      </c>
      <c r="AG12" s="726">
        <f>ROUND(SUMIFS(Cantidades[91010089],Cantidades[cod Idu],'CantidadesConsolidadas'!$A12),2)</f>
        <v>0</v>
      </c>
      <c r="AH12" s="726">
        <f>ROUND(SUMIFS(Cantidades[176122],Cantidades[cod Idu],'CantidadesConsolidadas'!$A12),2)</f>
        <v>0</v>
      </c>
      <c r="AI12" s="726">
        <f>ROUND(SUMIFS(Cantidades[168536],Cantidades[cod Idu],'CantidadesConsolidadas'!$A12),2)</f>
        <v>0</v>
      </c>
      <c r="AJ12" s="497">
        <f>ROUND(SUMIFS(Cantidades[166934],Cantidades[cod Idu],'CantidadesConsolidadas'!$A12),2)</f>
        <v>0</v>
      </c>
      <c r="AK12" s="497">
        <f>ROUND(SUMIFS(Cantidades[174353],Cantidades[cod Idu],'CantidadesConsolidadas'!$A12),2)</f>
        <v>0</v>
      </c>
      <c r="AL12" s="751">
        <f>ROUND(SUMIFS(Cantidades[52531],Cantidades[cod Idu],'CantidadesConsolidadas'!$A12),2)</f>
        <v>0</v>
      </c>
      <c r="AM12" s="500">
        <f>ROUND(SUMIFS(Cantidades[52456],Cantidades[cod Idu],'CantidadesConsolidadas'!$A12),2)</f>
        <v>0</v>
      </c>
      <c r="AN12" s="500">
        <f>ROUND(SUMIFS(Cantidades[92058103],Cantidades[cod Idu],'CantidadesConsolidadas'!$A12),2)</f>
        <v>0</v>
      </c>
      <c r="AO12" s="500">
        <f>ROUND(SUMIFS(Cantidades[20011114],Cantidades[cod Idu],'CantidadesConsolidadas'!$A12),2)</f>
        <v>0</v>
      </c>
      <c r="AP12" s="500">
        <f>ROUND(SUMIFS(Cantidades[20013540],Cantidades[cod Idu],'CantidadesConsolidadas'!$A12),2)</f>
        <v>0</v>
      </c>
      <c r="AQ12" s="500">
        <f>ROUND(SUMIFS(Cantidades[55337],Cantidades[cod Idu],'CantidadesConsolidadas'!$A12),2)</f>
        <v>0</v>
      </c>
      <c r="AR12" s="500">
        <f>ROUND(SUMIFS(Cantidades[92087422],Cantidades[cod Idu],'CantidadesConsolidadas'!$A12),2)</f>
        <v>0</v>
      </c>
      <c r="AS12" s="500">
        <f>ROUND(SUMIFS(Cantidades[55259],Cantidades[cod Idu],'CantidadesConsolidadas'!$A12),2)</f>
        <v>0</v>
      </c>
      <c r="AT12" s="500">
        <f>ROUND(SUMIFS(Cantidades[466904],Cantidades[cod Idu],'CantidadesConsolidadas'!$A12),2)</f>
        <v>0</v>
      </c>
      <c r="AU12" s="500">
        <f>ROUND(SUMIFS(Cantidades[48591],Cantidades[cod Idu],'CantidadesConsolidadas'!$A12),2)</f>
        <v>0</v>
      </c>
      <c r="AV12" s="500">
        <f>ROUND(SUMIFS(Cantidades[48590],Cantidades[cod Idu],'CantidadesConsolidadas'!$A12),2)</f>
        <v>0</v>
      </c>
      <c r="AW12" s="500">
        <f>ROUND(SUMIFS(Cantidades[48561],Cantidades[cod Idu],'CantidadesConsolidadas'!$A12),2)</f>
        <v>0</v>
      </c>
      <c r="AX12" s="805">
        <f>ROUND(SUMIFS(Cantidades[48560],Cantidades[cod Idu],'CantidadesConsolidadas'!$A12),2)</f>
        <v>0</v>
      </c>
      <c r="AY12" s="805">
        <f>ROUND(SUMIFS(Cantidades[48657],Cantidades[cod Idu],'CantidadesConsolidadas'!$A12),2)</f>
        <v>0</v>
      </c>
      <c r="AZ12" s="752">
        <f>ROUND(SUMIFS(Cantidades[48655],Cantidades[cod Idu],'CantidadesConsolidadas'!$A12),2)</f>
        <v>0</v>
      </c>
      <c r="BA12" s="758">
        <f>SUBTOTAL(9,CantidadesConsolidadas[[#This Row],[91013913]:[48655]])</f>
        <v>45.75</v>
      </c>
      <c r="BB12" s="638">
        <f>ROUND(CantidadesConsolidadas[[#This Row],[Total]]*CantidadesConsolidadas[[#This Row],[VU]],0)</f>
        <v>12018434</v>
      </c>
    </row>
    <row r="13" spans="1:54" ht="29.4" thickBot="1" x14ac:dyDescent="0.35">
      <c r="A13">
        <v>4160</v>
      </c>
      <c r="B13" s="606" t="str">
        <f>+_xlfn.XLOOKUP(CantidadesConsolidadas[[#This Row],[cod Idu]],APU_IDU[Código],APU_IDU[Nombre],"",0)</f>
        <v>SUBBASE GRANULAR CLASE B (SBG_B) (SUMINISTRO, EXTENDIDO, NIVELACIÓN, HUMEDECIMIENTO Y COMPACTACIÓN CON VIBROCOMPACTADOR)</v>
      </c>
      <c r="C13" s="609" t="str">
        <f>+_xlfn.XLOOKUP(CantidadesConsolidadas[[#This Row],[cod Idu]],APU_IDU[Código],APU_IDU[UM],"",0)</f>
        <v>M3</v>
      </c>
      <c r="D13" s="743">
        <f>+_xlfn.XLOOKUP(CantidadesConsolidadas[[#This Row],[cod Idu]],APU_IDU[Código],APU_IDU[Valor],"",0)</f>
        <v>205820</v>
      </c>
      <c r="E13" s="497">
        <f>ROUND(SUMIFS(Cantidades[91013913],Cantidades[cod Idu],'CantidadesConsolidadas'!$A13),2)</f>
        <v>0</v>
      </c>
      <c r="F13" s="497">
        <f>ROUND(SUMIFS(Cantidades[472330],Cantidades[cod Idu],'CantidadesConsolidadas'!$A13),2)</f>
        <v>217.8</v>
      </c>
      <c r="G13" s="497">
        <f>ROUND(SUMIFS(Cantidades[167810],Cantidades[cod Idu],'CantidadesConsolidadas'!$A13),2)</f>
        <v>234.34</v>
      </c>
      <c r="H13" s="497">
        <f>ROUND(SUMIFS(Cantidades[166646],Cantidades[cod Idu],'CantidadesConsolidadas'!$A13),2)</f>
        <v>0</v>
      </c>
      <c r="I13" s="497">
        <f>ROUND(SUMIFS(Cantidades[167491],Cantidades[cod Idu],'CantidadesConsolidadas'!$A13),2)</f>
        <v>0</v>
      </c>
      <c r="J13" s="497">
        <f>ROUND(SUMIFS(Cantidades[167266],Cantidades[cod Idu],'CantidadesConsolidadas'!$A13),2)</f>
        <v>170.1</v>
      </c>
      <c r="K13" s="497">
        <f>ROUND(SUMIFS(Cantidades[170896],Cantidades[cod Idu],'CantidadesConsolidadas'!$A13),2)</f>
        <v>33.76</v>
      </c>
      <c r="L13" s="497">
        <f>ROUND(SUMIFS(Cantidades[170897],Cantidades[cod Idu],'CantidadesConsolidadas'!$A13),2)</f>
        <v>37.630000000000003</v>
      </c>
      <c r="M13" s="497">
        <f>ROUND(SUMIFS(Cantidades[170898],Cantidades[cod Idu],'CantidadesConsolidadas'!$A13),2)</f>
        <v>0</v>
      </c>
      <c r="N13" s="497">
        <f>ROUND(SUMIFS(Cantidades[91064150],Cantidades[cod Idu],'CantidadesConsolidadas'!$A13),2)</f>
        <v>44.49</v>
      </c>
      <c r="O13" s="497">
        <f>ROUND(SUMIFS(Cantidades[168919],Cantidades[cod Idu],'CantidadesConsolidadas'!$A13),2)</f>
        <v>145.33000000000001</v>
      </c>
      <c r="P13" s="497">
        <f>ROUND(SUMIFS(Cantidades[168426],Cantidades[cod Idu],'CantidadesConsolidadas'!$A13),2)</f>
        <v>128.02000000000001</v>
      </c>
      <c r="Q13" s="497">
        <f>ROUND(SUMIFS(Cantidades[91020796],Cantidades[cod Idu],'CantidadesConsolidadas'!$A13),2)</f>
        <v>35.03</v>
      </c>
      <c r="R13" s="497">
        <f>ROUND(SUMIFS(Cantidades[176184],Cantidades[cod Idu],'CantidadesConsolidadas'!$A13),2)</f>
        <v>71.3</v>
      </c>
      <c r="S13" s="497">
        <f>ROUND(SUMIFS(Cantidades[167636],Cantidades[cod Idu],'CantidadesConsolidadas'!$A13),2)</f>
        <v>160.02000000000001</v>
      </c>
      <c r="T13" s="497">
        <f>ROUND(SUMIFS(Cantidades[176730],Cantidades[cod Idu],'CantidadesConsolidadas'!$A13),2)</f>
        <v>43.41</v>
      </c>
      <c r="U13" s="497">
        <f>ROUND(SUMIFS(Cantidades[173038],Cantidades[cod Idu],'CantidadesConsolidadas'!$A13),2)</f>
        <v>148.63</v>
      </c>
      <c r="V13" s="497">
        <f>ROUND(SUMIFS(Cantidades[170222],Cantidades[cod Idu],'CantidadesConsolidadas'!$A13),2)</f>
        <v>253.75</v>
      </c>
      <c r="W13" s="497">
        <f>ROUND(SUMIFS(Cantidades[170229],Cantidades[cod Idu],'CantidadesConsolidadas'!$A13),2)</f>
        <v>0</v>
      </c>
      <c r="X13" s="497">
        <f>ROUND(SUMIFS(Cantidades[170227],Cantidades[cod Idu],'CantidadesConsolidadas'!$A13),2)</f>
        <v>56.38</v>
      </c>
      <c r="Y13" s="497">
        <f>ROUND(SUMIFS(Cantidades[170226],Cantidades[cod Idu],'CantidadesConsolidadas'!$A13),2)</f>
        <v>30.89</v>
      </c>
      <c r="Z13" s="497">
        <f>ROUND(SUMIFS(Cantidades[171567],Cantidades[cod Idu],'CantidadesConsolidadas'!$A13),2)</f>
        <v>0</v>
      </c>
      <c r="AA13" s="497">
        <f>ROUND(SUMIFS(Cantidades[166632],Cantidades[cod Idu],'CantidadesConsolidadas'!$A13),2)</f>
        <v>98.21</v>
      </c>
      <c r="AB13" s="497">
        <f>ROUND(SUMIFS(Cantidades[170228],Cantidades[cod Idu],'CantidadesConsolidadas'!$A13),2)</f>
        <v>61.54</v>
      </c>
      <c r="AC13" s="497">
        <f>ROUND(SUMIFS(Cantidades[172926],Cantidades[cod Idu],'CantidadesConsolidadas'!$A13),2)</f>
        <v>43.33</v>
      </c>
      <c r="AD13" s="497">
        <f>ROUND(SUMIFS(Cantidades[171152],Cantidades[cod Idu],'CantidadesConsolidadas'!$A13),2)</f>
        <v>0</v>
      </c>
      <c r="AE13" s="497">
        <f>ROUND(SUMIFS(Cantidades[173058],Cantidades[cod Idu],'CantidadesConsolidadas'!$A13),2)</f>
        <v>59</v>
      </c>
      <c r="AF13" s="726">
        <f>ROUND(SUMIFS(Cantidades[174478],Cantidades[cod Idu],'CantidadesConsolidadas'!$A13),2)</f>
        <v>0</v>
      </c>
      <c r="AG13" s="726">
        <f>ROUND(SUMIFS(Cantidades[91010089],Cantidades[cod Idu],'CantidadesConsolidadas'!$A13),2)</f>
        <v>0</v>
      </c>
      <c r="AH13" s="726">
        <f>ROUND(SUMIFS(Cantidades[176122],Cantidades[cod Idu],'CantidadesConsolidadas'!$A13),2)</f>
        <v>0</v>
      </c>
      <c r="AI13" s="726">
        <f>ROUND(SUMIFS(Cantidades[168536],Cantidades[cod Idu],'CantidadesConsolidadas'!$A13),2)</f>
        <v>0</v>
      </c>
      <c r="AJ13" s="497">
        <f>ROUND(SUMIFS(Cantidades[166934],Cantidades[cod Idu],'CantidadesConsolidadas'!$A13),2)</f>
        <v>281.73</v>
      </c>
      <c r="AK13" s="497">
        <f>ROUND(SUMIFS(Cantidades[174353],Cantidades[cod Idu],'CantidadesConsolidadas'!$A13),2)</f>
        <v>157.68</v>
      </c>
      <c r="AL13" s="751">
        <f>ROUND(SUMIFS(Cantidades[52531],Cantidades[cod Idu],'CantidadesConsolidadas'!$A13),2)</f>
        <v>0</v>
      </c>
      <c r="AM13" s="500">
        <f>ROUND(SUMIFS(Cantidades[52456],Cantidades[cod Idu],'CantidadesConsolidadas'!$A13),2)</f>
        <v>0</v>
      </c>
      <c r="AN13" s="500">
        <f>ROUND(SUMIFS(Cantidades[92058103],Cantidades[cod Idu],'CantidadesConsolidadas'!$A13),2)</f>
        <v>0</v>
      </c>
      <c r="AO13" s="500">
        <f>ROUND(SUMIFS(Cantidades[20011114],Cantidades[cod Idu],'CantidadesConsolidadas'!$A13),2)</f>
        <v>0</v>
      </c>
      <c r="AP13" s="500">
        <f>ROUND(SUMIFS(Cantidades[20013540],Cantidades[cod Idu],'CantidadesConsolidadas'!$A13),2)</f>
        <v>0</v>
      </c>
      <c r="AQ13" s="500">
        <f>ROUND(SUMIFS(Cantidades[55337],Cantidades[cod Idu],'CantidadesConsolidadas'!$A13),2)</f>
        <v>0</v>
      </c>
      <c r="AR13" s="500">
        <f>ROUND(SUMIFS(Cantidades[92087422],Cantidades[cod Idu],'CantidadesConsolidadas'!$A13),2)</f>
        <v>0</v>
      </c>
      <c r="AS13" s="500">
        <f>ROUND(SUMIFS(Cantidades[55259],Cantidades[cod Idu],'CantidadesConsolidadas'!$A13),2)</f>
        <v>0</v>
      </c>
      <c r="AT13" s="500">
        <f>ROUND(SUMIFS(Cantidades[466904],Cantidades[cod Idu],'CantidadesConsolidadas'!$A13),2)</f>
        <v>0</v>
      </c>
      <c r="AU13" s="500">
        <f>ROUND(SUMIFS(Cantidades[48591],Cantidades[cod Idu],'CantidadesConsolidadas'!$A13),2)</f>
        <v>0</v>
      </c>
      <c r="AV13" s="500">
        <f>ROUND(SUMIFS(Cantidades[48590],Cantidades[cod Idu],'CantidadesConsolidadas'!$A13),2)</f>
        <v>0</v>
      </c>
      <c r="AW13" s="500">
        <f>ROUND(SUMIFS(Cantidades[48561],Cantidades[cod Idu],'CantidadesConsolidadas'!$A13),2)</f>
        <v>0</v>
      </c>
      <c r="AX13" s="805">
        <f>ROUND(SUMIFS(Cantidades[48560],Cantidades[cod Idu],'CantidadesConsolidadas'!$A13),2)</f>
        <v>0</v>
      </c>
      <c r="AY13" s="805">
        <f>ROUND(SUMIFS(Cantidades[48657],Cantidades[cod Idu],'CantidadesConsolidadas'!$A13),2)</f>
        <v>0</v>
      </c>
      <c r="AZ13" s="752">
        <f>ROUND(SUMIFS(Cantidades[48655],Cantidades[cod Idu],'CantidadesConsolidadas'!$A13),2)</f>
        <v>0</v>
      </c>
      <c r="BA13" s="758">
        <f>SUBTOTAL(9,CantidadesConsolidadas[[#This Row],[91013913]:[48655]])</f>
        <v>2512.37</v>
      </c>
      <c r="BB13" s="638">
        <f>ROUND(CantidadesConsolidadas[[#This Row],[Total]]*CantidadesConsolidadas[[#This Row],[VU]],0)</f>
        <v>517095993</v>
      </c>
    </row>
    <row r="14" spans="1:54" ht="29.4" thickBot="1" x14ac:dyDescent="0.35">
      <c r="A14">
        <v>4747</v>
      </c>
      <c r="B14" s="606" t="str">
        <f>+_xlfn.XLOOKUP(CantidadesConsolidadas[[#This Row],[cod Idu]],APU_IDU[Código],APU_IDU[Nombre],"",0)</f>
        <v>SUBBASE GRANULAR CLASE B (SBG_B) CON RECICLADO DE CONCRETO (SUMINISTRO, EXTENDIDO, NIVELACIÓN, HUMEDECIMIENTO Y COMPACTACIÓN CON VIBROCOMPACTADOR)</v>
      </c>
      <c r="C14" s="609" t="str">
        <f>+_xlfn.XLOOKUP(CantidadesConsolidadas[[#This Row],[cod Idu]],APU_IDU[Código],APU_IDU[UM],"",0)</f>
        <v>M3</v>
      </c>
      <c r="D14" s="743">
        <f>+_xlfn.XLOOKUP(CantidadesConsolidadas[[#This Row],[cod Idu]],APU_IDU[Código],APU_IDU[Valor],"",0)</f>
        <v>167179</v>
      </c>
      <c r="E14" s="497">
        <f>ROUND(SUMIFS(Cantidades[91013913],Cantidades[cod Idu],'CantidadesConsolidadas'!$A14),2)</f>
        <v>446.72</v>
      </c>
      <c r="F14" s="497">
        <f>ROUND(SUMIFS(Cantidades[472330],Cantidades[cod Idu],'CantidadesConsolidadas'!$A14),2)</f>
        <v>0</v>
      </c>
      <c r="G14" s="497">
        <f>ROUND(SUMIFS(Cantidades[167810],Cantidades[cod Idu],'CantidadesConsolidadas'!$A14),2)</f>
        <v>0</v>
      </c>
      <c r="H14" s="497">
        <f>ROUND(SUMIFS(Cantidades[166646],Cantidades[cod Idu],'CantidadesConsolidadas'!$A14),2)</f>
        <v>0</v>
      </c>
      <c r="I14" s="497">
        <f>ROUND(SUMIFS(Cantidades[167491],Cantidades[cod Idu],'CantidadesConsolidadas'!$A14),2)</f>
        <v>132.63</v>
      </c>
      <c r="J14" s="497">
        <f>ROUND(SUMIFS(Cantidades[167266],Cantidades[cod Idu],'CantidadesConsolidadas'!$A14),2)</f>
        <v>0</v>
      </c>
      <c r="K14" s="497">
        <f>ROUND(SUMIFS(Cantidades[170896],Cantidades[cod Idu],'CantidadesConsolidadas'!$A14),2)</f>
        <v>0</v>
      </c>
      <c r="L14" s="497">
        <f>ROUND(SUMIFS(Cantidades[170897],Cantidades[cod Idu],'CantidadesConsolidadas'!$A14),2)</f>
        <v>0</v>
      </c>
      <c r="M14" s="497">
        <f>ROUND(SUMIFS(Cantidades[170898],Cantidades[cod Idu],'CantidadesConsolidadas'!$A14),2)</f>
        <v>0</v>
      </c>
      <c r="N14" s="497">
        <f>ROUND(SUMIFS(Cantidades[91064150],Cantidades[cod Idu],'CantidadesConsolidadas'!$A14),2)</f>
        <v>0</v>
      </c>
      <c r="O14" s="497">
        <f>ROUND(SUMIFS(Cantidades[168919],Cantidades[cod Idu],'CantidadesConsolidadas'!$A14),2)</f>
        <v>0</v>
      </c>
      <c r="P14" s="497">
        <f>ROUND(SUMIFS(Cantidades[168426],Cantidades[cod Idu],'CantidadesConsolidadas'!$A14),2)</f>
        <v>0</v>
      </c>
      <c r="Q14" s="497">
        <f>ROUND(SUMIFS(Cantidades[91020796],Cantidades[cod Idu],'CantidadesConsolidadas'!$A14),2)</f>
        <v>0</v>
      </c>
      <c r="R14" s="497">
        <f>ROUND(SUMIFS(Cantidades[176184],Cantidades[cod Idu],'CantidadesConsolidadas'!$A14),2)</f>
        <v>0</v>
      </c>
      <c r="S14" s="497">
        <f>ROUND(SUMIFS(Cantidades[167636],Cantidades[cod Idu],'CantidadesConsolidadas'!$A14),2)</f>
        <v>0</v>
      </c>
      <c r="T14" s="497">
        <f>ROUND(SUMIFS(Cantidades[176730],Cantidades[cod Idu],'CantidadesConsolidadas'!$A14),2)</f>
        <v>0</v>
      </c>
      <c r="U14" s="497">
        <f>ROUND(SUMIFS(Cantidades[173038],Cantidades[cod Idu],'CantidadesConsolidadas'!$A14),2)</f>
        <v>0</v>
      </c>
      <c r="V14" s="497">
        <f>ROUND(SUMIFS(Cantidades[170222],Cantidades[cod Idu],'CantidadesConsolidadas'!$A14),2)</f>
        <v>0</v>
      </c>
      <c r="W14" s="497">
        <f>ROUND(SUMIFS(Cantidades[170229],Cantidades[cod Idu],'CantidadesConsolidadas'!$A14),2)</f>
        <v>0</v>
      </c>
      <c r="X14" s="497">
        <f>ROUND(SUMIFS(Cantidades[170227],Cantidades[cod Idu],'CantidadesConsolidadas'!$A14),2)</f>
        <v>0</v>
      </c>
      <c r="Y14" s="497">
        <f>ROUND(SUMIFS(Cantidades[170226],Cantidades[cod Idu],'CantidadesConsolidadas'!$A14),2)</f>
        <v>0</v>
      </c>
      <c r="Z14" s="497">
        <f>ROUND(SUMIFS(Cantidades[171567],Cantidades[cod Idu],'CantidadesConsolidadas'!$A14),2)</f>
        <v>0</v>
      </c>
      <c r="AA14" s="497">
        <f>ROUND(SUMIFS(Cantidades[166632],Cantidades[cod Idu],'CantidadesConsolidadas'!$A14),2)</f>
        <v>0</v>
      </c>
      <c r="AB14" s="497">
        <f>ROUND(SUMIFS(Cantidades[170228],Cantidades[cod Idu],'CantidadesConsolidadas'!$A14),2)</f>
        <v>0</v>
      </c>
      <c r="AC14" s="497">
        <f>ROUND(SUMIFS(Cantidades[172926],Cantidades[cod Idu],'CantidadesConsolidadas'!$A14),2)</f>
        <v>0</v>
      </c>
      <c r="AD14" s="497">
        <f>ROUND(SUMIFS(Cantidades[171152],Cantidades[cod Idu],'CantidadesConsolidadas'!$A14),2)</f>
        <v>225.32</v>
      </c>
      <c r="AE14" s="497">
        <f>ROUND(SUMIFS(Cantidades[173058],Cantidades[cod Idu],'CantidadesConsolidadas'!$A14),2)</f>
        <v>0</v>
      </c>
      <c r="AF14" s="726">
        <f>ROUND(SUMIFS(Cantidades[174478],Cantidades[cod Idu],'CantidadesConsolidadas'!$A14),2)</f>
        <v>277.25</v>
      </c>
      <c r="AG14" s="726">
        <f>ROUND(SUMIFS(Cantidades[91010089],Cantidades[cod Idu],'CantidadesConsolidadas'!$A14),2)</f>
        <v>89.17</v>
      </c>
      <c r="AH14" s="726">
        <f>ROUND(SUMIFS(Cantidades[176122],Cantidades[cod Idu],'CantidadesConsolidadas'!$A14),2)</f>
        <v>208.19</v>
      </c>
      <c r="AI14" s="726">
        <f>ROUND(SUMIFS(Cantidades[168536],Cantidades[cod Idu],'CantidadesConsolidadas'!$A14),2)</f>
        <v>181.84</v>
      </c>
      <c r="AJ14" s="497">
        <f>ROUND(SUMIFS(Cantidades[166934],Cantidades[cod Idu],'CantidadesConsolidadas'!$A14),2)</f>
        <v>0</v>
      </c>
      <c r="AK14" s="497">
        <f>ROUND(SUMIFS(Cantidades[174353],Cantidades[cod Idu],'CantidadesConsolidadas'!$A14),2)</f>
        <v>0</v>
      </c>
      <c r="AL14" s="751">
        <f>ROUND(SUMIFS(Cantidades[52531],Cantidades[cod Idu],'CantidadesConsolidadas'!$A14),2)</f>
        <v>0</v>
      </c>
      <c r="AM14" s="500">
        <f>ROUND(SUMIFS(Cantidades[52456],Cantidades[cod Idu],'CantidadesConsolidadas'!$A14),2)</f>
        <v>0</v>
      </c>
      <c r="AN14" s="500">
        <f>ROUND(SUMIFS(Cantidades[92058103],Cantidades[cod Idu],'CantidadesConsolidadas'!$A14),2)</f>
        <v>0</v>
      </c>
      <c r="AO14" s="500">
        <f>ROUND(SUMIFS(Cantidades[20011114],Cantidades[cod Idu],'CantidadesConsolidadas'!$A14),2)</f>
        <v>0</v>
      </c>
      <c r="AP14" s="500">
        <f>ROUND(SUMIFS(Cantidades[20013540],Cantidades[cod Idu],'CantidadesConsolidadas'!$A14),2)</f>
        <v>0</v>
      </c>
      <c r="AQ14" s="500">
        <f>ROUND(SUMIFS(Cantidades[55337],Cantidades[cod Idu],'CantidadesConsolidadas'!$A14),2)</f>
        <v>0</v>
      </c>
      <c r="AR14" s="500">
        <f>ROUND(SUMIFS(Cantidades[92087422],Cantidades[cod Idu],'CantidadesConsolidadas'!$A14),2)</f>
        <v>0</v>
      </c>
      <c r="AS14" s="500">
        <f>ROUND(SUMIFS(Cantidades[55259],Cantidades[cod Idu],'CantidadesConsolidadas'!$A14),2)</f>
        <v>0</v>
      </c>
      <c r="AT14" s="500">
        <f>ROUND(SUMIFS(Cantidades[466904],Cantidades[cod Idu],'CantidadesConsolidadas'!$A14),2)</f>
        <v>0</v>
      </c>
      <c r="AU14" s="500">
        <f>ROUND(SUMIFS(Cantidades[48591],Cantidades[cod Idu],'CantidadesConsolidadas'!$A14),2)</f>
        <v>0</v>
      </c>
      <c r="AV14" s="500">
        <f>ROUND(SUMIFS(Cantidades[48590],Cantidades[cod Idu],'CantidadesConsolidadas'!$A14),2)</f>
        <v>0</v>
      </c>
      <c r="AW14" s="500">
        <f>ROUND(SUMIFS(Cantidades[48561],Cantidades[cod Idu],'CantidadesConsolidadas'!$A14),2)</f>
        <v>0</v>
      </c>
      <c r="AX14" s="805">
        <f>ROUND(SUMIFS(Cantidades[48560],Cantidades[cod Idu],'CantidadesConsolidadas'!$A14),2)</f>
        <v>0</v>
      </c>
      <c r="AY14" s="805">
        <f>ROUND(SUMIFS(Cantidades[48657],Cantidades[cod Idu],'CantidadesConsolidadas'!$A14),2)</f>
        <v>0</v>
      </c>
      <c r="AZ14" s="752">
        <f>ROUND(SUMIFS(Cantidades[48655],Cantidades[cod Idu],'CantidadesConsolidadas'!$A14),2)</f>
        <v>0</v>
      </c>
      <c r="BA14" s="758">
        <f>SUBTOTAL(9,CantidadesConsolidadas[[#This Row],[91013913]:[48655]])</f>
        <v>1561.1200000000001</v>
      </c>
      <c r="BB14" s="638">
        <f>ROUND(CantidadesConsolidadas[[#This Row],[Total]]*CantidadesConsolidadas[[#This Row],[VU]],0)</f>
        <v>260986480</v>
      </c>
    </row>
    <row r="15" spans="1:54" ht="29.4" thickBot="1" x14ac:dyDescent="0.35">
      <c r="A15">
        <v>4157</v>
      </c>
      <c r="B15" s="606" t="str">
        <f>+_xlfn.XLOOKUP(CantidadesConsolidadas[[#This Row],[cod Idu]],APU_IDU[Código],APU_IDU[Nombre],"",0)</f>
        <v>BASE GRANULAR CLASE B (BG_B) (SUMINISTRO, EXTENDIDO, NIVELACIÓN, HUMEDECIMIENTO Y COMPACTACIÓN CON VIBROCOMPACTADOR)</v>
      </c>
      <c r="C15" s="609" t="str">
        <f>+_xlfn.XLOOKUP(CantidadesConsolidadas[[#This Row],[cod Idu]],APU_IDU[Código],APU_IDU[UM],"",0)</f>
        <v>M3</v>
      </c>
      <c r="D15" s="743">
        <f>+_xlfn.XLOOKUP(CantidadesConsolidadas[[#This Row],[cod Idu]],APU_IDU[Código],APU_IDU[Valor],"",0)</f>
        <v>233666</v>
      </c>
      <c r="E15" s="497">
        <f>ROUND(SUMIFS(Cantidades[91013913],Cantidades[cod Idu],'CantidadesConsolidadas'!$A15),2)</f>
        <v>0</v>
      </c>
      <c r="F15" s="497">
        <f>ROUND(SUMIFS(Cantidades[472330],Cantidades[cod Idu],'CantidadesConsolidadas'!$A15),2)</f>
        <v>181.5</v>
      </c>
      <c r="G15" s="497">
        <f>ROUND(SUMIFS(Cantidades[167810],Cantidades[cod Idu],'CantidadesConsolidadas'!$A15),2)</f>
        <v>195.28</v>
      </c>
      <c r="H15" s="497">
        <f>ROUND(SUMIFS(Cantidades[166646],Cantidades[cod Idu],'CantidadesConsolidadas'!$A15),2)</f>
        <v>118.7</v>
      </c>
      <c r="I15" s="497">
        <f>ROUND(SUMIFS(Cantidades[167491],Cantidades[cod Idu],'CantidadesConsolidadas'!$A15),2)</f>
        <v>0</v>
      </c>
      <c r="J15" s="497">
        <f>ROUND(SUMIFS(Cantidades[167266],Cantidades[cod Idu],'CantidadesConsolidadas'!$A15),2)</f>
        <v>141.75</v>
      </c>
      <c r="K15" s="497">
        <f>ROUND(SUMIFS(Cantidades[170896],Cantidades[cod Idu],'CantidadesConsolidadas'!$A15),2)</f>
        <v>22.5</v>
      </c>
      <c r="L15" s="497">
        <f>ROUND(SUMIFS(Cantidades[170897],Cantidades[cod Idu],'CantidadesConsolidadas'!$A15),2)</f>
        <v>25.09</v>
      </c>
      <c r="M15" s="497">
        <f>ROUND(SUMIFS(Cantidades[170898],Cantidades[cod Idu],'CantidadesConsolidadas'!$A15),2)</f>
        <v>0</v>
      </c>
      <c r="N15" s="497">
        <f>ROUND(SUMIFS(Cantidades[91064150],Cantidades[cod Idu],'CantidadesConsolidadas'!$A15),2)</f>
        <v>29.66</v>
      </c>
      <c r="O15" s="497">
        <f>ROUND(SUMIFS(Cantidades[168919],Cantidades[cod Idu],'CantidadesConsolidadas'!$A15),2)</f>
        <v>121.11</v>
      </c>
      <c r="P15" s="497">
        <f>ROUND(SUMIFS(Cantidades[168426],Cantidades[cod Idu],'CantidadesConsolidadas'!$A15),2)</f>
        <v>106.68</v>
      </c>
      <c r="Q15" s="497">
        <f>ROUND(SUMIFS(Cantidades[91020796],Cantidades[cod Idu],'CantidadesConsolidadas'!$A15),2)</f>
        <v>23.36</v>
      </c>
      <c r="R15" s="497">
        <f>ROUND(SUMIFS(Cantidades[176184],Cantidades[cod Idu],'CantidadesConsolidadas'!$A15),2)</f>
        <v>47.53</v>
      </c>
      <c r="S15" s="497">
        <f>ROUND(SUMIFS(Cantidades[167636],Cantidades[cod Idu],'CantidadesConsolidadas'!$A15),2)</f>
        <v>0</v>
      </c>
      <c r="T15" s="497">
        <f>ROUND(SUMIFS(Cantidades[176730],Cantidades[cod Idu],'CantidadesConsolidadas'!$A15),2)</f>
        <v>0</v>
      </c>
      <c r="U15" s="497">
        <f>ROUND(SUMIFS(Cantidades[173038],Cantidades[cod Idu],'CantidadesConsolidadas'!$A15),2)</f>
        <v>0</v>
      </c>
      <c r="V15" s="497">
        <f>ROUND(SUMIFS(Cantidades[170222],Cantidades[cod Idu],'CantidadesConsolidadas'!$A15),2)</f>
        <v>0</v>
      </c>
      <c r="W15" s="497">
        <f>ROUND(SUMIFS(Cantidades[170229],Cantidades[cod Idu],'CantidadesConsolidadas'!$A15),2)</f>
        <v>0</v>
      </c>
      <c r="X15" s="497">
        <f>ROUND(SUMIFS(Cantidades[170227],Cantidades[cod Idu],'CantidadesConsolidadas'!$A15),2)</f>
        <v>37.590000000000003</v>
      </c>
      <c r="Y15" s="497">
        <f>ROUND(SUMIFS(Cantidades[170226],Cantidades[cod Idu],'CantidadesConsolidadas'!$A15),2)</f>
        <v>0</v>
      </c>
      <c r="Z15" s="497">
        <f>ROUND(SUMIFS(Cantidades[171567],Cantidades[cod Idu],'CantidadesConsolidadas'!$A15),2)</f>
        <v>0</v>
      </c>
      <c r="AA15" s="497">
        <f>ROUND(SUMIFS(Cantidades[166632],Cantidades[cod Idu],'CantidadesConsolidadas'!$A15),2)</f>
        <v>0</v>
      </c>
      <c r="AB15" s="497">
        <f>ROUND(SUMIFS(Cantidades[170228],Cantidades[cod Idu],'CantidadesConsolidadas'!$A15),2)</f>
        <v>0</v>
      </c>
      <c r="AC15" s="497">
        <f>ROUND(SUMIFS(Cantidades[172926],Cantidades[cod Idu],'CantidadesConsolidadas'!$A15),2)</f>
        <v>0</v>
      </c>
      <c r="AD15" s="497">
        <f>ROUND(SUMIFS(Cantidades[171152],Cantidades[cod Idu],'CantidadesConsolidadas'!$A15),2)</f>
        <v>0</v>
      </c>
      <c r="AE15" s="497">
        <f>ROUND(SUMIFS(Cantidades[173058],Cantidades[cod Idu],'CantidadesConsolidadas'!$A15),2)</f>
        <v>39.33</v>
      </c>
      <c r="AF15" s="726">
        <f>ROUND(SUMIFS(Cantidades[174478],Cantidades[cod Idu],'CantidadesConsolidadas'!$A15),2)</f>
        <v>0</v>
      </c>
      <c r="AG15" s="726">
        <f>ROUND(SUMIFS(Cantidades[91010089],Cantidades[cod Idu],'CantidadesConsolidadas'!$A15),2)</f>
        <v>0</v>
      </c>
      <c r="AH15" s="726">
        <f>ROUND(SUMIFS(Cantidades[176122],Cantidades[cod Idu],'CantidadesConsolidadas'!$A15),2)</f>
        <v>0</v>
      </c>
      <c r="AI15" s="726">
        <f>ROUND(SUMIFS(Cantidades[168536],Cantidades[cod Idu],'CantidadesConsolidadas'!$A15),2)</f>
        <v>0</v>
      </c>
      <c r="AJ15" s="497">
        <f>ROUND(SUMIFS(Cantidades[166934],Cantidades[cod Idu],'CantidadesConsolidadas'!$A15),2)</f>
        <v>234.78</v>
      </c>
      <c r="AK15" s="497">
        <f>ROUND(SUMIFS(Cantidades[174353],Cantidades[cod Idu],'CantidadesConsolidadas'!$A15),2)</f>
        <v>131.4</v>
      </c>
      <c r="AL15" s="751">
        <f>ROUND(SUMIFS(Cantidades[52531],Cantidades[cod Idu],'CantidadesConsolidadas'!$A15),2)</f>
        <v>0</v>
      </c>
      <c r="AM15" s="500">
        <f>ROUND(SUMIFS(Cantidades[52456],Cantidades[cod Idu],'CantidadesConsolidadas'!$A15),2)</f>
        <v>0</v>
      </c>
      <c r="AN15" s="500">
        <f>ROUND(SUMIFS(Cantidades[92058103],Cantidades[cod Idu],'CantidadesConsolidadas'!$A15),2)</f>
        <v>0</v>
      </c>
      <c r="AO15" s="500">
        <f>ROUND(SUMIFS(Cantidades[20011114],Cantidades[cod Idu],'CantidadesConsolidadas'!$A15),2)</f>
        <v>0</v>
      </c>
      <c r="AP15" s="500">
        <f>ROUND(SUMIFS(Cantidades[20013540],Cantidades[cod Idu],'CantidadesConsolidadas'!$A15),2)</f>
        <v>0</v>
      </c>
      <c r="AQ15" s="500">
        <f>ROUND(SUMIFS(Cantidades[55337],Cantidades[cod Idu],'CantidadesConsolidadas'!$A15),2)</f>
        <v>0</v>
      </c>
      <c r="AR15" s="500">
        <f>ROUND(SUMIFS(Cantidades[92087422],Cantidades[cod Idu],'CantidadesConsolidadas'!$A15),2)</f>
        <v>0</v>
      </c>
      <c r="AS15" s="500">
        <f>ROUND(SUMIFS(Cantidades[55259],Cantidades[cod Idu],'CantidadesConsolidadas'!$A15),2)</f>
        <v>0</v>
      </c>
      <c r="AT15" s="500">
        <f>ROUND(SUMIFS(Cantidades[466904],Cantidades[cod Idu],'CantidadesConsolidadas'!$A15),2)</f>
        <v>0</v>
      </c>
      <c r="AU15" s="500">
        <f>ROUND(SUMIFS(Cantidades[48591],Cantidades[cod Idu],'CantidadesConsolidadas'!$A15),2)</f>
        <v>0</v>
      </c>
      <c r="AV15" s="500">
        <f>ROUND(SUMIFS(Cantidades[48590],Cantidades[cod Idu],'CantidadesConsolidadas'!$A15),2)</f>
        <v>0</v>
      </c>
      <c r="AW15" s="500">
        <f>ROUND(SUMIFS(Cantidades[48561],Cantidades[cod Idu],'CantidadesConsolidadas'!$A15),2)</f>
        <v>0</v>
      </c>
      <c r="AX15" s="805">
        <f>ROUND(SUMIFS(Cantidades[48560],Cantidades[cod Idu],'CantidadesConsolidadas'!$A15),2)</f>
        <v>0</v>
      </c>
      <c r="AY15" s="805">
        <f>ROUND(SUMIFS(Cantidades[48657],Cantidades[cod Idu],'CantidadesConsolidadas'!$A15),2)</f>
        <v>0</v>
      </c>
      <c r="AZ15" s="752">
        <f>ROUND(SUMIFS(Cantidades[48655],Cantidades[cod Idu],'CantidadesConsolidadas'!$A15),2)</f>
        <v>0</v>
      </c>
      <c r="BA15" s="758">
        <f>SUBTOTAL(9,CantidadesConsolidadas[[#This Row],[91013913]:[48655]])</f>
        <v>1456.26</v>
      </c>
      <c r="BB15" s="638">
        <f>ROUND(CantidadesConsolidadas[[#This Row],[Total]]*CantidadesConsolidadas[[#This Row],[VU]],0)</f>
        <v>340278449</v>
      </c>
    </row>
    <row r="16" spans="1:54" ht="29.4" thickBot="1" x14ac:dyDescent="0.35">
      <c r="A16">
        <v>4743</v>
      </c>
      <c r="B16" s="606" t="str">
        <f>+_xlfn.XLOOKUP(CantidadesConsolidadas[[#This Row],[cod Idu]],APU_IDU[Código],APU_IDU[Nombre],"",0)</f>
        <v>BASE GRANULAR CLASE B (BG_B) CON RECICLADO DE CONCRETO (SUMINISTRO, EXTENDIDO, NIVELACIÓN, HUMEDECIMIENTO Y COMPACTACIÓN CON VIBROCOMPACTADOR)</v>
      </c>
      <c r="C16" s="609" t="str">
        <f>+_xlfn.XLOOKUP(CantidadesConsolidadas[[#This Row],[cod Idu]],APU_IDU[Código],APU_IDU[UM],"",0)</f>
        <v>M3</v>
      </c>
      <c r="D16" s="743">
        <f>+_xlfn.XLOOKUP(CantidadesConsolidadas[[#This Row],[cod Idu]],APU_IDU[Código],APU_IDU[Valor],"",0)</f>
        <v>179874</v>
      </c>
      <c r="E16" s="497">
        <f>ROUND(SUMIFS(Cantidades[91013913],Cantidades[cod Idu],'CantidadesConsolidadas'!$A16),2)</f>
        <v>446.72</v>
      </c>
      <c r="F16" s="497">
        <f>ROUND(SUMIFS(Cantidades[472330],Cantidades[cod Idu],'CantidadesConsolidadas'!$A16),2)</f>
        <v>0</v>
      </c>
      <c r="G16" s="497">
        <f>ROUND(SUMIFS(Cantidades[167810],Cantidades[cod Idu],'CantidadesConsolidadas'!$A16),2)</f>
        <v>0</v>
      </c>
      <c r="H16" s="497">
        <f>ROUND(SUMIFS(Cantidades[166646],Cantidades[cod Idu],'CantidadesConsolidadas'!$A16),2)</f>
        <v>0</v>
      </c>
      <c r="I16" s="497">
        <f>ROUND(SUMIFS(Cantidades[167491],Cantidades[cod Idu],'CantidadesConsolidadas'!$A16),2)</f>
        <v>110.53</v>
      </c>
      <c r="J16" s="497">
        <f>ROUND(SUMIFS(Cantidades[167266],Cantidades[cod Idu],'CantidadesConsolidadas'!$A16),2)</f>
        <v>0</v>
      </c>
      <c r="K16" s="497">
        <f>ROUND(SUMIFS(Cantidades[170896],Cantidades[cod Idu],'CantidadesConsolidadas'!$A16),2)</f>
        <v>0</v>
      </c>
      <c r="L16" s="497">
        <f>ROUND(SUMIFS(Cantidades[170897],Cantidades[cod Idu],'CantidadesConsolidadas'!$A16),2)</f>
        <v>0</v>
      </c>
      <c r="M16" s="497">
        <f>ROUND(SUMIFS(Cantidades[170898],Cantidades[cod Idu],'CantidadesConsolidadas'!$A16),2)</f>
        <v>0</v>
      </c>
      <c r="N16" s="497">
        <f>ROUND(SUMIFS(Cantidades[91064150],Cantidades[cod Idu],'CantidadesConsolidadas'!$A16),2)</f>
        <v>0</v>
      </c>
      <c r="O16" s="497">
        <f>ROUND(SUMIFS(Cantidades[168919],Cantidades[cod Idu],'CantidadesConsolidadas'!$A16),2)</f>
        <v>0</v>
      </c>
      <c r="P16" s="497">
        <f>ROUND(SUMIFS(Cantidades[168426],Cantidades[cod Idu],'CantidadesConsolidadas'!$A16),2)</f>
        <v>0</v>
      </c>
      <c r="Q16" s="497">
        <f>ROUND(SUMIFS(Cantidades[91020796],Cantidades[cod Idu],'CantidadesConsolidadas'!$A16),2)</f>
        <v>35.03</v>
      </c>
      <c r="R16" s="497">
        <f>ROUND(SUMIFS(Cantidades[176184],Cantidades[cod Idu],'CantidadesConsolidadas'!$A16),2)</f>
        <v>71.3</v>
      </c>
      <c r="S16" s="497">
        <f>ROUND(SUMIFS(Cantidades[167636],Cantidades[cod Idu],'CantidadesConsolidadas'!$A16),2)</f>
        <v>133.35</v>
      </c>
      <c r="T16" s="497">
        <f>ROUND(SUMIFS(Cantidades[176730],Cantidades[cod Idu],'CantidadesConsolidadas'!$A16),2)</f>
        <v>28.94</v>
      </c>
      <c r="U16" s="497">
        <f>ROUND(SUMIFS(Cantidades[173038],Cantidades[cod Idu],'CantidadesConsolidadas'!$A16),2)</f>
        <v>123.86</v>
      </c>
      <c r="V16" s="497">
        <f>ROUND(SUMIFS(Cantidades[170222],Cantidades[cod Idu],'CantidadesConsolidadas'!$A16),2)</f>
        <v>211.46</v>
      </c>
      <c r="W16" s="497">
        <f>ROUND(SUMIFS(Cantidades[170229],Cantidades[cod Idu],'CantidadesConsolidadas'!$A16),2)</f>
        <v>0</v>
      </c>
      <c r="X16" s="497">
        <f>ROUND(SUMIFS(Cantidades[170227],Cantidades[cod Idu],'CantidadesConsolidadas'!$A16),2)</f>
        <v>0</v>
      </c>
      <c r="Y16" s="497">
        <f>ROUND(SUMIFS(Cantidades[170226],Cantidades[cod Idu],'CantidadesConsolidadas'!$A16),2)</f>
        <v>0</v>
      </c>
      <c r="Z16" s="497">
        <f>ROUND(SUMIFS(Cantidades[171567],Cantidades[cod Idu],'CantidadesConsolidadas'!$A16),2)</f>
        <v>0</v>
      </c>
      <c r="AA16" s="497">
        <f>ROUND(SUMIFS(Cantidades[166632],Cantidades[cod Idu],'CantidadesConsolidadas'!$A16),2)</f>
        <v>65.47</v>
      </c>
      <c r="AB16" s="497">
        <f>ROUND(SUMIFS(Cantidades[170228],Cantidades[cod Idu],'CantidadesConsolidadas'!$A16),2)</f>
        <v>61.54</v>
      </c>
      <c r="AC16" s="497">
        <f>ROUND(SUMIFS(Cantidades[172926],Cantidades[cod Idu],'CantidadesConsolidadas'!$A16),2)</f>
        <v>28.89</v>
      </c>
      <c r="AD16" s="497">
        <f>ROUND(SUMIFS(Cantidades[171152],Cantidades[cod Idu],'CantidadesConsolidadas'!$A16),2)</f>
        <v>0</v>
      </c>
      <c r="AE16" s="497">
        <f>ROUND(SUMIFS(Cantidades[173058],Cantidades[cod Idu],'CantidadesConsolidadas'!$A16),2)</f>
        <v>0</v>
      </c>
      <c r="AF16" s="726">
        <f>ROUND(SUMIFS(Cantidades[174478],Cantidades[cod Idu],'CantidadesConsolidadas'!$A16),2)</f>
        <v>0</v>
      </c>
      <c r="AG16" s="726">
        <f>ROUND(SUMIFS(Cantidades[91010089],Cantidades[cod Idu],'CantidadesConsolidadas'!$A16),2)</f>
        <v>0</v>
      </c>
      <c r="AH16" s="726">
        <f>ROUND(SUMIFS(Cantidades[176122],Cantidades[cod Idu],'CantidadesConsolidadas'!$A16),2)</f>
        <v>0</v>
      </c>
      <c r="AI16" s="726">
        <f>ROUND(SUMIFS(Cantidades[168536],Cantidades[cod Idu],'CantidadesConsolidadas'!$A16),2)</f>
        <v>0</v>
      </c>
      <c r="AJ16" s="497">
        <f>ROUND(SUMIFS(Cantidades[166934],Cantidades[cod Idu],'CantidadesConsolidadas'!$A16),2)</f>
        <v>0</v>
      </c>
      <c r="AK16" s="497">
        <f>ROUND(SUMIFS(Cantidades[174353],Cantidades[cod Idu],'CantidadesConsolidadas'!$A16),2)</f>
        <v>0</v>
      </c>
      <c r="AL16" s="751">
        <f>ROUND(SUMIFS(Cantidades[52531],Cantidades[cod Idu],'CantidadesConsolidadas'!$A16),2)</f>
        <v>0</v>
      </c>
      <c r="AM16" s="500">
        <f>ROUND(SUMIFS(Cantidades[52456],Cantidades[cod Idu],'CantidadesConsolidadas'!$A16),2)</f>
        <v>0</v>
      </c>
      <c r="AN16" s="500">
        <f>ROUND(SUMIFS(Cantidades[92058103],Cantidades[cod Idu],'CantidadesConsolidadas'!$A16),2)</f>
        <v>0</v>
      </c>
      <c r="AO16" s="500">
        <f>ROUND(SUMIFS(Cantidades[20011114],Cantidades[cod Idu],'CantidadesConsolidadas'!$A16),2)</f>
        <v>0</v>
      </c>
      <c r="AP16" s="500">
        <f>ROUND(SUMIFS(Cantidades[20013540],Cantidades[cod Idu],'CantidadesConsolidadas'!$A16),2)</f>
        <v>0</v>
      </c>
      <c r="AQ16" s="500">
        <f>ROUND(SUMIFS(Cantidades[55337],Cantidades[cod Idu],'CantidadesConsolidadas'!$A16),2)</f>
        <v>0</v>
      </c>
      <c r="AR16" s="500">
        <f>ROUND(SUMIFS(Cantidades[92087422],Cantidades[cod Idu],'CantidadesConsolidadas'!$A16),2)</f>
        <v>0</v>
      </c>
      <c r="AS16" s="500">
        <f>ROUND(SUMIFS(Cantidades[55259],Cantidades[cod Idu],'CantidadesConsolidadas'!$A16),2)</f>
        <v>0</v>
      </c>
      <c r="AT16" s="500">
        <f>ROUND(SUMIFS(Cantidades[466904],Cantidades[cod Idu],'CantidadesConsolidadas'!$A16),2)</f>
        <v>0</v>
      </c>
      <c r="AU16" s="500">
        <f>ROUND(SUMIFS(Cantidades[48591],Cantidades[cod Idu],'CantidadesConsolidadas'!$A16),2)</f>
        <v>0</v>
      </c>
      <c r="AV16" s="500">
        <f>ROUND(SUMIFS(Cantidades[48590],Cantidades[cod Idu],'CantidadesConsolidadas'!$A16),2)</f>
        <v>0</v>
      </c>
      <c r="AW16" s="500">
        <f>ROUND(SUMIFS(Cantidades[48561],Cantidades[cod Idu],'CantidadesConsolidadas'!$A16),2)</f>
        <v>0</v>
      </c>
      <c r="AX16" s="805">
        <f>ROUND(SUMIFS(Cantidades[48560],Cantidades[cod Idu],'CantidadesConsolidadas'!$A16),2)</f>
        <v>0</v>
      </c>
      <c r="AY16" s="805">
        <f>ROUND(SUMIFS(Cantidades[48657],Cantidades[cod Idu],'CantidadesConsolidadas'!$A16),2)</f>
        <v>0</v>
      </c>
      <c r="AZ16" s="752">
        <f>ROUND(SUMIFS(Cantidades[48655],Cantidades[cod Idu],'CantidadesConsolidadas'!$A16),2)</f>
        <v>0</v>
      </c>
      <c r="BA16" s="758">
        <f>SUBTOTAL(9,CantidadesConsolidadas[[#This Row],[91013913]:[48655]])</f>
        <v>1317.0900000000001</v>
      </c>
      <c r="BB16" s="638">
        <f>ROUND(CantidadesConsolidadas[[#This Row],[Total]]*CantidadesConsolidadas[[#This Row],[VU]],0)</f>
        <v>236910247</v>
      </c>
    </row>
    <row r="17" spans="1:54" ht="29.4" thickBot="1" x14ac:dyDescent="0.35">
      <c r="A17">
        <v>3012</v>
      </c>
      <c r="B17" s="606" t="str">
        <f>+_xlfn.XLOOKUP(CantidadesConsolidadas[[#This Row],[cod Idu]],APU_IDU[Código],APU_IDU[Nombre],"",0)</f>
        <v>DEMOLICIÓN PISOS DE CONCRETO (ESPESOR VARIABLE HASTA 0.10 M. INCLUYE CARGUE). NO INCLUYE TRANSPORTE Y DISPOSICIÓN FINAL DE SOBRANTES.</v>
      </c>
      <c r="C17" s="609" t="str">
        <f>+_xlfn.XLOOKUP(CantidadesConsolidadas[[#This Row],[cod Idu]],APU_IDU[Código],APU_IDU[UM],"",0)</f>
        <v>M2</v>
      </c>
      <c r="D17" s="743">
        <f>+_xlfn.XLOOKUP(CantidadesConsolidadas[[#This Row],[cod Idu]],APU_IDU[Código],APU_IDU[Valor],"",0)</f>
        <v>9583</v>
      </c>
      <c r="E17" s="497">
        <f>ROUND(SUMIFS(Cantidades[91013913],Cantidades[cod Idu],'CantidadesConsolidadas'!$A17),2)</f>
        <v>0</v>
      </c>
      <c r="F17" s="497">
        <f>ROUND(SUMIFS(Cantidades[472330],Cantidades[cod Idu],'CantidadesConsolidadas'!$A17),2)</f>
        <v>0</v>
      </c>
      <c r="G17" s="497">
        <f>ROUND(SUMIFS(Cantidades[167810],Cantidades[cod Idu],'CantidadesConsolidadas'!$A17),2)</f>
        <v>0</v>
      </c>
      <c r="H17" s="497">
        <f>ROUND(SUMIFS(Cantidades[166646],Cantidades[cod Idu],'CantidadesConsolidadas'!$A17),2)</f>
        <v>0</v>
      </c>
      <c r="I17" s="497">
        <f>ROUND(SUMIFS(Cantidades[167491],Cantidades[cod Idu],'CantidadesConsolidadas'!$A17),2)</f>
        <v>0</v>
      </c>
      <c r="J17" s="497">
        <f>ROUND(SUMIFS(Cantidades[167266],Cantidades[cod Idu],'CantidadesConsolidadas'!$A17),2)</f>
        <v>0</v>
      </c>
      <c r="K17" s="497">
        <f>ROUND(SUMIFS(Cantidades[170896],Cantidades[cod Idu],'CantidadesConsolidadas'!$A17),2)</f>
        <v>3</v>
      </c>
      <c r="L17" s="497">
        <f>ROUND(SUMIFS(Cantidades[170897],Cantidades[cod Idu],'CantidadesConsolidadas'!$A17),2)</f>
        <v>0</v>
      </c>
      <c r="M17" s="497">
        <f>ROUND(SUMIFS(Cantidades[170898],Cantidades[cod Idu],'CantidadesConsolidadas'!$A17),2)</f>
        <v>0</v>
      </c>
      <c r="N17" s="497">
        <f>ROUND(SUMIFS(Cantidades[91064150],Cantidades[cod Idu],'CantidadesConsolidadas'!$A17),2)</f>
        <v>0</v>
      </c>
      <c r="O17" s="497">
        <f>ROUND(SUMIFS(Cantidades[168919],Cantidades[cod Idu],'CantidadesConsolidadas'!$A17),2)</f>
        <v>0</v>
      </c>
      <c r="P17" s="497">
        <f>ROUND(SUMIFS(Cantidades[168426],Cantidades[cod Idu],'CantidadesConsolidadas'!$A17),2)</f>
        <v>0</v>
      </c>
      <c r="Q17" s="497">
        <f>ROUND(SUMIFS(Cantidades[91020796],Cantidades[cod Idu],'CantidadesConsolidadas'!$A17),2)</f>
        <v>0</v>
      </c>
      <c r="R17" s="497">
        <f>ROUND(SUMIFS(Cantidades[176184],Cantidades[cod Idu],'CantidadesConsolidadas'!$A17),2)</f>
        <v>5</v>
      </c>
      <c r="S17" s="497">
        <f>ROUND(SUMIFS(Cantidades[167636],Cantidades[cod Idu],'CantidadesConsolidadas'!$A17),2)</f>
        <v>0</v>
      </c>
      <c r="T17" s="497">
        <f>ROUND(SUMIFS(Cantidades[176730],Cantidades[cod Idu],'CantidadesConsolidadas'!$A17),2)</f>
        <v>0</v>
      </c>
      <c r="U17" s="497">
        <f>ROUND(SUMIFS(Cantidades[173038],Cantidades[cod Idu],'CantidadesConsolidadas'!$A17),2)</f>
        <v>0</v>
      </c>
      <c r="V17" s="497">
        <f>ROUND(SUMIFS(Cantidades[170222],Cantidades[cod Idu],'CantidadesConsolidadas'!$A17),2)</f>
        <v>0</v>
      </c>
      <c r="W17" s="497">
        <f>ROUND(SUMIFS(Cantidades[170229],Cantidades[cod Idu],'CantidadesConsolidadas'!$A17),2)</f>
        <v>0</v>
      </c>
      <c r="X17" s="497">
        <f>ROUND(SUMIFS(Cantidades[170227],Cantidades[cod Idu],'CantidadesConsolidadas'!$A17),2)</f>
        <v>0</v>
      </c>
      <c r="Y17" s="497">
        <f>ROUND(SUMIFS(Cantidades[170226],Cantidades[cod Idu],'CantidadesConsolidadas'!$A17),2)</f>
        <v>0</v>
      </c>
      <c r="Z17" s="497">
        <f>ROUND(SUMIFS(Cantidades[171567],Cantidades[cod Idu],'CantidadesConsolidadas'!$A17),2)</f>
        <v>0</v>
      </c>
      <c r="AA17" s="497">
        <f>ROUND(SUMIFS(Cantidades[166632],Cantidades[cod Idu],'CantidadesConsolidadas'!$A17),2)</f>
        <v>0</v>
      </c>
      <c r="AB17" s="497">
        <f>ROUND(SUMIFS(Cantidades[170228],Cantidades[cod Idu],'CantidadesConsolidadas'!$A17),2)</f>
        <v>0</v>
      </c>
      <c r="AC17" s="497">
        <f>ROUND(SUMIFS(Cantidades[172926],Cantidades[cod Idu],'CantidadesConsolidadas'!$A17),2)</f>
        <v>0</v>
      </c>
      <c r="AD17" s="497">
        <f>ROUND(SUMIFS(Cantidades[171152],Cantidades[cod Idu],'CantidadesConsolidadas'!$A17),2)</f>
        <v>0</v>
      </c>
      <c r="AE17" s="497">
        <f>ROUND(SUMIFS(Cantidades[173058],Cantidades[cod Idu],'CantidadesConsolidadas'!$A17),2)</f>
        <v>0</v>
      </c>
      <c r="AF17" s="726">
        <f>ROUND(SUMIFS(Cantidades[174478],Cantidades[cod Idu],'CantidadesConsolidadas'!$A17),2)</f>
        <v>0</v>
      </c>
      <c r="AG17" s="726">
        <f>ROUND(SUMIFS(Cantidades[91010089],Cantidades[cod Idu],'CantidadesConsolidadas'!$A17),2)</f>
        <v>0</v>
      </c>
      <c r="AH17" s="726">
        <f>ROUND(SUMIFS(Cantidades[176122],Cantidades[cod Idu],'CantidadesConsolidadas'!$A17),2)</f>
        <v>0</v>
      </c>
      <c r="AI17" s="726">
        <f>ROUND(SUMIFS(Cantidades[168536],Cantidades[cod Idu],'CantidadesConsolidadas'!$A17),2)</f>
        <v>0</v>
      </c>
      <c r="AJ17" s="497">
        <f>ROUND(SUMIFS(Cantidades[166934],Cantidades[cod Idu],'CantidadesConsolidadas'!$A17),2)</f>
        <v>0</v>
      </c>
      <c r="AK17" s="497">
        <f>ROUND(SUMIFS(Cantidades[174353],Cantidades[cod Idu],'CantidadesConsolidadas'!$A17),2)</f>
        <v>0</v>
      </c>
      <c r="AL17" s="751">
        <f>ROUND(SUMIFS(Cantidades[52531],Cantidades[cod Idu],'CantidadesConsolidadas'!$A17),2)</f>
        <v>0</v>
      </c>
      <c r="AM17" s="500">
        <f>ROUND(SUMIFS(Cantidades[52456],Cantidades[cod Idu],'CantidadesConsolidadas'!$A17),2)</f>
        <v>0</v>
      </c>
      <c r="AN17" s="500">
        <f>ROUND(SUMIFS(Cantidades[92058103],Cantidades[cod Idu],'CantidadesConsolidadas'!$A17),2)</f>
        <v>30.97</v>
      </c>
      <c r="AO17" s="500">
        <f>ROUND(SUMIFS(Cantidades[20011114],Cantidades[cod Idu],'CantidadesConsolidadas'!$A17),2)</f>
        <v>155.35</v>
      </c>
      <c r="AP17" s="500">
        <f>ROUND(SUMIFS(Cantidades[20013540],Cantidades[cod Idu],'CantidadesConsolidadas'!$A17),2)</f>
        <v>67.83</v>
      </c>
      <c r="AQ17" s="500">
        <f>ROUND(SUMIFS(Cantidades[55337],Cantidades[cod Idu],'CantidadesConsolidadas'!$A17),2)</f>
        <v>174.27</v>
      </c>
      <c r="AR17" s="500">
        <f>ROUND(SUMIFS(Cantidades[92087422],Cantidades[cod Idu],'CantidadesConsolidadas'!$A17),2)</f>
        <v>267.25</v>
      </c>
      <c r="AS17" s="500">
        <f>ROUND(SUMIFS(Cantidades[55259],Cantidades[cod Idu],'CantidadesConsolidadas'!$A17),2)</f>
        <v>360.09</v>
      </c>
      <c r="AT17" s="500">
        <f>ROUND(SUMIFS(Cantidades[466904],Cantidades[cod Idu],'CantidadesConsolidadas'!$A17),2)</f>
        <v>19.02</v>
      </c>
      <c r="AU17" s="500">
        <f>ROUND(SUMIFS(Cantidades[48591],Cantidades[cod Idu],'CantidadesConsolidadas'!$A17),2)</f>
        <v>417.55</v>
      </c>
      <c r="AV17" s="500">
        <f>ROUND(SUMIFS(Cantidades[48590],Cantidades[cod Idu],'CantidadesConsolidadas'!$A17),2)</f>
        <v>430.38</v>
      </c>
      <c r="AW17" s="500">
        <f>ROUND(SUMIFS(Cantidades[48561],Cantidades[cod Idu],'CantidadesConsolidadas'!$A17),2)</f>
        <v>441.41</v>
      </c>
      <c r="AX17" s="805">
        <f>ROUND(SUMIFS(Cantidades[48560],Cantidades[cod Idu],'CantidadesConsolidadas'!$A17),2)</f>
        <v>445.04</v>
      </c>
      <c r="AY17" s="805">
        <f>ROUND(SUMIFS(Cantidades[48657],Cantidades[cod Idu],'CantidadesConsolidadas'!$A17),2)</f>
        <v>216.48</v>
      </c>
      <c r="AZ17" s="752">
        <f>ROUND(SUMIFS(Cantidades[48655],Cantidades[cod Idu],'CantidadesConsolidadas'!$A17),2)</f>
        <v>67.69</v>
      </c>
      <c r="BA17" s="758">
        <f>SUBTOTAL(9,CantidadesConsolidadas[[#This Row],[91013913]:[48655]])</f>
        <v>3101.33</v>
      </c>
      <c r="BB17" s="638">
        <f>ROUND(CantidadesConsolidadas[[#This Row],[Total]]*CantidadesConsolidadas[[#This Row],[VU]],0)</f>
        <v>29720045</v>
      </c>
    </row>
    <row r="18" spans="1:54" ht="29.4" thickBot="1" x14ac:dyDescent="0.35">
      <c r="A18">
        <v>3864</v>
      </c>
      <c r="B18" s="606" t="str">
        <f>+_xlfn.XLOOKUP(CantidadesConsolidadas[[#This Row],[cod Idu]],APU_IDU[Código],APU_IDU[Nombre],"",0)</f>
        <v>IMPRIMACION CON EMULSION ASFALTICA CRL-0 (SUMINISTRO, BARRIDO SUPERFICIE Y RIEGO MECANICO)</v>
      </c>
      <c r="C18" s="609" t="str">
        <f>+_xlfn.XLOOKUP(CantidadesConsolidadas[[#This Row],[cod Idu]],APU_IDU[Código],APU_IDU[UM],"",0)</f>
        <v>M2</v>
      </c>
      <c r="D18" s="743">
        <f>+_xlfn.XLOOKUP(CantidadesConsolidadas[[#This Row],[cod Idu]],APU_IDU[Código],APU_IDU[Valor],"",0)</f>
        <v>3384</v>
      </c>
      <c r="E18" s="497">
        <f>ROUND(SUMIFS(Cantidades[91013913],Cantidades[cod Idu],'CantidadesConsolidadas'!$A18),2)</f>
        <v>0</v>
      </c>
      <c r="F18" s="497">
        <f>ROUND(SUMIFS(Cantidades[472330],Cantidades[cod Idu],'CantidadesConsolidadas'!$A18),2)</f>
        <v>726</v>
      </c>
      <c r="G18" s="497">
        <f>ROUND(SUMIFS(Cantidades[167810],Cantidades[cod Idu],'CantidadesConsolidadas'!$A18),2)</f>
        <v>781.12</v>
      </c>
      <c r="H18" s="497">
        <f>ROUND(SUMIFS(Cantidades[166646],Cantidades[cod Idu],'CantidadesConsolidadas'!$A18),2)</f>
        <v>474.81</v>
      </c>
      <c r="I18" s="497">
        <f>ROUND(SUMIFS(Cantidades[167491],Cantidades[cod Idu],'CantidadesConsolidadas'!$A18),2)</f>
        <v>442.11</v>
      </c>
      <c r="J18" s="497">
        <f>ROUND(SUMIFS(Cantidades[167266],Cantidades[cod Idu],'CantidadesConsolidadas'!$A18),2)</f>
        <v>567.01</v>
      </c>
      <c r="K18" s="497">
        <f>ROUND(SUMIFS(Cantidades[170896],Cantidades[cod Idu],'CantidadesConsolidadas'!$A18),2)</f>
        <v>112.52</v>
      </c>
      <c r="L18" s="497">
        <f>ROUND(SUMIFS(Cantidades[170897],Cantidades[cod Idu],'CantidadesConsolidadas'!$A18),2)</f>
        <v>125.44</v>
      </c>
      <c r="M18" s="497">
        <f>ROUND(SUMIFS(Cantidades[170898],Cantidades[cod Idu],'CantidadesConsolidadas'!$A18),2)</f>
        <v>49.89</v>
      </c>
      <c r="N18" s="497">
        <f>ROUND(SUMIFS(Cantidades[91064150],Cantidades[cod Idu],'CantidadesConsolidadas'!$A18),2)</f>
        <v>148.31</v>
      </c>
      <c r="O18" s="497">
        <f>ROUND(SUMIFS(Cantidades[168919],Cantidades[cod Idu],'CantidadesConsolidadas'!$A18),2)</f>
        <v>484.43</v>
      </c>
      <c r="P18" s="497">
        <f>ROUND(SUMIFS(Cantidades[168426],Cantidades[cod Idu],'CantidadesConsolidadas'!$A18),2)</f>
        <v>426.72</v>
      </c>
      <c r="Q18" s="497">
        <f>ROUND(SUMIFS(Cantidades[91020796],Cantidades[cod Idu],'CantidadesConsolidadas'!$A18),2)</f>
        <v>116.78</v>
      </c>
      <c r="R18" s="497">
        <f>ROUND(SUMIFS(Cantidades[176184],Cantidades[cod Idu],'CantidadesConsolidadas'!$A18),2)</f>
        <v>237.65</v>
      </c>
      <c r="S18" s="497">
        <f>ROUND(SUMIFS(Cantidades[167636],Cantidades[cod Idu],'CantidadesConsolidadas'!$A18),2)</f>
        <v>533.41</v>
      </c>
      <c r="T18" s="497">
        <f>ROUND(SUMIFS(Cantidades[176730],Cantidades[cod Idu],'CantidadesConsolidadas'!$A18),2)</f>
        <v>144.71</v>
      </c>
      <c r="U18" s="497">
        <f>ROUND(SUMIFS(Cantidades[173038],Cantidades[cod Idu],'CantidadesConsolidadas'!$A18),2)</f>
        <v>495.42</v>
      </c>
      <c r="V18" s="497">
        <f>ROUND(SUMIFS(Cantidades[170222],Cantidades[cod Idu],'CantidadesConsolidadas'!$A18),2)</f>
        <v>845.83</v>
      </c>
      <c r="W18" s="497">
        <f>ROUND(SUMIFS(Cantidades[170229],Cantidades[cod Idu],'CantidadesConsolidadas'!$A18),2)</f>
        <v>0</v>
      </c>
      <c r="X18" s="497">
        <f>ROUND(SUMIFS(Cantidades[170227],Cantidades[cod Idu],'CantidadesConsolidadas'!$A18),2)</f>
        <v>187.93</v>
      </c>
      <c r="Y18" s="497">
        <f>ROUND(SUMIFS(Cantidades[170226],Cantidades[cod Idu],'CantidadesConsolidadas'!$A18),2)</f>
        <v>102.95</v>
      </c>
      <c r="Z18" s="497">
        <f>ROUND(SUMIFS(Cantidades[171567],Cantidades[cod Idu],'CantidadesConsolidadas'!$A18),2)</f>
        <v>0</v>
      </c>
      <c r="AA18" s="497">
        <f>ROUND(SUMIFS(Cantidades[166632],Cantidades[cod Idu],'CantidadesConsolidadas'!$A18),2)</f>
        <v>327.35000000000002</v>
      </c>
      <c r="AB18" s="497">
        <f>ROUND(SUMIFS(Cantidades[170228],Cantidades[cod Idu],'CantidadesConsolidadas'!$A18),2)</f>
        <v>205.14</v>
      </c>
      <c r="AC18" s="497">
        <f>ROUND(SUMIFS(Cantidades[172926],Cantidades[cod Idu],'CantidadesConsolidadas'!$A18),2)</f>
        <v>144.43</v>
      </c>
      <c r="AD18" s="497">
        <f>ROUND(SUMIFS(Cantidades[171152],Cantidades[cod Idu],'CantidadesConsolidadas'!$A18),2)</f>
        <v>751.07</v>
      </c>
      <c r="AE18" s="497">
        <f>ROUND(SUMIFS(Cantidades[173058],Cantidades[cod Idu],'CantidadesConsolidadas'!$A18),2)</f>
        <v>196.67</v>
      </c>
      <c r="AF18" s="726">
        <f>ROUND(SUMIFS(Cantidades[174478],Cantidades[cod Idu],'CantidadesConsolidadas'!$A18),2)</f>
        <v>924.18</v>
      </c>
      <c r="AG18" s="726">
        <f>ROUND(SUMIFS(Cantidades[91010089],Cantidades[cod Idu],'CantidadesConsolidadas'!$A18),2)</f>
        <v>297.23</v>
      </c>
      <c r="AH18" s="726">
        <f>ROUND(SUMIFS(Cantidades[176122],Cantidades[cod Idu],'CantidadesConsolidadas'!$A18),2)</f>
        <v>693.96</v>
      </c>
      <c r="AI18" s="726">
        <f>ROUND(SUMIFS(Cantidades[168536],Cantidades[cod Idu],'CantidadesConsolidadas'!$A18),2)</f>
        <v>606.14</v>
      </c>
      <c r="AJ18" s="497">
        <f>ROUND(SUMIFS(Cantidades[166934],Cantidades[cod Idu],'CantidadesConsolidadas'!$A18),2)</f>
        <v>939.11</v>
      </c>
      <c r="AK18" s="497">
        <f>ROUND(SUMIFS(Cantidades[174353],Cantidades[cod Idu],'CantidadesConsolidadas'!$A18),2)</f>
        <v>525.6</v>
      </c>
      <c r="AL18" s="751">
        <f>ROUND(SUMIFS(Cantidades[52531],Cantidades[cod Idu],'CantidadesConsolidadas'!$A18),2)</f>
        <v>0</v>
      </c>
      <c r="AM18" s="500">
        <f>ROUND(SUMIFS(Cantidades[52456],Cantidades[cod Idu],'CantidadesConsolidadas'!$A18),2)</f>
        <v>0</v>
      </c>
      <c r="AN18" s="500">
        <f>ROUND(SUMIFS(Cantidades[92058103],Cantidades[cod Idu],'CantidadesConsolidadas'!$A18),2)</f>
        <v>0</v>
      </c>
      <c r="AO18" s="500">
        <f>ROUND(SUMIFS(Cantidades[20011114],Cantidades[cod Idu],'CantidadesConsolidadas'!$A18),2)</f>
        <v>0</v>
      </c>
      <c r="AP18" s="500">
        <f>ROUND(SUMIFS(Cantidades[20013540],Cantidades[cod Idu],'CantidadesConsolidadas'!$A18),2)</f>
        <v>0</v>
      </c>
      <c r="AQ18" s="500">
        <f>ROUND(SUMIFS(Cantidades[55337],Cantidades[cod Idu],'CantidadesConsolidadas'!$A18),2)</f>
        <v>0</v>
      </c>
      <c r="AR18" s="500">
        <f>ROUND(SUMIFS(Cantidades[92087422],Cantidades[cod Idu],'CantidadesConsolidadas'!$A18),2)</f>
        <v>0</v>
      </c>
      <c r="AS18" s="500">
        <f>ROUND(SUMIFS(Cantidades[55259],Cantidades[cod Idu],'CantidadesConsolidadas'!$A18),2)</f>
        <v>0</v>
      </c>
      <c r="AT18" s="500">
        <f>ROUND(SUMIFS(Cantidades[466904],Cantidades[cod Idu],'CantidadesConsolidadas'!$A18),2)</f>
        <v>0</v>
      </c>
      <c r="AU18" s="500">
        <f>ROUND(SUMIFS(Cantidades[48591],Cantidades[cod Idu],'CantidadesConsolidadas'!$A18),2)</f>
        <v>0</v>
      </c>
      <c r="AV18" s="500">
        <f>ROUND(SUMIFS(Cantidades[48590],Cantidades[cod Idu],'CantidadesConsolidadas'!$A18),2)</f>
        <v>0</v>
      </c>
      <c r="AW18" s="500">
        <f>ROUND(SUMIFS(Cantidades[48561],Cantidades[cod Idu],'CantidadesConsolidadas'!$A18),2)</f>
        <v>0</v>
      </c>
      <c r="AX18" s="805">
        <f>ROUND(SUMIFS(Cantidades[48560],Cantidades[cod Idu],'CantidadesConsolidadas'!$A18),2)</f>
        <v>0</v>
      </c>
      <c r="AY18" s="805">
        <f>ROUND(SUMIFS(Cantidades[48657],Cantidades[cod Idu],'CantidadesConsolidadas'!$A18),2)</f>
        <v>0</v>
      </c>
      <c r="AZ18" s="752">
        <f>ROUND(SUMIFS(Cantidades[48655],Cantidades[cod Idu],'CantidadesConsolidadas'!$A18),2)</f>
        <v>0</v>
      </c>
      <c r="BA18" s="758">
        <f>SUBTOTAL(9,CantidadesConsolidadas[[#This Row],[91013913]:[48655]])</f>
        <v>12613.92</v>
      </c>
      <c r="BB18" s="638">
        <f>ROUND(CantidadesConsolidadas[[#This Row],[Total]]*CantidadesConsolidadas[[#This Row],[VU]],0)</f>
        <v>42685505</v>
      </c>
    </row>
    <row r="19" spans="1:54" ht="29.4" thickBot="1" x14ac:dyDescent="0.35">
      <c r="A19">
        <v>4857</v>
      </c>
      <c r="B19" s="606" t="str">
        <f>+_xlfn.XLOOKUP(CantidadesConsolidadas[[#This Row],[cod Idu]],APU_IDU[Código],APU_IDU[Nombre],"",0)</f>
        <v>IMPRIMACIÓN CON EMULSIÓN ASFÁLTICA CRL-1 (INCLUYE SUMINISTRO, BARRIDO DE SUPERFICIE Y RIEGO MECANICO).</v>
      </c>
      <c r="C19" s="609" t="str">
        <f>+_xlfn.XLOOKUP(CantidadesConsolidadas[[#This Row],[cod Idu]],APU_IDU[Código],APU_IDU[UM],"",0)</f>
        <v>M2</v>
      </c>
      <c r="D19" s="743">
        <f>+_xlfn.XLOOKUP(CantidadesConsolidadas[[#This Row],[cod Idu]],APU_IDU[Código],APU_IDU[Valor],"",0)</f>
        <v>3721</v>
      </c>
      <c r="E19" s="497">
        <f>ROUND(SUMIFS(Cantidades[91013913],Cantidades[cod Idu],'CantidadesConsolidadas'!$A19),2)</f>
        <v>1489.08</v>
      </c>
      <c r="F19" s="497">
        <f>ROUND(SUMIFS(Cantidades[472330],Cantidades[cod Idu],'CantidadesConsolidadas'!$A19),2)</f>
        <v>0</v>
      </c>
      <c r="G19" s="497">
        <f>ROUND(SUMIFS(Cantidades[167810],Cantidades[cod Idu],'CantidadesConsolidadas'!$A19),2)</f>
        <v>0</v>
      </c>
      <c r="H19" s="497">
        <f>ROUND(SUMIFS(Cantidades[166646],Cantidades[cod Idu],'CantidadesConsolidadas'!$A19),2)</f>
        <v>0</v>
      </c>
      <c r="I19" s="497">
        <f>ROUND(SUMIFS(Cantidades[167491],Cantidades[cod Idu],'CantidadesConsolidadas'!$A19),2)</f>
        <v>0</v>
      </c>
      <c r="J19" s="497">
        <f>ROUND(SUMIFS(Cantidades[167266],Cantidades[cod Idu],'CantidadesConsolidadas'!$A19),2)</f>
        <v>0</v>
      </c>
      <c r="K19" s="497">
        <f>ROUND(SUMIFS(Cantidades[170896],Cantidades[cod Idu],'CantidadesConsolidadas'!$A19),2)</f>
        <v>0</v>
      </c>
      <c r="L19" s="497">
        <f>ROUND(SUMIFS(Cantidades[170897],Cantidades[cod Idu],'CantidadesConsolidadas'!$A19),2)</f>
        <v>0</v>
      </c>
      <c r="M19" s="497">
        <f>ROUND(SUMIFS(Cantidades[170898],Cantidades[cod Idu],'CantidadesConsolidadas'!$A19),2)</f>
        <v>0</v>
      </c>
      <c r="N19" s="497">
        <f>ROUND(SUMIFS(Cantidades[91064150],Cantidades[cod Idu],'CantidadesConsolidadas'!$A19),2)</f>
        <v>0</v>
      </c>
      <c r="O19" s="497">
        <f>ROUND(SUMIFS(Cantidades[168919],Cantidades[cod Idu],'CantidadesConsolidadas'!$A19),2)</f>
        <v>0</v>
      </c>
      <c r="P19" s="497">
        <f>ROUND(SUMIFS(Cantidades[168426],Cantidades[cod Idu],'CantidadesConsolidadas'!$A19),2)</f>
        <v>0</v>
      </c>
      <c r="Q19" s="497">
        <f>ROUND(SUMIFS(Cantidades[91020796],Cantidades[cod Idu],'CantidadesConsolidadas'!$A19),2)</f>
        <v>0</v>
      </c>
      <c r="R19" s="497">
        <f>ROUND(SUMIFS(Cantidades[176184],Cantidades[cod Idu],'CantidadesConsolidadas'!$A19),2)</f>
        <v>0</v>
      </c>
      <c r="S19" s="497">
        <f>ROUND(SUMIFS(Cantidades[167636],Cantidades[cod Idu],'CantidadesConsolidadas'!$A19),2)</f>
        <v>0</v>
      </c>
      <c r="T19" s="497">
        <f>ROUND(SUMIFS(Cantidades[176730],Cantidades[cod Idu],'CantidadesConsolidadas'!$A19),2)</f>
        <v>0</v>
      </c>
      <c r="U19" s="497">
        <f>ROUND(SUMIFS(Cantidades[173038],Cantidades[cod Idu],'CantidadesConsolidadas'!$A19),2)</f>
        <v>0</v>
      </c>
      <c r="V19" s="497">
        <f>ROUND(SUMIFS(Cantidades[170222],Cantidades[cod Idu],'CantidadesConsolidadas'!$A19),2)</f>
        <v>0</v>
      </c>
      <c r="W19" s="497">
        <f>ROUND(SUMIFS(Cantidades[170229],Cantidades[cod Idu],'CantidadesConsolidadas'!$A19),2)</f>
        <v>75.92</v>
      </c>
      <c r="X19" s="497">
        <f>ROUND(SUMIFS(Cantidades[170227],Cantidades[cod Idu],'CantidadesConsolidadas'!$A19),2)</f>
        <v>0</v>
      </c>
      <c r="Y19" s="497">
        <f>ROUND(SUMIFS(Cantidades[170226],Cantidades[cod Idu],'CantidadesConsolidadas'!$A19),2)</f>
        <v>0</v>
      </c>
      <c r="Z19" s="497">
        <f>ROUND(SUMIFS(Cantidades[171567],Cantidades[cod Idu],'CantidadesConsolidadas'!$A19),2)</f>
        <v>0</v>
      </c>
      <c r="AA19" s="497">
        <f>ROUND(SUMIFS(Cantidades[166632],Cantidades[cod Idu],'CantidadesConsolidadas'!$A19),2)</f>
        <v>0</v>
      </c>
      <c r="AB19" s="497">
        <f>ROUND(SUMIFS(Cantidades[170228],Cantidades[cod Idu],'CantidadesConsolidadas'!$A19),2)</f>
        <v>0</v>
      </c>
      <c r="AC19" s="497">
        <f>ROUND(SUMIFS(Cantidades[172926],Cantidades[cod Idu],'CantidadesConsolidadas'!$A19),2)</f>
        <v>0</v>
      </c>
      <c r="AD19" s="497">
        <f>ROUND(SUMIFS(Cantidades[171152],Cantidades[cod Idu],'CantidadesConsolidadas'!$A19),2)</f>
        <v>0</v>
      </c>
      <c r="AE19" s="497">
        <f>ROUND(SUMIFS(Cantidades[173058],Cantidades[cod Idu],'CantidadesConsolidadas'!$A19),2)</f>
        <v>0</v>
      </c>
      <c r="AF19" s="726">
        <f>ROUND(SUMIFS(Cantidades[174478],Cantidades[cod Idu],'CantidadesConsolidadas'!$A19),2)</f>
        <v>0</v>
      </c>
      <c r="AG19" s="726">
        <f>ROUND(SUMIFS(Cantidades[91010089],Cantidades[cod Idu],'CantidadesConsolidadas'!$A19),2)</f>
        <v>0</v>
      </c>
      <c r="AH19" s="726">
        <f>ROUND(SUMIFS(Cantidades[176122],Cantidades[cod Idu],'CantidadesConsolidadas'!$A19),2)</f>
        <v>0</v>
      </c>
      <c r="AI19" s="726">
        <f>ROUND(SUMIFS(Cantidades[168536],Cantidades[cod Idu],'CantidadesConsolidadas'!$A19),2)</f>
        <v>0</v>
      </c>
      <c r="AJ19" s="497">
        <f>ROUND(SUMIFS(Cantidades[166934],Cantidades[cod Idu],'CantidadesConsolidadas'!$A19),2)</f>
        <v>0</v>
      </c>
      <c r="AK19" s="497">
        <f>ROUND(SUMIFS(Cantidades[174353],Cantidades[cod Idu],'CantidadesConsolidadas'!$A19),2)</f>
        <v>0</v>
      </c>
      <c r="AL19" s="751">
        <f>ROUND(SUMIFS(Cantidades[52531],Cantidades[cod Idu],'CantidadesConsolidadas'!$A19),2)</f>
        <v>0</v>
      </c>
      <c r="AM19" s="500">
        <f>ROUND(SUMIFS(Cantidades[52456],Cantidades[cod Idu],'CantidadesConsolidadas'!$A19),2)</f>
        <v>0</v>
      </c>
      <c r="AN19" s="500">
        <f>ROUND(SUMIFS(Cantidades[92058103],Cantidades[cod Idu],'CantidadesConsolidadas'!$A19),2)</f>
        <v>0</v>
      </c>
      <c r="AO19" s="500">
        <f>ROUND(SUMIFS(Cantidades[20011114],Cantidades[cod Idu],'CantidadesConsolidadas'!$A19),2)</f>
        <v>0</v>
      </c>
      <c r="AP19" s="500">
        <f>ROUND(SUMIFS(Cantidades[20013540],Cantidades[cod Idu],'CantidadesConsolidadas'!$A19),2)</f>
        <v>0</v>
      </c>
      <c r="AQ19" s="500">
        <f>ROUND(SUMIFS(Cantidades[55337],Cantidades[cod Idu],'CantidadesConsolidadas'!$A19),2)</f>
        <v>0</v>
      </c>
      <c r="AR19" s="500">
        <f>ROUND(SUMIFS(Cantidades[92087422],Cantidades[cod Idu],'CantidadesConsolidadas'!$A19),2)</f>
        <v>0</v>
      </c>
      <c r="AS19" s="500">
        <f>ROUND(SUMIFS(Cantidades[55259],Cantidades[cod Idu],'CantidadesConsolidadas'!$A19),2)</f>
        <v>0</v>
      </c>
      <c r="AT19" s="500">
        <f>ROUND(SUMIFS(Cantidades[466904],Cantidades[cod Idu],'CantidadesConsolidadas'!$A19),2)</f>
        <v>0</v>
      </c>
      <c r="AU19" s="500">
        <f>ROUND(SUMIFS(Cantidades[48591],Cantidades[cod Idu],'CantidadesConsolidadas'!$A19),2)</f>
        <v>0</v>
      </c>
      <c r="AV19" s="500">
        <f>ROUND(SUMIFS(Cantidades[48590],Cantidades[cod Idu],'CantidadesConsolidadas'!$A19),2)</f>
        <v>0</v>
      </c>
      <c r="AW19" s="500">
        <f>ROUND(SUMIFS(Cantidades[48561],Cantidades[cod Idu],'CantidadesConsolidadas'!$A19),2)</f>
        <v>0</v>
      </c>
      <c r="AX19" s="805">
        <f>ROUND(SUMIFS(Cantidades[48560],Cantidades[cod Idu],'CantidadesConsolidadas'!$A19),2)</f>
        <v>0</v>
      </c>
      <c r="AY19" s="805">
        <f>ROUND(SUMIFS(Cantidades[48657],Cantidades[cod Idu],'CantidadesConsolidadas'!$A19),2)</f>
        <v>0</v>
      </c>
      <c r="AZ19" s="752">
        <f>ROUND(SUMIFS(Cantidades[48655],Cantidades[cod Idu],'CantidadesConsolidadas'!$A19),2)</f>
        <v>0</v>
      </c>
      <c r="BA19" s="758">
        <f>SUBTOTAL(9,CantidadesConsolidadas[[#This Row],[91013913]:[48655]])</f>
        <v>1565</v>
      </c>
      <c r="BB19" s="638">
        <f>ROUND(CantidadesConsolidadas[[#This Row],[Total]]*CantidadesConsolidadas[[#This Row],[VU]],0)</f>
        <v>5823365</v>
      </c>
    </row>
    <row r="20" spans="1:54" ht="29.4" thickBot="1" x14ac:dyDescent="0.35">
      <c r="A20">
        <v>3867</v>
      </c>
      <c r="B20" s="606" t="str">
        <f>+_xlfn.XLOOKUP(CantidadesConsolidadas[[#This Row],[cod Idu]],APU_IDU[Código],APU_IDU[Nombre],"",0)</f>
        <v>RIEGO DE LIGA CON EMULSION ASFALTICA CRR-2 (SUMINISTRO, BARRIDO SUPERFICIE Y RIEGO MECANICO)</v>
      </c>
      <c r="C20" s="609" t="str">
        <f>+_xlfn.XLOOKUP(CantidadesConsolidadas[[#This Row],[cod Idu]],APU_IDU[Código],APU_IDU[UM],"",0)</f>
        <v>M2</v>
      </c>
      <c r="D20" s="743">
        <f>+_xlfn.XLOOKUP(CantidadesConsolidadas[[#This Row],[cod Idu]],APU_IDU[Código],APU_IDU[Valor],"",0)</f>
        <v>4114</v>
      </c>
      <c r="E20" s="497">
        <f>ROUND(SUMIFS(Cantidades[91013913],Cantidades[cod Idu],'CantidadesConsolidadas'!$A20),2)</f>
        <v>0</v>
      </c>
      <c r="F20" s="497">
        <f>ROUND(SUMIFS(Cantidades[472330],Cantidades[cod Idu],'CantidadesConsolidadas'!$A20),2)</f>
        <v>726</v>
      </c>
      <c r="G20" s="497">
        <f>ROUND(SUMIFS(Cantidades[167810],Cantidades[cod Idu],'CantidadesConsolidadas'!$A20),2)</f>
        <v>781.12</v>
      </c>
      <c r="H20" s="497">
        <f>ROUND(SUMIFS(Cantidades[166646],Cantidades[cod Idu],'CantidadesConsolidadas'!$A20),2)</f>
        <v>474.81</v>
      </c>
      <c r="I20" s="497">
        <f>ROUND(SUMIFS(Cantidades[167491],Cantidades[cod Idu],'CantidadesConsolidadas'!$A20),2)</f>
        <v>442.11</v>
      </c>
      <c r="J20" s="497">
        <f>ROUND(SUMIFS(Cantidades[167266],Cantidades[cod Idu],'CantidadesConsolidadas'!$A20),2)</f>
        <v>567.01</v>
      </c>
      <c r="K20" s="497">
        <f>ROUND(SUMIFS(Cantidades[170896],Cantidades[cod Idu],'CantidadesConsolidadas'!$A20),2)</f>
        <v>112.52</v>
      </c>
      <c r="L20" s="497">
        <f>ROUND(SUMIFS(Cantidades[170897],Cantidades[cod Idu],'CantidadesConsolidadas'!$A20),2)</f>
        <v>125.44</v>
      </c>
      <c r="M20" s="497">
        <f>ROUND(SUMIFS(Cantidades[170898],Cantidades[cod Idu],'CantidadesConsolidadas'!$A20),2)</f>
        <v>49.89</v>
      </c>
      <c r="N20" s="497">
        <f>ROUND(SUMIFS(Cantidades[91064150],Cantidades[cod Idu],'CantidadesConsolidadas'!$A20),2)</f>
        <v>148.31</v>
      </c>
      <c r="O20" s="497">
        <f>ROUND(SUMIFS(Cantidades[168919],Cantidades[cod Idu],'CantidadesConsolidadas'!$A20),2)</f>
        <v>484.43</v>
      </c>
      <c r="P20" s="497">
        <f>ROUND(SUMIFS(Cantidades[168426],Cantidades[cod Idu],'CantidadesConsolidadas'!$A20),2)</f>
        <v>426.72</v>
      </c>
      <c r="Q20" s="497">
        <f>ROUND(SUMIFS(Cantidades[91020796],Cantidades[cod Idu],'CantidadesConsolidadas'!$A20),2)</f>
        <v>116.78</v>
      </c>
      <c r="R20" s="497">
        <f>ROUND(SUMIFS(Cantidades[176184],Cantidades[cod Idu],'CantidadesConsolidadas'!$A20),2)</f>
        <v>237.65</v>
      </c>
      <c r="S20" s="497">
        <f>ROUND(SUMIFS(Cantidades[167636],Cantidades[cod Idu],'CantidadesConsolidadas'!$A20),2)</f>
        <v>533.41</v>
      </c>
      <c r="T20" s="497">
        <f>ROUND(SUMIFS(Cantidades[176730],Cantidades[cod Idu],'CantidadesConsolidadas'!$A20),2)</f>
        <v>144.71</v>
      </c>
      <c r="U20" s="497">
        <f>ROUND(SUMIFS(Cantidades[173038],Cantidades[cod Idu],'CantidadesConsolidadas'!$A20),2)</f>
        <v>495.42</v>
      </c>
      <c r="V20" s="497">
        <f>ROUND(SUMIFS(Cantidades[170222],Cantidades[cod Idu],'CantidadesConsolidadas'!$A20),2)</f>
        <v>845.83</v>
      </c>
      <c r="W20" s="497">
        <f>ROUND(SUMIFS(Cantidades[170229],Cantidades[cod Idu],'CantidadesConsolidadas'!$A20),2)</f>
        <v>75.92</v>
      </c>
      <c r="X20" s="497">
        <f>ROUND(SUMIFS(Cantidades[170227],Cantidades[cod Idu],'CantidadesConsolidadas'!$A20),2)</f>
        <v>187.93</v>
      </c>
      <c r="Y20" s="497">
        <f>ROUND(SUMIFS(Cantidades[170226],Cantidades[cod Idu],'CantidadesConsolidadas'!$A20),2)</f>
        <v>102.95</v>
      </c>
      <c r="Z20" s="497">
        <f>ROUND(SUMIFS(Cantidades[171567],Cantidades[cod Idu],'CantidadesConsolidadas'!$A20),2)</f>
        <v>0</v>
      </c>
      <c r="AA20" s="497">
        <f>ROUND(SUMIFS(Cantidades[166632],Cantidades[cod Idu],'CantidadesConsolidadas'!$A20),2)</f>
        <v>327.35000000000002</v>
      </c>
      <c r="AB20" s="497">
        <f>ROUND(SUMIFS(Cantidades[170228],Cantidades[cod Idu],'CantidadesConsolidadas'!$A20),2)</f>
        <v>205.14</v>
      </c>
      <c r="AC20" s="497">
        <f>ROUND(SUMIFS(Cantidades[172926],Cantidades[cod Idu],'CantidadesConsolidadas'!$A20),2)</f>
        <v>144.43</v>
      </c>
      <c r="AD20" s="497">
        <f>ROUND(SUMIFS(Cantidades[171152],Cantidades[cod Idu],'CantidadesConsolidadas'!$A20),2)</f>
        <v>751.07</v>
      </c>
      <c r="AE20" s="497">
        <f>ROUND(SUMIFS(Cantidades[173058],Cantidades[cod Idu],'CantidadesConsolidadas'!$A20),2)</f>
        <v>196.67</v>
      </c>
      <c r="AF20" s="726">
        <f>ROUND(SUMIFS(Cantidades[174478],Cantidades[cod Idu],'CantidadesConsolidadas'!$A20),2)</f>
        <v>924.18</v>
      </c>
      <c r="AG20" s="726">
        <f>ROUND(SUMIFS(Cantidades[91010089],Cantidades[cod Idu],'CantidadesConsolidadas'!$A20),2)</f>
        <v>297.23</v>
      </c>
      <c r="AH20" s="726">
        <f>ROUND(SUMIFS(Cantidades[176122],Cantidades[cod Idu],'CantidadesConsolidadas'!$A20),2)</f>
        <v>693.96</v>
      </c>
      <c r="AI20" s="726">
        <f>ROUND(SUMIFS(Cantidades[168536],Cantidades[cod Idu],'CantidadesConsolidadas'!$A20),2)</f>
        <v>606.14</v>
      </c>
      <c r="AJ20" s="497">
        <f>ROUND(SUMIFS(Cantidades[166934],Cantidades[cod Idu],'CantidadesConsolidadas'!$A20),2)</f>
        <v>939.11</v>
      </c>
      <c r="AK20" s="497">
        <f>ROUND(SUMIFS(Cantidades[174353],Cantidades[cod Idu],'CantidadesConsolidadas'!$A20),2)</f>
        <v>525.6</v>
      </c>
      <c r="AL20" s="751">
        <f>ROUND(SUMIFS(Cantidades[52531],Cantidades[cod Idu],'CantidadesConsolidadas'!$A20),2)</f>
        <v>0</v>
      </c>
      <c r="AM20" s="500">
        <f>ROUND(SUMIFS(Cantidades[52456],Cantidades[cod Idu],'CantidadesConsolidadas'!$A20),2)</f>
        <v>0</v>
      </c>
      <c r="AN20" s="500">
        <f>ROUND(SUMIFS(Cantidades[92058103],Cantidades[cod Idu],'CantidadesConsolidadas'!$A20),2)</f>
        <v>0</v>
      </c>
      <c r="AO20" s="500">
        <f>ROUND(SUMIFS(Cantidades[20011114],Cantidades[cod Idu],'CantidadesConsolidadas'!$A20),2)</f>
        <v>0</v>
      </c>
      <c r="AP20" s="500">
        <f>ROUND(SUMIFS(Cantidades[20013540],Cantidades[cod Idu],'CantidadesConsolidadas'!$A20),2)</f>
        <v>0</v>
      </c>
      <c r="AQ20" s="500">
        <f>ROUND(SUMIFS(Cantidades[55337],Cantidades[cod Idu],'CantidadesConsolidadas'!$A20),2)</f>
        <v>0</v>
      </c>
      <c r="AR20" s="500">
        <f>ROUND(SUMIFS(Cantidades[92087422],Cantidades[cod Idu],'CantidadesConsolidadas'!$A20),2)</f>
        <v>0</v>
      </c>
      <c r="AS20" s="500">
        <f>ROUND(SUMIFS(Cantidades[55259],Cantidades[cod Idu],'CantidadesConsolidadas'!$A20),2)</f>
        <v>0</v>
      </c>
      <c r="AT20" s="500">
        <f>ROUND(SUMIFS(Cantidades[466904],Cantidades[cod Idu],'CantidadesConsolidadas'!$A20),2)</f>
        <v>0</v>
      </c>
      <c r="AU20" s="500">
        <f>ROUND(SUMIFS(Cantidades[48591],Cantidades[cod Idu],'CantidadesConsolidadas'!$A20),2)</f>
        <v>0</v>
      </c>
      <c r="AV20" s="500">
        <f>ROUND(SUMIFS(Cantidades[48590],Cantidades[cod Idu],'CantidadesConsolidadas'!$A20),2)</f>
        <v>0</v>
      </c>
      <c r="AW20" s="500">
        <f>ROUND(SUMIFS(Cantidades[48561],Cantidades[cod Idu],'CantidadesConsolidadas'!$A20),2)</f>
        <v>0</v>
      </c>
      <c r="AX20" s="805">
        <f>ROUND(SUMIFS(Cantidades[48560],Cantidades[cod Idu],'CantidadesConsolidadas'!$A20),2)</f>
        <v>0</v>
      </c>
      <c r="AY20" s="805">
        <f>ROUND(SUMIFS(Cantidades[48657],Cantidades[cod Idu],'CantidadesConsolidadas'!$A20),2)</f>
        <v>0</v>
      </c>
      <c r="AZ20" s="752">
        <f>ROUND(SUMIFS(Cantidades[48655],Cantidades[cod Idu],'CantidadesConsolidadas'!$A20),2)</f>
        <v>0</v>
      </c>
      <c r="BA20" s="758">
        <f>SUBTOTAL(9,CantidadesConsolidadas[[#This Row],[91013913]:[48655]])</f>
        <v>12689.840000000002</v>
      </c>
      <c r="BB20" s="638">
        <f>ROUND(CantidadesConsolidadas[[#This Row],[Total]]*CantidadesConsolidadas[[#This Row],[VU]],0)</f>
        <v>52206002</v>
      </c>
    </row>
    <row r="21" spans="1:54" ht="43.8" thickBot="1" x14ac:dyDescent="0.35">
      <c r="A21">
        <v>8613</v>
      </c>
      <c r="B21" s="606" t="str">
        <f>+_xlfn.XLOOKUP(CantidadesConsolidadas[[#This Row],[cod Idu]],APU_IDU[Código],APU_IDU[Nombre],"",0)</f>
        <v>MEZCLA ASFÁLTICA EN CALIENTE DENSA MD19 CON CEMENTO ASFÁLTICO CA 14. (SUMINISTRO, EXTENDIDO, NIVELACIÓN MANUAL Y COMPACTACIÓN MECÁNICA CON VIBROCOMPACTADOR TÁNDEM PEQUEÑO, INCLUYE OPERARIO Y COMBUSTIBLE).</v>
      </c>
      <c r="C21" s="609" t="str">
        <f>+_xlfn.XLOOKUP(CantidadesConsolidadas[[#This Row],[cod Idu]],APU_IDU[Código],APU_IDU[UM],"",0)</f>
        <v>M3</v>
      </c>
      <c r="D21" s="743">
        <f>+_xlfn.XLOOKUP(CantidadesConsolidadas[[#This Row],[cod Idu]],APU_IDU[Código],APU_IDU[Valor],"",0)</f>
        <v>1472746</v>
      </c>
      <c r="E21" s="497">
        <f>ROUND(SUMIFS(Cantidades[91013913],Cantidades[cod Idu],'CantidadesConsolidadas'!$A21),2)</f>
        <v>223.36</v>
      </c>
      <c r="F21" s="497">
        <f>ROUND(SUMIFS(Cantidades[472330],Cantidades[cod Idu],'CantidadesConsolidadas'!$A21),2)</f>
        <v>0</v>
      </c>
      <c r="G21" s="497">
        <f>ROUND(SUMIFS(Cantidades[167810],Cantidades[cod Idu],'CantidadesConsolidadas'!$A21),2)</f>
        <v>0</v>
      </c>
      <c r="H21" s="497">
        <f>ROUND(SUMIFS(Cantidades[166646],Cantidades[cod Idu],'CantidadesConsolidadas'!$A21),2)</f>
        <v>0</v>
      </c>
      <c r="I21" s="497">
        <f>ROUND(SUMIFS(Cantidades[167491],Cantidades[cod Idu],'CantidadesConsolidadas'!$A21),2)</f>
        <v>0</v>
      </c>
      <c r="J21" s="497">
        <f>ROUND(SUMIFS(Cantidades[167266],Cantidades[cod Idu],'CantidadesConsolidadas'!$A21),2)</f>
        <v>85.05</v>
      </c>
      <c r="K21" s="497">
        <f>ROUND(SUMIFS(Cantidades[170896],Cantidades[cod Idu],'CantidadesConsolidadas'!$A21),2)</f>
        <v>0</v>
      </c>
      <c r="L21" s="497">
        <f>ROUND(SUMIFS(Cantidades[170897],Cantidades[cod Idu],'CantidadesConsolidadas'!$A21),2)</f>
        <v>0</v>
      </c>
      <c r="M21" s="497">
        <f>ROUND(SUMIFS(Cantidades[170898],Cantidades[cod Idu],'CantidadesConsolidadas'!$A21),2)</f>
        <v>0</v>
      </c>
      <c r="N21" s="497">
        <f>ROUND(SUMIFS(Cantidades[91064150],Cantidades[cod Idu],'CantidadesConsolidadas'!$A21),2)</f>
        <v>0</v>
      </c>
      <c r="O21" s="497">
        <f>ROUND(SUMIFS(Cantidades[168919],Cantidades[cod Idu],'CantidadesConsolidadas'!$A21),2)</f>
        <v>72.66</v>
      </c>
      <c r="P21" s="497">
        <f>ROUND(SUMIFS(Cantidades[168426],Cantidades[cod Idu],'CantidadesConsolidadas'!$A21),2)</f>
        <v>64.010000000000005</v>
      </c>
      <c r="Q21" s="497">
        <f>ROUND(SUMIFS(Cantidades[91020796],Cantidades[cod Idu],'CantidadesConsolidadas'!$A21),2)</f>
        <v>0</v>
      </c>
      <c r="R21" s="497">
        <f>ROUND(SUMIFS(Cantidades[176184],Cantidades[cod Idu],'CantidadesConsolidadas'!$A21),2)</f>
        <v>35.65</v>
      </c>
      <c r="S21" s="497">
        <f>ROUND(SUMIFS(Cantidades[167636],Cantidades[cod Idu],'CantidadesConsolidadas'!$A21),2)</f>
        <v>0</v>
      </c>
      <c r="T21" s="497">
        <f>ROUND(SUMIFS(Cantidades[176730],Cantidades[cod Idu],'CantidadesConsolidadas'!$A21),2)</f>
        <v>21.71</v>
      </c>
      <c r="U21" s="497">
        <f>ROUND(SUMIFS(Cantidades[173038],Cantidades[cod Idu],'CantidadesConsolidadas'!$A21),2)</f>
        <v>74.31</v>
      </c>
      <c r="V21" s="497">
        <f>ROUND(SUMIFS(Cantidades[170222],Cantidades[cod Idu],'CantidadesConsolidadas'!$A21),2)</f>
        <v>0</v>
      </c>
      <c r="W21" s="497">
        <f>ROUND(SUMIFS(Cantidades[170229],Cantidades[cod Idu],'CantidadesConsolidadas'!$A21),2)</f>
        <v>11.39</v>
      </c>
      <c r="X21" s="497">
        <f>ROUND(SUMIFS(Cantidades[170227],Cantidades[cod Idu],'CantidadesConsolidadas'!$A21),2)</f>
        <v>0</v>
      </c>
      <c r="Y21" s="497">
        <f>ROUND(SUMIFS(Cantidades[170226],Cantidades[cod Idu],'CantidadesConsolidadas'!$A21),2)</f>
        <v>0</v>
      </c>
      <c r="Z21" s="497">
        <f>ROUND(SUMIFS(Cantidades[171567],Cantidades[cod Idu],'CantidadesConsolidadas'!$A21),2)</f>
        <v>0</v>
      </c>
      <c r="AA21" s="497">
        <f>ROUND(SUMIFS(Cantidades[166632],Cantidades[cod Idu],'CantidadesConsolidadas'!$A21),2)</f>
        <v>0</v>
      </c>
      <c r="AB21" s="497">
        <f>ROUND(SUMIFS(Cantidades[170228],Cantidades[cod Idu],'CantidadesConsolidadas'!$A21),2)</f>
        <v>30.77</v>
      </c>
      <c r="AC21" s="497">
        <f>ROUND(SUMIFS(Cantidades[172926],Cantidades[cod Idu],'CantidadesConsolidadas'!$A21),2)</f>
        <v>21.66</v>
      </c>
      <c r="AD21" s="497">
        <f>ROUND(SUMIFS(Cantidades[171152],Cantidades[cod Idu],'CantidadesConsolidadas'!$A21),2)</f>
        <v>0</v>
      </c>
      <c r="AE21" s="497">
        <f>ROUND(SUMIFS(Cantidades[173058],Cantidades[cod Idu],'CantidadesConsolidadas'!$A21),2)</f>
        <v>29.5</v>
      </c>
      <c r="AF21" s="726">
        <f>ROUND(SUMIFS(Cantidades[174478],Cantidades[cod Idu],'CantidadesConsolidadas'!$A21),2)</f>
        <v>0</v>
      </c>
      <c r="AG21" s="726">
        <f>ROUND(SUMIFS(Cantidades[91010089],Cantidades[cod Idu],'CantidadesConsolidadas'!$A21),2)</f>
        <v>0</v>
      </c>
      <c r="AH21" s="726">
        <f>ROUND(SUMIFS(Cantidades[176122],Cantidades[cod Idu],'CantidadesConsolidadas'!$A21),2)</f>
        <v>0</v>
      </c>
      <c r="AI21" s="726">
        <f>ROUND(SUMIFS(Cantidades[168536],Cantidades[cod Idu],'CantidadesConsolidadas'!$A21),2)</f>
        <v>0</v>
      </c>
      <c r="AJ21" s="497">
        <f>ROUND(SUMIFS(Cantidades[166934],Cantidades[cod Idu],'CantidadesConsolidadas'!$A21),2)</f>
        <v>140.87</v>
      </c>
      <c r="AK21" s="497">
        <f>ROUND(SUMIFS(Cantidades[174353],Cantidades[cod Idu],'CantidadesConsolidadas'!$A21),2)</f>
        <v>78.84</v>
      </c>
      <c r="AL21" s="751">
        <f>ROUND(SUMIFS(Cantidades[52531],Cantidades[cod Idu],'CantidadesConsolidadas'!$A21),2)</f>
        <v>0</v>
      </c>
      <c r="AM21" s="500">
        <f>ROUND(SUMIFS(Cantidades[52456],Cantidades[cod Idu],'CantidadesConsolidadas'!$A21),2)</f>
        <v>0</v>
      </c>
      <c r="AN21" s="500">
        <f>ROUND(SUMIFS(Cantidades[92058103],Cantidades[cod Idu],'CantidadesConsolidadas'!$A21),2)</f>
        <v>0</v>
      </c>
      <c r="AO21" s="500">
        <f>ROUND(SUMIFS(Cantidades[20011114],Cantidades[cod Idu],'CantidadesConsolidadas'!$A21),2)</f>
        <v>0</v>
      </c>
      <c r="AP21" s="500">
        <f>ROUND(SUMIFS(Cantidades[20013540],Cantidades[cod Idu],'CantidadesConsolidadas'!$A21),2)</f>
        <v>0</v>
      </c>
      <c r="AQ21" s="500">
        <f>ROUND(SUMIFS(Cantidades[55337],Cantidades[cod Idu],'CantidadesConsolidadas'!$A21),2)</f>
        <v>0</v>
      </c>
      <c r="AR21" s="500">
        <f>ROUND(SUMIFS(Cantidades[92087422],Cantidades[cod Idu],'CantidadesConsolidadas'!$A21),2)</f>
        <v>0</v>
      </c>
      <c r="AS21" s="500">
        <f>ROUND(SUMIFS(Cantidades[55259],Cantidades[cod Idu],'CantidadesConsolidadas'!$A21),2)</f>
        <v>0</v>
      </c>
      <c r="AT21" s="500">
        <f>ROUND(SUMIFS(Cantidades[466904],Cantidades[cod Idu],'CantidadesConsolidadas'!$A21),2)</f>
        <v>0</v>
      </c>
      <c r="AU21" s="500">
        <f>ROUND(SUMIFS(Cantidades[48591],Cantidades[cod Idu],'CantidadesConsolidadas'!$A21),2)</f>
        <v>0</v>
      </c>
      <c r="AV21" s="500">
        <f>ROUND(SUMIFS(Cantidades[48590],Cantidades[cod Idu],'CantidadesConsolidadas'!$A21),2)</f>
        <v>0</v>
      </c>
      <c r="AW21" s="500">
        <f>ROUND(SUMIFS(Cantidades[48561],Cantidades[cod Idu],'CantidadesConsolidadas'!$A21),2)</f>
        <v>0</v>
      </c>
      <c r="AX21" s="805">
        <f>ROUND(SUMIFS(Cantidades[48560],Cantidades[cod Idu],'CantidadesConsolidadas'!$A21),2)</f>
        <v>0</v>
      </c>
      <c r="AY21" s="805">
        <f>ROUND(SUMIFS(Cantidades[48657],Cantidades[cod Idu],'CantidadesConsolidadas'!$A21),2)</f>
        <v>0</v>
      </c>
      <c r="AZ21" s="752">
        <f>ROUND(SUMIFS(Cantidades[48655],Cantidades[cod Idu],'CantidadesConsolidadas'!$A21),2)</f>
        <v>0</v>
      </c>
      <c r="BA21" s="758">
        <f>SUBTOTAL(9,CantidadesConsolidadas[[#This Row],[91013913]:[48655]])</f>
        <v>889.78</v>
      </c>
      <c r="BB21" s="638">
        <f>ROUND(CantidadesConsolidadas[[#This Row],[Total]]*CantidadesConsolidadas[[#This Row],[VU]],0)</f>
        <v>1310419936</v>
      </c>
    </row>
    <row r="22" spans="1:54" ht="58.2" thickBot="1" x14ac:dyDescent="0.35">
      <c r="A22">
        <v>4200</v>
      </c>
      <c r="B22" s="606" t="str">
        <f>+_xlfn.XLOOKUP(CantidadesConsolidadas[[#This Row],[cod Idu]],APU_IDU[Código],APU_IDU[Nombre],"",0)</f>
        <v>MEZCLA ASFÁLTICA EN CALIENTE TIPO DENSO MD20 ASFALTO 60-70 (INCLUYE SUMINISTRO, EXTENDIDO, NIVELACIÓN, COMPACTACIÓN  MECANICA CON VIBROCOMPACTADOR Y COMPACTADOR DE LLANTAS, FACTOR DE COMPACTACION Y TRANSPORTE DE MATERIAL A 21 KMS)</v>
      </c>
      <c r="C22" s="609" t="str">
        <f>+_xlfn.XLOOKUP(CantidadesConsolidadas[[#This Row],[cod Idu]],APU_IDU[Código],APU_IDU[UM],"",0)</f>
        <v>M3</v>
      </c>
      <c r="D22" s="743">
        <f>+_xlfn.XLOOKUP(CantidadesConsolidadas[[#This Row],[cod Idu]],APU_IDU[Código],APU_IDU[Valor],"",0)</f>
        <v>1189120</v>
      </c>
      <c r="E22" s="497">
        <f>ROUND(SUMIFS(Cantidades[91013913],Cantidades[cod Idu],'CantidadesConsolidadas'!$A22),2)</f>
        <v>0</v>
      </c>
      <c r="F22" s="497">
        <f>ROUND(SUMIFS(Cantidades[472330],Cantidades[cod Idu],'CantidadesConsolidadas'!$A22),2)</f>
        <v>108.9</v>
      </c>
      <c r="G22" s="497">
        <f>ROUND(SUMIFS(Cantidades[167810],Cantidades[cod Idu],'CantidadesConsolidadas'!$A22),2)</f>
        <v>117.17</v>
      </c>
      <c r="H22" s="497">
        <f>ROUND(SUMIFS(Cantidades[166646],Cantidades[cod Idu],'CantidadesConsolidadas'!$A22),2)</f>
        <v>71.22</v>
      </c>
      <c r="I22" s="497">
        <f>ROUND(SUMIFS(Cantidades[167491],Cantidades[cod Idu],'CantidadesConsolidadas'!$A22),2)</f>
        <v>66.319999999999993</v>
      </c>
      <c r="J22" s="497">
        <f>ROUND(SUMIFS(Cantidades[167266],Cantidades[cod Idu],'CantidadesConsolidadas'!$A22),2)</f>
        <v>0</v>
      </c>
      <c r="K22" s="497">
        <f>ROUND(SUMIFS(Cantidades[170896],Cantidades[cod Idu],'CantidadesConsolidadas'!$A22),2)</f>
        <v>0</v>
      </c>
      <c r="L22" s="497">
        <f>ROUND(SUMIFS(Cantidades[170897],Cantidades[cod Idu],'CantidadesConsolidadas'!$A22),2)</f>
        <v>0</v>
      </c>
      <c r="M22" s="497">
        <f>ROUND(SUMIFS(Cantidades[170898],Cantidades[cod Idu],'CantidadesConsolidadas'!$A22),2)</f>
        <v>0</v>
      </c>
      <c r="N22" s="497">
        <f>ROUND(SUMIFS(Cantidades[91064150],Cantidades[cod Idu],'CantidadesConsolidadas'!$A22),2)</f>
        <v>0</v>
      </c>
      <c r="O22" s="497">
        <f>ROUND(SUMIFS(Cantidades[168919],Cantidades[cod Idu],'CantidadesConsolidadas'!$A22),2)</f>
        <v>0</v>
      </c>
      <c r="P22" s="497">
        <f>ROUND(SUMIFS(Cantidades[168426],Cantidades[cod Idu],'CantidadesConsolidadas'!$A22),2)</f>
        <v>0</v>
      </c>
      <c r="Q22" s="497">
        <f>ROUND(SUMIFS(Cantidades[91020796],Cantidades[cod Idu],'CantidadesConsolidadas'!$A22),2)</f>
        <v>0</v>
      </c>
      <c r="R22" s="497">
        <f>ROUND(SUMIFS(Cantidades[176184],Cantidades[cod Idu],'CantidadesConsolidadas'!$A22),2)</f>
        <v>0</v>
      </c>
      <c r="S22" s="497">
        <f>ROUND(SUMIFS(Cantidades[167636],Cantidades[cod Idu],'CantidadesConsolidadas'!$A22),2)</f>
        <v>0</v>
      </c>
      <c r="T22" s="497">
        <f>ROUND(SUMIFS(Cantidades[176730],Cantidades[cod Idu],'CantidadesConsolidadas'!$A22),2)</f>
        <v>0</v>
      </c>
      <c r="U22" s="497">
        <f>ROUND(SUMIFS(Cantidades[173038],Cantidades[cod Idu],'CantidadesConsolidadas'!$A22),2)</f>
        <v>0</v>
      </c>
      <c r="V22" s="497">
        <f>ROUND(SUMIFS(Cantidades[170222],Cantidades[cod Idu],'CantidadesConsolidadas'!$A22),2)</f>
        <v>0</v>
      </c>
      <c r="W22" s="497">
        <f>ROUND(SUMIFS(Cantidades[170229],Cantidades[cod Idu],'CantidadesConsolidadas'!$A22),2)</f>
        <v>0</v>
      </c>
      <c r="X22" s="497">
        <f>ROUND(SUMIFS(Cantidades[170227],Cantidades[cod Idu],'CantidadesConsolidadas'!$A22),2)</f>
        <v>28.19</v>
      </c>
      <c r="Y22" s="497">
        <f>ROUND(SUMIFS(Cantidades[170226],Cantidades[cod Idu],'CantidadesConsolidadas'!$A22),2)</f>
        <v>0</v>
      </c>
      <c r="Z22" s="497">
        <f>ROUND(SUMIFS(Cantidades[171567],Cantidades[cod Idu],'CantidadesConsolidadas'!$A22),2)</f>
        <v>0</v>
      </c>
      <c r="AA22" s="497">
        <f>ROUND(SUMIFS(Cantidades[166632],Cantidades[cod Idu],'CantidadesConsolidadas'!$A22),2)</f>
        <v>0</v>
      </c>
      <c r="AB22" s="497">
        <f>ROUND(SUMIFS(Cantidades[170228],Cantidades[cod Idu],'CantidadesConsolidadas'!$A22),2)</f>
        <v>0</v>
      </c>
      <c r="AC22" s="497">
        <f>ROUND(SUMIFS(Cantidades[172926],Cantidades[cod Idu],'CantidadesConsolidadas'!$A22),2)</f>
        <v>0</v>
      </c>
      <c r="AD22" s="497">
        <f>ROUND(SUMIFS(Cantidades[171152],Cantidades[cod Idu],'CantidadesConsolidadas'!$A22),2)</f>
        <v>112.66</v>
      </c>
      <c r="AE22" s="497">
        <f>ROUND(SUMIFS(Cantidades[173058],Cantidades[cod Idu],'CantidadesConsolidadas'!$A22),2)</f>
        <v>0</v>
      </c>
      <c r="AF22" s="726">
        <f>ROUND(SUMIFS(Cantidades[174478],Cantidades[cod Idu],'CantidadesConsolidadas'!$A22),2)</f>
        <v>138.63</v>
      </c>
      <c r="AG22" s="726">
        <f>ROUND(SUMIFS(Cantidades[91010089],Cantidades[cod Idu],'CantidadesConsolidadas'!$A22),2)</f>
        <v>44.58</v>
      </c>
      <c r="AH22" s="726">
        <f>ROUND(SUMIFS(Cantidades[176122],Cantidades[cod Idu],'CantidadesConsolidadas'!$A22),2)</f>
        <v>104.09</v>
      </c>
      <c r="AI22" s="726">
        <f>ROUND(SUMIFS(Cantidades[168536],Cantidades[cod Idu],'CantidadesConsolidadas'!$A22),2)</f>
        <v>90.92</v>
      </c>
      <c r="AJ22" s="497">
        <f>ROUND(SUMIFS(Cantidades[166934],Cantidades[cod Idu],'CantidadesConsolidadas'!$A22),2)</f>
        <v>0</v>
      </c>
      <c r="AK22" s="497">
        <f>ROUND(SUMIFS(Cantidades[174353],Cantidades[cod Idu],'CantidadesConsolidadas'!$A22),2)</f>
        <v>0</v>
      </c>
      <c r="AL22" s="751">
        <f>ROUND(SUMIFS(Cantidades[52531],Cantidades[cod Idu],'CantidadesConsolidadas'!$A22),2)</f>
        <v>0</v>
      </c>
      <c r="AM22" s="500">
        <f>ROUND(SUMIFS(Cantidades[52456],Cantidades[cod Idu],'CantidadesConsolidadas'!$A22),2)</f>
        <v>0</v>
      </c>
      <c r="AN22" s="500">
        <f>ROUND(SUMIFS(Cantidades[92058103],Cantidades[cod Idu],'CantidadesConsolidadas'!$A22),2)</f>
        <v>0</v>
      </c>
      <c r="AO22" s="500">
        <f>ROUND(SUMIFS(Cantidades[20011114],Cantidades[cod Idu],'CantidadesConsolidadas'!$A22),2)</f>
        <v>0</v>
      </c>
      <c r="AP22" s="500">
        <f>ROUND(SUMIFS(Cantidades[20013540],Cantidades[cod Idu],'CantidadesConsolidadas'!$A22),2)</f>
        <v>0</v>
      </c>
      <c r="AQ22" s="500">
        <f>ROUND(SUMIFS(Cantidades[55337],Cantidades[cod Idu],'CantidadesConsolidadas'!$A22),2)</f>
        <v>0</v>
      </c>
      <c r="AR22" s="500">
        <f>ROUND(SUMIFS(Cantidades[92087422],Cantidades[cod Idu],'CantidadesConsolidadas'!$A22),2)</f>
        <v>0</v>
      </c>
      <c r="AS22" s="500">
        <f>ROUND(SUMIFS(Cantidades[55259],Cantidades[cod Idu],'CantidadesConsolidadas'!$A22),2)</f>
        <v>0</v>
      </c>
      <c r="AT22" s="500">
        <f>ROUND(SUMIFS(Cantidades[466904],Cantidades[cod Idu],'CantidadesConsolidadas'!$A22),2)</f>
        <v>0</v>
      </c>
      <c r="AU22" s="500">
        <f>ROUND(SUMIFS(Cantidades[48591],Cantidades[cod Idu],'CantidadesConsolidadas'!$A22),2)</f>
        <v>0</v>
      </c>
      <c r="AV22" s="500">
        <f>ROUND(SUMIFS(Cantidades[48590],Cantidades[cod Idu],'CantidadesConsolidadas'!$A22),2)</f>
        <v>0</v>
      </c>
      <c r="AW22" s="500">
        <f>ROUND(SUMIFS(Cantidades[48561],Cantidades[cod Idu],'CantidadesConsolidadas'!$A22),2)</f>
        <v>0</v>
      </c>
      <c r="AX22" s="805">
        <f>ROUND(SUMIFS(Cantidades[48560],Cantidades[cod Idu],'CantidadesConsolidadas'!$A22),2)</f>
        <v>0</v>
      </c>
      <c r="AY22" s="805">
        <f>ROUND(SUMIFS(Cantidades[48657],Cantidades[cod Idu],'CantidadesConsolidadas'!$A22),2)</f>
        <v>0</v>
      </c>
      <c r="AZ22" s="752">
        <f>ROUND(SUMIFS(Cantidades[48655],Cantidades[cod Idu],'CantidadesConsolidadas'!$A22),2)</f>
        <v>0</v>
      </c>
      <c r="BA22" s="758">
        <f>SUBTOTAL(9,CantidadesConsolidadas[[#This Row],[91013913]:[48655]])</f>
        <v>882.68</v>
      </c>
      <c r="BB22" s="638">
        <f>ROUND(CantidadesConsolidadas[[#This Row],[Total]]*CantidadesConsolidadas[[#This Row],[VU]],0)</f>
        <v>1049612442</v>
      </c>
    </row>
    <row r="23" spans="1:54" ht="29.4" thickBot="1" x14ac:dyDescent="0.35">
      <c r="A23">
        <v>4712</v>
      </c>
      <c r="B23" s="606" t="str">
        <f>+_xlfn.XLOOKUP(CantidadesConsolidadas[[#This Row],[cod Idu]],APU_IDU[Código],APU_IDU[Nombre],"",0)</f>
        <v>MEZCLA ASFALTICA CON ASFALTO CAUCHO (SUMINISTRO, EXTENDIDO, NIVELACIÓN Y COMPACTACIÓN MECANICA)</v>
      </c>
      <c r="C23" s="609" t="str">
        <f>+_xlfn.XLOOKUP(CantidadesConsolidadas[[#This Row],[cod Idu]],APU_IDU[Código],APU_IDU[UM],"",0)</f>
        <v>M3</v>
      </c>
      <c r="D23" s="743">
        <f>+_xlfn.XLOOKUP(CantidadesConsolidadas[[#This Row],[cod Idu]],APU_IDU[Código],APU_IDU[Valor],"",0)</f>
        <v>1658667</v>
      </c>
      <c r="E23" s="497">
        <f>ROUND(SUMIFS(Cantidades[91013913],Cantidades[cod Idu],'CantidadesConsolidadas'!$A23),2)</f>
        <v>0</v>
      </c>
      <c r="F23" s="497">
        <f>ROUND(SUMIFS(Cantidades[472330],Cantidades[cod Idu],'CantidadesConsolidadas'!$A23),2)</f>
        <v>0</v>
      </c>
      <c r="G23" s="497">
        <f>ROUND(SUMIFS(Cantidades[167810],Cantidades[cod Idu],'CantidadesConsolidadas'!$A23),2)</f>
        <v>0</v>
      </c>
      <c r="H23" s="497">
        <f>ROUND(SUMIFS(Cantidades[166646],Cantidades[cod Idu],'CantidadesConsolidadas'!$A23),2)</f>
        <v>0</v>
      </c>
      <c r="I23" s="497">
        <f>ROUND(SUMIFS(Cantidades[167491],Cantidades[cod Idu],'CantidadesConsolidadas'!$A23),2)</f>
        <v>0</v>
      </c>
      <c r="J23" s="497">
        <f>ROUND(SUMIFS(Cantidades[167266],Cantidades[cod Idu],'CantidadesConsolidadas'!$A23),2)</f>
        <v>0</v>
      </c>
      <c r="K23" s="497">
        <f>ROUND(SUMIFS(Cantidades[170896],Cantidades[cod Idu],'CantidadesConsolidadas'!$A23),2)</f>
        <v>16.88</v>
      </c>
      <c r="L23" s="497">
        <f>ROUND(SUMIFS(Cantidades[170897],Cantidades[cod Idu],'CantidadesConsolidadas'!$A23),2)</f>
        <v>18.82</v>
      </c>
      <c r="M23" s="497">
        <f>ROUND(SUMIFS(Cantidades[170898],Cantidades[cod Idu],'CantidadesConsolidadas'!$A23),2)</f>
        <v>7.48</v>
      </c>
      <c r="N23" s="497">
        <f>ROUND(SUMIFS(Cantidades[91064150],Cantidades[cod Idu],'CantidadesConsolidadas'!$A23),2)</f>
        <v>22.25</v>
      </c>
      <c r="O23" s="497">
        <f>ROUND(SUMIFS(Cantidades[168919],Cantidades[cod Idu],'CantidadesConsolidadas'!$A23),2)</f>
        <v>0</v>
      </c>
      <c r="P23" s="497">
        <f>ROUND(SUMIFS(Cantidades[168426],Cantidades[cod Idu],'CantidadesConsolidadas'!$A23),2)</f>
        <v>0</v>
      </c>
      <c r="Q23" s="497">
        <f>ROUND(SUMIFS(Cantidades[91020796],Cantidades[cod Idu],'CantidadesConsolidadas'!$A23),2)</f>
        <v>17.52</v>
      </c>
      <c r="R23" s="497">
        <f>ROUND(SUMIFS(Cantidades[176184],Cantidades[cod Idu],'CantidadesConsolidadas'!$A23),2)</f>
        <v>0</v>
      </c>
      <c r="S23" s="497">
        <f>ROUND(SUMIFS(Cantidades[167636],Cantidades[cod Idu],'CantidadesConsolidadas'!$A23),2)</f>
        <v>80.010000000000005</v>
      </c>
      <c r="T23" s="497">
        <f>ROUND(SUMIFS(Cantidades[176730],Cantidades[cod Idu],'CantidadesConsolidadas'!$A23),2)</f>
        <v>0</v>
      </c>
      <c r="U23" s="497">
        <f>ROUND(SUMIFS(Cantidades[173038],Cantidades[cod Idu],'CantidadesConsolidadas'!$A23),2)</f>
        <v>0</v>
      </c>
      <c r="V23" s="497">
        <f>ROUND(SUMIFS(Cantidades[170222],Cantidades[cod Idu],'CantidadesConsolidadas'!$A23),2)</f>
        <v>126.87</v>
      </c>
      <c r="W23" s="497">
        <f>ROUND(SUMIFS(Cantidades[170229],Cantidades[cod Idu],'CantidadesConsolidadas'!$A23),2)</f>
        <v>0</v>
      </c>
      <c r="X23" s="497">
        <f>ROUND(SUMIFS(Cantidades[170227],Cantidades[cod Idu],'CantidadesConsolidadas'!$A23),2)</f>
        <v>0</v>
      </c>
      <c r="Y23" s="497">
        <f>ROUND(SUMIFS(Cantidades[170226],Cantidades[cod Idu],'CantidadesConsolidadas'!$A23),2)</f>
        <v>15.44</v>
      </c>
      <c r="Z23" s="497">
        <f>ROUND(SUMIFS(Cantidades[171567],Cantidades[cod Idu],'CantidadesConsolidadas'!$A23),2)</f>
        <v>0</v>
      </c>
      <c r="AA23" s="497">
        <f>ROUND(SUMIFS(Cantidades[166632],Cantidades[cod Idu],'CantidadesConsolidadas'!$A23),2)</f>
        <v>49.1</v>
      </c>
      <c r="AB23" s="497">
        <f>ROUND(SUMIFS(Cantidades[170228],Cantidades[cod Idu],'CantidadesConsolidadas'!$A23),2)</f>
        <v>0</v>
      </c>
      <c r="AC23" s="497">
        <f>ROUND(SUMIFS(Cantidades[172926],Cantidades[cod Idu],'CantidadesConsolidadas'!$A23),2)</f>
        <v>0</v>
      </c>
      <c r="AD23" s="497">
        <f>ROUND(SUMIFS(Cantidades[171152],Cantidades[cod Idu],'CantidadesConsolidadas'!$A23),2)</f>
        <v>0</v>
      </c>
      <c r="AE23" s="497">
        <f>ROUND(SUMIFS(Cantidades[173058],Cantidades[cod Idu],'CantidadesConsolidadas'!$A23),2)</f>
        <v>0</v>
      </c>
      <c r="AF23" s="726">
        <f>ROUND(SUMIFS(Cantidades[174478],Cantidades[cod Idu],'CantidadesConsolidadas'!$A23),2)</f>
        <v>0</v>
      </c>
      <c r="AG23" s="726">
        <f>ROUND(SUMIFS(Cantidades[91010089],Cantidades[cod Idu],'CantidadesConsolidadas'!$A23),2)</f>
        <v>0</v>
      </c>
      <c r="AH23" s="726">
        <f>ROUND(SUMIFS(Cantidades[176122],Cantidades[cod Idu],'CantidadesConsolidadas'!$A23),2)</f>
        <v>0</v>
      </c>
      <c r="AI23" s="726">
        <f>ROUND(SUMIFS(Cantidades[168536],Cantidades[cod Idu],'CantidadesConsolidadas'!$A23),2)</f>
        <v>0</v>
      </c>
      <c r="AJ23" s="497">
        <f>ROUND(SUMIFS(Cantidades[166934],Cantidades[cod Idu],'CantidadesConsolidadas'!$A23),2)</f>
        <v>0</v>
      </c>
      <c r="AK23" s="497">
        <f>ROUND(SUMIFS(Cantidades[174353],Cantidades[cod Idu],'CantidadesConsolidadas'!$A23),2)</f>
        <v>0</v>
      </c>
      <c r="AL23" s="751">
        <f>ROUND(SUMIFS(Cantidades[52531],Cantidades[cod Idu],'CantidadesConsolidadas'!$A23),2)</f>
        <v>0</v>
      </c>
      <c r="AM23" s="500">
        <f>ROUND(SUMIFS(Cantidades[52456],Cantidades[cod Idu],'CantidadesConsolidadas'!$A23),2)</f>
        <v>0</v>
      </c>
      <c r="AN23" s="500">
        <f>ROUND(SUMIFS(Cantidades[92058103],Cantidades[cod Idu],'CantidadesConsolidadas'!$A23),2)</f>
        <v>0</v>
      </c>
      <c r="AO23" s="500">
        <f>ROUND(SUMIFS(Cantidades[20011114],Cantidades[cod Idu],'CantidadesConsolidadas'!$A23),2)</f>
        <v>0</v>
      </c>
      <c r="AP23" s="500">
        <f>ROUND(SUMIFS(Cantidades[20013540],Cantidades[cod Idu],'CantidadesConsolidadas'!$A23),2)</f>
        <v>0</v>
      </c>
      <c r="AQ23" s="500">
        <f>ROUND(SUMIFS(Cantidades[55337],Cantidades[cod Idu],'CantidadesConsolidadas'!$A23),2)</f>
        <v>0</v>
      </c>
      <c r="AR23" s="500">
        <f>ROUND(SUMIFS(Cantidades[92087422],Cantidades[cod Idu],'CantidadesConsolidadas'!$A23),2)</f>
        <v>0</v>
      </c>
      <c r="AS23" s="500">
        <f>ROUND(SUMIFS(Cantidades[55259],Cantidades[cod Idu],'CantidadesConsolidadas'!$A23),2)</f>
        <v>0</v>
      </c>
      <c r="AT23" s="500">
        <f>ROUND(SUMIFS(Cantidades[466904],Cantidades[cod Idu],'CantidadesConsolidadas'!$A23),2)</f>
        <v>0</v>
      </c>
      <c r="AU23" s="500">
        <f>ROUND(SUMIFS(Cantidades[48591],Cantidades[cod Idu],'CantidadesConsolidadas'!$A23),2)</f>
        <v>0</v>
      </c>
      <c r="AV23" s="500">
        <f>ROUND(SUMIFS(Cantidades[48590],Cantidades[cod Idu],'CantidadesConsolidadas'!$A23),2)</f>
        <v>0</v>
      </c>
      <c r="AW23" s="500">
        <f>ROUND(SUMIFS(Cantidades[48561],Cantidades[cod Idu],'CantidadesConsolidadas'!$A23),2)</f>
        <v>0</v>
      </c>
      <c r="AX23" s="805">
        <f>ROUND(SUMIFS(Cantidades[48560],Cantidades[cod Idu],'CantidadesConsolidadas'!$A23),2)</f>
        <v>0</v>
      </c>
      <c r="AY23" s="805">
        <f>ROUND(SUMIFS(Cantidades[48657],Cantidades[cod Idu],'CantidadesConsolidadas'!$A23),2)</f>
        <v>0</v>
      </c>
      <c r="AZ23" s="752">
        <f>ROUND(SUMIFS(Cantidades[48655],Cantidades[cod Idu],'CantidadesConsolidadas'!$A23),2)</f>
        <v>0</v>
      </c>
      <c r="BA23" s="758">
        <f>SUBTOTAL(9,CantidadesConsolidadas[[#This Row],[91013913]:[48655]])</f>
        <v>354.37000000000006</v>
      </c>
      <c r="BB23" s="638">
        <f>ROUND(CantidadesConsolidadas[[#This Row],[Total]]*CantidadesConsolidadas[[#This Row],[VU]],0)</f>
        <v>587781825</v>
      </c>
    </row>
    <row r="24" spans="1:54" ht="15" thickBot="1" x14ac:dyDescent="0.35">
      <c r="A24">
        <v>4598</v>
      </c>
      <c r="B24" s="606" t="str">
        <f>+_xlfn.XLOOKUP(CantidadesConsolidadas[[#This Row],[cod Idu]],APU_IDU[Código],APU_IDU[Nombre],"",0)</f>
        <v>SELLO DE GRIETAS</v>
      </c>
      <c r="C24" s="609" t="str">
        <f>+_xlfn.XLOOKUP(CantidadesConsolidadas[[#This Row],[cod Idu]],APU_IDU[Código],APU_IDU[UM],"",0)</f>
        <v>ML</v>
      </c>
      <c r="D24" s="743">
        <f>+_xlfn.XLOOKUP(CantidadesConsolidadas[[#This Row],[cod Idu]],APU_IDU[Código],APU_IDU[Valor],"",0)</f>
        <v>12196</v>
      </c>
      <c r="E24" s="497">
        <f>ROUND(SUMIFS(Cantidades[91013913],Cantidades[cod Idu],'CantidadesConsolidadas'!$A24),2)</f>
        <v>0</v>
      </c>
      <c r="F24" s="497">
        <f>ROUND(SUMIFS(Cantidades[472330],Cantidades[cod Idu],'CantidadesConsolidadas'!$A24),2)</f>
        <v>0</v>
      </c>
      <c r="G24" s="497">
        <f>ROUND(SUMIFS(Cantidades[167810],Cantidades[cod Idu],'CantidadesConsolidadas'!$A24),2)</f>
        <v>0</v>
      </c>
      <c r="H24" s="497">
        <f>ROUND(SUMIFS(Cantidades[166646],Cantidades[cod Idu],'CantidadesConsolidadas'!$A24),2)</f>
        <v>0</v>
      </c>
      <c r="I24" s="497">
        <f>ROUND(SUMIFS(Cantidades[167491],Cantidades[cod Idu],'CantidadesConsolidadas'!$A24),2)</f>
        <v>0</v>
      </c>
      <c r="J24" s="497">
        <f>ROUND(SUMIFS(Cantidades[167266],Cantidades[cod Idu],'CantidadesConsolidadas'!$A24),2)</f>
        <v>0</v>
      </c>
      <c r="K24" s="497">
        <f>ROUND(SUMIFS(Cantidades[170896],Cantidades[cod Idu],'CantidadesConsolidadas'!$A24),2)</f>
        <v>0</v>
      </c>
      <c r="L24" s="497">
        <f>ROUND(SUMIFS(Cantidades[170897],Cantidades[cod Idu],'CantidadesConsolidadas'!$A24),2)</f>
        <v>0</v>
      </c>
      <c r="M24" s="497">
        <f>ROUND(SUMIFS(Cantidades[170898],Cantidades[cod Idu],'CantidadesConsolidadas'!$A24),2)</f>
        <v>0</v>
      </c>
      <c r="N24" s="497">
        <f>ROUND(SUMIFS(Cantidades[91064150],Cantidades[cod Idu],'CantidadesConsolidadas'!$A24),2)</f>
        <v>0</v>
      </c>
      <c r="O24" s="497">
        <f>ROUND(SUMIFS(Cantidades[168919],Cantidades[cod Idu],'CantidadesConsolidadas'!$A24),2)</f>
        <v>0</v>
      </c>
      <c r="P24" s="497">
        <f>ROUND(SUMIFS(Cantidades[168426],Cantidades[cod Idu],'CantidadesConsolidadas'!$A24),2)</f>
        <v>0</v>
      </c>
      <c r="Q24" s="497">
        <f>ROUND(SUMIFS(Cantidades[91020796],Cantidades[cod Idu],'CantidadesConsolidadas'!$A24),2)</f>
        <v>0</v>
      </c>
      <c r="R24" s="497">
        <f>ROUND(SUMIFS(Cantidades[176184],Cantidades[cod Idu],'CantidadesConsolidadas'!$A24),2)</f>
        <v>0</v>
      </c>
      <c r="S24" s="497">
        <f>ROUND(SUMIFS(Cantidades[167636],Cantidades[cod Idu],'CantidadesConsolidadas'!$A24),2)</f>
        <v>0</v>
      </c>
      <c r="T24" s="497">
        <f>ROUND(SUMIFS(Cantidades[176730],Cantidades[cod Idu],'CantidadesConsolidadas'!$A24),2)</f>
        <v>0</v>
      </c>
      <c r="U24" s="497">
        <f>ROUND(SUMIFS(Cantidades[173038],Cantidades[cod Idu],'CantidadesConsolidadas'!$A24),2)</f>
        <v>0</v>
      </c>
      <c r="V24" s="497">
        <f>ROUND(SUMIFS(Cantidades[170222],Cantidades[cod Idu],'CantidadesConsolidadas'!$A24),2)</f>
        <v>0</v>
      </c>
      <c r="W24" s="497">
        <f>ROUND(SUMIFS(Cantidades[170229],Cantidades[cod Idu],'CantidadesConsolidadas'!$A24),2)</f>
        <v>0</v>
      </c>
      <c r="X24" s="497">
        <f>ROUND(SUMIFS(Cantidades[170227],Cantidades[cod Idu],'CantidadesConsolidadas'!$A24),2)</f>
        <v>0</v>
      </c>
      <c r="Y24" s="497">
        <f>ROUND(SUMIFS(Cantidades[170226],Cantidades[cod Idu],'CantidadesConsolidadas'!$A24),2)</f>
        <v>0</v>
      </c>
      <c r="Z24" s="497">
        <f>ROUND(SUMIFS(Cantidades[171567],Cantidades[cod Idu],'CantidadesConsolidadas'!$A24),2)</f>
        <v>1</v>
      </c>
      <c r="AA24" s="497">
        <f>ROUND(SUMIFS(Cantidades[166632],Cantidades[cod Idu],'CantidadesConsolidadas'!$A24),2)</f>
        <v>0</v>
      </c>
      <c r="AB24" s="497">
        <f>ROUND(SUMIFS(Cantidades[170228],Cantidades[cod Idu],'CantidadesConsolidadas'!$A24),2)</f>
        <v>0</v>
      </c>
      <c r="AC24" s="497">
        <f>ROUND(SUMIFS(Cantidades[172926],Cantidades[cod Idu],'CantidadesConsolidadas'!$A24),2)</f>
        <v>0</v>
      </c>
      <c r="AD24" s="497">
        <f>ROUND(SUMIFS(Cantidades[171152],Cantidades[cod Idu],'CantidadesConsolidadas'!$A24),2)</f>
        <v>0</v>
      </c>
      <c r="AE24" s="497">
        <f>ROUND(SUMIFS(Cantidades[173058],Cantidades[cod Idu],'CantidadesConsolidadas'!$A24),2)</f>
        <v>1</v>
      </c>
      <c r="AF24" s="726">
        <f>ROUND(SUMIFS(Cantidades[174478],Cantidades[cod Idu],'CantidadesConsolidadas'!$A24),2)</f>
        <v>1</v>
      </c>
      <c r="AG24" s="726">
        <f>ROUND(SUMIFS(Cantidades[91010089],Cantidades[cod Idu],'CantidadesConsolidadas'!$A24),2)</f>
        <v>1</v>
      </c>
      <c r="AH24" s="726">
        <f>ROUND(SUMIFS(Cantidades[176122],Cantidades[cod Idu],'CantidadesConsolidadas'!$A24),2)</f>
        <v>1</v>
      </c>
      <c r="AI24" s="726">
        <f>ROUND(SUMIFS(Cantidades[168536],Cantidades[cod Idu],'CantidadesConsolidadas'!$A24),2)</f>
        <v>1</v>
      </c>
      <c r="AJ24" s="497">
        <f>ROUND(SUMIFS(Cantidades[166934],Cantidades[cod Idu],'CantidadesConsolidadas'!$A24),2)</f>
        <v>1</v>
      </c>
      <c r="AK24" s="497">
        <f>ROUND(SUMIFS(Cantidades[174353],Cantidades[cod Idu],'CantidadesConsolidadas'!$A24),2)</f>
        <v>1</v>
      </c>
      <c r="AL24" s="751">
        <f>ROUND(SUMIFS(Cantidades[52531],Cantidades[cod Idu],'CantidadesConsolidadas'!$A24),2)</f>
        <v>0</v>
      </c>
      <c r="AM24" s="500">
        <f>ROUND(SUMIFS(Cantidades[52456],Cantidades[cod Idu],'CantidadesConsolidadas'!$A24),2)</f>
        <v>0</v>
      </c>
      <c r="AN24" s="500">
        <f>ROUND(SUMIFS(Cantidades[92058103],Cantidades[cod Idu],'CantidadesConsolidadas'!$A24),2)</f>
        <v>0</v>
      </c>
      <c r="AO24" s="500">
        <f>ROUND(SUMIFS(Cantidades[20011114],Cantidades[cod Idu],'CantidadesConsolidadas'!$A24),2)</f>
        <v>0</v>
      </c>
      <c r="AP24" s="500">
        <f>ROUND(SUMIFS(Cantidades[20013540],Cantidades[cod Idu],'CantidadesConsolidadas'!$A24),2)</f>
        <v>0</v>
      </c>
      <c r="AQ24" s="500">
        <f>ROUND(SUMIFS(Cantidades[55337],Cantidades[cod Idu],'CantidadesConsolidadas'!$A24),2)</f>
        <v>0</v>
      </c>
      <c r="AR24" s="500">
        <f>ROUND(SUMIFS(Cantidades[92087422],Cantidades[cod Idu],'CantidadesConsolidadas'!$A24),2)</f>
        <v>0</v>
      </c>
      <c r="AS24" s="500">
        <f>ROUND(SUMIFS(Cantidades[55259],Cantidades[cod Idu],'CantidadesConsolidadas'!$A24),2)</f>
        <v>0</v>
      </c>
      <c r="AT24" s="500">
        <f>ROUND(SUMIFS(Cantidades[466904],Cantidades[cod Idu],'CantidadesConsolidadas'!$A24),2)</f>
        <v>0</v>
      </c>
      <c r="AU24" s="500">
        <f>ROUND(SUMIFS(Cantidades[48591],Cantidades[cod Idu],'CantidadesConsolidadas'!$A24),2)</f>
        <v>0</v>
      </c>
      <c r="AV24" s="500">
        <f>ROUND(SUMIFS(Cantidades[48590],Cantidades[cod Idu],'CantidadesConsolidadas'!$A24),2)</f>
        <v>0</v>
      </c>
      <c r="AW24" s="500">
        <f>ROUND(SUMIFS(Cantidades[48561],Cantidades[cod Idu],'CantidadesConsolidadas'!$A24),2)</f>
        <v>0</v>
      </c>
      <c r="AX24" s="805">
        <f>ROUND(SUMIFS(Cantidades[48560],Cantidades[cod Idu],'CantidadesConsolidadas'!$A24),2)</f>
        <v>0</v>
      </c>
      <c r="AY24" s="805">
        <f>ROUND(SUMIFS(Cantidades[48657],Cantidades[cod Idu],'CantidadesConsolidadas'!$A24),2)</f>
        <v>0</v>
      </c>
      <c r="AZ24" s="752">
        <f>ROUND(SUMIFS(Cantidades[48655],Cantidades[cod Idu],'CantidadesConsolidadas'!$A24),2)</f>
        <v>0</v>
      </c>
      <c r="BA24" s="758">
        <f>SUBTOTAL(9,CantidadesConsolidadas[[#This Row],[91013913]:[48655]])</f>
        <v>8</v>
      </c>
      <c r="BB24" s="638">
        <f>ROUND(CantidadesConsolidadas[[#This Row],[Total]]*CantidadesConsolidadas[[#This Row],[VU]],0)</f>
        <v>97568</v>
      </c>
    </row>
    <row r="25" spans="1:54" ht="43.8" thickBot="1" x14ac:dyDescent="0.35">
      <c r="A25">
        <v>5843</v>
      </c>
      <c r="B25" s="606" t="str">
        <f>+_xlfn.XLOOKUP(CantidadesConsolidadas[[#This Row],[cod Idu]],APU_IDU[Código],APU_IDU[Nombre],"",0)</f>
        <v>GEOMALLA BIAXIAL PARA EL CONTROL DEL REFLEJO DE AGRIETAMIENTO EN CAPAS DE CONCRETO ASFALTICO, CON MODULO DE TENSION CICLICA MINIMO DE 2340 KN/M. (INCLUYE SUMINISTRO E INSTALACION).</v>
      </c>
      <c r="C25" s="609" t="str">
        <f>+_xlfn.XLOOKUP(CantidadesConsolidadas[[#This Row],[cod Idu]],APU_IDU[Código],APU_IDU[UM],"",0)</f>
        <v>M2</v>
      </c>
      <c r="D25" s="743">
        <f>+_xlfn.XLOOKUP(CantidadesConsolidadas[[#This Row],[cod Idu]],APU_IDU[Código],APU_IDU[Valor],"",0)</f>
        <v>33937</v>
      </c>
      <c r="E25" s="497">
        <f>ROUND(SUMIFS(Cantidades[91013913],Cantidades[cod Idu],'CantidadesConsolidadas'!$A25),2)</f>
        <v>1489.08</v>
      </c>
      <c r="F25" s="497">
        <f>ROUND(SUMIFS(Cantidades[472330],Cantidades[cod Idu],'CantidadesConsolidadas'!$A25),2)</f>
        <v>726</v>
      </c>
      <c r="G25" s="497">
        <f>ROUND(SUMIFS(Cantidades[167810],Cantidades[cod Idu],'CantidadesConsolidadas'!$A25),2)</f>
        <v>781.12</v>
      </c>
      <c r="H25" s="497">
        <f>ROUND(SUMIFS(Cantidades[166646],Cantidades[cod Idu],'CantidadesConsolidadas'!$A25),2)</f>
        <v>474.81</v>
      </c>
      <c r="I25" s="497">
        <f>ROUND(SUMIFS(Cantidades[167491],Cantidades[cod Idu],'CantidadesConsolidadas'!$A25),2)</f>
        <v>442.11</v>
      </c>
      <c r="J25" s="497">
        <f>ROUND(SUMIFS(Cantidades[167266],Cantidades[cod Idu],'CantidadesConsolidadas'!$A25),2)</f>
        <v>567.01</v>
      </c>
      <c r="K25" s="497">
        <f>ROUND(SUMIFS(Cantidades[170896],Cantidades[cod Idu],'CantidadesConsolidadas'!$A25),2)</f>
        <v>112.52</v>
      </c>
      <c r="L25" s="497">
        <f>ROUND(SUMIFS(Cantidades[170897],Cantidades[cod Idu],'CantidadesConsolidadas'!$A25),2)</f>
        <v>125.44</v>
      </c>
      <c r="M25" s="497">
        <f>ROUND(SUMIFS(Cantidades[170898],Cantidades[cod Idu],'CantidadesConsolidadas'!$A25),2)</f>
        <v>49.89</v>
      </c>
      <c r="N25" s="497">
        <f>ROUND(SUMIFS(Cantidades[91064150],Cantidades[cod Idu],'CantidadesConsolidadas'!$A25),2)</f>
        <v>148.31</v>
      </c>
      <c r="O25" s="497">
        <f>ROUND(SUMIFS(Cantidades[168919],Cantidades[cod Idu],'CantidadesConsolidadas'!$A25),2)</f>
        <v>484.43</v>
      </c>
      <c r="P25" s="497">
        <f>ROUND(SUMIFS(Cantidades[168426],Cantidades[cod Idu],'CantidadesConsolidadas'!$A25),2)</f>
        <v>426.72</v>
      </c>
      <c r="Q25" s="497">
        <f>ROUND(SUMIFS(Cantidades[91020796],Cantidades[cod Idu],'CantidadesConsolidadas'!$A25),2)</f>
        <v>116.78</v>
      </c>
      <c r="R25" s="497">
        <f>ROUND(SUMIFS(Cantidades[176184],Cantidades[cod Idu],'CantidadesConsolidadas'!$A25),2)</f>
        <v>237.65</v>
      </c>
      <c r="S25" s="497">
        <f>ROUND(SUMIFS(Cantidades[167636],Cantidades[cod Idu],'CantidadesConsolidadas'!$A25),2)</f>
        <v>533.41</v>
      </c>
      <c r="T25" s="497">
        <f>ROUND(SUMIFS(Cantidades[176730],Cantidades[cod Idu],'CantidadesConsolidadas'!$A25),2)</f>
        <v>144.71</v>
      </c>
      <c r="U25" s="497">
        <f>ROUND(SUMIFS(Cantidades[173038],Cantidades[cod Idu],'CantidadesConsolidadas'!$A25),2)</f>
        <v>495.42</v>
      </c>
      <c r="V25" s="497">
        <f>ROUND(SUMIFS(Cantidades[170222],Cantidades[cod Idu],'CantidadesConsolidadas'!$A25),2)</f>
        <v>845.83</v>
      </c>
      <c r="W25" s="497">
        <f>ROUND(SUMIFS(Cantidades[170229],Cantidades[cod Idu],'CantidadesConsolidadas'!$A25),2)</f>
        <v>75.92</v>
      </c>
      <c r="X25" s="497">
        <f>ROUND(SUMIFS(Cantidades[170227],Cantidades[cod Idu],'CantidadesConsolidadas'!$A25),2)</f>
        <v>187.93</v>
      </c>
      <c r="Y25" s="497">
        <f>ROUND(SUMIFS(Cantidades[170226],Cantidades[cod Idu],'CantidadesConsolidadas'!$A25),2)</f>
        <v>102.95</v>
      </c>
      <c r="Z25" s="497">
        <f>ROUND(SUMIFS(Cantidades[171567],Cantidades[cod Idu],'CantidadesConsolidadas'!$A25),2)</f>
        <v>0</v>
      </c>
      <c r="AA25" s="497">
        <f>ROUND(SUMIFS(Cantidades[166632],Cantidades[cod Idu],'CantidadesConsolidadas'!$A25),2)</f>
        <v>327.35000000000002</v>
      </c>
      <c r="AB25" s="497">
        <f>ROUND(SUMIFS(Cantidades[170228],Cantidades[cod Idu],'CantidadesConsolidadas'!$A25),2)</f>
        <v>205.14</v>
      </c>
      <c r="AC25" s="497">
        <f>ROUND(SUMIFS(Cantidades[172926],Cantidades[cod Idu],'CantidadesConsolidadas'!$A25),2)</f>
        <v>144.43</v>
      </c>
      <c r="AD25" s="497">
        <f>ROUND(SUMIFS(Cantidades[171152],Cantidades[cod Idu],'CantidadesConsolidadas'!$A25),2)</f>
        <v>751.07</v>
      </c>
      <c r="AE25" s="497">
        <f>ROUND(SUMIFS(Cantidades[173058],Cantidades[cod Idu],'CantidadesConsolidadas'!$A25),2)</f>
        <v>196.67</v>
      </c>
      <c r="AF25" s="726">
        <f>ROUND(SUMIFS(Cantidades[174478],Cantidades[cod Idu],'CantidadesConsolidadas'!$A25),2)</f>
        <v>924.18</v>
      </c>
      <c r="AG25" s="726">
        <f>ROUND(SUMIFS(Cantidades[91010089],Cantidades[cod Idu],'CantidadesConsolidadas'!$A25),2)</f>
        <v>297.23</v>
      </c>
      <c r="AH25" s="726">
        <f>ROUND(SUMIFS(Cantidades[176122],Cantidades[cod Idu],'CantidadesConsolidadas'!$A25),2)</f>
        <v>693.96</v>
      </c>
      <c r="AI25" s="726">
        <f>ROUND(SUMIFS(Cantidades[168536],Cantidades[cod Idu],'CantidadesConsolidadas'!$A25),2)</f>
        <v>606.14</v>
      </c>
      <c r="AJ25" s="497">
        <f>ROUND(SUMIFS(Cantidades[166934],Cantidades[cod Idu],'CantidadesConsolidadas'!$A25),2)</f>
        <v>939.11</v>
      </c>
      <c r="AK25" s="497">
        <f>ROUND(SUMIFS(Cantidades[174353],Cantidades[cod Idu],'CantidadesConsolidadas'!$A25),2)</f>
        <v>525.6</v>
      </c>
      <c r="AL25" s="751">
        <f>ROUND(SUMIFS(Cantidades[52531],Cantidades[cod Idu],'CantidadesConsolidadas'!$A25),2)</f>
        <v>0</v>
      </c>
      <c r="AM25" s="500">
        <f>ROUND(SUMIFS(Cantidades[52456],Cantidades[cod Idu],'CantidadesConsolidadas'!$A25),2)</f>
        <v>0</v>
      </c>
      <c r="AN25" s="500">
        <f>ROUND(SUMIFS(Cantidades[92058103],Cantidades[cod Idu],'CantidadesConsolidadas'!$A25),2)</f>
        <v>0</v>
      </c>
      <c r="AO25" s="500">
        <f>ROUND(SUMIFS(Cantidades[20011114],Cantidades[cod Idu],'CantidadesConsolidadas'!$A25),2)</f>
        <v>0</v>
      </c>
      <c r="AP25" s="500">
        <f>ROUND(SUMIFS(Cantidades[20013540],Cantidades[cod Idu],'CantidadesConsolidadas'!$A25),2)</f>
        <v>0</v>
      </c>
      <c r="AQ25" s="500">
        <f>ROUND(SUMIFS(Cantidades[55337],Cantidades[cod Idu],'CantidadesConsolidadas'!$A25),2)</f>
        <v>0</v>
      </c>
      <c r="AR25" s="500">
        <f>ROUND(SUMIFS(Cantidades[92087422],Cantidades[cod Idu],'CantidadesConsolidadas'!$A25),2)</f>
        <v>0</v>
      </c>
      <c r="AS25" s="500">
        <f>ROUND(SUMIFS(Cantidades[55259],Cantidades[cod Idu],'CantidadesConsolidadas'!$A25),2)</f>
        <v>0</v>
      </c>
      <c r="AT25" s="500">
        <f>ROUND(SUMIFS(Cantidades[466904],Cantidades[cod Idu],'CantidadesConsolidadas'!$A25),2)</f>
        <v>0</v>
      </c>
      <c r="AU25" s="500">
        <f>ROUND(SUMIFS(Cantidades[48591],Cantidades[cod Idu],'CantidadesConsolidadas'!$A25),2)</f>
        <v>0</v>
      </c>
      <c r="AV25" s="500">
        <f>ROUND(SUMIFS(Cantidades[48590],Cantidades[cod Idu],'CantidadesConsolidadas'!$A25),2)</f>
        <v>0</v>
      </c>
      <c r="AW25" s="500">
        <f>ROUND(SUMIFS(Cantidades[48561],Cantidades[cod Idu],'CantidadesConsolidadas'!$A25),2)</f>
        <v>0</v>
      </c>
      <c r="AX25" s="805">
        <f>ROUND(SUMIFS(Cantidades[48560],Cantidades[cod Idu],'CantidadesConsolidadas'!$A25),2)</f>
        <v>0</v>
      </c>
      <c r="AY25" s="805">
        <f>ROUND(SUMIFS(Cantidades[48657],Cantidades[cod Idu],'CantidadesConsolidadas'!$A25),2)</f>
        <v>0</v>
      </c>
      <c r="AZ25" s="752">
        <f>ROUND(SUMIFS(Cantidades[48655],Cantidades[cod Idu],'CantidadesConsolidadas'!$A25),2)</f>
        <v>0</v>
      </c>
      <c r="BA25" s="758">
        <f>SUBTOTAL(9,CantidadesConsolidadas[[#This Row],[91013913]:[48655]])</f>
        <v>14178.920000000004</v>
      </c>
      <c r="BB25" s="638">
        <f>ROUND(CantidadesConsolidadas[[#This Row],[Total]]*CantidadesConsolidadas[[#This Row],[VU]],0)</f>
        <v>481190008</v>
      </c>
    </row>
    <row r="26" spans="1:54" ht="43.8" thickBot="1" x14ac:dyDescent="0.35">
      <c r="A26">
        <v>4246</v>
      </c>
      <c r="B26" s="606" t="str">
        <f>+_xlfn.XLOOKUP(CantidadesConsolidadas[[#This Row],[cod Idu]],APU_IDU[Código],APU_IDU[Nombre],"",0)</f>
        <v>FLECHA DIRECCIONAL "DE FRENTE" (E=2.3MM,TERMOPLÁSTICA. INC. SUMINISTRO Y APLICACIÓN CON EQUIPO. INC MICROESFERAS). MARCA VIAL PARA VELOCIDADES MENORES O IGUALES A 60 KM/H AREA DE LA MARCA: 1.20 M2.</v>
      </c>
      <c r="C26" s="609" t="str">
        <f>+_xlfn.XLOOKUP(CantidadesConsolidadas[[#This Row],[cod Idu]],APU_IDU[Código],APU_IDU[UM],"",0)</f>
        <v>UN</v>
      </c>
      <c r="D26" s="743">
        <f>+_xlfn.XLOOKUP(CantidadesConsolidadas[[#This Row],[cod Idu]],APU_IDU[Código],APU_IDU[Valor],"",0)</f>
        <v>206205</v>
      </c>
      <c r="E26" s="497">
        <f>ROUND(SUMIFS(Cantidades[91013913],Cantidades[cod Idu],'CantidadesConsolidadas'!$A26),2)</f>
        <v>2</v>
      </c>
      <c r="F26" s="497">
        <f>ROUND(SUMIFS(Cantidades[472330],Cantidades[cod Idu],'CantidadesConsolidadas'!$A26),2)</f>
        <v>0</v>
      </c>
      <c r="G26" s="497">
        <f>ROUND(SUMIFS(Cantidades[167810],Cantidades[cod Idu],'CantidadesConsolidadas'!$A26),2)</f>
        <v>2</v>
      </c>
      <c r="H26" s="497">
        <f>ROUND(SUMIFS(Cantidades[166646],Cantidades[cod Idu],'CantidadesConsolidadas'!$A26),2)</f>
        <v>0</v>
      </c>
      <c r="I26" s="497">
        <f>ROUND(SUMIFS(Cantidades[167491],Cantidades[cod Idu],'CantidadesConsolidadas'!$A26),2)</f>
        <v>2</v>
      </c>
      <c r="J26" s="497">
        <f>ROUND(SUMIFS(Cantidades[167266],Cantidades[cod Idu],'CantidadesConsolidadas'!$A26),2)</f>
        <v>2</v>
      </c>
      <c r="K26" s="497">
        <f>ROUND(SUMIFS(Cantidades[170896],Cantidades[cod Idu],'CantidadesConsolidadas'!$A26),2)</f>
        <v>2</v>
      </c>
      <c r="L26" s="497">
        <f>ROUND(SUMIFS(Cantidades[170897],Cantidades[cod Idu],'CantidadesConsolidadas'!$A26),2)</f>
        <v>0</v>
      </c>
      <c r="M26" s="497">
        <f>ROUND(SUMIFS(Cantidades[170898],Cantidades[cod Idu],'CantidadesConsolidadas'!$A26),2)</f>
        <v>0</v>
      </c>
      <c r="N26" s="497">
        <f>ROUND(SUMIFS(Cantidades[91064150],Cantidades[cod Idu],'CantidadesConsolidadas'!$A26),2)</f>
        <v>2</v>
      </c>
      <c r="O26" s="497">
        <f>ROUND(SUMIFS(Cantidades[168919],Cantidades[cod Idu],'CantidadesConsolidadas'!$A26),2)</f>
        <v>0</v>
      </c>
      <c r="P26" s="497">
        <f>ROUND(SUMIFS(Cantidades[168426],Cantidades[cod Idu],'CantidadesConsolidadas'!$A26),2)</f>
        <v>2</v>
      </c>
      <c r="Q26" s="497">
        <f>ROUND(SUMIFS(Cantidades[91020796],Cantidades[cod Idu],'CantidadesConsolidadas'!$A26),2)</f>
        <v>2</v>
      </c>
      <c r="R26" s="497">
        <f>ROUND(SUMIFS(Cantidades[176184],Cantidades[cod Idu],'CantidadesConsolidadas'!$A26),2)</f>
        <v>0</v>
      </c>
      <c r="S26" s="497">
        <f>ROUND(SUMIFS(Cantidades[167636],Cantidades[cod Idu],'CantidadesConsolidadas'!$A26),2)</f>
        <v>0</v>
      </c>
      <c r="T26" s="497">
        <f>ROUND(SUMIFS(Cantidades[176730],Cantidades[cod Idu],'CantidadesConsolidadas'!$A26),2)</f>
        <v>0</v>
      </c>
      <c r="U26" s="497">
        <f>ROUND(SUMIFS(Cantidades[173038],Cantidades[cod Idu],'CantidadesConsolidadas'!$A26),2)</f>
        <v>2</v>
      </c>
      <c r="V26" s="497">
        <f>ROUND(SUMIFS(Cantidades[170222],Cantidades[cod Idu],'CantidadesConsolidadas'!$A26),2)</f>
        <v>2</v>
      </c>
      <c r="W26" s="497">
        <f>ROUND(SUMIFS(Cantidades[170229],Cantidades[cod Idu],'CantidadesConsolidadas'!$A26),2)</f>
        <v>2</v>
      </c>
      <c r="X26" s="497">
        <f>ROUND(SUMIFS(Cantidades[170227],Cantidades[cod Idu],'CantidadesConsolidadas'!$A26),2)</f>
        <v>0</v>
      </c>
      <c r="Y26" s="497">
        <f>ROUND(SUMIFS(Cantidades[170226],Cantidades[cod Idu],'CantidadesConsolidadas'!$A26),2)</f>
        <v>0</v>
      </c>
      <c r="Z26" s="497">
        <f>ROUND(SUMIFS(Cantidades[171567],Cantidades[cod Idu],'CantidadesConsolidadas'!$A26),2)</f>
        <v>2</v>
      </c>
      <c r="AA26" s="497">
        <f>ROUND(SUMIFS(Cantidades[166632],Cantidades[cod Idu],'CantidadesConsolidadas'!$A26),2)</f>
        <v>2</v>
      </c>
      <c r="AB26" s="497">
        <f>ROUND(SUMIFS(Cantidades[170228],Cantidades[cod Idu],'CantidadesConsolidadas'!$A26),2)</f>
        <v>0</v>
      </c>
      <c r="AC26" s="497">
        <f>ROUND(SUMIFS(Cantidades[172926],Cantidades[cod Idu],'CantidadesConsolidadas'!$A26),2)</f>
        <v>0</v>
      </c>
      <c r="AD26" s="497">
        <f>ROUND(SUMIFS(Cantidades[171152],Cantidades[cod Idu],'CantidadesConsolidadas'!$A26),2)</f>
        <v>2</v>
      </c>
      <c r="AE26" s="497">
        <f>ROUND(SUMIFS(Cantidades[173058],Cantidades[cod Idu],'CantidadesConsolidadas'!$A26),2)</f>
        <v>2</v>
      </c>
      <c r="AF26" s="726">
        <f>ROUND(SUMIFS(Cantidades[174478],Cantidades[cod Idu],'CantidadesConsolidadas'!$A26),2)</f>
        <v>3</v>
      </c>
      <c r="AG26" s="726">
        <f>ROUND(SUMIFS(Cantidades[91010089],Cantidades[cod Idu],'CantidadesConsolidadas'!$A26),2)</f>
        <v>4</v>
      </c>
      <c r="AH26" s="726">
        <f>ROUND(SUMIFS(Cantidades[176122],Cantidades[cod Idu],'CantidadesConsolidadas'!$A26),2)</f>
        <v>5</v>
      </c>
      <c r="AI26" s="726">
        <f>ROUND(SUMIFS(Cantidades[168536],Cantidades[cod Idu],'CantidadesConsolidadas'!$A26),2)</f>
        <v>6</v>
      </c>
      <c r="AJ26" s="497">
        <f>ROUND(SUMIFS(Cantidades[166934],Cantidades[cod Idu],'CantidadesConsolidadas'!$A26),2)</f>
        <v>7</v>
      </c>
      <c r="AK26" s="497">
        <f>ROUND(SUMIFS(Cantidades[174353],Cantidades[cod Idu],'CantidadesConsolidadas'!$A26),2)</f>
        <v>7</v>
      </c>
      <c r="AL26" s="751">
        <f>ROUND(SUMIFS(Cantidades[52531],Cantidades[cod Idu],'CantidadesConsolidadas'!$A26),2)</f>
        <v>0</v>
      </c>
      <c r="AM26" s="500">
        <f>ROUND(SUMIFS(Cantidades[52456],Cantidades[cod Idu],'CantidadesConsolidadas'!$A26),2)</f>
        <v>0</v>
      </c>
      <c r="AN26" s="500">
        <f>ROUND(SUMIFS(Cantidades[92058103],Cantidades[cod Idu],'CantidadesConsolidadas'!$A26),2)</f>
        <v>0</v>
      </c>
      <c r="AO26" s="500">
        <f>ROUND(SUMIFS(Cantidades[20011114],Cantidades[cod Idu],'CantidadesConsolidadas'!$A26),2)</f>
        <v>0</v>
      </c>
      <c r="AP26" s="500">
        <f>ROUND(SUMIFS(Cantidades[20013540],Cantidades[cod Idu],'CantidadesConsolidadas'!$A26),2)</f>
        <v>0</v>
      </c>
      <c r="AQ26" s="500">
        <f>ROUND(SUMIFS(Cantidades[55337],Cantidades[cod Idu],'CantidadesConsolidadas'!$A26),2)</f>
        <v>0</v>
      </c>
      <c r="AR26" s="500">
        <f>ROUND(SUMIFS(Cantidades[92087422],Cantidades[cod Idu],'CantidadesConsolidadas'!$A26),2)</f>
        <v>0</v>
      </c>
      <c r="AS26" s="500">
        <f>ROUND(SUMIFS(Cantidades[55259],Cantidades[cod Idu],'CantidadesConsolidadas'!$A26),2)</f>
        <v>0</v>
      </c>
      <c r="AT26" s="500">
        <f>ROUND(SUMIFS(Cantidades[466904],Cantidades[cod Idu],'CantidadesConsolidadas'!$A26),2)</f>
        <v>0</v>
      </c>
      <c r="AU26" s="500">
        <f>ROUND(SUMIFS(Cantidades[48591],Cantidades[cod Idu],'CantidadesConsolidadas'!$A26),2)</f>
        <v>0</v>
      </c>
      <c r="AV26" s="500">
        <f>ROUND(SUMIFS(Cantidades[48590],Cantidades[cod Idu],'CantidadesConsolidadas'!$A26),2)</f>
        <v>0</v>
      </c>
      <c r="AW26" s="500">
        <f>ROUND(SUMIFS(Cantidades[48561],Cantidades[cod Idu],'CantidadesConsolidadas'!$A26),2)</f>
        <v>0</v>
      </c>
      <c r="AX26" s="805">
        <f>ROUND(SUMIFS(Cantidades[48560],Cantidades[cod Idu],'CantidadesConsolidadas'!$A26),2)</f>
        <v>0</v>
      </c>
      <c r="AY26" s="805">
        <f>ROUND(SUMIFS(Cantidades[48657],Cantidades[cod Idu],'CantidadesConsolidadas'!$A26),2)</f>
        <v>0</v>
      </c>
      <c r="AZ26" s="752">
        <f>ROUND(SUMIFS(Cantidades[48655],Cantidades[cod Idu],'CantidadesConsolidadas'!$A26),2)</f>
        <v>0</v>
      </c>
      <c r="BA26" s="758">
        <f>SUBTOTAL(9,CantidadesConsolidadas[[#This Row],[91013913]:[48655]])</f>
        <v>62</v>
      </c>
      <c r="BB26" s="638">
        <f>ROUND(CantidadesConsolidadas[[#This Row],[Total]]*CantidadesConsolidadas[[#This Row],[VU]],0)</f>
        <v>12784710</v>
      </c>
    </row>
    <row r="27" spans="1:54" ht="29.4" thickBot="1" x14ac:dyDescent="0.35">
      <c r="A27">
        <v>4248</v>
      </c>
      <c r="B27" s="606" t="str">
        <f>+_xlfn.XLOOKUP(CantidadesConsolidadas[[#This Row],[cod Idu]],APU_IDU[Código],APU_IDU[Nombre],"",0)</f>
        <v>DEMARCACION PASO PEATONAL-CEBRA (E=2.3MM,TERMOPLÁSTICA. INC. SUMINISTRO Y APLICACIÓN CON EQUIPO. INC MICROESFERAS)</v>
      </c>
      <c r="C27" s="609" t="str">
        <f>+_xlfn.XLOOKUP(CantidadesConsolidadas[[#This Row],[cod Idu]],APU_IDU[Código],APU_IDU[UM],"",0)</f>
        <v>M2</v>
      </c>
      <c r="D27" s="743">
        <f>+_xlfn.XLOOKUP(CantidadesConsolidadas[[#This Row],[cod Idu]],APU_IDU[Código],APU_IDU[Valor],"",0)</f>
        <v>171837</v>
      </c>
      <c r="E27" s="497">
        <f>ROUND(SUMIFS(Cantidades[91013913],Cantidades[cod Idu],'CantidadesConsolidadas'!$A27),2)</f>
        <v>7.75</v>
      </c>
      <c r="F27" s="497">
        <f>ROUND(SUMIFS(Cantidades[472330],Cantidades[cod Idu],'CantidadesConsolidadas'!$A27),2)</f>
        <v>0</v>
      </c>
      <c r="G27" s="497">
        <f>ROUND(SUMIFS(Cantidades[167810],Cantidades[cod Idu],'CantidadesConsolidadas'!$A27),2)</f>
        <v>6.2</v>
      </c>
      <c r="H27" s="497">
        <f>ROUND(SUMIFS(Cantidades[166646],Cantidades[cod Idu],'CantidadesConsolidadas'!$A27),2)</f>
        <v>0</v>
      </c>
      <c r="I27" s="497">
        <f>ROUND(SUMIFS(Cantidades[167491],Cantidades[cod Idu],'CantidadesConsolidadas'!$A27),2)</f>
        <v>5.16</v>
      </c>
      <c r="J27" s="497">
        <f>ROUND(SUMIFS(Cantidades[167266],Cantidades[cod Idu],'CantidadesConsolidadas'!$A27),2)</f>
        <v>6.33</v>
      </c>
      <c r="K27" s="497">
        <f>ROUND(SUMIFS(Cantidades[170896],Cantidades[cod Idu],'CantidadesConsolidadas'!$A27),2)</f>
        <v>4.58</v>
      </c>
      <c r="L27" s="497">
        <f>ROUND(SUMIFS(Cantidades[170897],Cantidades[cod Idu],'CantidadesConsolidadas'!$A27),2)</f>
        <v>0</v>
      </c>
      <c r="M27" s="497">
        <f>ROUND(SUMIFS(Cantidades[170898],Cantidades[cod Idu],'CantidadesConsolidadas'!$A27),2)</f>
        <v>0</v>
      </c>
      <c r="N27" s="497">
        <f>ROUND(SUMIFS(Cantidades[91064150],Cantidades[cod Idu],'CantidadesConsolidadas'!$A27),2)</f>
        <v>5.78</v>
      </c>
      <c r="O27" s="497">
        <f>ROUND(SUMIFS(Cantidades[168919],Cantidades[cod Idu],'CantidadesConsolidadas'!$A27),2)</f>
        <v>0</v>
      </c>
      <c r="P27" s="497">
        <f>ROUND(SUMIFS(Cantidades[168426],Cantidades[cod Idu],'CantidadesConsolidadas'!$A27),2)</f>
        <v>6.03</v>
      </c>
      <c r="Q27" s="497">
        <f>ROUND(SUMIFS(Cantidades[91020796],Cantidades[cod Idu],'CantidadesConsolidadas'!$A27),2)</f>
        <v>7.83</v>
      </c>
      <c r="R27" s="497">
        <f>ROUND(SUMIFS(Cantidades[176184],Cantidades[cod Idu],'CantidadesConsolidadas'!$A27),2)</f>
        <v>0</v>
      </c>
      <c r="S27" s="497">
        <f>ROUND(SUMIFS(Cantidades[167636],Cantidades[cod Idu],'CantidadesConsolidadas'!$A27),2)</f>
        <v>0</v>
      </c>
      <c r="T27" s="497">
        <f>ROUND(SUMIFS(Cantidades[176730],Cantidades[cod Idu],'CantidadesConsolidadas'!$A27),2)</f>
        <v>0</v>
      </c>
      <c r="U27" s="497">
        <f>ROUND(SUMIFS(Cantidades[173038],Cantidades[cod Idu],'CantidadesConsolidadas'!$A27),2)</f>
        <v>6.95</v>
      </c>
      <c r="V27" s="497">
        <f>ROUND(SUMIFS(Cantidades[170222],Cantidades[cod Idu],'CantidadesConsolidadas'!$A27),2)</f>
        <v>6.71</v>
      </c>
      <c r="W27" s="497">
        <f>ROUND(SUMIFS(Cantidades[170229],Cantidades[cod Idu],'CantidadesConsolidadas'!$A27),2)</f>
        <v>8.66</v>
      </c>
      <c r="X27" s="497">
        <f>ROUND(SUMIFS(Cantidades[170227],Cantidades[cod Idu],'CantidadesConsolidadas'!$A27),2)</f>
        <v>0</v>
      </c>
      <c r="Y27" s="497">
        <f>ROUND(SUMIFS(Cantidades[170226],Cantidades[cod Idu],'CantidadesConsolidadas'!$A27),2)</f>
        <v>0</v>
      </c>
      <c r="Z27" s="497">
        <f>ROUND(SUMIFS(Cantidades[171567],Cantidades[cod Idu],'CantidadesConsolidadas'!$A27),2)</f>
        <v>6.46</v>
      </c>
      <c r="AA27" s="497">
        <f>ROUND(SUMIFS(Cantidades[166632],Cantidades[cod Idu],'CantidadesConsolidadas'!$A27),2)</f>
        <v>5.39</v>
      </c>
      <c r="AB27" s="497">
        <f>ROUND(SUMIFS(Cantidades[170228],Cantidades[cod Idu],'CantidadesConsolidadas'!$A27),2)</f>
        <v>0</v>
      </c>
      <c r="AC27" s="497">
        <f>ROUND(SUMIFS(Cantidades[172926],Cantidades[cod Idu],'CantidadesConsolidadas'!$A27),2)</f>
        <v>0</v>
      </c>
      <c r="AD27" s="497">
        <f>ROUND(SUMIFS(Cantidades[171152],Cantidades[cod Idu],'CantidadesConsolidadas'!$A27),2)</f>
        <v>7.37</v>
      </c>
      <c r="AE27" s="497">
        <f>ROUND(SUMIFS(Cantidades[173058],Cantidades[cod Idu],'CantidadesConsolidadas'!$A27),2)</f>
        <v>3.32</v>
      </c>
      <c r="AF27" s="726">
        <f>ROUND(SUMIFS(Cantidades[174478],Cantidades[cod Idu],'CantidadesConsolidadas'!$A27),2)</f>
        <v>8.89</v>
      </c>
      <c r="AG27" s="726">
        <f>ROUND(SUMIFS(Cantidades[91010089],Cantidades[cod Idu],'CantidadesConsolidadas'!$A27),2)</f>
        <v>5.37</v>
      </c>
      <c r="AH27" s="726">
        <f>ROUND(SUMIFS(Cantidades[176122],Cantidades[cod Idu],'CantidadesConsolidadas'!$A27),2)</f>
        <v>6.74</v>
      </c>
      <c r="AI27" s="726">
        <f>ROUND(SUMIFS(Cantidades[168536],Cantidades[cod Idu],'CantidadesConsolidadas'!$A27),2)</f>
        <v>8.36</v>
      </c>
      <c r="AJ27" s="497">
        <f>ROUND(SUMIFS(Cantidades[166934],Cantidades[cod Idu],'CantidadesConsolidadas'!$A27),2)</f>
        <v>6.19</v>
      </c>
      <c r="AK27" s="497">
        <f>ROUND(SUMIFS(Cantidades[174353],Cantidades[cod Idu],'CantidadesConsolidadas'!$A27),2)</f>
        <v>5.18</v>
      </c>
      <c r="AL27" s="751">
        <f>ROUND(SUMIFS(Cantidades[52531],Cantidades[cod Idu],'CantidadesConsolidadas'!$A27),2)</f>
        <v>0</v>
      </c>
      <c r="AM27" s="500">
        <f>ROUND(SUMIFS(Cantidades[52456],Cantidades[cod Idu],'CantidadesConsolidadas'!$A27),2)</f>
        <v>0</v>
      </c>
      <c r="AN27" s="500">
        <f>ROUND(SUMIFS(Cantidades[92058103],Cantidades[cod Idu],'CantidadesConsolidadas'!$A27),2)</f>
        <v>0</v>
      </c>
      <c r="AO27" s="500">
        <f>ROUND(SUMIFS(Cantidades[20011114],Cantidades[cod Idu],'CantidadesConsolidadas'!$A27),2)</f>
        <v>0</v>
      </c>
      <c r="AP27" s="500">
        <f>ROUND(SUMIFS(Cantidades[20013540],Cantidades[cod Idu],'CantidadesConsolidadas'!$A27),2)</f>
        <v>0</v>
      </c>
      <c r="AQ27" s="500">
        <f>ROUND(SUMIFS(Cantidades[55337],Cantidades[cod Idu],'CantidadesConsolidadas'!$A27),2)</f>
        <v>0</v>
      </c>
      <c r="AR27" s="500">
        <f>ROUND(SUMIFS(Cantidades[92087422],Cantidades[cod Idu],'CantidadesConsolidadas'!$A27),2)</f>
        <v>0</v>
      </c>
      <c r="AS27" s="500">
        <f>ROUND(SUMIFS(Cantidades[55259],Cantidades[cod Idu],'CantidadesConsolidadas'!$A27),2)</f>
        <v>0</v>
      </c>
      <c r="AT27" s="500">
        <f>ROUND(SUMIFS(Cantidades[466904],Cantidades[cod Idu],'CantidadesConsolidadas'!$A27),2)</f>
        <v>0</v>
      </c>
      <c r="AU27" s="500">
        <f>ROUND(SUMIFS(Cantidades[48591],Cantidades[cod Idu],'CantidadesConsolidadas'!$A27),2)</f>
        <v>0</v>
      </c>
      <c r="AV27" s="500">
        <f>ROUND(SUMIFS(Cantidades[48590],Cantidades[cod Idu],'CantidadesConsolidadas'!$A27),2)</f>
        <v>0</v>
      </c>
      <c r="AW27" s="500">
        <f>ROUND(SUMIFS(Cantidades[48561],Cantidades[cod Idu],'CantidadesConsolidadas'!$A27),2)</f>
        <v>0</v>
      </c>
      <c r="AX27" s="805">
        <f>ROUND(SUMIFS(Cantidades[48560],Cantidades[cod Idu],'CantidadesConsolidadas'!$A27),2)</f>
        <v>0</v>
      </c>
      <c r="AY27" s="805">
        <f>ROUND(SUMIFS(Cantidades[48657],Cantidades[cod Idu],'CantidadesConsolidadas'!$A27),2)</f>
        <v>0</v>
      </c>
      <c r="AZ27" s="752">
        <f>ROUND(SUMIFS(Cantidades[48655],Cantidades[cod Idu],'CantidadesConsolidadas'!$A27),2)</f>
        <v>0</v>
      </c>
      <c r="BA27" s="758">
        <f>SUBTOTAL(9,CantidadesConsolidadas[[#This Row],[91013913]:[48655]])</f>
        <v>135.25</v>
      </c>
      <c r="BB27" s="638">
        <f>ROUND(CantidadesConsolidadas[[#This Row],[Total]]*CantidadesConsolidadas[[#This Row],[VU]],0)</f>
        <v>23240954</v>
      </c>
    </row>
    <row r="28" spans="1:54" ht="29.4" thickBot="1" x14ac:dyDescent="0.35">
      <c r="A28">
        <v>4242</v>
      </c>
      <c r="B28" s="606" t="str">
        <f>+_xlfn.XLOOKUP(CantidadesConsolidadas[[#This Row],[cod Idu]],APU_IDU[Código],APU_IDU[Nombre],"",0)</f>
        <v>DEMARCACION LINEA CONTINUA A=0.15M (E=2.3MM,TERMOPLÁSTICA. INC. SUMINISTRO Y APLICACIÓN CON EQUIPO. INCL. MICROESFERAS)</v>
      </c>
      <c r="C28" s="609" t="str">
        <f>+_xlfn.XLOOKUP(CantidadesConsolidadas[[#This Row],[cod Idu]],APU_IDU[Código],APU_IDU[UM],"",0)</f>
        <v>ML</v>
      </c>
      <c r="D28" s="743">
        <f>+_xlfn.XLOOKUP(CantidadesConsolidadas[[#This Row],[cod Idu]],APU_IDU[Código],APU_IDU[Valor],"",0)</f>
        <v>25776</v>
      </c>
      <c r="E28" s="497">
        <f>ROUND(SUMIFS(Cantidades[91013913],Cantidades[cod Idu],'CantidadesConsolidadas'!$A28),2)</f>
        <v>384.36</v>
      </c>
      <c r="F28" s="497">
        <f>ROUND(SUMIFS(Cantidades[472330],Cantidades[cod Idu],'CantidadesConsolidadas'!$A28),2)</f>
        <v>231.9</v>
      </c>
      <c r="G28" s="497">
        <f>ROUND(SUMIFS(Cantidades[167810],Cantidades[cod Idu],'CantidadesConsolidadas'!$A28),2)</f>
        <v>251.94</v>
      </c>
      <c r="H28" s="497">
        <f>ROUND(SUMIFS(Cantidades[166646],Cantidades[cod Idu],'CantidadesConsolidadas'!$A28),2)</f>
        <v>177.44</v>
      </c>
      <c r="I28" s="497">
        <f>ROUND(SUMIFS(Cantidades[167491],Cantidades[cod Idu],'CantidadesConsolidadas'!$A28),2)</f>
        <v>171.48</v>
      </c>
      <c r="J28" s="497">
        <f>ROUND(SUMIFS(Cantidades[167266],Cantidades[cod Idu],'CantidadesConsolidadas'!$A28),2)</f>
        <v>179.24</v>
      </c>
      <c r="K28" s="497">
        <f>ROUND(SUMIFS(Cantidades[170896],Cantidades[cod Idu],'CantidadesConsolidadas'!$A28),2)</f>
        <v>49.18</v>
      </c>
      <c r="L28" s="497">
        <f>ROUND(SUMIFS(Cantidades[170897],Cantidades[cod Idu],'CantidadesConsolidadas'!$A28),2)</f>
        <v>48.3</v>
      </c>
      <c r="M28" s="497">
        <f>ROUND(SUMIFS(Cantidades[170898],Cantidades[cod Idu],'CantidadesConsolidadas'!$A28),2)</f>
        <v>17.28</v>
      </c>
      <c r="N28" s="497">
        <f>ROUND(SUMIFS(Cantidades[91064150],Cantidades[cod Idu],'CantidadesConsolidadas'!$A28),2)</f>
        <v>51.36</v>
      </c>
      <c r="O28" s="497">
        <f>ROUND(SUMIFS(Cantidades[168919],Cantidades[cod Idu],'CantidadesConsolidadas'!$A28),2)</f>
        <v>133.24</v>
      </c>
      <c r="P28" s="497">
        <f>ROUND(SUMIFS(Cantidades[168426],Cantidades[cod Idu],'CantidadesConsolidadas'!$A28),2)</f>
        <v>141.44</v>
      </c>
      <c r="Q28" s="497">
        <f>ROUND(SUMIFS(Cantidades[91020796],Cantidades[cod Idu],'CantidadesConsolidadas'!$A28),2)</f>
        <v>29.84</v>
      </c>
      <c r="R28" s="497">
        <f>ROUND(SUMIFS(Cantidades[176184],Cantidades[cod Idu],'CantidadesConsolidadas'!$A28),2)</f>
        <v>62.32</v>
      </c>
      <c r="S28" s="497">
        <f>ROUND(SUMIFS(Cantidades[167636],Cantidades[cod Idu],'CantidadesConsolidadas'!$A28),2)</f>
        <v>185.04</v>
      </c>
      <c r="T28" s="497">
        <f>ROUND(SUMIFS(Cantidades[176730],Cantidades[cod Idu],'CantidadesConsolidadas'!$A28),2)</f>
        <v>76.5</v>
      </c>
      <c r="U28" s="497">
        <f>ROUND(SUMIFS(Cantidades[173038],Cantidades[cod Idu],'CantidadesConsolidadas'!$A28),2)</f>
        <v>142.63999999999999</v>
      </c>
      <c r="V28" s="497">
        <f>ROUND(SUMIFS(Cantidades[170222],Cantidades[cod Idu],'CantidadesConsolidadas'!$A28),2)</f>
        <v>252.18</v>
      </c>
      <c r="W28" s="497">
        <f>ROUND(SUMIFS(Cantidades[170229],Cantidades[cod Idu],'CantidadesConsolidadas'!$A28),2)</f>
        <v>26.3</v>
      </c>
      <c r="X28" s="497">
        <f>ROUND(SUMIFS(Cantidades[170227],Cantidades[cod Idu],'CantidadesConsolidadas'!$A28),2)</f>
        <v>72.48</v>
      </c>
      <c r="Y28" s="497">
        <f>ROUND(SUMIFS(Cantidades[170226],Cantidades[cod Idu],'CantidadesConsolidadas'!$A28),2)</f>
        <v>41.88</v>
      </c>
      <c r="Z28" s="497">
        <f>ROUND(SUMIFS(Cantidades[171567],Cantidades[cod Idu],'CantidadesConsolidadas'!$A28),2)</f>
        <v>121.44</v>
      </c>
      <c r="AA28" s="497">
        <f>ROUND(SUMIFS(Cantidades[166632],Cantidades[cod Idu],'CantidadesConsolidadas'!$A28),2)</f>
        <v>121.44</v>
      </c>
      <c r="AB28" s="497">
        <f>ROUND(SUMIFS(Cantidades[170228],Cantidades[cod Idu],'CantidadesConsolidadas'!$A28),2)</f>
        <v>76.22</v>
      </c>
      <c r="AC28" s="497">
        <f>ROUND(SUMIFS(Cantidades[172926],Cantidades[cod Idu],'CantidadesConsolidadas'!$A28),2)</f>
        <v>52.52</v>
      </c>
      <c r="AD28" s="497">
        <f>ROUND(SUMIFS(Cantidades[171152],Cantidades[cod Idu],'CantidadesConsolidadas'!$A28),2)</f>
        <v>203.82</v>
      </c>
      <c r="AE28" s="497">
        <f>ROUND(SUMIFS(Cantidades[173058],Cantidades[cod Idu],'CantidadesConsolidadas'!$A28),2)</f>
        <v>118.46</v>
      </c>
      <c r="AF28" s="726">
        <f>ROUND(SUMIFS(Cantidades[174478],Cantidades[cod Idu],'CantidadesConsolidadas'!$A28),2)</f>
        <v>207.84</v>
      </c>
      <c r="AG28" s="726">
        <f>ROUND(SUMIFS(Cantidades[91010089],Cantidades[cod Idu],'CantidadesConsolidadas'!$A28),2)</f>
        <v>110.76</v>
      </c>
      <c r="AH28" s="726">
        <f>ROUND(SUMIFS(Cantidades[176122],Cantidades[cod Idu],'CantidadesConsolidadas'!$A28),2)</f>
        <v>205.86</v>
      </c>
      <c r="AI28" s="726">
        <f>ROUND(SUMIFS(Cantidades[168536],Cantidades[cod Idu],'CantidadesConsolidadas'!$A28),2)</f>
        <v>144.97999999999999</v>
      </c>
      <c r="AJ28" s="497">
        <f>ROUND(SUMIFS(Cantidades[166934],Cantidades[cod Idu],'CantidadesConsolidadas'!$A28),2)</f>
        <v>303.66000000000003</v>
      </c>
      <c r="AK28" s="497">
        <f>ROUND(SUMIFS(Cantidades[174353],Cantidades[cod Idu],'CantidadesConsolidadas'!$A28),2)</f>
        <v>202.88</v>
      </c>
      <c r="AL28" s="751">
        <f>ROUND(SUMIFS(Cantidades[52531],Cantidades[cod Idu],'CantidadesConsolidadas'!$A28),2)</f>
        <v>0</v>
      </c>
      <c r="AM28" s="500">
        <f>ROUND(SUMIFS(Cantidades[52456],Cantidades[cod Idu],'CantidadesConsolidadas'!$A28),2)</f>
        <v>0</v>
      </c>
      <c r="AN28" s="500">
        <f>ROUND(SUMIFS(Cantidades[92058103],Cantidades[cod Idu],'CantidadesConsolidadas'!$A28),2)</f>
        <v>0</v>
      </c>
      <c r="AO28" s="500">
        <f>ROUND(SUMIFS(Cantidades[20011114],Cantidades[cod Idu],'CantidadesConsolidadas'!$A28),2)</f>
        <v>0</v>
      </c>
      <c r="AP28" s="500">
        <f>ROUND(SUMIFS(Cantidades[20013540],Cantidades[cod Idu],'CantidadesConsolidadas'!$A28),2)</f>
        <v>0</v>
      </c>
      <c r="AQ28" s="500">
        <f>ROUND(SUMIFS(Cantidades[55337],Cantidades[cod Idu],'CantidadesConsolidadas'!$A28),2)</f>
        <v>0</v>
      </c>
      <c r="AR28" s="500">
        <f>ROUND(SUMIFS(Cantidades[92087422],Cantidades[cod Idu],'CantidadesConsolidadas'!$A28),2)</f>
        <v>0</v>
      </c>
      <c r="AS28" s="500">
        <f>ROUND(SUMIFS(Cantidades[55259],Cantidades[cod Idu],'CantidadesConsolidadas'!$A28),2)</f>
        <v>0</v>
      </c>
      <c r="AT28" s="500">
        <f>ROUND(SUMIFS(Cantidades[466904],Cantidades[cod Idu],'CantidadesConsolidadas'!$A28),2)</f>
        <v>0</v>
      </c>
      <c r="AU28" s="500">
        <f>ROUND(SUMIFS(Cantidades[48591],Cantidades[cod Idu],'CantidadesConsolidadas'!$A28),2)</f>
        <v>0</v>
      </c>
      <c r="AV28" s="500">
        <f>ROUND(SUMIFS(Cantidades[48590],Cantidades[cod Idu],'CantidadesConsolidadas'!$A28),2)</f>
        <v>0</v>
      </c>
      <c r="AW28" s="500">
        <f>ROUND(SUMIFS(Cantidades[48561],Cantidades[cod Idu],'CantidadesConsolidadas'!$A28),2)</f>
        <v>0</v>
      </c>
      <c r="AX28" s="805">
        <f>ROUND(SUMIFS(Cantidades[48560],Cantidades[cod Idu],'CantidadesConsolidadas'!$A28),2)</f>
        <v>0</v>
      </c>
      <c r="AY28" s="805">
        <f>ROUND(SUMIFS(Cantidades[48657],Cantidades[cod Idu],'CantidadesConsolidadas'!$A28),2)</f>
        <v>0</v>
      </c>
      <c r="AZ28" s="752">
        <f>ROUND(SUMIFS(Cantidades[48655],Cantidades[cod Idu],'CantidadesConsolidadas'!$A28),2)</f>
        <v>0</v>
      </c>
      <c r="BA28" s="758">
        <f>SUBTOTAL(9,CantidadesConsolidadas[[#This Row],[91013913]:[48655]])</f>
        <v>4596.2200000000012</v>
      </c>
      <c r="BB28" s="638">
        <f>ROUND(CantidadesConsolidadas[[#This Row],[Total]]*CantidadesConsolidadas[[#This Row],[VU]],0)</f>
        <v>118472167</v>
      </c>
    </row>
    <row r="29" spans="1:54" ht="15" thickBot="1" x14ac:dyDescent="0.35">
      <c r="A29">
        <v>3723</v>
      </c>
      <c r="B29" s="606" t="str">
        <f>+_xlfn.XLOOKUP(CantidadesConsolidadas[[#This Row],[cod Idu]],APU_IDU[Código],APU_IDU[Nombre],"",0)</f>
        <v>LIMPIEZA DE POZOS (INCLUYE CARGUE, RETIRO Y DISPOSICIÓN FINAL DE SOBRANTES)</v>
      </c>
      <c r="C29" s="609" t="str">
        <f>+_xlfn.XLOOKUP(CantidadesConsolidadas[[#This Row],[cod Idu]],APU_IDU[Código],APU_IDU[UM],"",0)</f>
        <v>UN</v>
      </c>
      <c r="D29" s="743">
        <f>+_xlfn.XLOOKUP(CantidadesConsolidadas[[#This Row],[cod Idu]],APU_IDU[Código],APU_IDU[Valor],"",0)</f>
        <v>121246</v>
      </c>
      <c r="E29" s="497">
        <f>ROUND(SUMIFS(Cantidades[91013913],Cantidades[cod Idu],'CantidadesConsolidadas'!$A29),2)</f>
        <v>0</v>
      </c>
      <c r="F29" s="497">
        <f>ROUND(SUMIFS(Cantidades[472330],Cantidades[cod Idu],'CantidadesConsolidadas'!$A29),2)</f>
        <v>2</v>
      </c>
      <c r="G29" s="497">
        <f>ROUND(SUMIFS(Cantidades[167810],Cantidades[cod Idu],'CantidadesConsolidadas'!$A29),2)</f>
        <v>2</v>
      </c>
      <c r="H29" s="497">
        <f>ROUND(SUMIFS(Cantidades[166646],Cantidades[cod Idu],'CantidadesConsolidadas'!$A29),2)</f>
        <v>0</v>
      </c>
      <c r="I29" s="497">
        <f>ROUND(SUMIFS(Cantidades[167491],Cantidades[cod Idu],'CantidadesConsolidadas'!$A29),2)</f>
        <v>0</v>
      </c>
      <c r="J29" s="497">
        <f>ROUND(SUMIFS(Cantidades[167266],Cantidades[cod Idu],'CantidadesConsolidadas'!$A29),2)</f>
        <v>2</v>
      </c>
      <c r="K29" s="497">
        <f>ROUND(SUMIFS(Cantidades[170896],Cantidades[cod Idu],'CantidadesConsolidadas'!$A29),2)</f>
        <v>2</v>
      </c>
      <c r="L29" s="497">
        <f>ROUND(SUMIFS(Cantidades[170897],Cantidades[cod Idu],'CantidadesConsolidadas'!$A29),2)</f>
        <v>2</v>
      </c>
      <c r="M29" s="497">
        <f>ROUND(SUMIFS(Cantidades[170898],Cantidades[cod Idu],'CantidadesConsolidadas'!$A29),2)</f>
        <v>1</v>
      </c>
      <c r="N29" s="497">
        <f>ROUND(SUMIFS(Cantidades[91064150],Cantidades[cod Idu],'CantidadesConsolidadas'!$A29),2)</f>
        <v>2</v>
      </c>
      <c r="O29" s="497">
        <f>ROUND(SUMIFS(Cantidades[168919],Cantidades[cod Idu],'CantidadesConsolidadas'!$A29),2)</f>
        <v>2</v>
      </c>
      <c r="P29" s="497">
        <f>ROUND(SUMIFS(Cantidades[168426],Cantidades[cod Idu],'CantidadesConsolidadas'!$A29),2)</f>
        <v>2</v>
      </c>
      <c r="Q29" s="497">
        <f>ROUND(SUMIFS(Cantidades[91020796],Cantidades[cod Idu],'CantidadesConsolidadas'!$A29),2)</f>
        <v>2</v>
      </c>
      <c r="R29" s="497">
        <f>ROUND(SUMIFS(Cantidades[176184],Cantidades[cod Idu],'CantidadesConsolidadas'!$A29),2)</f>
        <v>2</v>
      </c>
      <c r="S29" s="497">
        <f>ROUND(SUMIFS(Cantidades[167636],Cantidades[cod Idu],'CantidadesConsolidadas'!$A29),2)</f>
        <v>3</v>
      </c>
      <c r="T29" s="497">
        <f>ROUND(SUMIFS(Cantidades[176730],Cantidades[cod Idu],'CantidadesConsolidadas'!$A29),2)</f>
        <v>0</v>
      </c>
      <c r="U29" s="497">
        <f>ROUND(SUMIFS(Cantidades[173038],Cantidades[cod Idu],'CantidadesConsolidadas'!$A29),2)</f>
        <v>2</v>
      </c>
      <c r="V29" s="497">
        <f>ROUND(SUMIFS(Cantidades[170222],Cantidades[cod Idu],'CantidadesConsolidadas'!$A29),2)</f>
        <v>2</v>
      </c>
      <c r="W29" s="497">
        <f>ROUND(SUMIFS(Cantidades[170229],Cantidades[cod Idu],'CantidadesConsolidadas'!$A29),2)</f>
        <v>3</v>
      </c>
      <c r="X29" s="497">
        <f>ROUND(SUMIFS(Cantidades[170227],Cantidades[cod Idu],'CantidadesConsolidadas'!$A29),2)</f>
        <v>2</v>
      </c>
      <c r="Y29" s="497">
        <f>ROUND(SUMIFS(Cantidades[170226],Cantidades[cod Idu],'CantidadesConsolidadas'!$A29),2)</f>
        <v>0</v>
      </c>
      <c r="Z29" s="497">
        <f>ROUND(SUMIFS(Cantidades[171567],Cantidades[cod Idu],'CantidadesConsolidadas'!$A29),2)</f>
        <v>2</v>
      </c>
      <c r="AA29" s="497">
        <f>ROUND(SUMIFS(Cantidades[166632],Cantidades[cod Idu],'CantidadesConsolidadas'!$A29),2)</f>
        <v>2</v>
      </c>
      <c r="AB29" s="497">
        <f>ROUND(SUMIFS(Cantidades[170228],Cantidades[cod Idu],'CantidadesConsolidadas'!$A29),2)</f>
        <v>0</v>
      </c>
      <c r="AC29" s="497">
        <f>ROUND(SUMIFS(Cantidades[172926],Cantidades[cod Idu],'CantidadesConsolidadas'!$A29),2)</f>
        <v>2</v>
      </c>
      <c r="AD29" s="497">
        <f>ROUND(SUMIFS(Cantidades[171152],Cantidades[cod Idu],'CantidadesConsolidadas'!$A29),2)</f>
        <v>2</v>
      </c>
      <c r="AE29" s="497">
        <f>ROUND(SUMIFS(Cantidades[173058],Cantidades[cod Idu],'CantidadesConsolidadas'!$A29),2)</f>
        <v>2</v>
      </c>
      <c r="AF29" s="726">
        <f>ROUND(SUMIFS(Cantidades[174478],Cantidades[cod Idu],'CantidadesConsolidadas'!$A29),2)</f>
        <v>2</v>
      </c>
      <c r="AG29" s="726">
        <f>ROUND(SUMIFS(Cantidades[91010089],Cantidades[cod Idu],'CantidadesConsolidadas'!$A29),2)</f>
        <v>2</v>
      </c>
      <c r="AH29" s="726">
        <f>ROUND(SUMIFS(Cantidades[176122],Cantidades[cod Idu],'CantidadesConsolidadas'!$A29),2)</f>
        <v>2</v>
      </c>
      <c r="AI29" s="726">
        <f>ROUND(SUMIFS(Cantidades[168536],Cantidades[cod Idu],'CantidadesConsolidadas'!$A29),2)</f>
        <v>2</v>
      </c>
      <c r="AJ29" s="497">
        <f>ROUND(SUMIFS(Cantidades[166934],Cantidades[cod Idu],'CantidadesConsolidadas'!$A29),2)</f>
        <v>2</v>
      </c>
      <c r="AK29" s="497">
        <f>ROUND(SUMIFS(Cantidades[174353],Cantidades[cod Idu],'CantidadesConsolidadas'!$A29),2)</f>
        <v>2</v>
      </c>
      <c r="AL29" s="751">
        <f>ROUND(SUMIFS(Cantidades[52531],Cantidades[cod Idu],'CantidadesConsolidadas'!$A29),2)</f>
        <v>0</v>
      </c>
      <c r="AM29" s="500">
        <f>ROUND(SUMIFS(Cantidades[52456],Cantidades[cod Idu],'CantidadesConsolidadas'!$A29),2)</f>
        <v>0</v>
      </c>
      <c r="AN29" s="500">
        <f>ROUND(SUMIFS(Cantidades[92058103],Cantidades[cod Idu],'CantidadesConsolidadas'!$A29),2)</f>
        <v>0</v>
      </c>
      <c r="AO29" s="500">
        <f>ROUND(SUMIFS(Cantidades[20011114],Cantidades[cod Idu],'CantidadesConsolidadas'!$A29),2)</f>
        <v>0</v>
      </c>
      <c r="AP29" s="500">
        <f>ROUND(SUMIFS(Cantidades[20013540],Cantidades[cod Idu],'CantidadesConsolidadas'!$A29),2)</f>
        <v>0</v>
      </c>
      <c r="AQ29" s="500">
        <f>ROUND(SUMIFS(Cantidades[55337],Cantidades[cod Idu],'CantidadesConsolidadas'!$A29),2)</f>
        <v>0</v>
      </c>
      <c r="AR29" s="500">
        <f>ROUND(SUMIFS(Cantidades[92087422],Cantidades[cod Idu],'CantidadesConsolidadas'!$A29),2)</f>
        <v>0</v>
      </c>
      <c r="AS29" s="500">
        <f>ROUND(SUMIFS(Cantidades[55259],Cantidades[cod Idu],'CantidadesConsolidadas'!$A29),2)</f>
        <v>0</v>
      </c>
      <c r="AT29" s="500">
        <f>ROUND(SUMIFS(Cantidades[466904],Cantidades[cod Idu],'CantidadesConsolidadas'!$A29),2)</f>
        <v>0</v>
      </c>
      <c r="AU29" s="500">
        <f>ROUND(SUMIFS(Cantidades[48591],Cantidades[cod Idu],'CantidadesConsolidadas'!$A29),2)</f>
        <v>0</v>
      </c>
      <c r="AV29" s="500">
        <f>ROUND(SUMIFS(Cantidades[48590],Cantidades[cod Idu],'CantidadesConsolidadas'!$A29),2)</f>
        <v>0</v>
      </c>
      <c r="AW29" s="500">
        <f>ROUND(SUMIFS(Cantidades[48561],Cantidades[cod Idu],'CantidadesConsolidadas'!$A29),2)</f>
        <v>0</v>
      </c>
      <c r="AX29" s="805">
        <f>ROUND(SUMIFS(Cantidades[48560],Cantidades[cod Idu],'CantidadesConsolidadas'!$A29),2)</f>
        <v>0</v>
      </c>
      <c r="AY29" s="805">
        <f>ROUND(SUMIFS(Cantidades[48657],Cantidades[cod Idu],'CantidadesConsolidadas'!$A29),2)</f>
        <v>0</v>
      </c>
      <c r="AZ29" s="752">
        <f>ROUND(SUMIFS(Cantidades[48655],Cantidades[cod Idu],'CantidadesConsolidadas'!$A29),2)</f>
        <v>0</v>
      </c>
      <c r="BA29" s="758">
        <f>SUBTOTAL(9,CantidadesConsolidadas[[#This Row],[91013913]:[48655]])</f>
        <v>55</v>
      </c>
      <c r="BB29" s="638">
        <f>ROUND(CantidadesConsolidadas[[#This Row],[Total]]*CantidadesConsolidadas[[#This Row],[VU]],0)</f>
        <v>6668530</v>
      </c>
    </row>
    <row r="30" spans="1:54" ht="15" thickBot="1" x14ac:dyDescent="0.35">
      <c r="A30">
        <v>3724</v>
      </c>
      <c r="B30" s="606" t="str">
        <f>+_xlfn.XLOOKUP(CantidadesConsolidadas[[#This Row],[cod Idu]],APU_IDU[Código],APU_IDU[Nombre],"",0)</f>
        <v>LIMPIEZA DE SUMIDEROS (INCLUYE CARGUE, RETIRO Y DISPOSICIÓN FINAL DE SOBRANTES)</v>
      </c>
      <c r="C30" s="609" t="str">
        <f>+_xlfn.XLOOKUP(CantidadesConsolidadas[[#This Row],[cod Idu]],APU_IDU[Código],APU_IDU[UM],"",0)</f>
        <v>UN</v>
      </c>
      <c r="D30" s="743">
        <f>+_xlfn.XLOOKUP(CantidadesConsolidadas[[#This Row],[cod Idu]],APU_IDU[Código],APU_IDU[Valor],"",0)</f>
        <v>121246</v>
      </c>
      <c r="E30" s="497">
        <f>ROUND(SUMIFS(Cantidades[91013913],Cantidades[cod Idu],'CantidadesConsolidadas'!$A30),2)</f>
        <v>0</v>
      </c>
      <c r="F30" s="497">
        <f>ROUND(SUMIFS(Cantidades[472330],Cantidades[cod Idu],'CantidadesConsolidadas'!$A30),2)</f>
        <v>4</v>
      </c>
      <c r="G30" s="497">
        <f>ROUND(SUMIFS(Cantidades[167810],Cantidades[cod Idu],'CantidadesConsolidadas'!$A30),2)</f>
        <v>2</v>
      </c>
      <c r="H30" s="497">
        <f>ROUND(SUMIFS(Cantidades[166646],Cantidades[cod Idu],'CantidadesConsolidadas'!$A30),2)</f>
        <v>4</v>
      </c>
      <c r="I30" s="497">
        <f>ROUND(SUMIFS(Cantidades[167491],Cantidades[cod Idu],'CantidadesConsolidadas'!$A30),2)</f>
        <v>4</v>
      </c>
      <c r="J30" s="497">
        <f>ROUND(SUMIFS(Cantidades[167266],Cantidades[cod Idu],'CantidadesConsolidadas'!$A30),2)</f>
        <v>3</v>
      </c>
      <c r="K30" s="497">
        <f>ROUND(SUMIFS(Cantidades[170896],Cantidades[cod Idu],'CantidadesConsolidadas'!$A30),2)</f>
        <v>0</v>
      </c>
      <c r="L30" s="497">
        <f>ROUND(SUMIFS(Cantidades[170897],Cantidades[cod Idu],'CantidadesConsolidadas'!$A30),2)</f>
        <v>4</v>
      </c>
      <c r="M30" s="497">
        <f>ROUND(SUMIFS(Cantidades[170898],Cantidades[cod Idu],'CantidadesConsolidadas'!$A30),2)</f>
        <v>4</v>
      </c>
      <c r="N30" s="497">
        <f>ROUND(SUMIFS(Cantidades[91064150],Cantidades[cod Idu],'CantidadesConsolidadas'!$A30),2)</f>
        <v>0</v>
      </c>
      <c r="O30" s="497">
        <f>ROUND(SUMIFS(Cantidades[168919],Cantidades[cod Idu],'CantidadesConsolidadas'!$A30),2)</f>
        <v>1</v>
      </c>
      <c r="P30" s="497">
        <f>ROUND(SUMIFS(Cantidades[168426],Cantidades[cod Idu],'CantidadesConsolidadas'!$A30),2)</f>
        <v>3</v>
      </c>
      <c r="Q30" s="497">
        <f>ROUND(SUMIFS(Cantidades[91020796],Cantidades[cod Idu],'CantidadesConsolidadas'!$A30),2)</f>
        <v>0</v>
      </c>
      <c r="R30" s="497">
        <f>ROUND(SUMIFS(Cantidades[176184],Cantidades[cod Idu],'CantidadesConsolidadas'!$A30),2)</f>
        <v>1</v>
      </c>
      <c r="S30" s="497">
        <f>ROUND(SUMIFS(Cantidades[167636],Cantidades[cod Idu],'CantidadesConsolidadas'!$A30),2)</f>
        <v>0</v>
      </c>
      <c r="T30" s="497">
        <f>ROUND(SUMIFS(Cantidades[176730],Cantidades[cod Idu],'CantidadesConsolidadas'!$A30),2)</f>
        <v>1</v>
      </c>
      <c r="U30" s="497">
        <f>ROUND(SUMIFS(Cantidades[173038],Cantidades[cod Idu],'CantidadesConsolidadas'!$A30),2)</f>
        <v>0</v>
      </c>
      <c r="V30" s="497">
        <f>ROUND(SUMIFS(Cantidades[170222],Cantidades[cod Idu],'CantidadesConsolidadas'!$A30),2)</f>
        <v>1</v>
      </c>
      <c r="W30" s="497">
        <f>ROUND(SUMIFS(Cantidades[170229],Cantidades[cod Idu],'CantidadesConsolidadas'!$A30),2)</f>
        <v>3</v>
      </c>
      <c r="X30" s="497">
        <f>ROUND(SUMIFS(Cantidades[170227],Cantidades[cod Idu],'CantidadesConsolidadas'!$A30),2)</f>
        <v>0</v>
      </c>
      <c r="Y30" s="497">
        <f>ROUND(SUMIFS(Cantidades[170226],Cantidades[cod Idu],'CantidadesConsolidadas'!$A30),2)</f>
        <v>1</v>
      </c>
      <c r="Z30" s="497">
        <f>ROUND(SUMIFS(Cantidades[171567],Cantidades[cod Idu],'CantidadesConsolidadas'!$A30),2)</f>
        <v>0</v>
      </c>
      <c r="AA30" s="497">
        <f>ROUND(SUMIFS(Cantidades[166632],Cantidades[cod Idu],'CantidadesConsolidadas'!$A30),2)</f>
        <v>1</v>
      </c>
      <c r="AB30" s="497">
        <f>ROUND(SUMIFS(Cantidades[170228],Cantidades[cod Idu],'CantidadesConsolidadas'!$A30),2)</f>
        <v>0</v>
      </c>
      <c r="AC30" s="497">
        <f>ROUND(SUMIFS(Cantidades[172926],Cantidades[cod Idu],'CantidadesConsolidadas'!$A30),2)</f>
        <v>4</v>
      </c>
      <c r="AD30" s="497">
        <f>ROUND(SUMIFS(Cantidades[171152],Cantidades[cod Idu],'CantidadesConsolidadas'!$A30),2)</f>
        <v>4</v>
      </c>
      <c r="AE30" s="497">
        <f>ROUND(SUMIFS(Cantidades[173058],Cantidades[cod Idu],'CantidadesConsolidadas'!$A30),2)</f>
        <v>4</v>
      </c>
      <c r="AF30" s="726">
        <f>ROUND(SUMIFS(Cantidades[174478],Cantidades[cod Idu],'CantidadesConsolidadas'!$A30),2)</f>
        <v>4</v>
      </c>
      <c r="AG30" s="726">
        <f>ROUND(SUMIFS(Cantidades[91010089],Cantidades[cod Idu],'CantidadesConsolidadas'!$A30),2)</f>
        <v>4</v>
      </c>
      <c r="AH30" s="726">
        <f>ROUND(SUMIFS(Cantidades[176122],Cantidades[cod Idu],'CantidadesConsolidadas'!$A30),2)</f>
        <v>4</v>
      </c>
      <c r="AI30" s="726">
        <f>ROUND(SUMIFS(Cantidades[168536],Cantidades[cod Idu],'CantidadesConsolidadas'!$A30),2)</f>
        <v>4</v>
      </c>
      <c r="AJ30" s="497">
        <f>ROUND(SUMIFS(Cantidades[166934],Cantidades[cod Idu],'CantidadesConsolidadas'!$A30),2)</f>
        <v>4</v>
      </c>
      <c r="AK30" s="497">
        <f>ROUND(SUMIFS(Cantidades[174353],Cantidades[cod Idu],'CantidadesConsolidadas'!$A30),2)</f>
        <v>4</v>
      </c>
      <c r="AL30" s="751">
        <f>ROUND(SUMIFS(Cantidades[52531],Cantidades[cod Idu],'CantidadesConsolidadas'!$A30),2)</f>
        <v>0</v>
      </c>
      <c r="AM30" s="500">
        <f>ROUND(SUMIFS(Cantidades[52456],Cantidades[cod Idu],'CantidadesConsolidadas'!$A30),2)</f>
        <v>0</v>
      </c>
      <c r="AN30" s="500">
        <f>ROUND(SUMIFS(Cantidades[92058103],Cantidades[cod Idu],'CantidadesConsolidadas'!$A30),2)</f>
        <v>0</v>
      </c>
      <c r="AO30" s="500">
        <f>ROUND(SUMIFS(Cantidades[20011114],Cantidades[cod Idu],'CantidadesConsolidadas'!$A30),2)</f>
        <v>0</v>
      </c>
      <c r="AP30" s="500">
        <f>ROUND(SUMIFS(Cantidades[20013540],Cantidades[cod Idu],'CantidadesConsolidadas'!$A30),2)</f>
        <v>0</v>
      </c>
      <c r="AQ30" s="500">
        <f>ROUND(SUMIFS(Cantidades[55337],Cantidades[cod Idu],'CantidadesConsolidadas'!$A30),2)</f>
        <v>0</v>
      </c>
      <c r="AR30" s="500">
        <f>ROUND(SUMIFS(Cantidades[92087422],Cantidades[cod Idu],'CantidadesConsolidadas'!$A30),2)</f>
        <v>0</v>
      </c>
      <c r="AS30" s="500">
        <f>ROUND(SUMIFS(Cantidades[55259],Cantidades[cod Idu],'CantidadesConsolidadas'!$A30),2)</f>
        <v>0</v>
      </c>
      <c r="AT30" s="500">
        <f>ROUND(SUMIFS(Cantidades[466904],Cantidades[cod Idu],'CantidadesConsolidadas'!$A30),2)</f>
        <v>0</v>
      </c>
      <c r="AU30" s="500">
        <f>ROUND(SUMIFS(Cantidades[48591],Cantidades[cod Idu],'CantidadesConsolidadas'!$A30),2)</f>
        <v>0</v>
      </c>
      <c r="AV30" s="500">
        <f>ROUND(SUMIFS(Cantidades[48590],Cantidades[cod Idu],'CantidadesConsolidadas'!$A30),2)</f>
        <v>0</v>
      </c>
      <c r="AW30" s="500">
        <f>ROUND(SUMIFS(Cantidades[48561],Cantidades[cod Idu],'CantidadesConsolidadas'!$A30),2)</f>
        <v>0</v>
      </c>
      <c r="AX30" s="805">
        <f>ROUND(SUMIFS(Cantidades[48560],Cantidades[cod Idu],'CantidadesConsolidadas'!$A30),2)</f>
        <v>0</v>
      </c>
      <c r="AY30" s="805">
        <f>ROUND(SUMIFS(Cantidades[48657],Cantidades[cod Idu],'CantidadesConsolidadas'!$A30),2)</f>
        <v>0</v>
      </c>
      <c r="AZ30" s="752">
        <f>ROUND(SUMIFS(Cantidades[48655],Cantidades[cod Idu],'CantidadesConsolidadas'!$A30),2)</f>
        <v>0</v>
      </c>
      <c r="BA30" s="758">
        <f>SUBTOTAL(9,CantidadesConsolidadas[[#This Row],[91013913]:[48655]])</f>
        <v>73</v>
      </c>
      <c r="BB30" s="638">
        <f>ROUND(CantidadesConsolidadas[[#This Row],[Total]]*CantidadesConsolidadas[[#This Row],[VU]],0)</f>
        <v>8850958</v>
      </c>
    </row>
    <row r="31" spans="1:54" ht="43.8" thickBot="1" x14ac:dyDescent="0.35">
      <c r="A31">
        <v>3811</v>
      </c>
      <c r="B31" s="606" t="str">
        <f>+_xlfn.XLOOKUP(CantidadesConsolidadas[[#This Row],[cod Idu]],APU_IDU[Código],APU_IDU[Nombre],"",0)</f>
        <v>CORTE DE PAVIMENTO - INCLUYE EQUIPO: CORTADORA DE CONCRETO INCLUYE OPERARIO Y COMBUSTIBLE. INCLUYE DISCO DIAMANTADO ASFALTO-CONCRETO 350 MM, AGUA Y MANO DE OBRA</v>
      </c>
      <c r="C31" s="609" t="str">
        <f>+_xlfn.XLOOKUP(CantidadesConsolidadas[[#This Row],[cod Idu]],APU_IDU[Código],APU_IDU[UM],"",0)</f>
        <v>ML</v>
      </c>
      <c r="D31" s="743">
        <f>+_xlfn.XLOOKUP(CantidadesConsolidadas[[#This Row],[cod Idu]],APU_IDU[Código],APU_IDU[Valor],"",0)</f>
        <v>3156</v>
      </c>
      <c r="E31" s="497">
        <f>ROUND(SUMIFS(Cantidades[91013913],Cantidades[cod Idu],'CantidadesConsolidadas'!$A31),2)</f>
        <v>0</v>
      </c>
      <c r="F31" s="497">
        <f>ROUND(SUMIFS(Cantidades[472330],Cantidades[cod Idu],'CantidadesConsolidadas'!$A31),2)</f>
        <v>0</v>
      </c>
      <c r="G31" s="497">
        <f>ROUND(SUMIFS(Cantidades[167810],Cantidades[cod Idu],'CantidadesConsolidadas'!$A31),2)</f>
        <v>0</v>
      </c>
      <c r="H31" s="497">
        <f>ROUND(SUMIFS(Cantidades[166646],Cantidades[cod Idu],'CantidadesConsolidadas'!$A31),2)</f>
        <v>0</v>
      </c>
      <c r="I31" s="497">
        <f>ROUND(SUMIFS(Cantidades[167491],Cantidades[cod Idu],'CantidadesConsolidadas'!$A31),2)</f>
        <v>0</v>
      </c>
      <c r="J31" s="497">
        <f>ROUND(SUMIFS(Cantidades[167266],Cantidades[cod Idu],'CantidadesConsolidadas'!$A31),2)</f>
        <v>0</v>
      </c>
      <c r="K31" s="497">
        <f>ROUND(SUMIFS(Cantidades[170896],Cantidades[cod Idu],'CantidadesConsolidadas'!$A31),2)</f>
        <v>0</v>
      </c>
      <c r="L31" s="497">
        <f>ROUND(SUMIFS(Cantidades[170897],Cantidades[cod Idu],'CantidadesConsolidadas'!$A31),2)</f>
        <v>0</v>
      </c>
      <c r="M31" s="497">
        <f>ROUND(SUMIFS(Cantidades[170898],Cantidades[cod Idu],'CantidadesConsolidadas'!$A31),2)</f>
        <v>0</v>
      </c>
      <c r="N31" s="497">
        <f>ROUND(SUMIFS(Cantidades[91064150],Cantidades[cod Idu],'CantidadesConsolidadas'!$A31),2)</f>
        <v>0</v>
      </c>
      <c r="O31" s="497">
        <f>ROUND(SUMIFS(Cantidades[168919],Cantidades[cod Idu],'CantidadesConsolidadas'!$A31),2)</f>
        <v>0</v>
      </c>
      <c r="P31" s="497">
        <f>ROUND(SUMIFS(Cantidades[168426],Cantidades[cod Idu],'CantidadesConsolidadas'!$A31),2)</f>
        <v>0</v>
      </c>
      <c r="Q31" s="497">
        <f>ROUND(SUMIFS(Cantidades[91020796],Cantidades[cod Idu],'CantidadesConsolidadas'!$A31),2)</f>
        <v>0</v>
      </c>
      <c r="R31" s="497">
        <f>ROUND(SUMIFS(Cantidades[176184],Cantidades[cod Idu],'CantidadesConsolidadas'!$A31),2)</f>
        <v>0</v>
      </c>
      <c r="S31" s="497">
        <f>ROUND(SUMIFS(Cantidades[167636],Cantidades[cod Idu],'CantidadesConsolidadas'!$A31),2)</f>
        <v>0</v>
      </c>
      <c r="T31" s="497">
        <f>ROUND(SUMIFS(Cantidades[176730],Cantidades[cod Idu],'CantidadesConsolidadas'!$A31),2)</f>
        <v>0</v>
      </c>
      <c r="U31" s="497">
        <f>ROUND(SUMIFS(Cantidades[173038],Cantidades[cod Idu],'CantidadesConsolidadas'!$A31),2)</f>
        <v>0</v>
      </c>
      <c r="V31" s="497">
        <f>ROUND(SUMIFS(Cantidades[170222],Cantidades[cod Idu],'CantidadesConsolidadas'!$A31),2)</f>
        <v>0</v>
      </c>
      <c r="W31" s="497">
        <f>ROUND(SUMIFS(Cantidades[170229],Cantidades[cod Idu],'CantidadesConsolidadas'!$A31),2)</f>
        <v>0</v>
      </c>
      <c r="X31" s="497">
        <f>ROUND(SUMIFS(Cantidades[170227],Cantidades[cod Idu],'CantidadesConsolidadas'!$A31),2)</f>
        <v>0</v>
      </c>
      <c r="Y31" s="497">
        <f>ROUND(SUMIFS(Cantidades[170226],Cantidades[cod Idu],'CantidadesConsolidadas'!$A31),2)</f>
        <v>0</v>
      </c>
      <c r="Z31" s="497">
        <f>ROUND(SUMIFS(Cantidades[171567],Cantidades[cod Idu],'CantidadesConsolidadas'!$A31),2)</f>
        <v>104.76</v>
      </c>
      <c r="AA31" s="497">
        <f>ROUND(SUMIFS(Cantidades[166632],Cantidades[cod Idu],'CantidadesConsolidadas'!$A31),2)</f>
        <v>0</v>
      </c>
      <c r="AB31" s="497">
        <f>ROUND(SUMIFS(Cantidades[170228],Cantidades[cod Idu],'CantidadesConsolidadas'!$A31),2)</f>
        <v>0</v>
      </c>
      <c r="AC31" s="497">
        <f>ROUND(SUMIFS(Cantidades[172926],Cantidades[cod Idu],'CantidadesConsolidadas'!$A31),2)</f>
        <v>0</v>
      </c>
      <c r="AD31" s="497">
        <f>ROUND(SUMIFS(Cantidades[171152],Cantidades[cod Idu],'CantidadesConsolidadas'!$A31),2)</f>
        <v>0</v>
      </c>
      <c r="AE31" s="497">
        <f>ROUND(SUMIFS(Cantidades[173058],Cantidades[cod Idu],'CantidadesConsolidadas'!$A31),2)</f>
        <v>0</v>
      </c>
      <c r="AF31" s="726">
        <f>ROUND(SUMIFS(Cantidades[174478],Cantidades[cod Idu],'CantidadesConsolidadas'!$A31),2)</f>
        <v>0</v>
      </c>
      <c r="AG31" s="726">
        <f>ROUND(SUMIFS(Cantidades[91010089],Cantidades[cod Idu],'CantidadesConsolidadas'!$A31),2)</f>
        <v>0</v>
      </c>
      <c r="AH31" s="726">
        <f>ROUND(SUMIFS(Cantidades[176122],Cantidades[cod Idu],'CantidadesConsolidadas'!$A31),2)</f>
        <v>0</v>
      </c>
      <c r="AI31" s="726">
        <f>ROUND(SUMIFS(Cantidades[168536],Cantidades[cod Idu],'CantidadesConsolidadas'!$A31),2)</f>
        <v>0</v>
      </c>
      <c r="AJ31" s="497">
        <f>ROUND(SUMIFS(Cantidades[166934],Cantidades[cod Idu],'CantidadesConsolidadas'!$A31),2)</f>
        <v>0</v>
      </c>
      <c r="AK31" s="497">
        <f>ROUND(SUMIFS(Cantidades[174353],Cantidades[cod Idu],'CantidadesConsolidadas'!$A31),2)</f>
        <v>0</v>
      </c>
      <c r="AL31" s="751">
        <f>ROUND(SUMIFS(Cantidades[52531],Cantidades[cod Idu],'CantidadesConsolidadas'!$A31),2)</f>
        <v>0</v>
      </c>
      <c r="AM31" s="500">
        <f>ROUND(SUMIFS(Cantidades[52456],Cantidades[cod Idu],'CantidadesConsolidadas'!$A31),2)</f>
        <v>0</v>
      </c>
      <c r="AN31" s="500">
        <f>ROUND(SUMIFS(Cantidades[92058103],Cantidades[cod Idu],'CantidadesConsolidadas'!$A31),2)</f>
        <v>0</v>
      </c>
      <c r="AO31" s="500">
        <f>ROUND(SUMIFS(Cantidades[20011114],Cantidades[cod Idu],'CantidadesConsolidadas'!$A31),2)</f>
        <v>0</v>
      </c>
      <c r="AP31" s="500">
        <f>ROUND(SUMIFS(Cantidades[20013540],Cantidades[cod Idu],'CantidadesConsolidadas'!$A31),2)</f>
        <v>0</v>
      </c>
      <c r="AQ31" s="500">
        <f>ROUND(SUMIFS(Cantidades[55337],Cantidades[cod Idu],'CantidadesConsolidadas'!$A31),2)</f>
        <v>0</v>
      </c>
      <c r="AR31" s="500">
        <f>ROUND(SUMIFS(Cantidades[92087422],Cantidades[cod Idu],'CantidadesConsolidadas'!$A31),2)</f>
        <v>0</v>
      </c>
      <c r="AS31" s="500">
        <f>ROUND(SUMIFS(Cantidades[55259],Cantidades[cod Idu],'CantidadesConsolidadas'!$A31),2)</f>
        <v>0</v>
      </c>
      <c r="AT31" s="500">
        <f>ROUND(SUMIFS(Cantidades[466904],Cantidades[cod Idu],'CantidadesConsolidadas'!$A31),2)</f>
        <v>0</v>
      </c>
      <c r="AU31" s="500">
        <f>ROUND(SUMIFS(Cantidades[48591],Cantidades[cod Idu],'CantidadesConsolidadas'!$A31),2)</f>
        <v>0</v>
      </c>
      <c r="AV31" s="500">
        <f>ROUND(SUMIFS(Cantidades[48590],Cantidades[cod Idu],'CantidadesConsolidadas'!$A31),2)</f>
        <v>0</v>
      </c>
      <c r="AW31" s="500">
        <f>ROUND(SUMIFS(Cantidades[48561],Cantidades[cod Idu],'CantidadesConsolidadas'!$A31),2)</f>
        <v>0</v>
      </c>
      <c r="AX31" s="805">
        <f>ROUND(SUMIFS(Cantidades[48560],Cantidades[cod Idu],'CantidadesConsolidadas'!$A31),2)</f>
        <v>0</v>
      </c>
      <c r="AY31" s="805">
        <f>ROUND(SUMIFS(Cantidades[48657],Cantidades[cod Idu],'CantidadesConsolidadas'!$A31),2)</f>
        <v>0</v>
      </c>
      <c r="AZ31" s="752">
        <f>ROUND(SUMIFS(Cantidades[48655],Cantidades[cod Idu],'CantidadesConsolidadas'!$A31),2)</f>
        <v>0</v>
      </c>
      <c r="BA31" s="758">
        <f>SUBTOTAL(9,CantidadesConsolidadas[[#This Row],[91013913]:[48655]])</f>
        <v>104.76</v>
      </c>
      <c r="BB31" s="638">
        <f>ROUND(CantidadesConsolidadas[[#This Row],[Total]]*CantidadesConsolidadas[[#This Row],[VU]],0)</f>
        <v>330623</v>
      </c>
    </row>
    <row r="32" spans="1:54" ht="29.4" thickBot="1" x14ac:dyDescent="0.35">
      <c r="A32">
        <v>3486</v>
      </c>
      <c r="B32" s="606" t="str">
        <f>+_xlfn.XLOOKUP(CantidadesConsolidadas[[#This Row],[cod Idu]],APU_IDU[Código],APU_IDU[Nombre],"",0)</f>
        <v>DEMOLICIÓN CONCRETO ESTRUCTURAL (INCLUYE CARGUE MANUAL). NO INCLUYE TRANSPORTE Y DISPOSICIÓN FINAL DE SOBRANTES.</v>
      </c>
      <c r="C32" s="609" t="str">
        <f>+_xlfn.XLOOKUP(CantidadesConsolidadas[[#This Row],[cod Idu]],APU_IDU[Código],APU_IDU[UM],"",0)</f>
        <v>M3</v>
      </c>
      <c r="D32" s="743">
        <f>+_xlfn.XLOOKUP(CantidadesConsolidadas[[#This Row],[cod Idu]],APU_IDU[Código],APU_IDU[Valor],"",0)</f>
        <v>197648</v>
      </c>
      <c r="E32" s="497">
        <f>ROUND(SUMIFS(Cantidades[91013913],Cantidades[cod Idu],'CantidadesConsolidadas'!$A32),2)</f>
        <v>0</v>
      </c>
      <c r="F32" s="497">
        <f>ROUND(SUMIFS(Cantidades[472330],Cantidades[cod Idu],'CantidadesConsolidadas'!$A32),2)</f>
        <v>0</v>
      </c>
      <c r="G32" s="497">
        <f>ROUND(SUMIFS(Cantidades[167810],Cantidades[cod Idu],'CantidadesConsolidadas'!$A32),2)</f>
        <v>0</v>
      </c>
      <c r="H32" s="497">
        <f>ROUND(SUMIFS(Cantidades[166646],Cantidades[cod Idu],'CantidadesConsolidadas'!$A32),2)</f>
        <v>0</v>
      </c>
      <c r="I32" s="497">
        <f>ROUND(SUMIFS(Cantidades[167491],Cantidades[cod Idu],'CantidadesConsolidadas'!$A32),2)</f>
        <v>0</v>
      </c>
      <c r="J32" s="497">
        <f>ROUND(SUMIFS(Cantidades[167266],Cantidades[cod Idu],'CantidadesConsolidadas'!$A32),2)</f>
        <v>0</v>
      </c>
      <c r="K32" s="497">
        <f>ROUND(SUMIFS(Cantidades[170896],Cantidades[cod Idu],'CantidadesConsolidadas'!$A32),2)</f>
        <v>0</v>
      </c>
      <c r="L32" s="497">
        <f>ROUND(SUMIFS(Cantidades[170897],Cantidades[cod Idu],'CantidadesConsolidadas'!$A32),2)</f>
        <v>0</v>
      </c>
      <c r="M32" s="497">
        <f>ROUND(SUMIFS(Cantidades[170898],Cantidades[cod Idu],'CantidadesConsolidadas'!$A32),2)</f>
        <v>0</v>
      </c>
      <c r="N32" s="497">
        <f>ROUND(SUMIFS(Cantidades[91064150],Cantidades[cod Idu],'CantidadesConsolidadas'!$A32),2)</f>
        <v>0</v>
      </c>
      <c r="O32" s="497">
        <f>ROUND(SUMIFS(Cantidades[168919],Cantidades[cod Idu],'CantidadesConsolidadas'!$A32),2)</f>
        <v>0</v>
      </c>
      <c r="P32" s="497">
        <f>ROUND(SUMIFS(Cantidades[168426],Cantidades[cod Idu],'CantidadesConsolidadas'!$A32),2)</f>
        <v>0</v>
      </c>
      <c r="Q32" s="497">
        <f>ROUND(SUMIFS(Cantidades[91020796],Cantidades[cod Idu],'CantidadesConsolidadas'!$A32),2)</f>
        <v>0</v>
      </c>
      <c r="R32" s="497">
        <f>ROUND(SUMIFS(Cantidades[176184],Cantidades[cod Idu],'CantidadesConsolidadas'!$A32),2)</f>
        <v>0</v>
      </c>
      <c r="S32" s="497">
        <f>ROUND(SUMIFS(Cantidades[167636],Cantidades[cod Idu],'CantidadesConsolidadas'!$A32),2)</f>
        <v>0</v>
      </c>
      <c r="T32" s="497">
        <f>ROUND(SUMIFS(Cantidades[176730],Cantidades[cod Idu],'CantidadesConsolidadas'!$A32),2)</f>
        <v>0</v>
      </c>
      <c r="U32" s="497">
        <f>ROUND(SUMIFS(Cantidades[173038],Cantidades[cod Idu],'CantidadesConsolidadas'!$A32),2)</f>
        <v>0</v>
      </c>
      <c r="V32" s="497">
        <f>ROUND(SUMIFS(Cantidades[170222],Cantidades[cod Idu],'CantidadesConsolidadas'!$A32),2)</f>
        <v>0</v>
      </c>
      <c r="W32" s="497">
        <f>ROUND(SUMIFS(Cantidades[170229],Cantidades[cod Idu],'CantidadesConsolidadas'!$A32),2)</f>
        <v>0</v>
      </c>
      <c r="X32" s="497">
        <f>ROUND(SUMIFS(Cantidades[170227],Cantidades[cod Idu],'CantidadesConsolidadas'!$A32),2)</f>
        <v>0</v>
      </c>
      <c r="Y32" s="497">
        <f>ROUND(SUMIFS(Cantidades[170226],Cantidades[cod Idu],'CantidadesConsolidadas'!$A32),2)</f>
        <v>0</v>
      </c>
      <c r="Z32" s="497">
        <f>ROUND(SUMIFS(Cantidades[171567],Cantidades[cod Idu],'CantidadesConsolidadas'!$A32),2)</f>
        <v>104.69</v>
      </c>
      <c r="AA32" s="497">
        <f>ROUND(SUMIFS(Cantidades[166632],Cantidades[cod Idu],'CantidadesConsolidadas'!$A32),2)</f>
        <v>0</v>
      </c>
      <c r="AB32" s="497">
        <f>ROUND(SUMIFS(Cantidades[170228],Cantidades[cod Idu],'CantidadesConsolidadas'!$A32),2)</f>
        <v>0</v>
      </c>
      <c r="AC32" s="497">
        <f>ROUND(SUMIFS(Cantidades[172926],Cantidades[cod Idu],'CantidadesConsolidadas'!$A32),2)</f>
        <v>0</v>
      </c>
      <c r="AD32" s="497">
        <f>ROUND(SUMIFS(Cantidades[171152],Cantidades[cod Idu],'CantidadesConsolidadas'!$A32),2)</f>
        <v>0</v>
      </c>
      <c r="AE32" s="497">
        <f>ROUND(SUMIFS(Cantidades[173058],Cantidades[cod Idu],'CantidadesConsolidadas'!$A32),2)</f>
        <v>0</v>
      </c>
      <c r="AF32" s="726">
        <f>ROUND(SUMIFS(Cantidades[174478],Cantidades[cod Idu],'CantidadesConsolidadas'!$A32),2)</f>
        <v>0</v>
      </c>
      <c r="AG32" s="726">
        <f>ROUND(SUMIFS(Cantidades[91010089],Cantidades[cod Idu],'CantidadesConsolidadas'!$A32),2)</f>
        <v>0</v>
      </c>
      <c r="AH32" s="726">
        <f>ROUND(SUMIFS(Cantidades[176122],Cantidades[cod Idu],'CantidadesConsolidadas'!$A32),2)</f>
        <v>0</v>
      </c>
      <c r="AI32" s="726">
        <f>ROUND(SUMIFS(Cantidades[168536],Cantidades[cod Idu],'CantidadesConsolidadas'!$A32),2)</f>
        <v>0</v>
      </c>
      <c r="AJ32" s="497">
        <f>ROUND(SUMIFS(Cantidades[166934],Cantidades[cod Idu],'CantidadesConsolidadas'!$A32),2)</f>
        <v>0</v>
      </c>
      <c r="AK32" s="497">
        <f>ROUND(SUMIFS(Cantidades[174353],Cantidades[cod Idu],'CantidadesConsolidadas'!$A32),2)</f>
        <v>0</v>
      </c>
      <c r="AL32" s="751">
        <f>ROUND(SUMIFS(Cantidades[52531],Cantidades[cod Idu],'CantidadesConsolidadas'!$A32),2)</f>
        <v>0</v>
      </c>
      <c r="AM32" s="500">
        <f>ROUND(SUMIFS(Cantidades[52456],Cantidades[cod Idu],'CantidadesConsolidadas'!$A32),2)</f>
        <v>0</v>
      </c>
      <c r="AN32" s="500">
        <f>ROUND(SUMIFS(Cantidades[92058103],Cantidades[cod Idu],'CantidadesConsolidadas'!$A32),2)</f>
        <v>0</v>
      </c>
      <c r="AO32" s="500">
        <f>ROUND(SUMIFS(Cantidades[20011114],Cantidades[cod Idu],'CantidadesConsolidadas'!$A32),2)</f>
        <v>0</v>
      </c>
      <c r="AP32" s="500">
        <f>ROUND(SUMIFS(Cantidades[20013540],Cantidades[cod Idu],'CantidadesConsolidadas'!$A32),2)</f>
        <v>0</v>
      </c>
      <c r="AQ32" s="500">
        <f>ROUND(SUMIFS(Cantidades[55337],Cantidades[cod Idu],'CantidadesConsolidadas'!$A32),2)</f>
        <v>0</v>
      </c>
      <c r="AR32" s="500">
        <f>ROUND(SUMIFS(Cantidades[92087422],Cantidades[cod Idu],'CantidadesConsolidadas'!$A32),2)</f>
        <v>0</v>
      </c>
      <c r="AS32" s="500">
        <f>ROUND(SUMIFS(Cantidades[55259],Cantidades[cod Idu],'CantidadesConsolidadas'!$A32),2)</f>
        <v>0</v>
      </c>
      <c r="AT32" s="500">
        <f>ROUND(SUMIFS(Cantidades[466904],Cantidades[cod Idu],'CantidadesConsolidadas'!$A32),2)</f>
        <v>0</v>
      </c>
      <c r="AU32" s="500">
        <f>ROUND(SUMIFS(Cantidades[48591],Cantidades[cod Idu],'CantidadesConsolidadas'!$A32),2)</f>
        <v>0</v>
      </c>
      <c r="AV32" s="500">
        <f>ROUND(SUMIFS(Cantidades[48590],Cantidades[cod Idu],'CantidadesConsolidadas'!$A32),2)</f>
        <v>0</v>
      </c>
      <c r="AW32" s="500">
        <f>ROUND(SUMIFS(Cantidades[48561],Cantidades[cod Idu],'CantidadesConsolidadas'!$A32),2)</f>
        <v>0</v>
      </c>
      <c r="AX32" s="805">
        <f>ROUND(SUMIFS(Cantidades[48560],Cantidades[cod Idu],'CantidadesConsolidadas'!$A32),2)</f>
        <v>0</v>
      </c>
      <c r="AY32" s="805">
        <f>ROUND(SUMIFS(Cantidades[48657],Cantidades[cod Idu],'CantidadesConsolidadas'!$A32),2)</f>
        <v>0</v>
      </c>
      <c r="AZ32" s="752">
        <f>ROUND(SUMIFS(Cantidades[48655],Cantidades[cod Idu],'CantidadesConsolidadas'!$A32),2)</f>
        <v>0</v>
      </c>
      <c r="BA32" s="758">
        <f>SUBTOTAL(9,CantidadesConsolidadas[[#This Row],[91013913]:[48655]])</f>
        <v>104.69</v>
      </c>
      <c r="BB32" s="638">
        <f>ROUND(CantidadesConsolidadas[[#This Row],[Total]]*CantidadesConsolidadas[[#This Row],[VU]],0)</f>
        <v>20691769</v>
      </c>
    </row>
    <row r="33" spans="1:54" ht="29.4" thickBot="1" x14ac:dyDescent="0.35">
      <c r="A33">
        <v>4161</v>
      </c>
      <c r="B33" s="606" t="str">
        <f>+_xlfn.XLOOKUP(CantidadesConsolidadas[[#This Row],[cod Idu]],APU_IDU[Código],APU_IDU[Nombre],"",0)</f>
        <v>SUBBASE GRANULAR CLASE A (SBG_A) (SUMINISTRO, EXTENDIDO, NIVELACIÓN, HUMEDECIMIENTO Y COMPACTACIÓN CON VIBROCOMPACTADOR)</v>
      </c>
      <c r="C33" s="609" t="str">
        <f>+_xlfn.XLOOKUP(CantidadesConsolidadas[[#This Row],[cod Idu]],APU_IDU[Código],APU_IDU[UM],"",0)</f>
        <v>M3</v>
      </c>
      <c r="D33" s="743">
        <f>+_xlfn.XLOOKUP(CantidadesConsolidadas[[#This Row],[cod Idu]],APU_IDU[Código],APU_IDU[Valor],"",0)</f>
        <v>208914</v>
      </c>
      <c r="E33" s="497">
        <f>ROUND(SUMIFS(Cantidades[91013913],Cantidades[cod Idu],'CantidadesConsolidadas'!$A33),2)</f>
        <v>0</v>
      </c>
      <c r="F33" s="497">
        <f>ROUND(SUMIFS(Cantidades[472330],Cantidades[cod Idu],'CantidadesConsolidadas'!$A33),2)</f>
        <v>0</v>
      </c>
      <c r="G33" s="497">
        <f>ROUND(SUMIFS(Cantidades[167810],Cantidades[cod Idu],'CantidadesConsolidadas'!$A33),2)</f>
        <v>0</v>
      </c>
      <c r="H33" s="497">
        <f>ROUND(SUMIFS(Cantidades[166646],Cantidades[cod Idu],'CantidadesConsolidadas'!$A33),2)</f>
        <v>0</v>
      </c>
      <c r="I33" s="497">
        <f>ROUND(SUMIFS(Cantidades[167491],Cantidades[cod Idu],'CantidadesConsolidadas'!$A33),2)</f>
        <v>0</v>
      </c>
      <c r="J33" s="497">
        <f>ROUND(SUMIFS(Cantidades[167266],Cantidades[cod Idu],'CantidadesConsolidadas'!$A33),2)</f>
        <v>0</v>
      </c>
      <c r="K33" s="497">
        <f>ROUND(SUMIFS(Cantidades[170896],Cantidades[cod Idu],'CantidadesConsolidadas'!$A33),2)</f>
        <v>0</v>
      </c>
      <c r="L33" s="497">
        <f>ROUND(SUMIFS(Cantidades[170897],Cantidades[cod Idu],'CantidadesConsolidadas'!$A33),2)</f>
        <v>0</v>
      </c>
      <c r="M33" s="497">
        <f>ROUND(SUMIFS(Cantidades[170898],Cantidades[cod Idu],'CantidadesConsolidadas'!$A33),2)</f>
        <v>0</v>
      </c>
      <c r="N33" s="497">
        <f>ROUND(SUMIFS(Cantidades[91064150],Cantidades[cod Idu],'CantidadesConsolidadas'!$A33),2)</f>
        <v>0</v>
      </c>
      <c r="O33" s="497">
        <f>ROUND(SUMIFS(Cantidades[168919],Cantidades[cod Idu],'CantidadesConsolidadas'!$A33),2)</f>
        <v>0</v>
      </c>
      <c r="P33" s="497">
        <f>ROUND(SUMIFS(Cantidades[168426],Cantidades[cod Idu],'CantidadesConsolidadas'!$A33),2)</f>
        <v>0</v>
      </c>
      <c r="Q33" s="497">
        <f>ROUND(SUMIFS(Cantidades[91020796],Cantidades[cod Idu],'CantidadesConsolidadas'!$A33),2)</f>
        <v>0</v>
      </c>
      <c r="R33" s="497">
        <f>ROUND(SUMIFS(Cantidades[176184],Cantidades[cod Idu],'CantidadesConsolidadas'!$A33),2)</f>
        <v>0</v>
      </c>
      <c r="S33" s="497">
        <f>ROUND(SUMIFS(Cantidades[167636],Cantidades[cod Idu],'CantidadesConsolidadas'!$A33),2)</f>
        <v>0</v>
      </c>
      <c r="T33" s="497">
        <f>ROUND(SUMIFS(Cantidades[176730],Cantidades[cod Idu],'CantidadesConsolidadas'!$A33),2)</f>
        <v>0</v>
      </c>
      <c r="U33" s="497">
        <f>ROUND(SUMIFS(Cantidades[173038],Cantidades[cod Idu],'CantidadesConsolidadas'!$A33),2)</f>
        <v>0</v>
      </c>
      <c r="V33" s="497">
        <f>ROUND(SUMIFS(Cantidades[170222],Cantidades[cod Idu],'CantidadesConsolidadas'!$A33),2)</f>
        <v>0</v>
      </c>
      <c r="W33" s="497">
        <f>ROUND(SUMIFS(Cantidades[170229],Cantidades[cod Idu],'CantidadesConsolidadas'!$A33),2)</f>
        <v>0</v>
      </c>
      <c r="X33" s="497">
        <f>ROUND(SUMIFS(Cantidades[170227],Cantidades[cod Idu],'CantidadesConsolidadas'!$A33),2)</f>
        <v>0</v>
      </c>
      <c r="Y33" s="497">
        <f>ROUND(SUMIFS(Cantidades[170226],Cantidades[cod Idu],'CantidadesConsolidadas'!$A33),2)</f>
        <v>0</v>
      </c>
      <c r="Z33" s="497">
        <f>ROUND(SUMIFS(Cantidades[171567],Cantidades[cod Idu],'CantidadesConsolidadas'!$A33),2)</f>
        <v>523.76</v>
      </c>
      <c r="AA33" s="497">
        <f>ROUND(SUMIFS(Cantidades[166632],Cantidades[cod Idu],'CantidadesConsolidadas'!$A33),2)</f>
        <v>0</v>
      </c>
      <c r="AB33" s="497">
        <f>ROUND(SUMIFS(Cantidades[170228],Cantidades[cod Idu],'CantidadesConsolidadas'!$A33),2)</f>
        <v>0</v>
      </c>
      <c r="AC33" s="497">
        <f>ROUND(SUMIFS(Cantidades[172926],Cantidades[cod Idu],'CantidadesConsolidadas'!$A33),2)</f>
        <v>0</v>
      </c>
      <c r="AD33" s="497">
        <f>ROUND(SUMIFS(Cantidades[171152],Cantidades[cod Idu],'CantidadesConsolidadas'!$A33),2)</f>
        <v>0</v>
      </c>
      <c r="AE33" s="497">
        <f>ROUND(SUMIFS(Cantidades[173058],Cantidades[cod Idu],'CantidadesConsolidadas'!$A33),2)</f>
        <v>0</v>
      </c>
      <c r="AF33" s="726">
        <f>ROUND(SUMIFS(Cantidades[174478],Cantidades[cod Idu],'CantidadesConsolidadas'!$A33),2)</f>
        <v>0</v>
      </c>
      <c r="AG33" s="726">
        <f>ROUND(SUMIFS(Cantidades[91010089],Cantidades[cod Idu],'CantidadesConsolidadas'!$A33),2)</f>
        <v>0</v>
      </c>
      <c r="AH33" s="726">
        <f>ROUND(SUMIFS(Cantidades[176122],Cantidades[cod Idu],'CantidadesConsolidadas'!$A33),2)</f>
        <v>0</v>
      </c>
      <c r="AI33" s="726">
        <f>ROUND(SUMIFS(Cantidades[168536],Cantidades[cod Idu],'CantidadesConsolidadas'!$A33),2)</f>
        <v>0</v>
      </c>
      <c r="AJ33" s="497">
        <f>ROUND(SUMIFS(Cantidades[166934],Cantidades[cod Idu],'CantidadesConsolidadas'!$A33),2)</f>
        <v>0</v>
      </c>
      <c r="AK33" s="497">
        <f>ROUND(SUMIFS(Cantidades[174353],Cantidades[cod Idu],'CantidadesConsolidadas'!$A33),2)</f>
        <v>0</v>
      </c>
      <c r="AL33" s="751">
        <f>ROUND(SUMIFS(Cantidades[52531],Cantidades[cod Idu],'CantidadesConsolidadas'!$A33),2)</f>
        <v>0</v>
      </c>
      <c r="AM33" s="500">
        <f>ROUND(SUMIFS(Cantidades[52456],Cantidades[cod Idu],'CantidadesConsolidadas'!$A33),2)</f>
        <v>0</v>
      </c>
      <c r="AN33" s="500">
        <f>ROUND(SUMIFS(Cantidades[92058103],Cantidades[cod Idu],'CantidadesConsolidadas'!$A33),2)</f>
        <v>0</v>
      </c>
      <c r="AO33" s="500">
        <f>ROUND(SUMIFS(Cantidades[20011114],Cantidades[cod Idu],'CantidadesConsolidadas'!$A33),2)</f>
        <v>0</v>
      </c>
      <c r="AP33" s="500">
        <f>ROUND(SUMIFS(Cantidades[20013540],Cantidades[cod Idu],'CantidadesConsolidadas'!$A33),2)</f>
        <v>0</v>
      </c>
      <c r="AQ33" s="500">
        <f>ROUND(SUMIFS(Cantidades[55337],Cantidades[cod Idu],'CantidadesConsolidadas'!$A33),2)</f>
        <v>0</v>
      </c>
      <c r="AR33" s="500">
        <f>ROUND(SUMIFS(Cantidades[92087422],Cantidades[cod Idu],'CantidadesConsolidadas'!$A33),2)</f>
        <v>0</v>
      </c>
      <c r="AS33" s="500">
        <f>ROUND(SUMIFS(Cantidades[55259],Cantidades[cod Idu],'CantidadesConsolidadas'!$A33),2)</f>
        <v>0</v>
      </c>
      <c r="AT33" s="500">
        <f>ROUND(SUMIFS(Cantidades[466904],Cantidades[cod Idu],'CantidadesConsolidadas'!$A33),2)</f>
        <v>0</v>
      </c>
      <c r="AU33" s="500">
        <f>ROUND(SUMIFS(Cantidades[48591],Cantidades[cod Idu],'CantidadesConsolidadas'!$A33),2)</f>
        <v>0</v>
      </c>
      <c r="AV33" s="500">
        <f>ROUND(SUMIFS(Cantidades[48590],Cantidades[cod Idu],'CantidadesConsolidadas'!$A33),2)</f>
        <v>0</v>
      </c>
      <c r="AW33" s="500">
        <f>ROUND(SUMIFS(Cantidades[48561],Cantidades[cod Idu],'CantidadesConsolidadas'!$A33),2)</f>
        <v>0</v>
      </c>
      <c r="AX33" s="805">
        <f>ROUND(SUMIFS(Cantidades[48560],Cantidades[cod Idu],'CantidadesConsolidadas'!$A33),2)</f>
        <v>0</v>
      </c>
      <c r="AY33" s="805">
        <f>ROUND(SUMIFS(Cantidades[48657],Cantidades[cod Idu],'CantidadesConsolidadas'!$A33),2)</f>
        <v>0</v>
      </c>
      <c r="AZ33" s="752">
        <f>ROUND(SUMIFS(Cantidades[48655],Cantidades[cod Idu],'CantidadesConsolidadas'!$A33),2)</f>
        <v>0</v>
      </c>
      <c r="BA33" s="758">
        <f>SUBTOTAL(9,CantidadesConsolidadas[[#This Row],[91013913]:[48655]])</f>
        <v>523.76</v>
      </c>
      <c r="BB33" s="638">
        <f>ROUND(CantidadesConsolidadas[[#This Row],[Total]]*CantidadesConsolidadas[[#This Row],[VU]],0)</f>
        <v>109420797</v>
      </c>
    </row>
    <row r="34" spans="1:54" ht="29.4" thickBot="1" x14ac:dyDescent="0.35">
      <c r="A34">
        <v>4158</v>
      </c>
      <c r="B34" s="606" t="str">
        <f>+_xlfn.XLOOKUP(CantidadesConsolidadas[[#This Row],[cod Idu]],APU_IDU[Código],APU_IDU[Nombre],"",0)</f>
        <v>BASE GRANULAR CLASE A (BG_A) (SUMINISTRO, EXTENDIDO, NIVELACIÓN, HUMEDECIMIENTO Y COMPACTACIÓN CON VIBROCOMPACTADOR)</v>
      </c>
      <c r="C34" s="609" t="str">
        <f>+_xlfn.XLOOKUP(CantidadesConsolidadas[[#This Row],[cod Idu]],APU_IDU[Código],APU_IDU[UM],"",0)</f>
        <v>M3</v>
      </c>
      <c r="D34" s="743">
        <f>+_xlfn.XLOOKUP(CantidadesConsolidadas[[#This Row],[cod Idu]],APU_IDU[Código],APU_IDU[Valor],"",0)</f>
        <v>244495</v>
      </c>
      <c r="E34" s="497">
        <f>ROUND(SUMIFS(Cantidades[91013913],Cantidades[cod Idu],'CantidadesConsolidadas'!$A34),2)</f>
        <v>0</v>
      </c>
      <c r="F34" s="497">
        <f>ROUND(SUMIFS(Cantidades[472330],Cantidades[cod Idu],'CantidadesConsolidadas'!$A34),2)</f>
        <v>0</v>
      </c>
      <c r="G34" s="497">
        <f>ROUND(SUMIFS(Cantidades[167810],Cantidades[cod Idu],'CantidadesConsolidadas'!$A34),2)</f>
        <v>0</v>
      </c>
      <c r="H34" s="497">
        <f>ROUND(SUMIFS(Cantidades[166646],Cantidades[cod Idu],'CantidadesConsolidadas'!$A34),2)</f>
        <v>0</v>
      </c>
      <c r="I34" s="497">
        <f>ROUND(SUMIFS(Cantidades[167491],Cantidades[cod Idu],'CantidadesConsolidadas'!$A34),2)</f>
        <v>0</v>
      </c>
      <c r="J34" s="497">
        <f>ROUND(SUMIFS(Cantidades[167266],Cantidades[cod Idu],'CantidadesConsolidadas'!$A34),2)</f>
        <v>0</v>
      </c>
      <c r="K34" s="497">
        <f>ROUND(SUMIFS(Cantidades[170896],Cantidades[cod Idu],'CantidadesConsolidadas'!$A34),2)</f>
        <v>0</v>
      </c>
      <c r="L34" s="497">
        <f>ROUND(SUMIFS(Cantidades[170897],Cantidades[cod Idu],'CantidadesConsolidadas'!$A34),2)</f>
        <v>0</v>
      </c>
      <c r="M34" s="497">
        <f>ROUND(SUMIFS(Cantidades[170898],Cantidades[cod Idu],'CantidadesConsolidadas'!$A34),2)</f>
        <v>0</v>
      </c>
      <c r="N34" s="497">
        <f>ROUND(SUMIFS(Cantidades[91064150],Cantidades[cod Idu],'CantidadesConsolidadas'!$A34),2)</f>
        <v>0</v>
      </c>
      <c r="O34" s="497">
        <f>ROUND(SUMIFS(Cantidades[168919],Cantidades[cod Idu],'CantidadesConsolidadas'!$A34),2)</f>
        <v>0</v>
      </c>
      <c r="P34" s="497">
        <f>ROUND(SUMIFS(Cantidades[168426],Cantidades[cod Idu],'CantidadesConsolidadas'!$A34),2)</f>
        <v>0</v>
      </c>
      <c r="Q34" s="497">
        <f>ROUND(SUMIFS(Cantidades[91020796],Cantidades[cod Idu],'CantidadesConsolidadas'!$A34),2)</f>
        <v>0</v>
      </c>
      <c r="R34" s="497">
        <f>ROUND(SUMIFS(Cantidades[176184],Cantidades[cod Idu],'CantidadesConsolidadas'!$A34),2)</f>
        <v>0</v>
      </c>
      <c r="S34" s="497">
        <f>ROUND(SUMIFS(Cantidades[167636],Cantidades[cod Idu],'CantidadesConsolidadas'!$A34),2)</f>
        <v>0</v>
      </c>
      <c r="T34" s="497">
        <f>ROUND(SUMIFS(Cantidades[176730],Cantidades[cod Idu],'CantidadesConsolidadas'!$A34),2)</f>
        <v>0</v>
      </c>
      <c r="U34" s="497">
        <f>ROUND(SUMIFS(Cantidades[173038],Cantidades[cod Idu],'CantidadesConsolidadas'!$A34),2)</f>
        <v>0</v>
      </c>
      <c r="V34" s="497">
        <f>ROUND(SUMIFS(Cantidades[170222],Cantidades[cod Idu],'CantidadesConsolidadas'!$A34),2)</f>
        <v>0</v>
      </c>
      <c r="W34" s="497">
        <f>ROUND(SUMIFS(Cantidades[170229],Cantidades[cod Idu],'CantidadesConsolidadas'!$A34),2)</f>
        <v>0</v>
      </c>
      <c r="X34" s="497">
        <f>ROUND(SUMIFS(Cantidades[170227],Cantidades[cod Idu],'CantidadesConsolidadas'!$A34),2)</f>
        <v>0</v>
      </c>
      <c r="Y34" s="497">
        <f>ROUND(SUMIFS(Cantidades[170226],Cantidades[cod Idu],'CantidadesConsolidadas'!$A34),2)</f>
        <v>0</v>
      </c>
      <c r="Z34" s="497">
        <f>ROUND(SUMIFS(Cantidades[171567],Cantidades[cod Idu],'CantidadesConsolidadas'!$A34),2)</f>
        <v>523.71</v>
      </c>
      <c r="AA34" s="497">
        <f>ROUND(SUMIFS(Cantidades[166632],Cantidades[cod Idu],'CantidadesConsolidadas'!$A34),2)</f>
        <v>0</v>
      </c>
      <c r="AB34" s="497">
        <f>ROUND(SUMIFS(Cantidades[170228],Cantidades[cod Idu],'CantidadesConsolidadas'!$A34),2)</f>
        <v>0</v>
      </c>
      <c r="AC34" s="497">
        <f>ROUND(SUMIFS(Cantidades[172926],Cantidades[cod Idu],'CantidadesConsolidadas'!$A34),2)</f>
        <v>0</v>
      </c>
      <c r="AD34" s="497">
        <f>ROUND(SUMIFS(Cantidades[171152],Cantidades[cod Idu],'CantidadesConsolidadas'!$A34),2)</f>
        <v>0</v>
      </c>
      <c r="AE34" s="497">
        <f>ROUND(SUMIFS(Cantidades[173058],Cantidades[cod Idu],'CantidadesConsolidadas'!$A34),2)</f>
        <v>0</v>
      </c>
      <c r="AF34" s="726">
        <f>ROUND(SUMIFS(Cantidades[174478],Cantidades[cod Idu],'CantidadesConsolidadas'!$A34),2)</f>
        <v>0</v>
      </c>
      <c r="AG34" s="726">
        <f>ROUND(SUMIFS(Cantidades[91010089],Cantidades[cod Idu],'CantidadesConsolidadas'!$A34),2)</f>
        <v>0</v>
      </c>
      <c r="AH34" s="726">
        <f>ROUND(SUMIFS(Cantidades[176122],Cantidades[cod Idu],'CantidadesConsolidadas'!$A34),2)</f>
        <v>0</v>
      </c>
      <c r="AI34" s="726">
        <f>ROUND(SUMIFS(Cantidades[168536],Cantidades[cod Idu],'CantidadesConsolidadas'!$A34),2)</f>
        <v>0</v>
      </c>
      <c r="AJ34" s="497">
        <f>ROUND(SUMIFS(Cantidades[166934],Cantidades[cod Idu],'CantidadesConsolidadas'!$A34),2)</f>
        <v>0</v>
      </c>
      <c r="AK34" s="497">
        <f>ROUND(SUMIFS(Cantidades[174353],Cantidades[cod Idu],'CantidadesConsolidadas'!$A34),2)</f>
        <v>0</v>
      </c>
      <c r="AL34" s="751">
        <f>ROUND(SUMIFS(Cantidades[52531],Cantidades[cod Idu],'CantidadesConsolidadas'!$A34),2)</f>
        <v>0</v>
      </c>
      <c r="AM34" s="500">
        <f>ROUND(SUMIFS(Cantidades[52456],Cantidades[cod Idu],'CantidadesConsolidadas'!$A34),2)</f>
        <v>0</v>
      </c>
      <c r="AN34" s="500">
        <f>ROUND(SUMIFS(Cantidades[92058103],Cantidades[cod Idu],'CantidadesConsolidadas'!$A34),2)</f>
        <v>0</v>
      </c>
      <c r="AO34" s="500">
        <f>ROUND(SUMIFS(Cantidades[20011114],Cantidades[cod Idu],'CantidadesConsolidadas'!$A34),2)</f>
        <v>0</v>
      </c>
      <c r="AP34" s="500">
        <f>ROUND(SUMIFS(Cantidades[20013540],Cantidades[cod Idu],'CantidadesConsolidadas'!$A34),2)</f>
        <v>0</v>
      </c>
      <c r="AQ34" s="500">
        <f>ROUND(SUMIFS(Cantidades[55337],Cantidades[cod Idu],'CantidadesConsolidadas'!$A34),2)</f>
        <v>0</v>
      </c>
      <c r="AR34" s="500">
        <f>ROUND(SUMIFS(Cantidades[92087422],Cantidades[cod Idu],'CantidadesConsolidadas'!$A34),2)</f>
        <v>0</v>
      </c>
      <c r="AS34" s="500">
        <f>ROUND(SUMIFS(Cantidades[55259],Cantidades[cod Idu],'CantidadesConsolidadas'!$A34),2)</f>
        <v>0</v>
      </c>
      <c r="AT34" s="500">
        <f>ROUND(SUMIFS(Cantidades[466904],Cantidades[cod Idu],'CantidadesConsolidadas'!$A34),2)</f>
        <v>0</v>
      </c>
      <c r="AU34" s="500">
        <f>ROUND(SUMIFS(Cantidades[48591],Cantidades[cod Idu],'CantidadesConsolidadas'!$A34),2)</f>
        <v>0</v>
      </c>
      <c r="AV34" s="500">
        <f>ROUND(SUMIFS(Cantidades[48590],Cantidades[cod Idu],'CantidadesConsolidadas'!$A34),2)</f>
        <v>0</v>
      </c>
      <c r="AW34" s="500">
        <f>ROUND(SUMIFS(Cantidades[48561],Cantidades[cod Idu],'CantidadesConsolidadas'!$A34),2)</f>
        <v>0</v>
      </c>
      <c r="AX34" s="805">
        <f>ROUND(SUMIFS(Cantidades[48560],Cantidades[cod Idu],'CantidadesConsolidadas'!$A34),2)</f>
        <v>0</v>
      </c>
      <c r="AY34" s="805">
        <f>ROUND(SUMIFS(Cantidades[48657],Cantidades[cod Idu],'CantidadesConsolidadas'!$A34),2)</f>
        <v>0</v>
      </c>
      <c r="AZ34" s="752">
        <f>ROUND(SUMIFS(Cantidades[48655],Cantidades[cod Idu],'CantidadesConsolidadas'!$A34),2)</f>
        <v>0</v>
      </c>
      <c r="BA34" s="758">
        <f>SUBTOTAL(9,CantidadesConsolidadas[[#This Row],[91013913]:[48655]])</f>
        <v>523.71</v>
      </c>
      <c r="BB34" s="638">
        <f>ROUND(CantidadesConsolidadas[[#This Row],[Total]]*CantidadesConsolidadas[[#This Row],[VU]],0)</f>
        <v>128044476</v>
      </c>
    </row>
    <row r="35" spans="1:54" ht="29.4" thickBot="1" x14ac:dyDescent="0.35">
      <c r="A35">
        <v>4667</v>
      </c>
      <c r="B35" s="606" t="str">
        <f>+_xlfn.XLOOKUP(CantidadesConsolidadas[[#This Row],[cod Idu]],APU_IDU[Código],APU_IDU[Nombre],"",0)</f>
        <v>CONSTRUCCIÓN DE PAVIMENTO RÍGIDO: LOSAS EN CONCRETO HIDRÁULICO MR45 E=0.20M (NO INCLUYE SARDINEL)</v>
      </c>
      <c r="C35" s="609" t="str">
        <f>+_xlfn.XLOOKUP(CantidadesConsolidadas[[#This Row],[cod Idu]],APU_IDU[Código],APU_IDU[UM],"",0)</f>
        <v>M2</v>
      </c>
      <c r="D35" s="743">
        <f>+_xlfn.XLOOKUP(CantidadesConsolidadas[[#This Row],[cod Idu]],APU_IDU[Código],APU_IDU[Valor],"",0)</f>
        <v>434307</v>
      </c>
      <c r="E35" s="497">
        <f>ROUND(SUMIFS(Cantidades[91013913],Cantidades[cod Idu],'CantidadesConsolidadas'!$A35),2)</f>
        <v>0</v>
      </c>
      <c r="F35" s="497">
        <f>ROUND(SUMIFS(Cantidades[472330],Cantidades[cod Idu],'CantidadesConsolidadas'!$A35),2)</f>
        <v>0</v>
      </c>
      <c r="G35" s="497">
        <f>ROUND(SUMIFS(Cantidades[167810],Cantidades[cod Idu],'CantidadesConsolidadas'!$A35),2)</f>
        <v>0</v>
      </c>
      <c r="H35" s="497">
        <f>ROUND(SUMIFS(Cantidades[166646],Cantidades[cod Idu],'CantidadesConsolidadas'!$A35),2)</f>
        <v>0</v>
      </c>
      <c r="I35" s="497">
        <f>ROUND(SUMIFS(Cantidades[167491],Cantidades[cod Idu],'CantidadesConsolidadas'!$A35),2)</f>
        <v>0</v>
      </c>
      <c r="J35" s="497">
        <f>ROUND(SUMIFS(Cantidades[167266],Cantidades[cod Idu],'CantidadesConsolidadas'!$A35),2)</f>
        <v>0</v>
      </c>
      <c r="K35" s="497">
        <f>ROUND(SUMIFS(Cantidades[170896],Cantidades[cod Idu],'CantidadesConsolidadas'!$A35),2)</f>
        <v>0</v>
      </c>
      <c r="L35" s="497">
        <f>ROUND(SUMIFS(Cantidades[170897],Cantidades[cod Idu],'CantidadesConsolidadas'!$A35),2)</f>
        <v>0</v>
      </c>
      <c r="M35" s="497">
        <f>ROUND(SUMIFS(Cantidades[170898],Cantidades[cod Idu],'CantidadesConsolidadas'!$A35),2)</f>
        <v>0</v>
      </c>
      <c r="N35" s="497">
        <f>ROUND(SUMIFS(Cantidades[91064150],Cantidades[cod Idu],'CantidadesConsolidadas'!$A35),2)</f>
        <v>0</v>
      </c>
      <c r="O35" s="497">
        <f>ROUND(SUMIFS(Cantidades[168919],Cantidades[cod Idu],'CantidadesConsolidadas'!$A35),2)</f>
        <v>0</v>
      </c>
      <c r="P35" s="497">
        <f>ROUND(SUMIFS(Cantidades[168426],Cantidades[cod Idu],'CantidadesConsolidadas'!$A35),2)</f>
        <v>0</v>
      </c>
      <c r="Q35" s="497">
        <f>ROUND(SUMIFS(Cantidades[91020796],Cantidades[cod Idu],'CantidadesConsolidadas'!$A35),2)</f>
        <v>0</v>
      </c>
      <c r="R35" s="497">
        <f>ROUND(SUMIFS(Cantidades[176184],Cantidades[cod Idu],'CantidadesConsolidadas'!$A35),2)</f>
        <v>0</v>
      </c>
      <c r="S35" s="497">
        <f>ROUND(SUMIFS(Cantidades[167636],Cantidades[cod Idu],'CantidadesConsolidadas'!$A35),2)</f>
        <v>0</v>
      </c>
      <c r="T35" s="497">
        <f>ROUND(SUMIFS(Cantidades[176730],Cantidades[cod Idu],'CantidadesConsolidadas'!$A35),2)</f>
        <v>0</v>
      </c>
      <c r="U35" s="497">
        <f>ROUND(SUMIFS(Cantidades[173038],Cantidades[cod Idu],'CantidadesConsolidadas'!$A35),2)</f>
        <v>0</v>
      </c>
      <c r="V35" s="497">
        <f>ROUND(SUMIFS(Cantidades[170222],Cantidades[cod Idu],'CantidadesConsolidadas'!$A35),2)</f>
        <v>0</v>
      </c>
      <c r="W35" s="497">
        <f>ROUND(SUMIFS(Cantidades[170229],Cantidades[cod Idu],'CantidadesConsolidadas'!$A35),2)</f>
        <v>0</v>
      </c>
      <c r="X35" s="497">
        <f>ROUND(SUMIFS(Cantidades[170227],Cantidades[cod Idu],'CantidadesConsolidadas'!$A35),2)</f>
        <v>0</v>
      </c>
      <c r="Y35" s="497">
        <f>ROUND(SUMIFS(Cantidades[170226],Cantidades[cod Idu],'CantidadesConsolidadas'!$A35),2)</f>
        <v>0</v>
      </c>
      <c r="Z35" s="497">
        <f>ROUND(SUMIFS(Cantidades[171567],Cantidades[cod Idu],'CantidadesConsolidadas'!$A35),2)</f>
        <v>523.46</v>
      </c>
      <c r="AA35" s="497">
        <f>ROUND(SUMIFS(Cantidades[166632],Cantidades[cod Idu],'CantidadesConsolidadas'!$A35),2)</f>
        <v>0</v>
      </c>
      <c r="AB35" s="497">
        <f>ROUND(SUMIFS(Cantidades[170228],Cantidades[cod Idu],'CantidadesConsolidadas'!$A35),2)</f>
        <v>0</v>
      </c>
      <c r="AC35" s="497">
        <f>ROUND(SUMIFS(Cantidades[172926],Cantidades[cod Idu],'CantidadesConsolidadas'!$A35),2)</f>
        <v>0</v>
      </c>
      <c r="AD35" s="497">
        <f>ROUND(SUMIFS(Cantidades[171152],Cantidades[cod Idu],'CantidadesConsolidadas'!$A35),2)</f>
        <v>0</v>
      </c>
      <c r="AE35" s="497">
        <f>ROUND(SUMIFS(Cantidades[173058],Cantidades[cod Idu],'CantidadesConsolidadas'!$A35),2)</f>
        <v>0</v>
      </c>
      <c r="AF35" s="726">
        <f>ROUND(SUMIFS(Cantidades[174478],Cantidades[cod Idu],'CantidadesConsolidadas'!$A35),2)</f>
        <v>0</v>
      </c>
      <c r="AG35" s="726">
        <f>ROUND(SUMIFS(Cantidades[91010089],Cantidades[cod Idu],'CantidadesConsolidadas'!$A35),2)</f>
        <v>0</v>
      </c>
      <c r="AH35" s="726">
        <f>ROUND(SUMIFS(Cantidades[176122],Cantidades[cod Idu],'CantidadesConsolidadas'!$A35),2)</f>
        <v>0</v>
      </c>
      <c r="AI35" s="726">
        <f>ROUND(SUMIFS(Cantidades[168536],Cantidades[cod Idu],'CantidadesConsolidadas'!$A35),2)</f>
        <v>0</v>
      </c>
      <c r="AJ35" s="497">
        <f>ROUND(SUMIFS(Cantidades[166934],Cantidades[cod Idu],'CantidadesConsolidadas'!$A35),2)</f>
        <v>0</v>
      </c>
      <c r="AK35" s="497">
        <f>ROUND(SUMIFS(Cantidades[174353],Cantidades[cod Idu],'CantidadesConsolidadas'!$A35),2)</f>
        <v>0</v>
      </c>
      <c r="AL35" s="751">
        <f>ROUND(SUMIFS(Cantidades[52531],Cantidades[cod Idu],'CantidadesConsolidadas'!$A35),2)</f>
        <v>0</v>
      </c>
      <c r="AM35" s="500">
        <f>ROUND(SUMIFS(Cantidades[52456],Cantidades[cod Idu],'CantidadesConsolidadas'!$A35),2)</f>
        <v>0</v>
      </c>
      <c r="AN35" s="500">
        <f>ROUND(SUMIFS(Cantidades[92058103],Cantidades[cod Idu],'CantidadesConsolidadas'!$A35),2)</f>
        <v>0</v>
      </c>
      <c r="AO35" s="500">
        <f>ROUND(SUMIFS(Cantidades[20011114],Cantidades[cod Idu],'CantidadesConsolidadas'!$A35),2)</f>
        <v>0</v>
      </c>
      <c r="AP35" s="500">
        <f>ROUND(SUMIFS(Cantidades[20013540],Cantidades[cod Idu],'CantidadesConsolidadas'!$A35),2)</f>
        <v>0</v>
      </c>
      <c r="AQ35" s="500">
        <f>ROUND(SUMIFS(Cantidades[55337],Cantidades[cod Idu],'CantidadesConsolidadas'!$A35),2)</f>
        <v>0</v>
      </c>
      <c r="AR35" s="500">
        <f>ROUND(SUMIFS(Cantidades[92087422],Cantidades[cod Idu],'CantidadesConsolidadas'!$A35),2)</f>
        <v>0</v>
      </c>
      <c r="AS35" s="500">
        <f>ROUND(SUMIFS(Cantidades[55259],Cantidades[cod Idu],'CantidadesConsolidadas'!$A35),2)</f>
        <v>0</v>
      </c>
      <c r="AT35" s="500">
        <f>ROUND(SUMIFS(Cantidades[466904],Cantidades[cod Idu],'CantidadesConsolidadas'!$A35),2)</f>
        <v>0</v>
      </c>
      <c r="AU35" s="500">
        <f>ROUND(SUMIFS(Cantidades[48591],Cantidades[cod Idu],'CantidadesConsolidadas'!$A35),2)</f>
        <v>0</v>
      </c>
      <c r="AV35" s="500">
        <f>ROUND(SUMIFS(Cantidades[48590],Cantidades[cod Idu],'CantidadesConsolidadas'!$A35),2)</f>
        <v>0</v>
      </c>
      <c r="AW35" s="500">
        <f>ROUND(SUMIFS(Cantidades[48561],Cantidades[cod Idu],'CantidadesConsolidadas'!$A35),2)</f>
        <v>0</v>
      </c>
      <c r="AX35" s="805">
        <f>ROUND(SUMIFS(Cantidades[48560],Cantidades[cod Idu],'CantidadesConsolidadas'!$A35),2)</f>
        <v>0</v>
      </c>
      <c r="AY35" s="805">
        <f>ROUND(SUMIFS(Cantidades[48657],Cantidades[cod Idu],'CantidadesConsolidadas'!$A35),2)</f>
        <v>0</v>
      </c>
      <c r="AZ35" s="752">
        <f>ROUND(SUMIFS(Cantidades[48655],Cantidades[cod Idu],'CantidadesConsolidadas'!$A35),2)</f>
        <v>0</v>
      </c>
      <c r="BA35" s="758">
        <f>SUBTOTAL(9,CantidadesConsolidadas[[#This Row],[91013913]:[48655]])</f>
        <v>523.46</v>
      </c>
      <c r="BB35" s="638">
        <f>ROUND(CantidadesConsolidadas[[#This Row],[Total]]*CantidadesConsolidadas[[#This Row],[VU]],0)</f>
        <v>227342342</v>
      </c>
    </row>
    <row r="36" spans="1:54" ht="72.599999999999994" thickBot="1" x14ac:dyDescent="0.35">
      <c r="A36">
        <v>3708</v>
      </c>
      <c r="B36" s="606" t="str">
        <f>+_xlfn.XLOOKUP(CantidadesConsolidadas[[#This Row],[cod Idu]],APU_IDU[Código],APU_IDU[Nombre],"",0)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C36" s="609" t="str">
        <f>+_xlfn.XLOOKUP(CantidadesConsolidadas[[#This Row],[cod Idu]],APU_IDU[Código],APU_IDU[UM],"",0)</f>
        <v>KG</v>
      </c>
      <c r="D36" s="743">
        <f>+_xlfn.XLOOKUP(CantidadesConsolidadas[[#This Row],[cod Idu]],APU_IDU[Código],APU_IDU[Valor],"",0)</f>
        <v>5794</v>
      </c>
      <c r="E36" s="497">
        <f>ROUND(SUMIFS(Cantidades[91013913],Cantidades[cod Idu],'CantidadesConsolidadas'!$A36),2)</f>
        <v>0</v>
      </c>
      <c r="F36" s="497">
        <f>ROUND(SUMIFS(Cantidades[472330],Cantidades[cod Idu],'CantidadesConsolidadas'!$A36),2)</f>
        <v>0</v>
      </c>
      <c r="G36" s="497">
        <f>ROUND(SUMIFS(Cantidades[167810],Cantidades[cod Idu],'CantidadesConsolidadas'!$A36),2)</f>
        <v>0</v>
      </c>
      <c r="H36" s="497">
        <f>ROUND(SUMIFS(Cantidades[166646],Cantidades[cod Idu],'CantidadesConsolidadas'!$A36),2)</f>
        <v>0</v>
      </c>
      <c r="I36" s="497">
        <f>ROUND(SUMIFS(Cantidades[167491],Cantidades[cod Idu],'CantidadesConsolidadas'!$A36),2)</f>
        <v>0</v>
      </c>
      <c r="J36" s="497">
        <f>ROUND(SUMIFS(Cantidades[167266],Cantidades[cod Idu],'CantidadesConsolidadas'!$A36),2)</f>
        <v>0</v>
      </c>
      <c r="K36" s="497">
        <f>ROUND(SUMIFS(Cantidades[170896],Cantidades[cod Idu],'CantidadesConsolidadas'!$A36),2)</f>
        <v>0</v>
      </c>
      <c r="L36" s="497">
        <f>ROUND(SUMIFS(Cantidades[170897],Cantidades[cod Idu],'CantidadesConsolidadas'!$A36),2)</f>
        <v>0</v>
      </c>
      <c r="M36" s="497">
        <f>ROUND(SUMIFS(Cantidades[170898],Cantidades[cod Idu],'CantidadesConsolidadas'!$A36),2)</f>
        <v>0</v>
      </c>
      <c r="N36" s="497">
        <f>ROUND(SUMIFS(Cantidades[91064150],Cantidades[cod Idu],'CantidadesConsolidadas'!$A36),2)</f>
        <v>0</v>
      </c>
      <c r="O36" s="497">
        <f>ROUND(SUMIFS(Cantidades[168919],Cantidades[cod Idu],'CantidadesConsolidadas'!$A36),2)</f>
        <v>0</v>
      </c>
      <c r="P36" s="497">
        <f>ROUND(SUMIFS(Cantidades[168426],Cantidades[cod Idu],'CantidadesConsolidadas'!$A36),2)</f>
        <v>0</v>
      </c>
      <c r="Q36" s="497">
        <f>ROUND(SUMIFS(Cantidades[91020796],Cantidades[cod Idu],'CantidadesConsolidadas'!$A36),2)</f>
        <v>0</v>
      </c>
      <c r="R36" s="497">
        <f>ROUND(SUMIFS(Cantidades[176184],Cantidades[cod Idu],'CantidadesConsolidadas'!$A36),2)</f>
        <v>0</v>
      </c>
      <c r="S36" s="497">
        <f>ROUND(SUMIFS(Cantidades[167636],Cantidades[cod Idu],'CantidadesConsolidadas'!$A36),2)</f>
        <v>0</v>
      </c>
      <c r="T36" s="497">
        <f>ROUND(SUMIFS(Cantidades[176730],Cantidades[cod Idu],'CantidadesConsolidadas'!$A36),2)</f>
        <v>0</v>
      </c>
      <c r="U36" s="497">
        <f>ROUND(SUMIFS(Cantidades[173038],Cantidades[cod Idu],'CantidadesConsolidadas'!$A36),2)</f>
        <v>0</v>
      </c>
      <c r="V36" s="497">
        <f>ROUND(SUMIFS(Cantidades[170222],Cantidades[cod Idu],'CantidadesConsolidadas'!$A36),2)</f>
        <v>0</v>
      </c>
      <c r="W36" s="497">
        <f>ROUND(SUMIFS(Cantidades[170229],Cantidades[cod Idu],'CantidadesConsolidadas'!$A36),2)</f>
        <v>0</v>
      </c>
      <c r="X36" s="497">
        <f>ROUND(SUMIFS(Cantidades[170227],Cantidades[cod Idu],'CantidadesConsolidadas'!$A36),2)</f>
        <v>0</v>
      </c>
      <c r="Y36" s="497">
        <f>ROUND(SUMIFS(Cantidades[170226],Cantidades[cod Idu],'CantidadesConsolidadas'!$A36),2)</f>
        <v>0</v>
      </c>
      <c r="Z36" s="497">
        <f>ROUND(SUMIFS(Cantidades[171567],Cantidades[cod Idu],'CantidadesConsolidadas'!$A36),2)</f>
        <v>2093.84</v>
      </c>
      <c r="AA36" s="497">
        <f>ROUND(SUMIFS(Cantidades[166632],Cantidades[cod Idu],'CantidadesConsolidadas'!$A36),2)</f>
        <v>0</v>
      </c>
      <c r="AB36" s="497">
        <f>ROUND(SUMIFS(Cantidades[170228],Cantidades[cod Idu],'CantidadesConsolidadas'!$A36),2)</f>
        <v>0</v>
      </c>
      <c r="AC36" s="497">
        <f>ROUND(SUMIFS(Cantidades[172926],Cantidades[cod Idu],'CantidadesConsolidadas'!$A36),2)</f>
        <v>0</v>
      </c>
      <c r="AD36" s="497">
        <f>ROUND(SUMIFS(Cantidades[171152],Cantidades[cod Idu],'CantidadesConsolidadas'!$A36),2)</f>
        <v>0</v>
      </c>
      <c r="AE36" s="497">
        <f>ROUND(SUMIFS(Cantidades[173058],Cantidades[cod Idu],'CantidadesConsolidadas'!$A36),2)</f>
        <v>0</v>
      </c>
      <c r="AF36" s="726">
        <f>ROUND(SUMIFS(Cantidades[174478],Cantidades[cod Idu],'CantidadesConsolidadas'!$A36),2)</f>
        <v>0</v>
      </c>
      <c r="AG36" s="726">
        <f>ROUND(SUMIFS(Cantidades[91010089],Cantidades[cod Idu],'CantidadesConsolidadas'!$A36),2)</f>
        <v>0</v>
      </c>
      <c r="AH36" s="726">
        <f>ROUND(SUMIFS(Cantidades[176122],Cantidades[cod Idu],'CantidadesConsolidadas'!$A36),2)</f>
        <v>0</v>
      </c>
      <c r="AI36" s="726">
        <f>ROUND(SUMIFS(Cantidades[168536],Cantidades[cod Idu],'CantidadesConsolidadas'!$A36),2)</f>
        <v>0</v>
      </c>
      <c r="AJ36" s="497">
        <f>ROUND(SUMIFS(Cantidades[166934],Cantidades[cod Idu],'CantidadesConsolidadas'!$A36),2)</f>
        <v>0</v>
      </c>
      <c r="AK36" s="497">
        <f>ROUND(SUMIFS(Cantidades[174353],Cantidades[cod Idu],'CantidadesConsolidadas'!$A36),2)</f>
        <v>0</v>
      </c>
      <c r="AL36" s="751">
        <f>ROUND(SUMIFS(Cantidades[52531],Cantidades[cod Idu],'CantidadesConsolidadas'!$A36),2)</f>
        <v>0</v>
      </c>
      <c r="AM36" s="500">
        <f>ROUND(SUMIFS(Cantidades[52456],Cantidades[cod Idu],'CantidadesConsolidadas'!$A36),2)</f>
        <v>0</v>
      </c>
      <c r="AN36" s="500">
        <f>ROUND(SUMIFS(Cantidades[92058103],Cantidades[cod Idu],'CantidadesConsolidadas'!$A36),2)</f>
        <v>0</v>
      </c>
      <c r="AO36" s="500">
        <f>ROUND(SUMIFS(Cantidades[20011114],Cantidades[cod Idu],'CantidadesConsolidadas'!$A36),2)</f>
        <v>0</v>
      </c>
      <c r="AP36" s="500">
        <f>ROUND(SUMIFS(Cantidades[20013540],Cantidades[cod Idu],'CantidadesConsolidadas'!$A36),2)</f>
        <v>0</v>
      </c>
      <c r="AQ36" s="500">
        <f>ROUND(SUMIFS(Cantidades[55337],Cantidades[cod Idu],'CantidadesConsolidadas'!$A36),2)</f>
        <v>0</v>
      </c>
      <c r="AR36" s="500">
        <f>ROUND(SUMIFS(Cantidades[92087422],Cantidades[cod Idu],'CantidadesConsolidadas'!$A36),2)</f>
        <v>0</v>
      </c>
      <c r="AS36" s="500">
        <f>ROUND(SUMIFS(Cantidades[55259],Cantidades[cod Idu],'CantidadesConsolidadas'!$A36),2)</f>
        <v>0</v>
      </c>
      <c r="AT36" s="500">
        <f>ROUND(SUMIFS(Cantidades[466904],Cantidades[cod Idu],'CantidadesConsolidadas'!$A36),2)</f>
        <v>0</v>
      </c>
      <c r="AU36" s="500">
        <f>ROUND(SUMIFS(Cantidades[48591],Cantidades[cod Idu],'CantidadesConsolidadas'!$A36),2)</f>
        <v>0</v>
      </c>
      <c r="AV36" s="500">
        <f>ROUND(SUMIFS(Cantidades[48590],Cantidades[cod Idu],'CantidadesConsolidadas'!$A36),2)</f>
        <v>0</v>
      </c>
      <c r="AW36" s="500">
        <f>ROUND(SUMIFS(Cantidades[48561],Cantidades[cod Idu],'CantidadesConsolidadas'!$A36),2)</f>
        <v>0</v>
      </c>
      <c r="AX36" s="805">
        <f>ROUND(SUMIFS(Cantidades[48560],Cantidades[cod Idu],'CantidadesConsolidadas'!$A36),2)</f>
        <v>0</v>
      </c>
      <c r="AY36" s="805">
        <f>ROUND(SUMIFS(Cantidades[48657],Cantidades[cod Idu],'CantidadesConsolidadas'!$A36),2)</f>
        <v>0</v>
      </c>
      <c r="AZ36" s="752">
        <f>ROUND(SUMIFS(Cantidades[48655],Cantidades[cod Idu],'CantidadesConsolidadas'!$A36),2)</f>
        <v>0</v>
      </c>
      <c r="BA36" s="758">
        <f>SUBTOTAL(9,CantidadesConsolidadas[[#This Row],[91013913]:[48655]])</f>
        <v>2093.84</v>
      </c>
      <c r="BB36" s="638">
        <f>ROUND(CantidadesConsolidadas[[#This Row],[Total]]*CantidadesConsolidadas[[#This Row],[VU]],0)</f>
        <v>12131709</v>
      </c>
    </row>
    <row r="37" spans="1:54" ht="15" thickBot="1" x14ac:dyDescent="0.35">
      <c r="A37">
        <v>5404</v>
      </c>
      <c r="B37" s="606" t="str">
        <f>+_xlfn.XLOOKUP(CantidadesConsolidadas[[#This Row],[cod Idu]],APU_IDU[Código],APU_IDU[Nombre],"",0)</f>
        <v>CANASTILLA PASAJUNTAS (INCLUYE SUMINISTRO Y FIJACIÓN)</v>
      </c>
      <c r="C37" s="609" t="str">
        <f>+_xlfn.XLOOKUP(CantidadesConsolidadas[[#This Row],[cod Idu]],APU_IDU[Código],APU_IDU[UM],"",0)</f>
        <v>KG</v>
      </c>
      <c r="D37" s="743">
        <f>+_xlfn.XLOOKUP(CantidadesConsolidadas[[#This Row],[cod Idu]],APU_IDU[Código],APU_IDU[Valor],"",0)</f>
        <v>10706</v>
      </c>
      <c r="E37" s="497">
        <f>ROUND(SUMIFS(Cantidades[91013913],Cantidades[cod Idu],'CantidadesConsolidadas'!$A37),2)</f>
        <v>0</v>
      </c>
      <c r="F37" s="497">
        <f>ROUND(SUMIFS(Cantidades[472330],Cantidades[cod Idu],'CantidadesConsolidadas'!$A37),2)</f>
        <v>0</v>
      </c>
      <c r="G37" s="497">
        <f>ROUND(SUMIFS(Cantidades[167810],Cantidades[cod Idu],'CantidadesConsolidadas'!$A37),2)</f>
        <v>0</v>
      </c>
      <c r="H37" s="497">
        <f>ROUND(SUMIFS(Cantidades[166646],Cantidades[cod Idu],'CantidadesConsolidadas'!$A37),2)</f>
        <v>0</v>
      </c>
      <c r="I37" s="497">
        <f>ROUND(SUMIFS(Cantidades[167491],Cantidades[cod Idu],'CantidadesConsolidadas'!$A37),2)</f>
        <v>0</v>
      </c>
      <c r="J37" s="497">
        <f>ROUND(SUMIFS(Cantidades[167266],Cantidades[cod Idu],'CantidadesConsolidadas'!$A37),2)</f>
        <v>0</v>
      </c>
      <c r="K37" s="497">
        <f>ROUND(SUMIFS(Cantidades[170896],Cantidades[cod Idu],'CantidadesConsolidadas'!$A37),2)</f>
        <v>0</v>
      </c>
      <c r="L37" s="497">
        <f>ROUND(SUMIFS(Cantidades[170897],Cantidades[cod Idu],'CantidadesConsolidadas'!$A37),2)</f>
        <v>0</v>
      </c>
      <c r="M37" s="497">
        <f>ROUND(SUMIFS(Cantidades[170898],Cantidades[cod Idu],'CantidadesConsolidadas'!$A37),2)</f>
        <v>0</v>
      </c>
      <c r="N37" s="497">
        <f>ROUND(SUMIFS(Cantidades[91064150],Cantidades[cod Idu],'CantidadesConsolidadas'!$A37),2)</f>
        <v>0</v>
      </c>
      <c r="O37" s="497">
        <f>ROUND(SUMIFS(Cantidades[168919],Cantidades[cod Idu],'CantidadesConsolidadas'!$A37),2)</f>
        <v>0</v>
      </c>
      <c r="P37" s="497">
        <f>ROUND(SUMIFS(Cantidades[168426],Cantidades[cod Idu],'CantidadesConsolidadas'!$A37),2)</f>
        <v>0</v>
      </c>
      <c r="Q37" s="497">
        <f>ROUND(SUMIFS(Cantidades[91020796],Cantidades[cod Idu],'CantidadesConsolidadas'!$A37),2)</f>
        <v>0</v>
      </c>
      <c r="R37" s="497">
        <f>ROUND(SUMIFS(Cantidades[176184],Cantidades[cod Idu],'CantidadesConsolidadas'!$A37),2)</f>
        <v>0</v>
      </c>
      <c r="S37" s="497">
        <f>ROUND(SUMIFS(Cantidades[167636],Cantidades[cod Idu],'CantidadesConsolidadas'!$A37),2)</f>
        <v>0</v>
      </c>
      <c r="T37" s="497">
        <f>ROUND(SUMIFS(Cantidades[176730],Cantidades[cod Idu],'CantidadesConsolidadas'!$A37),2)</f>
        <v>0</v>
      </c>
      <c r="U37" s="497">
        <f>ROUND(SUMIFS(Cantidades[173038],Cantidades[cod Idu],'CantidadesConsolidadas'!$A37),2)</f>
        <v>0</v>
      </c>
      <c r="V37" s="497">
        <f>ROUND(SUMIFS(Cantidades[170222],Cantidades[cod Idu],'CantidadesConsolidadas'!$A37),2)</f>
        <v>0</v>
      </c>
      <c r="W37" s="497">
        <f>ROUND(SUMIFS(Cantidades[170229],Cantidades[cod Idu],'CantidadesConsolidadas'!$A37),2)</f>
        <v>0</v>
      </c>
      <c r="X37" s="497">
        <f>ROUND(SUMIFS(Cantidades[170227],Cantidades[cod Idu],'CantidadesConsolidadas'!$A37),2)</f>
        <v>0</v>
      </c>
      <c r="Y37" s="497">
        <f>ROUND(SUMIFS(Cantidades[170226],Cantidades[cod Idu],'CantidadesConsolidadas'!$A37),2)</f>
        <v>0</v>
      </c>
      <c r="Z37" s="497">
        <f>ROUND(SUMIFS(Cantidades[171567],Cantidades[cod Idu],'CantidadesConsolidadas'!$A37),2)</f>
        <v>30</v>
      </c>
      <c r="AA37" s="497">
        <f>ROUND(SUMIFS(Cantidades[166632],Cantidades[cod Idu],'CantidadesConsolidadas'!$A37),2)</f>
        <v>0</v>
      </c>
      <c r="AB37" s="497">
        <f>ROUND(SUMIFS(Cantidades[170228],Cantidades[cod Idu],'CantidadesConsolidadas'!$A37),2)</f>
        <v>0</v>
      </c>
      <c r="AC37" s="497">
        <f>ROUND(SUMIFS(Cantidades[172926],Cantidades[cod Idu],'CantidadesConsolidadas'!$A37),2)</f>
        <v>0</v>
      </c>
      <c r="AD37" s="497">
        <f>ROUND(SUMIFS(Cantidades[171152],Cantidades[cod Idu],'CantidadesConsolidadas'!$A37),2)</f>
        <v>0</v>
      </c>
      <c r="AE37" s="497">
        <f>ROUND(SUMIFS(Cantidades[173058],Cantidades[cod Idu],'CantidadesConsolidadas'!$A37),2)</f>
        <v>0</v>
      </c>
      <c r="AF37" s="726">
        <f>ROUND(SUMIFS(Cantidades[174478],Cantidades[cod Idu],'CantidadesConsolidadas'!$A37),2)</f>
        <v>0</v>
      </c>
      <c r="AG37" s="726">
        <f>ROUND(SUMIFS(Cantidades[91010089],Cantidades[cod Idu],'CantidadesConsolidadas'!$A37),2)</f>
        <v>0</v>
      </c>
      <c r="AH37" s="726">
        <f>ROUND(SUMIFS(Cantidades[176122],Cantidades[cod Idu],'CantidadesConsolidadas'!$A37),2)</f>
        <v>0</v>
      </c>
      <c r="AI37" s="726">
        <f>ROUND(SUMIFS(Cantidades[168536],Cantidades[cod Idu],'CantidadesConsolidadas'!$A37),2)</f>
        <v>0</v>
      </c>
      <c r="AJ37" s="497">
        <f>ROUND(SUMIFS(Cantidades[166934],Cantidades[cod Idu],'CantidadesConsolidadas'!$A37),2)</f>
        <v>0</v>
      </c>
      <c r="AK37" s="497">
        <f>ROUND(SUMIFS(Cantidades[174353],Cantidades[cod Idu],'CantidadesConsolidadas'!$A37),2)</f>
        <v>0</v>
      </c>
      <c r="AL37" s="751">
        <f>ROUND(SUMIFS(Cantidades[52531],Cantidades[cod Idu],'CantidadesConsolidadas'!$A37),2)</f>
        <v>0</v>
      </c>
      <c r="AM37" s="500">
        <f>ROUND(SUMIFS(Cantidades[52456],Cantidades[cod Idu],'CantidadesConsolidadas'!$A37),2)</f>
        <v>0</v>
      </c>
      <c r="AN37" s="500">
        <f>ROUND(SUMIFS(Cantidades[92058103],Cantidades[cod Idu],'CantidadesConsolidadas'!$A37),2)</f>
        <v>0</v>
      </c>
      <c r="AO37" s="500">
        <f>ROUND(SUMIFS(Cantidades[20011114],Cantidades[cod Idu],'CantidadesConsolidadas'!$A37),2)</f>
        <v>0</v>
      </c>
      <c r="AP37" s="500">
        <f>ROUND(SUMIFS(Cantidades[20013540],Cantidades[cod Idu],'CantidadesConsolidadas'!$A37),2)</f>
        <v>0</v>
      </c>
      <c r="AQ37" s="500">
        <f>ROUND(SUMIFS(Cantidades[55337],Cantidades[cod Idu],'CantidadesConsolidadas'!$A37),2)</f>
        <v>0</v>
      </c>
      <c r="AR37" s="500">
        <f>ROUND(SUMIFS(Cantidades[92087422],Cantidades[cod Idu],'CantidadesConsolidadas'!$A37),2)</f>
        <v>0</v>
      </c>
      <c r="AS37" s="500">
        <f>ROUND(SUMIFS(Cantidades[55259],Cantidades[cod Idu],'CantidadesConsolidadas'!$A37),2)</f>
        <v>0</v>
      </c>
      <c r="AT37" s="500">
        <f>ROUND(SUMIFS(Cantidades[466904],Cantidades[cod Idu],'CantidadesConsolidadas'!$A37),2)</f>
        <v>0</v>
      </c>
      <c r="AU37" s="500">
        <f>ROUND(SUMIFS(Cantidades[48591],Cantidades[cod Idu],'CantidadesConsolidadas'!$A37),2)</f>
        <v>0</v>
      </c>
      <c r="AV37" s="500">
        <f>ROUND(SUMIFS(Cantidades[48590],Cantidades[cod Idu],'CantidadesConsolidadas'!$A37),2)</f>
        <v>0</v>
      </c>
      <c r="AW37" s="500">
        <f>ROUND(SUMIFS(Cantidades[48561],Cantidades[cod Idu],'CantidadesConsolidadas'!$A37),2)</f>
        <v>0</v>
      </c>
      <c r="AX37" s="805">
        <f>ROUND(SUMIFS(Cantidades[48560],Cantidades[cod Idu],'CantidadesConsolidadas'!$A37),2)</f>
        <v>0</v>
      </c>
      <c r="AY37" s="805">
        <f>ROUND(SUMIFS(Cantidades[48657],Cantidades[cod Idu],'CantidadesConsolidadas'!$A37),2)</f>
        <v>0</v>
      </c>
      <c r="AZ37" s="752">
        <f>ROUND(SUMIFS(Cantidades[48655],Cantidades[cod Idu],'CantidadesConsolidadas'!$A37),2)</f>
        <v>0</v>
      </c>
      <c r="BA37" s="758">
        <f>SUBTOTAL(9,CantidadesConsolidadas[[#This Row],[91013913]:[48655]])</f>
        <v>30</v>
      </c>
      <c r="BB37" s="638">
        <f>ROUND(CantidadesConsolidadas[[#This Row],[Total]]*CantidadesConsolidadas[[#This Row],[VU]],0)</f>
        <v>321180</v>
      </c>
    </row>
    <row r="38" spans="1:54" ht="29.4" thickBot="1" x14ac:dyDescent="0.35">
      <c r="A38">
        <v>7714</v>
      </c>
      <c r="B38" s="606" t="str">
        <f>+_xlfn.XLOOKUP(CantidadesConsolidadas[[#This Row],[cod Idu]],APU_IDU[Código],APU_IDU[Nombre],"",0)</f>
        <v>(DOVELAS) ACERO LISO PARA TRANSFERENCIA DE LOSAS D= 1" (NO INCLUYE CANASTILLA). SUMINISTRO E INSTALACIÓN.</v>
      </c>
      <c r="C38" s="609" t="str">
        <f>+_xlfn.XLOOKUP(CantidadesConsolidadas[[#This Row],[cod Idu]],APU_IDU[Código],APU_IDU[UM],"",0)</f>
        <v>KG</v>
      </c>
      <c r="D38" s="743">
        <f>+_xlfn.XLOOKUP(CantidadesConsolidadas[[#This Row],[cod Idu]],APU_IDU[Código],APU_IDU[Valor],"",0)</f>
        <v>8071</v>
      </c>
      <c r="E38" s="497">
        <f>ROUND(SUMIFS(Cantidades[91013913],Cantidades[cod Idu],'CantidadesConsolidadas'!$A38),2)</f>
        <v>0</v>
      </c>
      <c r="F38" s="497">
        <f>ROUND(SUMIFS(Cantidades[472330],Cantidades[cod Idu],'CantidadesConsolidadas'!$A38),2)</f>
        <v>0</v>
      </c>
      <c r="G38" s="497">
        <f>ROUND(SUMIFS(Cantidades[167810],Cantidades[cod Idu],'CantidadesConsolidadas'!$A38),2)</f>
        <v>0</v>
      </c>
      <c r="H38" s="497">
        <f>ROUND(SUMIFS(Cantidades[166646],Cantidades[cod Idu],'CantidadesConsolidadas'!$A38),2)</f>
        <v>0</v>
      </c>
      <c r="I38" s="497">
        <f>ROUND(SUMIFS(Cantidades[167491],Cantidades[cod Idu],'CantidadesConsolidadas'!$A38),2)</f>
        <v>0</v>
      </c>
      <c r="J38" s="497">
        <f>ROUND(SUMIFS(Cantidades[167266],Cantidades[cod Idu],'CantidadesConsolidadas'!$A38),2)</f>
        <v>0</v>
      </c>
      <c r="K38" s="497">
        <f>ROUND(SUMIFS(Cantidades[170896],Cantidades[cod Idu],'CantidadesConsolidadas'!$A38),2)</f>
        <v>0</v>
      </c>
      <c r="L38" s="497">
        <f>ROUND(SUMIFS(Cantidades[170897],Cantidades[cod Idu],'CantidadesConsolidadas'!$A38),2)</f>
        <v>0</v>
      </c>
      <c r="M38" s="497">
        <f>ROUND(SUMIFS(Cantidades[170898],Cantidades[cod Idu],'CantidadesConsolidadas'!$A38),2)</f>
        <v>0</v>
      </c>
      <c r="N38" s="497">
        <f>ROUND(SUMIFS(Cantidades[91064150],Cantidades[cod Idu],'CantidadesConsolidadas'!$A38),2)</f>
        <v>0</v>
      </c>
      <c r="O38" s="497">
        <f>ROUND(SUMIFS(Cantidades[168919],Cantidades[cod Idu],'CantidadesConsolidadas'!$A38),2)</f>
        <v>0</v>
      </c>
      <c r="P38" s="497">
        <f>ROUND(SUMIFS(Cantidades[168426],Cantidades[cod Idu],'CantidadesConsolidadas'!$A38),2)</f>
        <v>0</v>
      </c>
      <c r="Q38" s="497">
        <f>ROUND(SUMIFS(Cantidades[91020796],Cantidades[cod Idu],'CantidadesConsolidadas'!$A38),2)</f>
        <v>0</v>
      </c>
      <c r="R38" s="497">
        <f>ROUND(SUMIFS(Cantidades[176184],Cantidades[cod Idu],'CantidadesConsolidadas'!$A38),2)</f>
        <v>0</v>
      </c>
      <c r="S38" s="497">
        <f>ROUND(SUMIFS(Cantidades[167636],Cantidades[cod Idu],'CantidadesConsolidadas'!$A38),2)</f>
        <v>0</v>
      </c>
      <c r="T38" s="497">
        <f>ROUND(SUMIFS(Cantidades[176730],Cantidades[cod Idu],'CantidadesConsolidadas'!$A38),2)</f>
        <v>0</v>
      </c>
      <c r="U38" s="497">
        <f>ROUND(SUMIFS(Cantidades[173038],Cantidades[cod Idu],'CantidadesConsolidadas'!$A38),2)</f>
        <v>0</v>
      </c>
      <c r="V38" s="497">
        <f>ROUND(SUMIFS(Cantidades[170222],Cantidades[cod Idu],'CantidadesConsolidadas'!$A38),2)</f>
        <v>0</v>
      </c>
      <c r="W38" s="497">
        <f>ROUND(SUMIFS(Cantidades[170229],Cantidades[cod Idu],'CantidadesConsolidadas'!$A38),2)</f>
        <v>0</v>
      </c>
      <c r="X38" s="497">
        <f>ROUND(SUMIFS(Cantidades[170227],Cantidades[cod Idu],'CantidadesConsolidadas'!$A38),2)</f>
        <v>0</v>
      </c>
      <c r="Y38" s="497">
        <f>ROUND(SUMIFS(Cantidades[170226],Cantidades[cod Idu],'CantidadesConsolidadas'!$A38),2)</f>
        <v>0</v>
      </c>
      <c r="Z38" s="497">
        <f>ROUND(SUMIFS(Cantidades[171567],Cantidades[cod Idu],'CantidadesConsolidadas'!$A38),2)</f>
        <v>70</v>
      </c>
      <c r="AA38" s="497">
        <f>ROUND(SUMIFS(Cantidades[166632],Cantidades[cod Idu],'CantidadesConsolidadas'!$A38),2)</f>
        <v>0</v>
      </c>
      <c r="AB38" s="497">
        <f>ROUND(SUMIFS(Cantidades[170228],Cantidades[cod Idu],'CantidadesConsolidadas'!$A38),2)</f>
        <v>0</v>
      </c>
      <c r="AC38" s="497">
        <f>ROUND(SUMIFS(Cantidades[172926],Cantidades[cod Idu],'CantidadesConsolidadas'!$A38),2)</f>
        <v>0</v>
      </c>
      <c r="AD38" s="497">
        <f>ROUND(SUMIFS(Cantidades[171152],Cantidades[cod Idu],'CantidadesConsolidadas'!$A38),2)</f>
        <v>0</v>
      </c>
      <c r="AE38" s="497">
        <f>ROUND(SUMIFS(Cantidades[173058],Cantidades[cod Idu],'CantidadesConsolidadas'!$A38),2)</f>
        <v>0</v>
      </c>
      <c r="AF38" s="726">
        <f>ROUND(SUMIFS(Cantidades[174478],Cantidades[cod Idu],'CantidadesConsolidadas'!$A38),2)</f>
        <v>0</v>
      </c>
      <c r="AG38" s="726">
        <f>ROUND(SUMIFS(Cantidades[91010089],Cantidades[cod Idu],'CantidadesConsolidadas'!$A38),2)</f>
        <v>0</v>
      </c>
      <c r="AH38" s="726">
        <f>ROUND(SUMIFS(Cantidades[176122],Cantidades[cod Idu],'CantidadesConsolidadas'!$A38),2)</f>
        <v>0</v>
      </c>
      <c r="AI38" s="726">
        <f>ROUND(SUMIFS(Cantidades[168536],Cantidades[cod Idu],'CantidadesConsolidadas'!$A38),2)</f>
        <v>0</v>
      </c>
      <c r="AJ38" s="497">
        <f>ROUND(SUMIFS(Cantidades[166934],Cantidades[cod Idu],'CantidadesConsolidadas'!$A38),2)</f>
        <v>0</v>
      </c>
      <c r="AK38" s="497">
        <f>ROUND(SUMIFS(Cantidades[174353],Cantidades[cod Idu],'CantidadesConsolidadas'!$A38),2)</f>
        <v>0</v>
      </c>
      <c r="AL38" s="751">
        <f>ROUND(SUMIFS(Cantidades[52531],Cantidades[cod Idu],'CantidadesConsolidadas'!$A38),2)</f>
        <v>0</v>
      </c>
      <c r="AM38" s="500">
        <f>ROUND(SUMIFS(Cantidades[52456],Cantidades[cod Idu],'CantidadesConsolidadas'!$A38),2)</f>
        <v>0</v>
      </c>
      <c r="AN38" s="500">
        <f>ROUND(SUMIFS(Cantidades[92058103],Cantidades[cod Idu],'CantidadesConsolidadas'!$A38),2)</f>
        <v>0</v>
      </c>
      <c r="AO38" s="500">
        <f>ROUND(SUMIFS(Cantidades[20011114],Cantidades[cod Idu],'CantidadesConsolidadas'!$A38),2)</f>
        <v>0</v>
      </c>
      <c r="AP38" s="500">
        <f>ROUND(SUMIFS(Cantidades[20013540],Cantidades[cod Idu],'CantidadesConsolidadas'!$A38),2)</f>
        <v>0</v>
      </c>
      <c r="AQ38" s="500">
        <f>ROUND(SUMIFS(Cantidades[55337],Cantidades[cod Idu],'CantidadesConsolidadas'!$A38),2)</f>
        <v>0</v>
      </c>
      <c r="AR38" s="500">
        <f>ROUND(SUMIFS(Cantidades[92087422],Cantidades[cod Idu],'CantidadesConsolidadas'!$A38),2)</f>
        <v>0</v>
      </c>
      <c r="AS38" s="500">
        <f>ROUND(SUMIFS(Cantidades[55259],Cantidades[cod Idu],'CantidadesConsolidadas'!$A38),2)</f>
        <v>0</v>
      </c>
      <c r="AT38" s="500">
        <f>ROUND(SUMIFS(Cantidades[466904],Cantidades[cod Idu],'CantidadesConsolidadas'!$A38),2)</f>
        <v>0</v>
      </c>
      <c r="AU38" s="500">
        <f>ROUND(SUMIFS(Cantidades[48591],Cantidades[cod Idu],'CantidadesConsolidadas'!$A38),2)</f>
        <v>0</v>
      </c>
      <c r="AV38" s="500">
        <f>ROUND(SUMIFS(Cantidades[48590],Cantidades[cod Idu],'CantidadesConsolidadas'!$A38),2)</f>
        <v>0</v>
      </c>
      <c r="AW38" s="500">
        <f>ROUND(SUMIFS(Cantidades[48561],Cantidades[cod Idu],'CantidadesConsolidadas'!$A38),2)</f>
        <v>0</v>
      </c>
      <c r="AX38" s="805">
        <f>ROUND(SUMIFS(Cantidades[48560],Cantidades[cod Idu],'CantidadesConsolidadas'!$A38),2)</f>
        <v>0</v>
      </c>
      <c r="AY38" s="805">
        <f>ROUND(SUMIFS(Cantidades[48657],Cantidades[cod Idu],'CantidadesConsolidadas'!$A38),2)</f>
        <v>0</v>
      </c>
      <c r="AZ38" s="752">
        <f>ROUND(SUMIFS(Cantidades[48655],Cantidades[cod Idu],'CantidadesConsolidadas'!$A38),2)</f>
        <v>0</v>
      </c>
      <c r="BA38" s="758">
        <f>SUBTOTAL(9,CantidadesConsolidadas[[#This Row],[91013913]:[48655]])</f>
        <v>70</v>
      </c>
      <c r="BB38" s="638">
        <f>ROUND(CantidadesConsolidadas[[#This Row],[Total]]*CantidadesConsolidadas[[#This Row],[VU]],0)</f>
        <v>564970</v>
      </c>
    </row>
    <row r="39" spans="1:54" ht="15" thickBot="1" x14ac:dyDescent="0.35">
      <c r="A39">
        <v>3806</v>
      </c>
      <c r="B39" s="606" t="str">
        <f>+_xlfn.XLOOKUP(CantidadesConsolidadas[[#This Row],[cod Idu]],APU_IDU[Código],APU_IDU[Nombre],"",0)</f>
        <v>CURADO DE LOSAS DE CONCRETO (SUMINISTRO Y APLICACIÓN)</v>
      </c>
      <c r="C39" s="609" t="str">
        <f>+_xlfn.XLOOKUP(CantidadesConsolidadas[[#This Row],[cod Idu]],APU_IDU[Código],APU_IDU[UM],"",0)</f>
        <v>M2</v>
      </c>
      <c r="D39" s="743">
        <f>+_xlfn.XLOOKUP(CantidadesConsolidadas[[#This Row],[cod Idu]],APU_IDU[Código],APU_IDU[Valor],"",0)</f>
        <v>3405</v>
      </c>
      <c r="E39" s="497">
        <f>ROUND(SUMIFS(Cantidades[91013913],Cantidades[cod Idu],'CantidadesConsolidadas'!$A39),2)</f>
        <v>0</v>
      </c>
      <c r="F39" s="497">
        <f>ROUND(SUMIFS(Cantidades[472330],Cantidades[cod Idu],'CantidadesConsolidadas'!$A39),2)</f>
        <v>0</v>
      </c>
      <c r="G39" s="497">
        <f>ROUND(SUMIFS(Cantidades[167810],Cantidades[cod Idu],'CantidadesConsolidadas'!$A39),2)</f>
        <v>0</v>
      </c>
      <c r="H39" s="497">
        <f>ROUND(SUMIFS(Cantidades[166646],Cantidades[cod Idu],'CantidadesConsolidadas'!$A39),2)</f>
        <v>0</v>
      </c>
      <c r="I39" s="497">
        <f>ROUND(SUMIFS(Cantidades[167491],Cantidades[cod Idu],'CantidadesConsolidadas'!$A39),2)</f>
        <v>0</v>
      </c>
      <c r="J39" s="497">
        <f>ROUND(SUMIFS(Cantidades[167266],Cantidades[cod Idu],'CantidadesConsolidadas'!$A39),2)</f>
        <v>0</v>
      </c>
      <c r="K39" s="497">
        <f>ROUND(SUMIFS(Cantidades[170896],Cantidades[cod Idu],'CantidadesConsolidadas'!$A39),2)</f>
        <v>0</v>
      </c>
      <c r="L39" s="497">
        <f>ROUND(SUMIFS(Cantidades[170897],Cantidades[cod Idu],'CantidadesConsolidadas'!$A39),2)</f>
        <v>0</v>
      </c>
      <c r="M39" s="497">
        <f>ROUND(SUMIFS(Cantidades[170898],Cantidades[cod Idu],'CantidadesConsolidadas'!$A39),2)</f>
        <v>0</v>
      </c>
      <c r="N39" s="497">
        <f>ROUND(SUMIFS(Cantidades[91064150],Cantidades[cod Idu],'CantidadesConsolidadas'!$A39),2)</f>
        <v>0</v>
      </c>
      <c r="O39" s="497">
        <f>ROUND(SUMIFS(Cantidades[168919],Cantidades[cod Idu],'CantidadesConsolidadas'!$A39),2)</f>
        <v>0</v>
      </c>
      <c r="P39" s="497">
        <f>ROUND(SUMIFS(Cantidades[168426],Cantidades[cod Idu],'CantidadesConsolidadas'!$A39),2)</f>
        <v>0</v>
      </c>
      <c r="Q39" s="497">
        <f>ROUND(SUMIFS(Cantidades[91020796],Cantidades[cod Idu],'CantidadesConsolidadas'!$A39),2)</f>
        <v>0</v>
      </c>
      <c r="R39" s="497">
        <f>ROUND(SUMIFS(Cantidades[176184],Cantidades[cod Idu],'CantidadesConsolidadas'!$A39),2)</f>
        <v>0</v>
      </c>
      <c r="S39" s="497">
        <f>ROUND(SUMIFS(Cantidades[167636],Cantidades[cod Idu],'CantidadesConsolidadas'!$A39),2)</f>
        <v>0</v>
      </c>
      <c r="T39" s="497">
        <f>ROUND(SUMIFS(Cantidades[176730],Cantidades[cod Idu],'CantidadesConsolidadas'!$A39),2)</f>
        <v>0</v>
      </c>
      <c r="U39" s="497">
        <f>ROUND(SUMIFS(Cantidades[173038],Cantidades[cod Idu],'CantidadesConsolidadas'!$A39),2)</f>
        <v>0</v>
      </c>
      <c r="V39" s="497">
        <f>ROUND(SUMIFS(Cantidades[170222],Cantidades[cod Idu],'CantidadesConsolidadas'!$A39),2)</f>
        <v>0</v>
      </c>
      <c r="W39" s="497">
        <f>ROUND(SUMIFS(Cantidades[170229],Cantidades[cod Idu],'CantidadesConsolidadas'!$A39),2)</f>
        <v>0</v>
      </c>
      <c r="X39" s="497">
        <f>ROUND(SUMIFS(Cantidades[170227],Cantidades[cod Idu],'CantidadesConsolidadas'!$A39),2)</f>
        <v>0</v>
      </c>
      <c r="Y39" s="497">
        <f>ROUND(SUMIFS(Cantidades[170226],Cantidades[cod Idu],'CantidadesConsolidadas'!$A39),2)</f>
        <v>0</v>
      </c>
      <c r="Z39" s="497">
        <f>ROUND(SUMIFS(Cantidades[171567],Cantidades[cod Idu],'CantidadesConsolidadas'!$A39),2)</f>
        <v>523.46</v>
      </c>
      <c r="AA39" s="497">
        <f>ROUND(SUMIFS(Cantidades[166632],Cantidades[cod Idu],'CantidadesConsolidadas'!$A39),2)</f>
        <v>0</v>
      </c>
      <c r="AB39" s="497">
        <f>ROUND(SUMIFS(Cantidades[170228],Cantidades[cod Idu],'CantidadesConsolidadas'!$A39),2)</f>
        <v>0</v>
      </c>
      <c r="AC39" s="497">
        <f>ROUND(SUMIFS(Cantidades[172926],Cantidades[cod Idu],'CantidadesConsolidadas'!$A39),2)</f>
        <v>0</v>
      </c>
      <c r="AD39" s="497">
        <f>ROUND(SUMIFS(Cantidades[171152],Cantidades[cod Idu],'CantidadesConsolidadas'!$A39),2)</f>
        <v>0</v>
      </c>
      <c r="AE39" s="497">
        <f>ROUND(SUMIFS(Cantidades[173058],Cantidades[cod Idu],'CantidadesConsolidadas'!$A39),2)</f>
        <v>0</v>
      </c>
      <c r="AF39" s="726">
        <f>ROUND(SUMIFS(Cantidades[174478],Cantidades[cod Idu],'CantidadesConsolidadas'!$A39),2)</f>
        <v>0</v>
      </c>
      <c r="AG39" s="726">
        <f>ROUND(SUMIFS(Cantidades[91010089],Cantidades[cod Idu],'CantidadesConsolidadas'!$A39),2)</f>
        <v>0</v>
      </c>
      <c r="AH39" s="726">
        <f>ROUND(SUMIFS(Cantidades[176122],Cantidades[cod Idu],'CantidadesConsolidadas'!$A39),2)</f>
        <v>0</v>
      </c>
      <c r="AI39" s="726">
        <f>ROUND(SUMIFS(Cantidades[168536],Cantidades[cod Idu],'CantidadesConsolidadas'!$A39),2)</f>
        <v>0</v>
      </c>
      <c r="AJ39" s="497">
        <f>ROUND(SUMIFS(Cantidades[166934],Cantidades[cod Idu],'CantidadesConsolidadas'!$A39),2)</f>
        <v>0</v>
      </c>
      <c r="AK39" s="497">
        <f>ROUND(SUMIFS(Cantidades[174353],Cantidades[cod Idu],'CantidadesConsolidadas'!$A39),2)</f>
        <v>0</v>
      </c>
      <c r="AL39" s="751">
        <f>ROUND(SUMIFS(Cantidades[52531],Cantidades[cod Idu],'CantidadesConsolidadas'!$A39),2)</f>
        <v>0</v>
      </c>
      <c r="AM39" s="500">
        <f>ROUND(SUMIFS(Cantidades[52456],Cantidades[cod Idu],'CantidadesConsolidadas'!$A39),2)</f>
        <v>0</v>
      </c>
      <c r="AN39" s="500">
        <f>ROUND(SUMIFS(Cantidades[92058103],Cantidades[cod Idu],'CantidadesConsolidadas'!$A39),2)</f>
        <v>0</v>
      </c>
      <c r="AO39" s="500">
        <f>ROUND(SUMIFS(Cantidades[20011114],Cantidades[cod Idu],'CantidadesConsolidadas'!$A39),2)</f>
        <v>0</v>
      </c>
      <c r="AP39" s="500">
        <f>ROUND(SUMIFS(Cantidades[20013540],Cantidades[cod Idu],'CantidadesConsolidadas'!$A39),2)</f>
        <v>0</v>
      </c>
      <c r="AQ39" s="500">
        <f>ROUND(SUMIFS(Cantidades[55337],Cantidades[cod Idu],'CantidadesConsolidadas'!$A39),2)</f>
        <v>0</v>
      </c>
      <c r="AR39" s="500">
        <f>ROUND(SUMIFS(Cantidades[92087422],Cantidades[cod Idu],'CantidadesConsolidadas'!$A39),2)</f>
        <v>0</v>
      </c>
      <c r="AS39" s="500">
        <f>ROUND(SUMIFS(Cantidades[55259],Cantidades[cod Idu],'CantidadesConsolidadas'!$A39),2)</f>
        <v>0</v>
      </c>
      <c r="AT39" s="500">
        <f>ROUND(SUMIFS(Cantidades[466904],Cantidades[cod Idu],'CantidadesConsolidadas'!$A39),2)</f>
        <v>0</v>
      </c>
      <c r="AU39" s="500">
        <f>ROUND(SUMIFS(Cantidades[48591],Cantidades[cod Idu],'CantidadesConsolidadas'!$A39),2)</f>
        <v>0</v>
      </c>
      <c r="AV39" s="500">
        <f>ROUND(SUMIFS(Cantidades[48590],Cantidades[cod Idu],'CantidadesConsolidadas'!$A39),2)</f>
        <v>0</v>
      </c>
      <c r="AW39" s="500">
        <f>ROUND(SUMIFS(Cantidades[48561],Cantidades[cod Idu],'CantidadesConsolidadas'!$A39),2)</f>
        <v>0</v>
      </c>
      <c r="AX39" s="805">
        <f>ROUND(SUMIFS(Cantidades[48560],Cantidades[cod Idu],'CantidadesConsolidadas'!$A39),2)</f>
        <v>0</v>
      </c>
      <c r="AY39" s="805">
        <f>ROUND(SUMIFS(Cantidades[48657],Cantidades[cod Idu],'CantidadesConsolidadas'!$A39),2)</f>
        <v>0</v>
      </c>
      <c r="AZ39" s="752">
        <f>ROUND(SUMIFS(Cantidades[48655],Cantidades[cod Idu],'CantidadesConsolidadas'!$A39),2)</f>
        <v>0</v>
      </c>
      <c r="BA39" s="758">
        <f>SUBTOTAL(9,CantidadesConsolidadas[[#This Row],[91013913]:[48655]])</f>
        <v>523.46</v>
      </c>
      <c r="BB39" s="638">
        <f>ROUND(CantidadesConsolidadas[[#This Row],[Total]]*CantidadesConsolidadas[[#This Row],[VU]],0)</f>
        <v>1782381</v>
      </c>
    </row>
    <row r="40" spans="1:54" ht="29.4" thickBot="1" x14ac:dyDescent="0.35">
      <c r="A40">
        <v>3837</v>
      </c>
      <c r="B40" s="606" t="str">
        <f>+_xlfn.XLOOKUP(CantidadesConsolidadas[[#This Row],[cod Idu]],APU_IDU[Código],APU_IDU[Nombre],"",0)</f>
        <v>SELLADO DE JUNTAS EN PAVIMENTO DE CONCRETO HIDRAULICO (INCLUYE LIMPIEZA, SUMINISTRO E INSTALACIÓN DE FONDO Y SELLANTE)</v>
      </c>
      <c r="C40" s="609" t="str">
        <f>+_xlfn.XLOOKUP(CantidadesConsolidadas[[#This Row],[cod Idu]],APU_IDU[Código],APU_IDU[UM],"",0)</f>
        <v>ML</v>
      </c>
      <c r="D40" s="743">
        <f>+_xlfn.XLOOKUP(CantidadesConsolidadas[[#This Row],[cod Idu]],APU_IDU[Código],APU_IDU[Valor],"",0)</f>
        <v>15321</v>
      </c>
      <c r="E40" s="497">
        <f>ROUND(SUMIFS(Cantidades[91013913],Cantidades[cod Idu],'CantidadesConsolidadas'!$A40),2)</f>
        <v>0</v>
      </c>
      <c r="F40" s="497">
        <f>ROUND(SUMIFS(Cantidades[472330],Cantidades[cod Idu],'CantidadesConsolidadas'!$A40),2)</f>
        <v>0</v>
      </c>
      <c r="G40" s="497">
        <f>ROUND(SUMIFS(Cantidades[167810],Cantidades[cod Idu],'CantidadesConsolidadas'!$A40),2)</f>
        <v>0</v>
      </c>
      <c r="H40" s="497">
        <f>ROUND(SUMIFS(Cantidades[166646],Cantidades[cod Idu],'CantidadesConsolidadas'!$A40),2)</f>
        <v>0</v>
      </c>
      <c r="I40" s="497">
        <f>ROUND(SUMIFS(Cantidades[167491],Cantidades[cod Idu],'CantidadesConsolidadas'!$A40),2)</f>
        <v>0</v>
      </c>
      <c r="J40" s="497">
        <f>ROUND(SUMIFS(Cantidades[167266],Cantidades[cod Idu],'CantidadesConsolidadas'!$A40),2)</f>
        <v>0</v>
      </c>
      <c r="K40" s="497">
        <f>ROUND(SUMIFS(Cantidades[170896],Cantidades[cod Idu],'CantidadesConsolidadas'!$A40),2)</f>
        <v>0</v>
      </c>
      <c r="L40" s="497">
        <f>ROUND(SUMIFS(Cantidades[170897],Cantidades[cod Idu],'CantidadesConsolidadas'!$A40),2)</f>
        <v>0</v>
      </c>
      <c r="M40" s="497">
        <f>ROUND(SUMIFS(Cantidades[170898],Cantidades[cod Idu],'CantidadesConsolidadas'!$A40),2)</f>
        <v>0</v>
      </c>
      <c r="N40" s="497">
        <f>ROUND(SUMIFS(Cantidades[91064150],Cantidades[cod Idu],'CantidadesConsolidadas'!$A40),2)</f>
        <v>0</v>
      </c>
      <c r="O40" s="497">
        <f>ROUND(SUMIFS(Cantidades[168919],Cantidades[cod Idu],'CantidadesConsolidadas'!$A40),2)</f>
        <v>0</v>
      </c>
      <c r="P40" s="497">
        <f>ROUND(SUMIFS(Cantidades[168426],Cantidades[cod Idu],'CantidadesConsolidadas'!$A40),2)</f>
        <v>0</v>
      </c>
      <c r="Q40" s="497">
        <f>ROUND(SUMIFS(Cantidades[91020796],Cantidades[cod Idu],'CantidadesConsolidadas'!$A40),2)</f>
        <v>0</v>
      </c>
      <c r="R40" s="497">
        <f>ROUND(SUMIFS(Cantidades[176184],Cantidades[cod Idu],'CantidadesConsolidadas'!$A40),2)</f>
        <v>0</v>
      </c>
      <c r="S40" s="497">
        <f>ROUND(SUMIFS(Cantidades[167636],Cantidades[cod Idu],'CantidadesConsolidadas'!$A40),2)</f>
        <v>0</v>
      </c>
      <c r="T40" s="497">
        <f>ROUND(SUMIFS(Cantidades[176730],Cantidades[cod Idu],'CantidadesConsolidadas'!$A40),2)</f>
        <v>0</v>
      </c>
      <c r="U40" s="497">
        <f>ROUND(SUMIFS(Cantidades[173038],Cantidades[cod Idu],'CantidadesConsolidadas'!$A40),2)</f>
        <v>0</v>
      </c>
      <c r="V40" s="497">
        <f>ROUND(SUMIFS(Cantidades[170222],Cantidades[cod Idu],'CantidadesConsolidadas'!$A40),2)</f>
        <v>0</v>
      </c>
      <c r="W40" s="497">
        <f>ROUND(SUMIFS(Cantidades[170229],Cantidades[cod Idu],'CantidadesConsolidadas'!$A40),2)</f>
        <v>0</v>
      </c>
      <c r="X40" s="497">
        <f>ROUND(SUMIFS(Cantidades[170227],Cantidades[cod Idu],'CantidadesConsolidadas'!$A40),2)</f>
        <v>0</v>
      </c>
      <c r="Y40" s="497">
        <f>ROUND(SUMIFS(Cantidades[170226],Cantidades[cod Idu],'CantidadesConsolidadas'!$A40),2)</f>
        <v>0</v>
      </c>
      <c r="Z40" s="497">
        <f>ROUND(SUMIFS(Cantidades[171567],Cantidades[cod Idu],'CantidadesConsolidadas'!$A40),2)</f>
        <v>104.76</v>
      </c>
      <c r="AA40" s="497">
        <f>ROUND(SUMIFS(Cantidades[166632],Cantidades[cod Idu],'CantidadesConsolidadas'!$A40),2)</f>
        <v>0</v>
      </c>
      <c r="AB40" s="497">
        <f>ROUND(SUMIFS(Cantidades[170228],Cantidades[cod Idu],'CantidadesConsolidadas'!$A40),2)</f>
        <v>0</v>
      </c>
      <c r="AC40" s="497">
        <f>ROUND(SUMIFS(Cantidades[172926],Cantidades[cod Idu],'CantidadesConsolidadas'!$A40),2)</f>
        <v>0</v>
      </c>
      <c r="AD40" s="497">
        <f>ROUND(SUMIFS(Cantidades[171152],Cantidades[cod Idu],'CantidadesConsolidadas'!$A40),2)</f>
        <v>0</v>
      </c>
      <c r="AE40" s="497">
        <f>ROUND(SUMIFS(Cantidades[173058],Cantidades[cod Idu],'CantidadesConsolidadas'!$A40),2)</f>
        <v>0</v>
      </c>
      <c r="AF40" s="726">
        <f>ROUND(SUMIFS(Cantidades[174478],Cantidades[cod Idu],'CantidadesConsolidadas'!$A40),2)</f>
        <v>0</v>
      </c>
      <c r="AG40" s="726">
        <f>ROUND(SUMIFS(Cantidades[91010089],Cantidades[cod Idu],'CantidadesConsolidadas'!$A40),2)</f>
        <v>0</v>
      </c>
      <c r="AH40" s="726">
        <f>ROUND(SUMIFS(Cantidades[176122],Cantidades[cod Idu],'CantidadesConsolidadas'!$A40),2)</f>
        <v>0</v>
      </c>
      <c r="AI40" s="726">
        <f>ROUND(SUMIFS(Cantidades[168536],Cantidades[cod Idu],'CantidadesConsolidadas'!$A40),2)</f>
        <v>0</v>
      </c>
      <c r="AJ40" s="497">
        <f>ROUND(SUMIFS(Cantidades[166934],Cantidades[cod Idu],'CantidadesConsolidadas'!$A40),2)</f>
        <v>0</v>
      </c>
      <c r="AK40" s="497">
        <f>ROUND(SUMIFS(Cantidades[174353],Cantidades[cod Idu],'CantidadesConsolidadas'!$A40),2)</f>
        <v>0</v>
      </c>
      <c r="AL40" s="751">
        <f>ROUND(SUMIFS(Cantidades[52531],Cantidades[cod Idu],'CantidadesConsolidadas'!$A40),2)</f>
        <v>0</v>
      </c>
      <c r="AM40" s="500">
        <f>ROUND(SUMIFS(Cantidades[52456],Cantidades[cod Idu],'CantidadesConsolidadas'!$A40),2)</f>
        <v>0</v>
      </c>
      <c r="AN40" s="500">
        <f>ROUND(SUMIFS(Cantidades[92058103],Cantidades[cod Idu],'CantidadesConsolidadas'!$A40),2)</f>
        <v>0</v>
      </c>
      <c r="AO40" s="500">
        <f>ROUND(SUMIFS(Cantidades[20011114],Cantidades[cod Idu],'CantidadesConsolidadas'!$A40),2)</f>
        <v>0</v>
      </c>
      <c r="AP40" s="500">
        <f>ROUND(SUMIFS(Cantidades[20013540],Cantidades[cod Idu],'CantidadesConsolidadas'!$A40),2)</f>
        <v>0</v>
      </c>
      <c r="AQ40" s="500">
        <f>ROUND(SUMIFS(Cantidades[55337],Cantidades[cod Idu],'CantidadesConsolidadas'!$A40),2)</f>
        <v>0</v>
      </c>
      <c r="AR40" s="500">
        <f>ROUND(SUMIFS(Cantidades[92087422],Cantidades[cod Idu],'CantidadesConsolidadas'!$A40),2)</f>
        <v>0</v>
      </c>
      <c r="AS40" s="500">
        <f>ROUND(SUMIFS(Cantidades[55259],Cantidades[cod Idu],'CantidadesConsolidadas'!$A40),2)</f>
        <v>0</v>
      </c>
      <c r="AT40" s="500">
        <f>ROUND(SUMIFS(Cantidades[466904],Cantidades[cod Idu],'CantidadesConsolidadas'!$A40),2)</f>
        <v>0</v>
      </c>
      <c r="AU40" s="500">
        <f>ROUND(SUMIFS(Cantidades[48591],Cantidades[cod Idu],'CantidadesConsolidadas'!$A40),2)</f>
        <v>0</v>
      </c>
      <c r="AV40" s="500">
        <f>ROUND(SUMIFS(Cantidades[48590],Cantidades[cod Idu],'CantidadesConsolidadas'!$A40),2)</f>
        <v>0</v>
      </c>
      <c r="AW40" s="500">
        <f>ROUND(SUMIFS(Cantidades[48561],Cantidades[cod Idu],'CantidadesConsolidadas'!$A40),2)</f>
        <v>0</v>
      </c>
      <c r="AX40" s="805">
        <f>ROUND(SUMIFS(Cantidades[48560],Cantidades[cod Idu],'CantidadesConsolidadas'!$A40),2)</f>
        <v>0</v>
      </c>
      <c r="AY40" s="805">
        <f>ROUND(SUMIFS(Cantidades[48657],Cantidades[cod Idu],'CantidadesConsolidadas'!$A40),2)</f>
        <v>0</v>
      </c>
      <c r="AZ40" s="752">
        <f>ROUND(SUMIFS(Cantidades[48655],Cantidades[cod Idu],'CantidadesConsolidadas'!$A40),2)</f>
        <v>0</v>
      </c>
      <c r="BA40" s="758">
        <f>SUBTOTAL(9,CantidadesConsolidadas[[#This Row],[91013913]:[48655]])</f>
        <v>104.76</v>
      </c>
      <c r="BB40" s="638">
        <f>ROUND(CantidadesConsolidadas[[#This Row],[Total]]*CantidadesConsolidadas[[#This Row],[VU]],0)</f>
        <v>1605028</v>
      </c>
    </row>
    <row r="41" spans="1:54" ht="29.4" thickBot="1" x14ac:dyDescent="0.35">
      <c r="A41">
        <v>4243</v>
      </c>
      <c r="B41" s="606" t="str">
        <f>+_xlfn.XLOOKUP(CantidadesConsolidadas[[#This Row],[cod Idu]],APU_IDU[Código],APU_IDU[Nombre],"",0)</f>
        <v>DEMARCACION LINEA DISCONTINUA A=0.15M (E=2.3MM,TERMOPLÁSTICA. INC. SUMINISTRO Y APLICACIÓN CON EQUIPO. INC MICROESFERAS)</v>
      </c>
      <c r="C41" s="609" t="str">
        <f>+_xlfn.XLOOKUP(CantidadesConsolidadas[[#This Row],[cod Idu]],APU_IDU[Código],APU_IDU[UM],"",0)</f>
        <v>ML</v>
      </c>
      <c r="D41" s="743">
        <f>+_xlfn.XLOOKUP(CantidadesConsolidadas[[#This Row],[cod Idu]],APU_IDU[Código],APU_IDU[Valor],"",0)</f>
        <v>25776</v>
      </c>
      <c r="E41" s="497">
        <f>ROUND(SUMIFS(Cantidades[91013913],Cantidades[cod Idu],'CantidadesConsolidadas'!$A41),2)</f>
        <v>0</v>
      </c>
      <c r="F41" s="497">
        <f>ROUND(SUMIFS(Cantidades[472330],Cantidades[cod Idu],'CantidadesConsolidadas'!$A41),2)</f>
        <v>0</v>
      </c>
      <c r="G41" s="497">
        <f>ROUND(SUMIFS(Cantidades[167810],Cantidades[cod Idu],'CantidadesConsolidadas'!$A41),2)</f>
        <v>0</v>
      </c>
      <c r="H41" s="497">
        <f>ROUND(SUMIFS(Cantidades[166646],Cantidades[cod Idu],'CantidadesConsolidadas'!$A41),2)</f>
        <v>0</v>
      </c>
      <c r="I41" s="497">
        <f>ROUND(SUMIFS(Cantidades[167491],Cantidades[cod Idu],'CantidadesConsolidadas'!$A41),2)</f>
        <v>0</v>
      </c>
      <c r="J41" s="497">
        <f>ROUND(SUMIFS(Cantidades[167266],Cantidades[cod Idu],'CantidadesConsolidadas'!$A41),2)</f>
        <v>0</v>
      </c>
      <c r="K41" s="497">
        <f>ROUND(SUMIFS(Cantidades[170896],Cantidades[cod Idu],'CantidadesConsolidadas'!$A41),2)</f>
        <v>0</v>
      </c>
      <c r="L41" s="497">
        <f>ROUND(SUMIFS(Cantidades[170897],Cantidades[cod Idu],'CantidadesConsolidadas'!$A41),2)</f>
        <v>0</v>
      </c>
      <c r="M41" s="497">
        <f>ROUND(SUMIFS(Cantidades[170898],Cantidades[cod Idu],'CantidadesConsolidadas'!$A41),2)</f>
        <v>0</v>
      </c>
      <c r="N41" s="497">
        <f>ROUND(SUMIFS(Cantidades[91064150],Cantidades[cod Idu],'CantidadesConsolidadas'!$A41),2)</f>
        <v>0</v>
      </c>
      <c r="O41" s="497">
        <f>ROUND(SUMIFS(Cantidades[168919],Cantidades[cod Idu],'CantidadesConsolidadas'!$A41),2)</f>
        <v>0</v>
      </c>
      <c r="P41" s="497">
        <f>ROUND(SUMIFS(Cantidades[168426],Cantidades[cod Idu],'CantidadesConsolidadas'!$A41),2)</f>
        <v>0</v>
      </c>
      <c r="Q41" s="497">
        <f>ROUND(SUMIFS(Cantidades[91020796],Cantidades[cod Idu],'CantidadesConsolidadas'!$A41),2)</f>
        <v>0</v>
      </c>
      <c r="R41" s="497">
        <f>ROUND(SUMIFS(Cantidades[176184],Cantidades[cod Idu],'CantidadesConsolidadas'!$A41),2)</f>
        <v>0</v>
      </c>
      <c r="S41" s="497">
        <f>ROUND(SUMIFS(Cantidades[167636],Cantidades[cod Idu],'CantidadesConsolidadas'!$A41),2)</f>
        <v>0</v>
      </c>
      <c r="T41" s="497">
        <f>ROUND(SUMIFS(Cantidades[176730],Cantidades[cod Idu],'CantidadesConsolidadas'!$A41),2)</f>
        <v>0</v>
      </c>
      <c r="U41" s="497">
        <f>ROUND(SUMIFS(Cantidades[173038],Cantidades[cod Idu],'CantidadesConsolidadas'!$A41),2)</f>
        <v>0</v>
      </c>
      <c r="V41" s="497">
        <f>ROUND(SUMIFS(Cantidades[170222],Cantidades[cod Idu],'CantidadesConsolidadas'!$A41),2)</f>
        <v>0</v>
      </c>
      <c r="W41" s="497">
        <f>ROUND(SUMIFS(Cantidades[170229],Cantidades[cod Idu],'CantidadesConsolidadas'!$A41),2)</f>
        <v>0</v>
      </c>
      <c r="X41" s="497">
        <f>ROUND(SUMIFS(Cantidades[170227],Cantidades[cod Idu],'CantidadesConsolidadas'!$A41),2)</f>
        <v>0</v>
      </c>
      <c r="Y41" s="497">
        <f>ROUND(SUMIFS(Cantidades[170226],Cantidades[cod Idu],'CantidadesConsolidadas'!$A41),2)</f>
        <v>0</v>
      </c>
      <c r="Z41" s="497">
        <f>ROUND(SUMIFS(Cantidades[171567],Cantidades[cod Idu],'CantidadesConsolidadas'!$A41),2)</f>
        <v>60.72</v>
      </c>
      <c r="AA41" s="497">
        <f>ROUND(SUMIFS(Cantidades[166632],Cantidades[cod Idu],'CantidadesConsolidadas'!$A41),2)</f>
        <v>0</v>
      </c>
      <c r="AB41" s="497">
        <f>ROUND(SUMIFS(Cantidades[170228],Cantidades[cod Idu],'CantidadesConsolidadas'!$A41),2)</f>
        <v>0</v>
      </c>
      <c r="AC41" s="497">
        <f>ROUND(SUMIFS(Cantidades[172926],Cantidades[cod Idu],'CantidadesConsolidadas'!$A41),2)</f>
        <v>0</v>
      </c>
      <c r="AD41" s="497">
        <f>ROUND(SUMIFS(Cantidades[171152],Cantidades[cod Idu],'CantidadesConsolidadas'!$A41),2)</f>
        <v>0</v>
      </c>
      <c r="AE41" s="497">
        <f>ROUND(SUMIFS(Cantidades[173058],Cantidades[cod Idu],'CantidadesConsolidadas'!$A41),2)</f>
        <v>0</v>
      </c>
      <c r="AF41" s="726">
        <f>ROUND(SUMIFS(Cantidades[174478],Cantidades[cod Idu],'CantidadesConsolidadas'!$A41),2)</f>
        <v>0</v>
      </c>
      <c r="AG41" s="726">
        <f>ROUND(SUMIFS(Cantidades[91010089],Cantidades[cod Idu],'CantidadesConsolidadas'!$A41),2)</f>
        <v>0</v>
      </c>
      <c r="AH41" s="726">
        <f>ROUND(SUMIFS(Cantidades[176122],Cantidades[cod Idu],'CantidadesConsolidadas'!$A41),2)</f>
        <v>0</v>
      </c>
      <c r="AI41" s="726">
        <f>ROUND(SUMIFS(Cantidades[168536],Cantidades[cod Idu],'CantidadesConsolidadas'!$A41),2)</f>
        <v>0</v>
      </c>
      <c r="AJ41" s="497">
        <f>ROUND(SUMIFS(Cantidades[166934],Cantidades[cod Idu],'CantidadesConsolidadas'!$A41),2)</f>
        <v>0</v>
      </c>
      <c r="AK41" s="497">
        <f>ROUND(SUMIFS(Cantidades[174353],Cantidades[cod Idu],'CantidadesConsolidadas'!$A41),2)</f>
        <v>0</v>
      </c>
      <c r="AL41" s="751">
        <f>ROUND(SUMIFS(Cantidades[52531],Cantidades[cod Idu],'CantidadesConsolidadas'!$A41),2)</f>
        <v>0</v>
      </c>
      <c r="AM41" s="500">
        <f>ROUND(SUMIFS(Cantidades[52456],Cantidades[cod Idu],'CantidadesConsolidadas'!$A41),2)</f>
        <v>0</v>
      </c>
      <c r="AN41" s="500">
        <f>ROUND(SUMIFS(Cantidades[92058103],Cantidades[cod Idu],'CantidadesConsolidadas'!$A41),2)</f>
        <v>0</v>
      </c>
      <c r="AO41" s="500">
        <f>ROUND(SUMIFS(Cantidades[20011114],Cantidades[cod Idu],'CantidadesConsolidadas'!$A41),2)</f>
        <v>0</v>
      </c>
      <c r="AP41" s="500">
        <f>ROUND(SUMIFS(Cantidades[20013540],Cantidades[cod Idu],'CantidadesConsolidadas'!$A41),2)</f>
        <v>0</v>
      </c>
      <c r="AQ41" s="500">
        <f>ROUND(SUMIFS(Cantidades[55337],Cantidades[cod Idu],'CantidadesConsolidadas'!$A41),2)</f>
        <v>0</v>
      </c>
      <c r="AR41" s="500">
        <f>ROUND(SUMIFS(Cantidades[92087422],Cantidades[cod Idu],'CantidadesConsolidadas'!$A41),2)</f>
        <v>0</v>
      </c>
      <c r="AS41" s="500">
        <f>ROUND(SUMIFS(Cantidades[55259],Cantidades[cod Idu],'CantidadesConsolidadas'!$A41),2)</f>
        <v>0</v>
      </c>
      <c r="AT41" s="500">
        <f>ROUND(SUMIFS(Cantidades[466904],Cantidades[cod Idu],'CantidadesConsolidadas'!$A41),2)</f>
        <v>0</v>
      </c>
      <c r="AU41" s="500">
        <f>ROUND(SUMIFS(Cantidades[48591],Cantidades[cod Idu],'CantidadesConsolidadas'!$A41),2)</f>
        <v>0</v>
      </c>
      <c r="AV41" s="500">
        <f>ROUND(SUMIFS(Cantidades[48590],Cantidades[cod Idu],'CantidadesConsolidadas'!$A41),2)</f>
        <v>0</v>
      </c>
      <c r="AW41" s="500">
        <f>ROUND(SUMIFS(Cantidades[48561],Cantidades[cod Idu],'CantidadesConsolidadas'!$A41),2)</f>
        <v>0</v>
      </c>
      <c r="AX41" s="805">
        <f>ROUND(SUMIFS(Cantidades[48560],Cantidades[cod Idu],'CantidadesConsolidadas'!$A41),2)</f>
        <v>0</v>
      </c>
      <c r="AY41" s="805">
        <f>ROUND(SUMIFS(Cantidades[48657],Cantidades[cod Idu],'CantidadesConsolidadas'!$A41),2)</f>
        <v>0</v>
      </c>
      <c r="AZ41" s="752">
        <f>ROUND(SUMIFS(Cantidades[48655],Cantidades[cod Idu],'CantidadesConsolidadas'!$A41),2)</f>
        <v>0</v>
      </c>
      <c r="BA41" s="758">
        <f>SUBTOTAL(9,CantidadesConsolidadas[[#This Row],[91013913]:[48655]])</f>
        <v>60.72</v>
      </c>
      <c r="BB41" s="638">
        <f>ROUND(CantidadesConsolidadas[[#This Row],[Total]]*CantidadesConsolidadas[[#This Row],[VU]],0)</f>
        <v>1565119</v>
      </c>
    </row>
    <row r="42" spans="1:54" ht="15" thickBot="1" x14ac:dyDescent="0.35">
      <c r="A42">
        <v>3224</v>
      </c>
      <c r="B42" s="606" t="str">
        <f>+_xlfn.XLOOKUP(CantidadesConsolidadas[[#This Row],[cod Idu]],APU_IDU[Código],APU_IDU[Nombre],"",0)</f>
        <v>TUBERIA PVC D=2 1/2" TIPO U.M. RDE 21 (SUMINISTRO E INSTALACIÓN)</v>
      </c>
      <c r="C42" s="609" t="str">
        <f>+_xlfn.XLOOKUP(CantidadesConsolidadas[[#This Row],[cod Idu]],APU_IDU[Código],APU_IDU[UM],"",0)</f>
        <v>ML</v>
      </c>
      <c r="D42" s="743">
        <f>+_xlfn.XLOOKUP(CantidadesConsolidadas[[#This Row],[cod Idu]],APU_IDU[Código],APU_IDU[Valor],"",0)</f>
        <v>36526</v>
      </c>
      <c r="E42" s="497">
        <f>ROUND(SUMIFS(Cantidades[91013913],Cantidades[cod Idu],'CantidadesConsolidadas'!$A42),2)</f>
        <v>0</v>
      </c>
      <c r="F42" s="497">
        <f>ROUND(SUMIFS(Cantidades[472330],Cantidades[cod Idu],'CantidadesConsolidadas'!$A42),2)</f>
        <v>0</v>
      </c>
      <c r="G42" s="497">
        <f>ROUND(SUMIFS(Cantidades[167810],Cantidades[cod Idu],'CantidadesConsolidadas'!$A42),2)</f>
        <v>0</v>
      </c>
      <c r="H42" s="497">
        <f>ROUND(SUMIFS(Cantidades[166646],Cantidades[cod Idu],'CantidadesConsolidadas'!$A42),2)</f>
        <v>0</v>
      </c>
      <c r="I42" s="497">
        <f>ROUND(SUMIFS(Cantidades[167491],Cantidades[cod Idu],'CantidadesConsolidadas'!$A42),2)</f>
        <v>0</v>
      </c>
      <c r="J42" s="497">
        <f>ROUND(SUMIFS(Cantidades[167266],Cantidades[cod Idu],'CantidadesConsolidadas'!$A42),2)</f>
        <v>0</v>
      </c>
      <c r="K42" s="497">
        <f>ROUND(SUMIFS(Cantidades[170896],Cantidades[cod Idu],'CantidadesConsolidadas'!$A42),2)</f>
        <v>0</v>
      </c>
      <c r="L42" s="497">
        <f>ROUND(SUMIFS(Cantidades[170897],Cantidades[cod Idu],'CantidadesConsolidadas'!$A42),2)</f>
        <v>0</v>
      </c>
      <c r="M42" s="497">
        <f>ROUND(SUMIFS(Cantidades[170898],Cantidades[cod Idu],'CantidadesConsolidadas'!$A42),2)</f>
        <v>0</v>
      </c>
      <c r="N42" s="497">
        <f>ROUND(SUMIFS(Cantidades[91064150],Cantidades[cod Idu],'CantidadesConsolidadas'!$A42),2)</f>
        <v>25.68</v>
      </c>
      <c r="O42" s="497">
        <f>ROUND(SUMIFS(Cantidades[168919],Cantidades[cod Idu],'CantidadesConsolidadas'!$A42),2)</f>
        <v>0</v>
      </c>
      <c r="P42" s="497">
        <f>ROUND(SUMIFS(Cantidades[168426],Cantidades[cod Idu],'CantidadesConsolidadas'!$A42),2)</f>
        <v>0</v>
      </c>
      <c r="Q42" s="497">
        <f>ROUND(SUMIFS(Cantidades[91020796],Cantidades[cod Idu],'CantidadesConsolidadas'!$A42),2)</f>
        <v>0</v>
      </c>
      <c r="R42" s="497">
        <f>ROUND(SUMIFS(Cantidades[176184],Cantidades[cod Idu],'CantidadesConsolidadas'!$A42),2)</f>
        <v>0</v>
      </c>
      <c r="S42" s="497">
        <f>ROUND(SUMIFS(Cantidades[167636],Cantidades[cod Idu],'CantidadesConsolidadas'!$A42),2)</f>
        <v>0</v>
      </c>
      <c r="T42" s="497">
        <f>ROUND(SUMIFS(Cantidades[176730],Cantidades[cod Idu],'CantidadesConsolidadas'!$A42),2)</f>
        <v>0</v>
      </c>
      <c r="U42" s="497">
        <f>ROUND(SUMIFS(Cantidades[173038],Cantidades[cod Idu],'CantidadesConsolidadas'!$A42),2)</f>
        <v>0</v>
      </c>
      <c r="V42" s="497">
        <f>ROUND(SUMIFS(Cantidades[170222],Cantidades[cod Idu],'CantidadesConsolidadas'!$A42),2)</f>
        <v>0</v>
      </c>
      <c r="W42" s="497">
        <f>ROUND(SUMIFS(Cantidades[170229],Cantidades[cod Idu],'CantidadesConsolidadas'!$A42),2)</f>
        <v>0</v>
      </c>
      <c r="X42" s="497">
        <f>ROUND(SUMIFS(Cantidades[170227],Cantidades[cod Idu],'CantidadesConsolidadas'!$A42),2)</f>
        <v>30</v>
      </c>
      <c r="Y42" s="497">
        <f>ROUND(SUMIFS(Cantidades[170226],Cantidades[cod Idu],'CantidadesConsolidadas'!$A42),2)</f>
        <v>0</v>
      </c>
      <c r="Z42" s="497">
        <f>ROUND(SUMIFS(Cantidades[171567],Cantidades[cod Idu],'CantidadesConsolidadas'!$A42),2)</f>
        <v>0</v>
      </c>
      <c r="AA42" s="497">
        <f>ROUND(SUMIFS(Cantidades[166632],Cantidades[cod Idu],'CantidadesConsolidadas'!$A42),2)</f>
        <v>0</v>
      </c>
      <c r="AB42" s="497">
        <f>ROUND(SUMIFS(Cantidades[170228],Cantidades[cod Idu],'CantidadesConsolidadas'!$A42),2)</f>
        <v>0</v>
      </c>
      <c r="AC42" s="497">
        <f>ROUND(SUMIFS(Cantidades[172926],Cantidades[cod Idu],'CantidadesConsolidadas'!$A42),2)</f>
        <v>0</v>
      </c>
      <c r="AD42" s="497">
        <f>ROUND(SUMIFS(Cantidades[171152],Cantidades[cod Idu],'CantidadesConsolidadas'!$A42),2)</f>
        <v>0</v>
      </c>
      <c r="AE42" s="497">
        <f>ROUND(SUMIFS(Cantidades[173058],Cantidades[cod Idu],'CantidadesConsolidadas'!$A42),2)</f>
        <v>0</v>
      </c>
      <c r="AF42" s="726">
        <f>ROUND(SUMIFS(Cantidades[174478],Cantidades[cod Idu],'CantidadesConsolidadas'!$A42),2)</f>
        <v>0</v>
      </c>
      <c r="AG42" s="726">
        <f>ROUND(SUMIFS(Cantidades[91010089],Cantidades[cod Idu],'CantidadesConsolidadas'!$A42),2)</f>
        <v>0</v>
      </c>
      <c r="AH42" s="726">
        <f>ROUND(SUMIFS(Cantidades[176122],Cantidades[cod Idu],'CantidadesConsolidadas'!$A42),2)</f>
        <v>0</v>
      </c>
      <c r="AI42" s="726">
        <f>ROUND(SUMIFS(Cantidades[168536],Cantidades[cod Idu],'CantidadesConsolidadas'!$A42),2)</f>
        <v>0</v>
      </c>
      <c r="AJ42" s="497">
        <f>ROUND(SUMIFS(Cantidades[166934],Cantidades[cod Idu],'CantidadesConsolidadas'!$A42),2)</f>
        <v>0</v>
      </c>
      <c r="AK42" s="497">
        <f>ROUND(SUMIFS(Cantidades[174353],Cantidades[cod Idu],'CantidadesConsolidadas'!$A42),2)</f>
        <v>0</v>
      </c>
      <c r="AL42" s="751">
        <f>ROUND(SUMIFS(Cantidades[52531],Cantidades[cod Idu],'CantidadesConsolidadas'!$A42),2)</f>
        <v>0</v>
      </c>
      <c r="AM42" s="500">
        <f>ROUND(SUMIFS(Cantidades[52456],Cantidades[cod Idu],'CantidadesConsolidadas'!$A42),2)</f>
        <v>0</v>
      </c>
      <c r="AN42" s="500">
        <f>ROUND(SUMIFS(Cantidades[92058103],Cantidades[cod Idu],'CantidadesConsolidadas'!$A42),2)</f>
        <v>0</v>
      </c>
      <c r="AO42" s="500">
        <f>ROUND(SUMIFS(Cantidades[20011114],Cantidades[cod Idu],'CantidadesConsolidadas'!$A42),2)</f>
        <v>0</v>
      </c>
      <c r="AP42" s="500">
        <f>ROUND(SUMIFS(Cantidades[20013540],Cantidades[cod Idu],'CantidadesConsolidadas'!$A42),2)</f>
        <v>0</v>
      </c>
      <c r="AQ42" s="500">
        <f>ROUND(SUMIFS(Cantidades[55337],Cantidades[cod Idu],'CantidadesConsolidadas'!$A42),2)</f>
        <v>0</v>
      </c>
      <c r="AR42" s="500">
        <f>ROUND(SUMIFS(Cantidades[92087422],Cantidades[cod Idu],'CantidadesConsolidadas'!$A42),2)</f>
        <v>0</v>
      </c>
      <c r="AS42" s="500">
        <f>ROUND(SUMIFS(Cantidades[55259],Cantidades[cod Idu],'CantidadesConsolidadas'!$A42),2)</f>
        <v>0</v>
      </c>
      <c r="AT42" s="500">
        <f>ROUND(SUMIFS(Cantidades[466904],Cantidades[cod Idu],'CantidadesConsolidadas'!$A42),2)</f>
        <v>0</v>
      </c>
      <c r="AU42" s="500">
        <f>ROUND(SUMIFS(Cantidades[48591],Cantidades[cod Idu],'CantidadesConsolidadas'!$A42),2)</f>
        <v>0</v>
      </c>
      <c r="AV42" s="500">
        <f>ROUND(SUMIFS(Cantidades[48590],Cantidades[cod Idu],'CantidadesConsolidadas'!$A42),2)</f>
        <v>0</v>
      </c>
      <c r="AW42" s="500">
        <f>ROUND(SUMIFS(Cantidades[48561],Cantidades[cod Idu],'CantidadesConsolidadas'!$A42),2)</f>
        <v>0</v>
      </c>
      <c r="AX42" s="805">
        <f>ROUND(SUMIFS(Cantidades[48560],Cantidades[cod Idu],'CantidadesConsolidadas'!$A42),2)</f>
        <v>0</v>
      </c>
      <c r="AY42" s="805">
        <f>ROUND(SUMIFS(Cantidades[48657],Cantidades[cod Idu],'CantidadesConsolidadas'!$A42),2)</f>
        <v>0</v>
      </c>
      <c r="AZ42" s="752">
        <f>ROUND(SUMIFS(Cantidades[48655],Cantidades[cod Idu],'CantidadesConsolidadas'!$A42),2)</f>
        <v>0</v>
      </c>
      <c r="BA42" s="758">
        <f>SUBTOTAL(9,CantidadesConsolidadas[[#This Row],[91013913]:[48655]])</f>
        <v>55.68</v>
      </c>
      <c r="BB42" s="638">
        <f>ROUND(CantidadesConsolidadas[[#This Row],[Total]]*CantidadesConsolidadas[[#This Row],[VU]],0)</f>
        <v>2033768</v>
      </c>
    </row>
    <row r="43" spans="1:54" ht="15" thickBot="1" x14ac:dyDescent="0.35">
      <c r="A43">
        <v>3226</v>
      </c>
      <c r="B43" s="606" t="str">
        <f>+_xlfn.XLOOKUP(CantidadesConsolidadas[[#This Row],[cod Idu]],APU_IDU[Código],APU_IDU[Nombre],"",0)</f>
        <v>TUBERIA PVC D=4" TIPO U.M. RDE 21 (SUMINISTRO E INSTALACIÓN)</v>
      </c>
      <c r="C43" s="609" t="str">
        <f>+_xlfn.XLOOKUP(CantidadesConsolidadas[[#This Row],[cod Idu]],APU_IDU[Código],APU_IDU[UM],"",0)</f>
        <v>ML</v>
      </c>
      <c r="D43" s="743">
        <f>+_xlfn.XLOOKUP(CantidadesConsolidadas[[#This Row],[cod Idu]],APU_IDU[Código],APU_IDU[Valor],"",0)</f>
        <v>76083</v>
      </c>
      <c r="E43" s="497">
        <f>ROUND(SUMIFS(Cantidades[91013913],Cantidades[cod Idu],'CantidadesConsolidadas'!$A43),2)</f>
        <v>0</v>
      </c>
      <c r="F43" s="497">
        <f>ROUND(SUMIFS(Cantidades[472330],Cantidades[cod Idu],'CantidadesConsolidadas'!$A43),2)</f>
        <v>0</v>
      </c>
      <c r="G43" s="497">
        <f>ROUND(SUMIFS(Cantidades[167810],Cantidades[cod Idu],'CantidadesConsolidadas'!$A43),2)</f>
        <v>0</v>
      </c>
      <c r="H43" s="497">
        <f>ROUND(SUMIFS(Cantidades[166646],Cantidades[cod Idu],'CantidadesConsolidadas'!$A43),2)</f>
        <v>0</v>
      </c>
      <c r="I43" s="497">
        <f>ROUND(SUMIFS(Cantidades[167491],Cantidades[cod Idu],'CantidadesConsolidadas'!$A43),2)</f>
        <v>0</v>
      </c>
      <c r="J43" s="497">
        <f>ROUND(SUMIFS(Cantidades[167266],Cantidades[cod Idu],'CantidadesConsolidadas'!$A43),2)</f>
        <v>0</v>
      </c>
      <c r="K43" s="497">
        <f>ROUND(SUMIFS(Cantidades[170896],Cantidades[cod Idu],'CantidadesConsolidadas'!$A43),2)</f>
        <v>0</v>
      </c>
      <c r="L43" s="497">
        <f>ROUND(SUMIFS(Cantidades[170897],Cantidades[cod Idu],'CantidadesConsolidadas'!$A43),2)</f>
        <v>0</v>
      </c>
      <c r="M43" s="497">
        <f>ROUND(SUMIFS(Cantidades[170898],Cantidades[cod Idu],'CantidadesConsolidadas'!$A43),2)</f>
        <v>0</v>
      </c>
      <c r="N43" s="497">
        <f>ROUND(SUMIFS(Cantidades[91064150],Cantidades[cod Idu],'CantidadesConsolidadas'!$A43),2)</f>
        <v>0</v>
      </c>
      <c r="O43" s="497">
        <f>ROUND(SUMIFS(Cantidades[168919],Cantidades[cod Idu],'CantidadesConsolidadas'!$A43),2)</f>
        <v>0</v>
      </c>
      <c r="P43" s="497">
        <f>ROUND(SUMIFS(Cantidades[168426],Cantidades[cod Idu],'CantidadesConsolidadas'!$A43),2)</f>
        <v>0</v>
      </c>
      <c r="Q43" s="497">
        <f>ROUND(SUMIFS(Cantidades[91020796],Cantidades[cod Idu],'CantidadesConsolidadas'!$A43),2)</f>
        <v>14.92</v>
      </c>
      <c r="R43" s="497">
        <f>ROUND(SUMIFS(Cantidades[176184],Cantidades[cod Idu],'CantidadesConsolidadas'!$A43),2)</f>
        <v>0</v>
      </c>
      <c r="S43" s="497">
        <f>ROUND(SUMIFS(Cantidades[167636],Cantidades[cod Idu],'CantidadesConsolidadas'!$A43),2)</f>
        <v>0</v>
      </c>
      <c r="T43" s="497">
        <f>ROUND(SUMIFS(Cantidades[176730],Cantidades[cod Idu],'CantidadesConsolidadas'!$A43),2)</f>
        <v>0</v>
      </c>
      <c r="U43" s="497">
        <f>ROUND(SUMIFS(Cantidades[173038],Cantidades[cod Idu],'CantidadesConsolidadas'!$A43),2)</f>
        <v>0</v>
      </c>
      <c r="V43" s="497">
        <f>ROUND(SUMIFS(Cantidades[170222],Cantidades[cod Idu],'CantidadesConsolidadas'!$A43),2)</f>
        <v>0</v>
      </c>
      <c r="W43" s="497">
        <f>ROUND(SUMIFS(Cantidades[170229],Cantidades[cod Idu],'CantidadesConsolidadas'!$A43),2)</f>
        <v>0</v>
      </c>
      <c r="X43" s="497">
        <f>ROUND(SUMIFS(Cantidades[170227],Cantidades[cod Idu],'CantidadesConsolidadas'!$A43),2)</f>
        <v>0</v>
      </c>
      <c r="Y43" s="497">
        <f>ROUND(SUMIFS(Cantidades[170226],Cantidades[cod Idu],'CantidadesConsolidadas'!$A43),2)</f>
        <v>0</v>
      </c>
      <c r="Z43" s="497">
        <f>ROUND(SUMIFS(Cantidades[171567],Cantidades[cod Idu],'CantidadesConsolidadas'!$A43),2)</f>
        <v>0</v>
      </c>
      <c r="AA43" s="497">
        <f>ROUND(SUMIFS(Cantidades[166632],Cantidades[cod Idu],'CantidadesConsolidadas'!$A43),2)</f>
        <v>0</v>
      </c>
      <c r="AB43" s="497">
        <f>ROUND(SUMIFS(Cantidades[170228],Cantidades[cod Idu],'CantidadesConsolidadas'!$A43),2)</f>
        <v>0</v>
      </c>
      <c r="AC43" s="497">
        <f>ROUND(SUMIFS(Cantidades[172926],Cantidades[cod Idu],'CantidadesConsolidadas'!$A43),2)</f>
        <v>0</v>
      </c>
      <c r="AD43" s="497">
        <f>ROUND(SUMIFS(Cantidades[171152],Cantidades[cod Idu],'CantidadesConsolidadas'!$A43),2)</f>
        <v>0</v>
      </c>
      <c r="AE43" s="497">
        <f>ROUND(SUMIFS(Cantidades[173058],Cantidades[cod Idu],'CantidadesConsolidadas'!$A43),2)</f>
        <v>0</v>
      </c>
      <c r="AF43" s="726">
        <f>ROUND(SUMIFS(Cantidades[174478],Cantidades[cod Idu],'CantidadesConsolidadas'!$A43),2)</f>
        <v>0</v>
      </c>
      <c r="AG43" s="726">
        <f>ROUND(SUMIFS(Cantidades[91010089],Cantidades[cod Idu],'CantidadesConsolidadas'!$A43),2)</f>
        <v>0</v>
      </c>
      <c r="AH43" s="726">
        <f>ROUND(SUMIFS(Cantidades[176122],Cantidades[cod Idu],'CantidadesConsolidadas'!$A43),2)</f>
        <v>0</v>
      </c>
      <c r="AI43" s="726">
        <f>ROUND(SUMIFS(Cantidades[168536],Cantidades[cod Idu],'CantidadesConsolidadas'!$A43),2)</f>
        <v>0</v>
      </c>
      <c r="AJ43" s="497">
        <f>ROUND(SUMIFS(Cantidades[166934],Cantidades[cod Idu],'CantidadesConsolidadas'!$A43),2)</f>
        <v>0</v>
      </c>
      <c r="AK43" s="497">
        <f>ROUND(SUMIFS(Cantidades[174353],Cantidades[cod Idu],'CantidadesConsolidadas'!$A43),2)</f>
        <v>0</v>
      </c>
      <c r="AL43" s="751">
        <f>ROUND(SUMIFS(Cantidades[52531],Cantidades[cod Idu],'CantidadesConsolidadas'!$A43),2)</f>
        <v>0</v>
      </c>
      <c r="AM43" s="500">
        <f>ROUND(SUMIFS(Cantidades[52456],Cantidades[cod Idu],'CantidadesConsolidadas'!$A43),2)</f>
        <v>0</v>
      </c>
      <c r="AN43" s="500">
        <f>ROUND(SUMIFS(Cantidades[92058103],Cantidades[cod Idu],'CantidadesConsolidadas'!$A43),2)</f>
        <v>0</v>
      </c>
      <c r="AO43" s="500">
        <f>ROUND(SUMIFS(Cantidades[20011114],Cantidades[cod Idu],'CantidadesConsolidadas'!$A43),2)</f>
        <v>0</v>
      </c>
      <c r="AP43" s="500">
        <f>ROUND(SUMIFS(Cantidades[20013540],Cantidades[cod Idu],'CantidadesConsolidadas'!$A43),2)</f>
        <v>0</v>
      </c>
      <c r="AQ43" s="500">
        <f>ROUND(SUMIFS(Cantidades[55337],Cantidades[cod Idu],'CantidadesConsolidadas'!$A43),2)</f>
        <v>0</v>
      </c>
      <c r="AR43" s="500">
        <f>ROUND(SUMIFS(Cantidades[92087422],Cantidades[cod Idu],'CantidadesConsolidadas'!$A43),2)</f>
        <v>0</v>
      </c>
      <c r="AS43" s="500">
        <f>ROUND(SUMIFS(Cantidades[55259],Cantidades[cod Idu],'CantidadesConsolidadas'!$A43),2)</f>
        <v>0</v>
      </c>
      <c r="AT43" s="500">
        <f>ROUND(SUMIFS(Cantidades[466904],Cantidades[cod Idu],'CantidadesConsolidadas'!$A43),2)</f>
        <v>0</v>
      </c>
      <c r="AU43" s="500">
        <f>ROUND(SUMIFS(Cantidades[48591],Cantidades[cod Idu],'CantidadesConsolidadas'!$A43),2)</f>
        <v>0</v>
      </c>
      <c r="AV43" s="500">
        <f>ROUND(SUMIFS(Cantidades[48590],Cantidades[cod Idu],'CantidadesConsolidadas'!$A43),2)</f>
        <v>0</v>
      </c>
      <c r="AW43" s="500">
        <f>ROUND(SUMIFS(Cantidades[48561],Cantidades[cod Idu],'CantidadesConsolidadas'!$A43),2)</f>
        <v>0</v>
      </c>
      <c r="AX43" s="805">
        <f>ROUND(SUMIFS(Cantidades[48560],Cantidades[cod Idu],'CantidadesConsolidadas'!$A43),2)</f>
        <v>0</v>
      </c>
      <c r="AY43" s="805">
        <f>ROUND(SUMIFS(Cantidades[48657],Cantidades[cod Idu],'CantidadesConsolidadas'!$A43),2)</f>
        <v>0</v>
      </c>
      <c r="AZ43" s="752">
        <f>ROUND(SUMIFS(Cantidades[48655],Cantidades[cod Idu],'CantidadesConsolidadas'!$A43),2)</f>
        <v>0</v>
      </c>
      <c r="BA43" s="758">
        <f>SUBTOTAL(9,CantidadesConsolidadas[[#This Row],[91013913]:[48655]])</f>
        <v>14.92</v>
      </c>
      <c r="BB43" s="638">
        <f>ROUND(CantidadesConsolidadas[[#This Row],[Total]]*CantidadesConsolidadas[[#This Row],[VU]],0)</f>
        <v>1135158</v>
      </c>
    </row>
    <row r="44" spans="1:54" ht="15" thickBot="1" x14ac:dyDescent="0.35">
      <c r="A44">
        <v>3227</v>
      </c>
      <c r="B44" s="606" t="str">
        <f>+_xlfn.XLOOKUP(CantidadesConsolidadas[[#This Row],[cod Idu]],APU_IDU[Código],APU_IDU[Nombre],"",0)</f>
        <v>TUBERIA PVC D=6" TIPO U.M. RDE 21 (SUMINISTRO E INSTALACIÓN)</v>
      </c>
      <c r="C44" s="609" t="str">
        <f>+_xlfn.XLOOKUP(CantidadesConsolidadas[[#This Row],[cod Idu]],APU_IDU[Código],APU_IDU[UM],"",0)</f>
        <v>ML</v>
      </c>
      <c r="D44" s="743">
        <f>+_xlfn.XLOOKUP(CantidadesConsolidadas[[#This Row],[cod Idu]],APU_IDU[Código],APU_IDU[Valor],"",0)</f>
        <v>151759</v>
      </c>
      <c r="E44" s="497">
        <f>ROUND(SUMIFS(Cantidades[91013913],Cantidades[cod Idu],'CantidadesConsolidadas'!$A44),2)</f>
        <v>0</v>
      </c>
      <c r="F44" s="497">
        <f>ROUND(SUMIFS(Cantidades[472330],Cantidades[cod Idu],'CantidadesConsolidadas'!$A44),2)</f>
        <v>0</v>
      </c>
      <c r="G44" s="497">
        <f>ROUND(SUMIFS(Cantidades[167810],Cantidades[cod Idu],'CantidadesConsolidadas'!$A44),2)</f>
        <v>0</v>
      </c>
      <c r="H44" s="497">
        <f>ROUND(SUMIFS(Cantidades[166646],Cantidades[cod Idu],'CantidadesConsolidadas'!$A44),2)</f>
        <v>0</v>
      </c>
      <c r="I44" s="497">
        <f>ROUND(SUMIFS(Cantidades[167491],Cantidades[cod Idu],'CantidadesConsolidadas'!$A44),2)</f>
        <v>0</v>
      </c>
      <c r="J44" s="497">
        <f>ROUND(SUMIFS(Cantidades[167266],Cantidades[cod Idu],'CantidadesConsolidadas'!$A44),2)</f>
        <v>0</v>
      </c>
      <c r="K44" s="497">
        <f>ROUND(SUMIFS(Cantidades[170896],Cantidades[cod Idu],'CantidadesConsolidadas'!$A44),2)</f>
        <v>0</v>
      </c>
      <c r="L44" s="497">
        <f>ROUND(SUMIFS(Cantidades[170897],Cantidades[cod Idu],'CantidadesConsolidadas'!$A44),2)</f>
        <v>0</v>
      </c>
      <c r="M44" s="497">
        <f>ROUND(SUMIFS(Cantidades[170898],Cantidades[cod Idu],'CantidadesConsolidadas'!$A44),2)</f>
        <v>0</v>
      </c>
      <c r="N44" s="497">
        <f>ROUND(SUMIFS(Cantidades[91064150],Cantidades[cod Idu],'CantidadesConsolidadas'!$A44),2)</f>
        <v>0</v>
      </c>
      <c r="O44" s="497">
        <f>ROUND(SUMIFS(Cantidades[168919],Cantidades[cod Idu],'CantidadesConsolidadas'!$A44),2)</f>
        <v>0</v>
      </c>
      <c r="P44" s="497">
        <f>ROUND(SUMIFS(Cantidades[168426],Cantidades[cod Idu],'CantidadesConsolidadas'!$A44),2)</f>
        <v>0</v>
      </c>
      <c r="Q44" s="497">
        <f>ROUND(SUMIFS(Cantidades[91020796],Cantidades[cod Idu],'CantidadesConsolidadas'!$A44),2)</f>
        <v>0</v>
      </c>
      <c r="R44" s="497">
        <f>ROUND(SUMIFS(Cantidades[176184],Cantidades[cod Idu],'CantidadesConsolidadas'!$A44),2)</f>
        <v>0</v>
      </c>
      <c r="S44" s="497">
        <f>ROUND(SUMIFS(Cantidades[167636],Cantidades[cod Idu],'CantidadesConsolidadas'!$A44),2)</f>
        <v>0</v>
      </c>
      <c r="T44" s="497">
        <f>ROUND(SUMIFS(Cantidades[176730],Cantidades[cod Idu],'CantidadesConsolidadas'!$A44),2)</f>
        <v>0</v>
      </c>
      <c r="U44" s="497">
        <f>ROUND(SUMIFS(Cantidades[173038],Cantidades[cod Idu],'CantidadesConsolidadas'!$A44),2)</f>
        <v>0</v>
      </c>
      <c r="V44" s="497">
        <f>ROUND(SUMIFS(Cantidades[170222],Cantidades[cod Idu],'CantidadesConsolidadas'!$A44),2)</f>
        <v>3.8</v>
      </c>
      <c r="W44" s="497">
        <f>ROUND(SUMIFS(Cantidades[170229],Cantidades[cod Idu],'CantidadesConsolidadas'!$A44),2)</f>
        <v>0</v>
      </c>
      <c r="X44" s="497">
        <f>ROUND(SUMIFS(Cantidades[170227],Cantidades[cod Idu],'CantidadesConsolidadas'!$A44),2)</f>
        <v>0</v>
      </c>
      <c r="Y44" s="497">
        <f>ROUND(SUMIFS(Cantidades[170226],Cantidades[cod Idu],'CantidadesConsolidadas'!$A44),2)</f>
        <v>0</v>
      </c>
      <c r="Z44" s="497">
        <f>ROUND(SUMIFS(Cantidades[171567],Cantidades[cod Idu],'CantidadesConsolidadas'!$A44),2)</f>
        <v>0</v>
      </c>
      <c r="AA44" s="497">
        <f>ROUND(SUMIFS(Cantidades[166632],Cantidades[cod Idu],'CantidadesConsolidadas'!$A44),2)</f>
        <v>0</v>
      </c>
      <c r="AB44" s="497">
        <f>ROUND(SUMIFS(Cantidades[170228],Cantidades[cod Idu],'CantidadesConsolidadas'!$A44),2)</f>
        <v>0</v>
      </c>
      <c r="AC44" s="497">
        <f>ROUND(SUMIFS(Cantidades[172926],Cantidades[cod Idu],'CantidadesConsolidadas'!$A44),2)</f>
        <v>0</v>
      </c>
      <c r="AD44" s="497">
        <f>ROUND(SUMIFS(Cantidades[171152],Cantidades[cod Idu],'CantidadesConsolidadas'!$A44),2)</f>
        <v>0</v>
      </c>
      <c r="AE44" s="497">
        <f>ROUND(SUMIFS(Cantidades[173058],Cantidades[cod Idu],'CantidadesConsolidadas'!$A44),2)</f>
        <v>0</v>
      </c>
      <c r="AF44" s="726">
        <f>ROUND(SUMIFS(Cantidades[174478],Cantidades[cod Idu],'CantidadesConsolidadas'!$A44),2)</f>
        <v>0</v>
      </c>
      <c r="AG44" s="726">
        <f>ROUND(SUMIFS(Cantidades[91010089],Cantidades[cod Idu],'CantidadesConsolidadas'!$A44),2)</f>
        <v>0</v>
      </c>
      <c r="AH44" s="726">
        <f>ROUND(SUMIFS(Cantidades[176122],Cantidades[cod Idu],'CantidadesConsolidadas'!$A44),2)</f>
        <v>0</v>
      </c>
      <c r="AI44" s="726">
        <f>ROUND(SUMIFS(Cantidades[168536],Cantidades[cod Idu],'CantidadesConsolidadas'!$A44),2)</f>
        <v>0</v>
      </c>
      <c r="AJ44" s="497">
        <f>ROUND(SUMIFS(Cantidades[166934],Cantidades[cod Idu],'CantidadesConsolidadas'!$A44),2)</f>
        <v>0</v>
      </c>
      <c r="AK44" s="497">
        <f>ROUND(SUMIFS(Cantidades[174353],Cantidades[cod Idu],'CantidadesConsolidadas'!$A44),2)</f>
        <v>0</v>
      </c>
      <c r="AL44" s="751">
        <f>ROUND(SUMIFS(Cantidades[52531],Cantidades[cod Idu],'CantidadesConsolidadas'!$A44),2)</f>
        <v>0</v>
      </c>
      <c r="AM44" s="500">
        <f>ROUND(SUMIFS(Cantidades[52456],Cantidades[cod Idu],'CantidadesConsolidadas'!$A44),2)</f>
        <v>0</v>
      </c>
      <c r="AN44" s="500">
        <f>ROUND(SUMIFS(Cantidades[92058103],Cantidades[cod Idu],'CantidadesConsolidadas'!$A44),2)</f>
        <v>0</v>
      </c>
      <c r="AO44" s="500">
        <f>ROUND(SUMIFS(Cantidades[20011114],Cantidades[cod Idu],'CantidadesConsolidadas'!$A44),2)</f>
        <v>0</v>
      </c>
      <c r="AP44" s="500">
        <f>ROUND(SUMIFS(Cantidades[20013540],Cantidades[cod Idu],'CantidadesConsolidadas'!$A44),2)</f>
        <v>0</v>
      </c>
      <c r="AQ44" s="500">
        <f>ROUND(SUMIFS(Cantidades[55337],Cantidades[cod Idu],'CantidadesConsolidadas'!$A44),2)</f>
        <v>0</v>
      </c>
      <c r="AR44" s="500">
        <f>ROUND(SUMIFS(Cantidades[92087422],Cantidades[cod Idu],'CantidadesConsolidadas'!$A44),2)</f>
        <v>0</v>
      </c>
      <c r="AS44" s="500">
        <f>ROUND(SUMIFS(Cantidades[55259],Cantidades[cod Idu],'CantidadesConsolidadas'!$A44),2)</f>
        <v>0</v>
      </c>
      <c r="AT44" s="500">
        <f>ROUND(SUMIFS(Cantidades[466904],Cantidades[cod Idu],'CantidadesConsolidadas'!$A44),2)</f>
        <v>0</v>
      </c>
      <c r="AU44" s="500">
        <f>ROUND(SUMIFS(Cantidades[48591],Cantidades[cod Idu],'CantidadesConsolidadas'!$A44),2)</f>
        <v>0</v>
      </c>
      <c r="AV44" s="500">
        <f>ROUND(SUMIFS(Cantidades[48590],Cantidades[cod Idu],'CantidadesConsolidadas'!$A44),2)</f>
        <v>0</v>
      </c>
      <c r="AW44" s="500">
        <f>ROUND(SUMIFS(Cantidades[48561],Cantidades[cod Idu],'CantidadesConsolidadas'!$A44),2)</f>
        <v>0</v>
      </c>
      <c r="AX44" s="805">
        <f>ROUND(SUMIFS(Cantidades[48560],Cantidades[cod Idu],'CantidadesConsolidadas'!$A44),2)</f>
        <v>0</v>
      </c>
      <c r="AY44" s="805">
        <f>ROUND(SUMIFS(Cantidades[48657],Cantidades[cod Idu],'CantidadesConsolidadas'!$A44),2)</f>
        <v>0</v>
      </c>
      <c r="AZ44" s="752">
        <f>ROUND(SUMIFS(Cantidades[48655],Cantidades[cod Idu],'CantidadesConsolidadas'!$A44),2)</f>
        <v>0</v>
      </c>
      <c r="BA44" s="758">
        <f>SUBTOTAL(9,CantidadesConsolidadas[[#This Row],[91013913]:[48655]])</f>
        <v>3.8</v>
      </c>
      <c r="BB44" s="638">
        <f>ROUND(CantidadesConsolidadas[[#This Row],[Total]]*CantidadesConsolidadas[[#This Row],[VU]],0)</f>
        <v>576684</v>
      </c>
    </row>
    <row r="45" spans="1:54" ht="15" thickBot="1" x14ac:dyDescent="0.35">
      <c r="A45">
        <v>3391</v>
      </c>
      <c r="B45" s="606" t="str">
        <f>+_xlfn.XLOOKUP(CantidadesConsolidadas[[#This Row],[cod Idu]],APU_IDU[Código],APU_IDU[Nombre],"",0)</f>
        <v>CODO HD 22.5° EXTREMO LISO PARA PVC D=4" (SUMINISTRO E INSTALACIÓN)</v>
      </c>
      <c r="C45" s="609" t="str">
        <f>+_xlfn.XLOOKUP(CantidadesConsolidadas[[#This Row],[cod Idu]],APU_IDU[Código],APU_IDU[UM],"",0)</f>
        <v>UN</v>
      </c>
      <c r="D45" s="743">
        <f>+_xlfn.XLOOKUP(CantidadesConsolidadas[[#This Row],[cod Idu]],APU_IDU[Código],APU_IDU[Valor],"",0)</f>
        <v>329719</v>
      </c>
      <c r="E45" s="497">
        <f>ROUND(SUMIFS(Cantidades[91013913],Cantidades[cod Idu],'CantidadesConsolidadas'!$A45),2)</f>
        <v>0</v>
      </c>
      <c r="F45" s="497">
        <f>ROUND(SUMIFS(Cantidades[472330],Cantidades[cod Idu],'CantidadesConsolidadas'!$A45),2)</f>
        <v>0</v>
      </c>
      <c r="G45" s="497">
        <f>ROUND(SUMIFS(Cantidades[167810],Cantidades[cod Idu],'CantidadesConsolidadas'!$A45),2)</f>
        <v>0</v>
      </c>
      <c r="H45" s="497">
        <f>ROUND(SUMIFS(Cantidades[166646],Cantidades[cod Idu],'CantidadesConsolidadas'!$A45),2)</f>
        <v>0</v>
      </c>
      <c r="I45" s="497">
        <f>ROUND(SUMIFS(Cantidades[167491],Cantidades[cod Idu],'CantidadesConsolidadas'!$A45),2)</f>
        <v>0</v>
      </c>
      <c r="J45" s="497">
        <f>ROUND(SUMIFS(Cantidades[167266],Cantidades[cod Idu],'CantidadesConsolidadas'!$A45),2)</f>
        <v>0</v>
      </c>
      <c r="K45" s="497">
        <f>ROUND(SUMIFS(Cantidades[170896],Cantidades[cod Idu],'CantidadesConsolidadas'!$A45),2)</f>
        <v>0</v>
      </c>
      <c r="L45" s="497">
        <f>ROUND(SUMIFS(Cantidades[170897],Cantidades[cod Idu],'CantidadesConsolidadas'!$A45),2)</f>
        <v>0</v>
      </c>
      <c r="M45" s="497">
        <f>ROUND(SUMIFS(Cantidades[170898],Cantidades[cod Idu],'CantidadesConsolidadas'!$A45),2)</f>
        <v>2</v>
      </c>
      <c r="N45" s="497">
        <f>ROUND(SUMIFS(Cantidades[91064150],Cantidades[cod Idu],'CantidadesConsolidadas'!$A45),2)</f>
        <v>0</v>
      </c>
      <c r="O45" s="497">
        <f>ROUND(SUMIFS(Cantidades[168919],Cantidades[cod Idu],'CantidadesConsolidadas'!$A45),2)</f>
        <v>0</v>
      </c>
      <c r="P45" s="497">
        <f>ROUND(SUMIFS(Cantidades[168426],Cantidades[cod Idu],'CantidadesConsolidadas'!$A45),2)</f>
        <v>0</v>
      </c>
      <c r="Q45" s="497">
        <f>ROUND(SUMIFS(Cantidades[91020796],Cantidades[cod Idu],'CantidadesConsolidadas'!$A45),2)</f>
        <v>0</v>
      </c>
      <c r="R45" s="497">
        <f>ROUND(SUMIFS(Cantidades[176184],Cantidades[cod Idu],'CantidadesConsolidadas'!$A45),2)</f>
        <v>0</v>
      </c>
      <c r="S45" s="497">
        <f>ROUND(SUMIFS(Cantidades[167636],Cantidades[cod Idu],'CantidadesConsolidadas'!$A45),2)</f>
        <v>0</v>
      </c>
      <c r="T45" s="497">
        <f>ROUND(SUMIFS(Cantidades[176730],Cantidades[cod Idu],'CantidadesConsolidadas'!$A45),2)</f>
        <v>0</v>
      </c>
      <c r="U45" s="497">
        <f>ROUND(SUMIFS(Cantidades[173038],Cantidades[cod Idu],'CantidadesConsolidadas'!$A45),2)</f>
        <v>0</v>
      </c>
      <c r="V45" s="497">
        <f>ROUND(SUMIFS(Cantidades[170222],Cantidades[cod Idu],'CantidadesConsolidadas'!$A45),2)</f>
        <v>0</v>
      </c>
      <c r="W45" s="497">
        <f>ROUND(SUMIFS(Cantidades[170229],Cantidades[cod Idu],'CantidadesConsolidadas'!$A45),2)</f>
        <v>0</v>
      </c>
      <c r="X45" s="497">
        <f>ROUND(SUMIFS(Cantidades[170227],Cantidades[cod Idu],'CantidadesConsolidadas'!$A45),2)</f>
        <v>0</v>
      </c>
      <c r="Y45" s="497">
        <f>ROUND(SUMIFS(Cantidades[170226],Cantidades[cod Idu],'CantidadesConsolidadas'!$A45),2)</f>
        <v>0</v>
      </c>
      <c r="Z45" s="497">
        <f>ROUND(SUMIFS(Cantidades[171567],Cantidades[cod Idu],'CantidadesConsolidadas'!$A45),2)</f>
        <v>0</v>
      </c>
      <c r="AA45" s="497">
        <f>ROUND(SUMIFS(Cantidades[166632],Cantidades[cod Idu],'CantidadesConsolidadas'!$A45),2)</f>
        <v>0</v>
      </c>
      <c r="AB45" s="497">
        <f>ROUND(SUMIFS(Cantidades[170228],Cantidades[cod Idu],'CantidadesConsolidadas'!$A45),2)</f>
        <v>0</v>
      </c>
      <c r="AC45" s="497">
        <f>ROUND(SUMIFS(Cantidades[172926],Cantidades[cod Idu],'CantidadesConsolidadas'!$A45),2)</f>
        <v>0</v>
      </c>
      <c r="AD45" s="497">
        <f>ROUND(SUMIFS(Cantidades[171152],Cantidades[cod Idu],'CantidadesConsolidadas'!$A45),2)</f>
        <v>0</v>
      </c>
      <c r="AE45" s="497">
        <f>ROUND(SUMIFS(Cantidades[173058],Cantidades[cod Idu],'CantidadesConsolidadas'!$A45),2)</f>
        <v>0</v>
      </c>
      <c r="AF45" s="726">
        <f>ROUND(SUMIFS(Cantidades[174478],Cantidades[cod Idu],'CantidadesConsolidadas'!$A45),2)</f>
        <v>0</v>
      </c>
      <c r="AG45" s="726">
        <f>ROUND(SUMIFS(Cantidades[91010089],Cantidades[cod Idu],'CantidadesConsolidadas'!$A45),2)</f>
        <v>0</v>
      </c>
      <c r="AH45" s="726">
        <f>ROUND(SUMIFS(Cantidades[176122],Cantidades[cod Idu],'CantidadesConsolidadas'!$A45),2)</f>
        <v>0</v>
      </c>
      <c r="AI45" s="726">
        <f>ROUND(SUMIFS(Cantidades[168536],Cantidades[cod Idu],'CantidadesConsolidadas'!$A45),2)</f>
        <v>0</v>
      </c>
      <c r="AJ45" s="497">
        <f>ROUND(SUMIFS(Cantidades[166934],Cantidades[cod Idu],'CantidadesConsolidadas'!$A45),2)</f>
        <v>0</v>
      </c>
      <c r="AK45" s="497">
        <f>ROUND(SUMIFS(Cantidades[174353],Cantidades[cod Idu],'CantidadesConsolidadas'!$A45),2)</f>
        <v>0</v>
      </c>
      <c r="AL45" s="751">
        <f>ROUND(SUMIFS(Cantidades[52531],Cantidades[cod Idu],'CantidadesConsolidadas'!$A45),2)</f>
        <v>0</v>
      </c>
      <c r="AM45" s="500">
        <f>ROUND(SUMIFS(Cantidades[52456],Cantidades[cod Idu],'CantidadesConsolidadas'!$A45),2)</f>
        <v>0</v>
      </c>
      <c r="AN45" s="500">
        <f>ROUND(SUMIFS(Cantidades[92058103],Cantidades[cod Idu],'CantidadesConsolidadas'!$A45),2)</f>
        <v>0</v>
      </c>
      <c r="AO45" s="500">
        <f>ROUND(SUMIFS(Cantidades[20011114],Cantidades[cod Idu],'CantidadesConsolidadas'!$A45),2)</f>
        <v>0</v>
      </c>
      <c r="AP45" s="500">
        <f>ROUND(SUMIFS(Cantidades[20013540],Cantidades[cod Idu],'CantidadesConsolidadas'!$A45),2)</f>
        <v>0</v>
      </c>
      <c r="AQ45" s="500">
        <f>ROUND(SUMIFS(Cantidades[55337],Cantidades[cod Idu],'CantidadesConsolidadas'!$A45),2)</f>
        <v>0</v>
      </c>
      <c r="AR45" s="500">
        <f>ROUND(SUMIFS(Cantidades[92087422],Cantidades[cod Idu],'CantidadesConsolidadas'!$A45),2)</f>
        <v>0</v>
      </c>
      <c r="AS45" s="500">
        <f>ROUND(SUMIFS(Cantidades[55259],Cantidades[cod Idu],'CantidadesConsolidadas'!$A45),2)</f>
        <v>0</v>
      </c>
      <c r="AT45" s="500">
        <f>ROUND(SUMIFS(Cantidades[466904],Cantidades[cod Idu],'CantidadesConsolidadas'!$A45),2)</f>
        <v>0</v>
      </c>
      <c r="AU45" s="500">
        <f>ROUND(SUMIFS(Cantidades[48591],Cantidades[cod Idu],'CantidadesConsolidadas'!$A45),2)</f>
        <v>0</v>
      </c>
      <c r="AV45" s="500">
        <f>ROUND(SUMIFS(Cantidades[48590],Cantidades[cod Idu],'CantidadesConsolidadas'!$A45),2)</f>
        <v>0</v>
      </c>
      <c r="AW45" s="500">
        <f>ROUND(SUMIFS(Cantidades[48561],Cantidades[cod Idu],'CantidadesConsolidadas'!$A45),2)</f>
        <v>0</v>
      </c>
      <c r="AX45" s="805">
        <f>ROUND(SUMIFS(Cantidades[48560],Cantidades[cod Idu],'CantidadesConsolidadas'!$A45),2)</f>
        <v>0</v>
      </c>
      <c r="AY45" s="805">
        <f>ROUND(SUMIFS(Cantidades[48657],Cantidades[cod Idu],'CantidadesConsolidadas'!$A45),2)</f>
        <v>0</v>
      </c>
      <c r="AZ45" s="752">
        <f>ROUND(SUMIFS(Cantidades[48655],Cantidades[cod Idu],'CantidadesConsolidadas'!$A45),2)</f>
        <v>0</v>
      </c>
      <c r="BA45" s="758">
        <f>SUBTOTAL(9,CantidadesConsolidadas[[#This Row],[91013913]:[48655]])</f>
        <v>2</v>
      </c>
      <c r="BB45" s="638">
        <f>ROUND(CantidadesConsolidadas[[#This Row],[Total]]*CantidadesConsolidadas[[#This Row],[VU]],0)</f>
        <v>659438</v>
      </c>
    </row>
    <row r="46" spans="1:54" ht="15" thickBot="1" x14ac:dyDescent="0.35">
      <c r="A46">
        <v>3523</v>
      </c>
      <c r="B46" s="606" t="str">
        <f>+_xlfn.XLOOKUP(CantidadesConsolidadas[[#This Row],[cod Idu]],APU_IDU[Código],APU_IDU[Nombre],"",0)</f>
        <v>CODO G.RAD. PVC 45º TIPO U.M. D=4" (SUMINISTRO E INSTALACIÓN)</v>
      </c>
      <c r="C46" s="609" t="str">
        <f>+_xlfn.XLOOKUP(CantidadesConsolidadas[[#This Row],[cod Idu]],APU_IDU[Código],APU_IDU[UM],"",0)</f>
        <v>UN</v>
      </c>
      <c r="D46" s="743">
        <f>+_xlfn.XLOOKUP(CantidadesConsolidadas[[#This Row],[cod Idu]],APU_IDU[Código],APU_IDU[Valor],"",0)</f>
        <v>176892</v>
      </c>
      <c r="E46" s="497">
        <f>ROUND(SUMIFS(Cantidades[91013913],Cantidades[cod Idu],'CantidadesConsolidadas'!$A46),2)</f>
        <v>0</v>
      </c>
      <c r="F46" s="497">
        <f>ROUND(SUMIFS(Cantidades[472330],Cantidades[cod Idu],'CantidadesConsolidadas'!$A46),2)</f>
        <v>0</v>
      </c>
      <c r="G46" s="497">
        <f>ROUND(SUMIFS(Cantidades[167810],Cantidades[cod Idu],'CantidadesConsolidadas'!$A46),2)</f>
        <v>0</v>
      </c>
      <c r="H46" s="497">
        <f>ROUND(SUMIFS(Cantidades[166646],Cantidades[cod Idu],'CantidadesConsolidadas'!$A46),2)</f>
        <v>1</v>
      </c>
      <c r="I46" s="497">
        <f>ROUND(SUMIFS(Cantidades[167491],Cantidades[cod Idu],'CantidadesConsolidadas'!$A46),2)</f>
        <v>0</v>
      </c>
      <c r="J46" s="497">
        <f>ROUND(SUMIFS(Cantidades[167266],Cantidades[cod Idu],'CantidadesConsolidadas'!$A46),2)</f>
        <v>1</v>
      </c>
      <c r="K46" s="497">
        <f>ROUND(SUMIFS(Cantidades[170896],Cantidades[cod Idu],'CantidadesConsolidadas'!$A46),2)</f>
        <v>0</v>
      </c>
      <c r="L46" s="497">
        <f>ROUND(SUMIFS(Cantidades[170897],Cantidades[cod Idu],'CantidadesConsolidadas'!$A46),2)</f>
        <v>0</v>
      </c>
      <c r="M46" s="497">
        <f>ROUND(SUMIFS(Cantidades[170898],Cantidades[cod Idu],'CantidadesConsolidadas'!$A46),2)</f>
        <v>0</v>
      </c>
      <c r="N46" s="497">
        <f>ROUND(SUMIFS(Cantidades[91064150],Cantidades[cod Idu],'CantidadesConsolidadas'!$A46),2)</f>
        <v>0</v>
      </c>
      <c r="O46" s="497">
        <f>ROUND(SUMIFS(Cantidades[168919],Cantidades[cod Idu],'CantidadesConsolidadas'!$A46),2)</f>
        <v>0</v>
      </c>
      <c r="P46" s="497">
        <f>ROUND(SUMIFS(Cantidades[168426],Cantidades[cod Idu],'CantidadesConsolidadas'!$A46),2)</f>
        <v>1</v>
      </c>
      <c r="Q46" s="497">
        <f>ROUND(SUMIFS(Cantidades[91020796],Cantidades[cod Idu],'CantidadesConsolidadas'!$A46),2)</f>
        <v>0</v>
      </c>
      <c r="R46" s="497">
        <f>ROUND(SUMIFS(Cantidades[176184],Cantidades[cod Idu],'CantidadesConsolidadas'!$A46),2)</f>
        <v>0</v>
      </c>
      <c r="S46" s="497">
        <f>ROUND(SUMIFS(Cantidades[167636],Cantidades[cod Idu],'CantidadesConsolidadas'!$A46),2)</f>
        <v>0</v>
      </c>
      <c r="T46" s="497">
        <f>ROUND(SUMIFS(Cantidades[176730],Cantidades[cod Idu],'CantidadesConsolidadas'!$A46),2)</f>
        <v>1</v>
      </c>
      <c r="U46" s="497">
        <f>ROUND(SUMIFS(Cantidades[173038],Cantidades[cod Idu],'CantidadesConsolidadas'!$A46),2)</f>
        <v>0</v>
      </c>
      <c r="V46" s="497">
        <f>ROUND(SUMIFS(Cantidades[170222],Cantidades[cod Idu],'CantidadesConsolidadas'!$A46),2)</f>
        <v>0</v>
      </c>
      <c r="W46" s="497">
        <f>ROUND(SUMIFS(Cantidades[170229],Cantidades[cod Idu],'CantidadesConsolidadas'!$A46),2)</f>
        <v>0</v>
      </c>
      <c r="X46" s="497">
        <f>ROUND(SUMIFS(Cantidades[170227],Cantidades[cod Idu],'CantidadesConsolidadas'!$A46),2)</f>
        <v>0</v>
      </c>
      <c r="Y46" s="497">
        <f>ROUND(SUMIFS(Cantidades[170226],Cantidades[cod Idu],'CantidadesConsolidadas'!$A46),2)</f>
        <v>0</v>
      </c>
      <c r="Z46" s="497">
        <f>ROUND(SUMIFS(Cantidades[171567],Cantidades[cod Idu],'CantidadesConsolidadas'!$A46),2)</f>
        <v>0</v>
      </c>
      <c r="AA46" s="497">
        <f>ROUND(SUMIFS(Cantidades[166632],Cantidades[cod Idu],'CantidadesConsolidadas'!$A46),2)</f>
        <v>0</v>
      </c>
      <c r="AB46" s="497">
        <f>ROUND(SUMIFS(Cantidades[170228],Cantidades[cod Idu],'CantidadesConsolidadas'!$A46),2)</f>
        <v>0</v>
      </c>
      <c r="AC46" s="497">
        <f>ROUND(SUMIFS(Cantidades[172926],Cantidades[cod Idu],'CantidadesConsolidadas'!$A46),2)</f>
        <v>0</v>
      </c>
      <c r="AD46" s="497">
        <f>ROUND(SUMIFS(Cantidades[171152],Cantidades[cod Idu],'CantidadesConsolidadas'!$A46),2)</f>
        <v>0</v>
      </c>
      <c r="AE46" s="497">
        <f>ROUND(SUMIFS(Cantidades[173058],Cantidades[cod Idu],'CantidadesConsolidadas'!$A46),2)</f>
        <v>0</v>
      </c>
      <c r="AF46" s="726">
        <f>ROUND(SUMIFS(Cantidades[174478],Cantidades[cod Idu],'CantidadesConsolidadas'!$A46),2)</f>
        <v>0</v>
      </c>
      <c r="AG46" s="726">
        <f>ROUND(SUMIFS(Cantidades[91010089],Cantidades[cod Idu],'CantidadesConsolidadas'!$A46),2)</f>
        <v>0</v>
      </c>
      <c r="AH46" s="726">
        <f>ROUND(SUMIFS(Cantidades[176122],Cantidades[cod Idu],'CantidadesConsolidadas'!$A46),2)</f>
        <v>0</v>
      </c>
      <c r="AI46" s="726">
        <f>ROUND(SUMIFS(Cantidades[168536],Cantidades[cod Idu],'CantidadesConsolidadas'!$A46),2)</f>
        <v>0</v>
      </c>
      <c r="AJ46" s="497">
        <f>ROUND(SUMIFS(Cantidades[166934],Cantidades[cod Idu],'CantidadesConsolidadas'!$A46),2)</f>
        <v>0</v>
      </c>
      <c r="AK46" s="497">
        <f>ROUND(SUMIFS(Cantidades[174353],Cantidades[cod Idu],'CantidadesConsolidadas'!$A46),2)</f>
        <v>0</v>
      </c>
      <c r="AL46" s="751">
        <f>ROUND(SUMIFS(Cantidades[52531],Cantidades[cod Idu],'CantidadesConsolidadas'!$A46),2)</f>
        <v>0</v>
      </c>
      <c r="AM46" s="500">
        <f>ROUND(SUMIFS(Cantidades[52456],Cantidades[cod Idu],'CantidadesConsolidadas'!$A46),2)</f>
        <v>0</v>
      </c>
      <c r="AN46" s="500">
        <f>ROUND(SUMIFS(Cantidades[92058103],Cantidades[cod Idu],'CantidadesConsolidadas'!$A46),2)</f>
        <v>0</v>
      </c>
      <c r="AO46" s="500">
        <f>ROUND(SUMIFS(Cantidades[20011114],Cantidades[cod Idu],'CantidadesConsolidadas'!$A46),2)</f>
        <v>0</v>
      </c>
      <c r="AP46" s="500">
        <f>ROUND(SUMIFS(Cantidades[20013540],Cantidades[cod Idu],'CantidadesConsolidadas'!$A46),2)</f>
        <v>0</v>
      </c>
      <c r="AQ46" s="500">
        <f>ROUND(SUMIFS(Cantidades[55337],Cantidades[cod Idu],'CantidadesConsolidadas'!$A46),2)</f>
        <v>0</v>
      </c>
      <c r="AR46" s="500">
        <f>ROUND(SUMIFS(Cantidades[92087422],Cantidades[cod Idu],'CantidadesConsolidadas'!$A46),2)</f>
        <v>0</v>
      </c>
      <c r="AS46" s="500">
        <f>ROUND(SUMIFS(Cantidades[55259],Cantidades[cod Idu],'CantidadesConsolidadas'!$A46),2)</f>
        <v>0</v>
      </c>
      <c r="AT46" s="500">
        <f>ROUND(SUMIFS(Cantidades[466904],Cantidades[cod Idu],'CantidadesConsolidadas'!$A46),2)</f>
        <v>0</v>
      </c>
      <c r="AU46" s="500">
        <f>ROUND(SUMIFS(Cantidades[48591],Cantidades[cod Idu],'CantidadesConsolidadas'!$A46),2)</f>
        <v>0</v>
      </c>
      <c r="AV46" s="500">
        <f>ROUND(SUMIFS(Cantidades[48590],Cantidades[cod Idu],'CantidadesConsolidadas'!$A46),2)</f>
        <v>0</v>
      </c>
      <c r="AW46" s="500">
        <f>ROUND(SUMIFS(Cantidades[48561],Cantidades[cod Idu],'CantidadesConsolidadas'!$A46),2)</f>
        <v>0</v>
      </c>
      <c r="AX46" s="805">
        <f>ROUND(SUMIFS(Cantidades[48560],Cantidades[cod Idu],'CantidadesConsolidadas'!$A46),2)</f>
        <v>0</v>
      </c>
      <c r="AY46" s="805">
        <f>ROUND(SUMIFS(Cantidades[48657],Cantidades[cod Idu],'CantidadesConsolidadas'!$A46),2)</f>
        <v>0</v>
      </c>
      <c r="AZ46" s="752">
        <f>ROUND(SUMIFS(Cantidades[48655],Cantidades[cod Idu],'CantidadesConsolidadas'!$A46),2)</f>
        <v>0</v>
      </c>
      <c r="BA46" s="758">
        <f>SUBTOTAL(9,CantidadesConsolidadas[[#This Row],[91013913]:[48655]])</f>
        <v>4</v>
      </c>
      <c r="BB46" s="638">
        <f>ROUND(CantidadesConsolidadas[[#This Row],[Total]]*CantidadesConsolidadas[[#This Row],[VU]],0)</f>
        <v>707568</v>
      </c>
    </row>
    <row r="47" spans="1:54" ht="15" thickBot="1" x14ac:dyDescent="0.35">
      <c r="A47">
        <v>3532</v>
      </c>
      <c r="B47" s="606" t="str">
        <f>+_xlfn.XLOOKUP(CantidadesConsolidadas[[#This Row],[cod Idu]],APU_IDU[Código],APU_IDU[Nombre],"",0)</f>
        <v>CODO G.RAD. PVC 22.5° TIPO U.M D=6" (SUMINISTRO E INSTALACIÓN)</v>
      </c>
      <c r="C47" s="609" t="str">
        <f>+_xlfn.XLOOKUP(CantidadesConsolidadas[[#This Row],[cod Idu]],APU_IDU[Código],APU_IDU[UM],"",0)</f>
        <v>UN</v>
      </c>
      <c r="D47" s="743">
        <f>+_xlfn.XLOOKUP(CantidadesConsolidadas[[#This Row],[cod Idu]],APU_IDU[Código],APU_IDU[Valor],"",0)</f>
        <v>338771</v>
      </c>
      <c r="E47" s="497">
        <f>ROUND(SUMIFS(Cantidades[91013913],Cantidades[cod Idu],'CantidadesConsolidadas'!$A47),2)</f>
        <v>0</v>
      </c>
      <c r="F47" s="497">
        <f>ROUND(SUMIFS(Cantidades[472330],Cantidades[cod Idu],'CantidadesConsolidadas'!$A47),2)</f>
        <v>1</v>
      </c>
      <c r="G47" s="497">
        <f>ROUND(SUMIFS(Cantidades[167810],Cantidades[cod Idu],'CantidadesConsolidadas'!$A47),2)</f>
        <v>0</v>
      </c>
      <c r="H47" s="497">
        <f>ROUND(SUMIFS(Cantidades[166646],Cantidades[cod Idu],'CantidadesConsolidadas'!$A47),2)</f>
        <v>0</v>
      </c>
      <c r="I47" s="497">
        <f>ROUND(SUMIFS(Cantidades[167491],Cantidades[cod Idu],'CantidadesConsolidadas'!$A47),2)</f>
        <v>0</v>
      </c>
      <c r="J47" s="497">
        <f>ROUND(SUMIFS(Cantidades[167266],Cantidades[cod Idu],'CantidadesConsolidadas'!$A47),2)</f>
        <v>0</v>
      </c>
      <c r="K47" s="497">
        <f>ROUND(SUMIFS(Cantidades[170896],Cantidades[cod Idu],'CantidadesConsolidadas'!$A47),2)</f>
        <v>0</v>
      </c>
      <c r="L47" s="497">
        <f>ROUND(SUMIFS(Cantidades[170897],Cantidades[cod Idu],'CantidadesConsolidadas'!$A47),2)</f>
        <v>0</v>
      </c>
      <c r="M47" s="497">
        <f>ROUND(SUMIFS(Cantidades[170898],Cantidades[cod Idu],'CantidadesConsolidadas'!$A47),2)</f>
        <v>0</v>
      </c>
      <c r="N47" s="497">
        <f>ROUND(SUMIFS(Cantidades[91064150],Cantidades[cod Idu],'CantidadesConsolidadas'!$A47),2)</f>
        <v>0</v>
      </c>
      <c r="O47" s="497">
        <f>ROUND(SUMIFS(Cantidades[168919],Cantidades[cod Idu],'CantidadesConsolidadas'!$A47),2)</f>
        <v>0</v>
      </c>
      <c r="P47" s="497">
        <f>ROUND(SUMIFS(Cantidades[168426],Cantidades[cod Idu],'CantidadesConsolidadas'!$A47),2)</f>
        <v>0</v>
      </c>
      <c r="Q47" s="497">
        <f>ROUND(SUMIFS(Cantidades[91020796],Cantidades[cod Idu],'CantidadesConsolidadas'!$A47),2)</f>
        <v>0</v>
      </c>
      <c r="R47" s="497">
        <f>ROUND(SUMIFS(Cantidades[176184],Cantidades[cod Idu],'CantidadesConsolidadas'!$A47),2)</f>
        <v>0</v>
      </c>
      <c r="S47" s="497">
        <f>ROUND(SUMIFS(Cantidades[167636],Cantidades[cod Idu],'CantidadesConsolidadas'!$A47),2)</f>
        <v>0</v>
      </c>
      <c r="T47" s="497">
        <f>ROUND(SUMIFS(Cantidades[176730],Cantidades[cod Idu],'CantidadesConsolidadas'!$A47),2)</f>
        <v>0</v>
      </c>
      <c r="U47" s="497">
        <f>ROUND(SUMIFS(Cantidades[173038],Cantidades[cod Idu],'CantidadesConsolidadas'!$A47),2)</f>
        <v>0</v>
      </c>
      <c r="V47" s="497">
        <f>ROUND(SUMIFS(Cantidades[170222],Cantidades[cod Idu],'CantidadesConsolidadas'!$A47),2)</f>
        <v>0</v>
      </c>
      <c r="W47" s="497">
        <f>ROUND(SUMIFS(Cantidades[170229],Cantidades[cod Idu],'CantidadesConsolidadas'!$A47),2)</f>
        <v>0</v>
      </c>
      <c r="X47" s="497">
        <f>ROUND(SUMIFS(Cantidades[170227],Cantidades[cod Idu],'CantidadesConsolidadas'!$A47),2)</f>
        <v>0</v>
      </c>
      <c r="Y47" s="497">
        <f>ROUND(SUMIFS(Cantidades[170226],Cantidades[cod Idu],'CantidadesConsolidadas'!$A47),2)</f>
        <v>0</v>
      </c>
      <c r="Z47" s="497">
        <f>ROUND(SUMIFS(Cantidades[171567],Cantidades[cod Idu],'CantidadesConsolidadas'!$A47),2)</f>
        <v>0</v>
      </c>
      <c r="AA47" s="497">
        <f>ROUND(SUMIFS(Cantidades[166632],Cantidades[cod Idu],'CantidadesConsolidadas'!$A47),2)</f>
        <v>0</v>
      </c>
      <c r="AB47" s="497">
        <f>ROUND(SUMIFS(Cantidades[170228],Cantidades[cod Idu],'CantidadesConsolidadas'!$A47),2)</f>
        <v>0</v>
      </c>
      <c r="AC47" s="497">
        <f>ROUND(SUMIFS(Cantidades[172926],Cantidades[cod Idu],'CantidadesConsolidadas'!$A47),2)</f>
        <v>0</v>
      </c>
      <c r="AD47" s="497">
        <f>ROUND(SUMIFS(Cantidades[171152],Cantidades[cod Idu],'CantidadesConsolidadas'!$A47),2)</f>
        <v>0</v>
      </c>
      <c r="AE47" s="497">
        <f>ROUND(SUMIFS(Cantidades[173058],Cantidades[cod Idu],'CantidadesConsolidadas'!$A47),2)</f>
        <v>0</v>
      </c>
      <c r="AF47" s="726">
        <f>ROUND(SUMIFS(Cantidades[174478],Cantidades[cod Idu],'CantidadesConsolidadas'!$A47),2)</f>
        <v>0</v>
      </c>
      <c r="AG47" s="726">
        <f>ROUND(SUMIFS(Cantidades[91010089],Cantidades[cod Idu],'CantidadesConsolidadas'!$A47),2)</f>
        <v>0</v>
      </c>
      <c r="AH47" s="726">
        <f>ROUND(SUMIFS(Cantidades[176122],Cantidades[cod Idu],'CantidadesConsolidadas'!$A47),2)</f>
        <v>0</v>
      </c>
      <c r="AI47" s="726">
        <f>ROUND(SUMIFS(Cantidades[168536],Cantidades[cod Idu],'CantidadesConsolidadas'!$A47),2)</f>
        <v>0</v>
      </c>
      <c r="AJ47" s="497">
        <f>ROUND(SUMIFS(Cantidades[166934],Cantidades[cod Idu],'CantidadesConsolidadas'!$A47),2)</f>
        <v>1</v>
      </c>
      <c r="AK47" s="497">
        <f>ROUND(SUMIFS(Cantidades[174353],Cantidades[cod Idu],'CantidadesConsolidadas'!$A47),2)</f>
        <v>1</v>
      </c>
      <c r="AL47" s="751">
        <f>ROUND(SUMIFS(Cantidades[52531],Cantidades[cod Idu],'CantidadesConsolidadas'!$A47),2)</f>
        <v>0</v>
      </c>
      <c r="AM47" s="500">
        <f>ROUND(SUMIFS(Cantidades[52456],Cantidades[cod Idu],'CantidadesConsolidadas'!$A47),2)</f>
        <v>0</v>
      </c>
      <c r="AN47" s="500">
        <f>ROUND(SUMIFS(Cantidades[92058103],Cantidades[cod Idu],'CantidadesConsolidadas'!$A47),2)</f>
        <v>0</v>
      </c>
      <c r="AO47" s="500">
        <f>ROUND(SUMIFS(Cantidades[20011114],Cantidades[cod Idu],'CantidadesConsolidadas'!$A47),2)</f>
        <v>0</v>
      </c>
      <c r="AP47" s="500">
        <f>ROUND(SUMIFS(Cantidades[20013540],Cantidades[cod Idu],'CantidadesConsolidadas'!$A47),2)</f>
        <v>0</v>
      </c>
      <c r="AQ47" s="500">
        <f>ROUND(SUMIFS(Cantidades[55337],Cantidades[cod Idu],'CantidadesConsolidadas'!$A47),2)</f>
        <v>0</v>
      </c>
      <c r="AR47" s="500">
        <f>ROUND(SUMIFS(Cantidades[92087422],Cantidades[cod Idu],'CantidadesConsolidadas'!$A47),2)</f>
        <v>0</v>
      </c>
      <c r="AS47" s="500">
        <f>ROUND(SUMIFS(Cantidades[55259],Cantidades[cod Idu],'CantidadesConsolidadas'!$A47),2)</f>
        <v>0</v>
      </c>
      <c r="AT47" s="500">
        <f>ROUND(SUMIFS(Cantidades[466904],Cantidades[cod Idu],'CantidadesConsolidadas'!$A47),2)</f>
        <v>0</v>
      </c>
      <c r="AU47" s="500">
        <f>ROUND(SUMIFS(Cantidades[48591],Cantidades[cod Idu],'CantidadesConsolidadas'!$A47),2)</f>
        <v>0</v>
      </c>
      <c r="AV47" s="500">
        <f>ROUND(SUMIFS(Cantidades[48590],Cantidades[cod Idu],'CantidadesConsolidadas'!$A47),2)</f>
        <v>0</v>
      </c>
      <c r="AW47" s="500">
        <f>ROUND(SUMIFS(Cantidades[48561],Cantidades[cod Idu],'CantidadesConsolidadas'!$A47),2)</f>
        <v>0</v>
      </c>
      <c r="AX47" s="805">
        <f>ROUND(SUMIFS(Cantidades[48560],Cantidades[cod Idu],'CantidadesConsolidadas'!$A47),2)</f>
        <v>0</v>
      </c>
      <c r="AY47" s="805">
        <f>ROUND(SUMIFS(Cantidades[48657],Cantidades[cod Idu],'CantidadesConsolidadas'!$A47),2)</f>
        <v>0</v>
      </c>
      <c r="AZ47" s="752">
        <f>ROUND(SUMIFS(Cantidades[48655],Cantidades[cod Idu],'CantidadesConsolidadas'!$A47),2)</f>
        <v>0</v>
      </c>
      <c r="BA47" s="758">
        <f>SUBTOTAL(9,CantidadesConsolidadas[[#This Row],[91013913]:[48655]])</f>
        <v>3</v>
      </c>
      <c r="BB47" s="638">
        <f>ROUND(CantidadesConsolidadas[[#This Row],[Total]]*CantidadesConsolidadas[[#This Row],[VU]],0)</f>
        <v>1016313</v>
      </c>
    </row>
    <row r="48" spans="1:54" ht="15" thickBot="1" x14ac:dyDescent="0.35">
      <c r="A48">
        <v>3535</v>
      </c>
      <c r="B48" s="606" t="str">
        <f>+_xlfn.XLOOKUP(CantidadesConsolidadas[[#This Row],[cod Idu]],APU_IDU[Código],APU_IDU[Nombre],"",0)</f>
        <v>CODO G.RAD. PVC 22.5° TIPO U.M. D=12" (SUMINISTRO E INSTALACIÓN)</v>
      </c>
      <c r="C48" s="609" t="str">
        <f>+_xlfn.XLOOKUP(CantidadesConsolidadas[[#This Row],[cod Idu]],APU_IDU[Código],APU_IDU[UM],"",0)</f>
        <v>UN</v>
      </c>
      <c r="D48" s="743">
        <f>+_xlfn.XLOOKUP(CantidadesConsolidadas[[#This Row],[cod Idu]],APU_IDU[Código],APU_IDU[Valor],"",0)</f>
        <v>2095131</v>
      </c>
      <c r="E48" s="497">
        <f>ROUND(SUMIFS(Cantidades[91013913],Cantidades[cod Idu],'CantidadesConsolidadas'!$A48),2)</f>
        <v>0</v>
      </c>
      <c r="F48" s="497">
        <f>ROUND(SUMIFS(Cantidades[472330],Cantidades[cod Idu],'CantidadesConsolidadas'!$A48),2)</f>
        <v>0</v>
      </c>
      <c r="G48" s="497">
        <f>ROUND(SUMIFS(Cantidades[167810],Cantidades[cod Idu],'CantidadesConsolidadas'!$A48),2)</f>
        <v>0</v>
      </c>
      <c r="H48" s="497">
        <f>ROUND(SUMIFS(Cantidades[166646],Cantidades[cod Idu],'CantidadesConsolidadas'!$A48),2)</f>
        <v>0</v>
      </c>
      <c r="I48" s="497">
        <f>ROUND(SUMIFS(Cantidades[167491],Cantidades[cod Idu],'CantidadesConsolidadas'!$A48),2)</f>
        <v>0</v>
      </c>
      <c r="J48" s="497">
        <f>ROUND(SUMIFS(Cantidades[167266],Cantidades[cod Idu],'CantidadesConsolidadas'!$A48),2)</f>
        <v>0</v>
      </c>
      <c r="K48" s="497">
        <f>ROUND(SUMIFS(Cantidades[170896],Cantidades[cod Idu],'CantidadesConsolidadas'!$A48),2)</f>
        <v>0</v>
      </c>
      <c r="L48" s="497">
        <f>ROUND(SUMIFS(Cantidades[170897],Cantidades[cod Idu],'CantidadesConsolidadas'!$A48),2)</f>
        <v>0</v>
      </c>
      <c r="M48" s="497">
        <f>ROUND(SUMIFS(Cantidades[170898],Cantidades[cod Idu],'CantidadesConsolidadas'!$A48),2)</f>
        <v>0</v>
      </c>
      <c r="N48" s="497">
        <f>ROUND(SUMIFS(Cantidades[91064150],Cantidades[cod Idu],'CantidadesConsolidadas'!$A48),2)</f>
        <v>0</v>
      </c>
      <c r="O48" s="497">
        <f>ROUND(SUMIFS(Cantidades[168919],Cantidades[cod Idu],'CantidadesConsolidadas'!$A48),2)</f>
        <v>1</v>
      </c>
      <c r="P48" s="497">
        <f>ROUND(SUMIFS(Cantidades[168426],Cantidades[cod Idu],'CantidadesConsolidadas'!$A48),2)</f>
        <v>0</v>
      </c>
      <c r="Q48" s="497">
        <f>ROUND(SUMIFS(Cantidades[91020796],Cantidades[cod Idu],'CantidadesConsolidadas'!$A48),2)</f>
        <v>0</v>
      </c>
      <c r="R48" s="497">
        <f>ROUND(SUMIFS(Cantidades[176184],Cantidades[cod Idu],'CantidadesConsolidadas'!$A48),2)</f>
        <v>0</v>
      </c>
      <c r="S48" s="497">
        <f>ROUND(SUMIFS(Cantidades[167636],Cantidades[cod Idu],'CantidadesConsolidadas'!$A48),2)</f>
        <v>0</v>
      </c>
      <c r="T48" s="497">
        <f>ROUND(SUMIFS(Cantidades[176730],Cantidades[cod Idu],'CantidadesConsolidadas'!$A48),2)</f>
        <v>0</v>
      </c>
      <c r="U48" s="497">
        <f>ROUND(SUMIFS(Cantidades[173038],Cantidades[cod Idu],'CantidadesConsolidadas'!$A48),2)</f>
        <v>0</v>
      </c>
      <c r="V48" s="497">
        <f>ROUND(SUMIFS(Cantidades[170222],Cantidades[cod Idu],'CantidadesConsolidadas'!$A48),2)</f>
        <v>0</v>
      </c>
      <c r="W48" s="497">
        <f>ROUND(SUMIFS(Cantidades[170229],Cantidades[cod Idu],'CantidadesConsolidadas'!$A48),2)</f>
        <v>0</v>
      </c>
      <c r="X48" s="497">
        <f>ROUND(SUMIFS(Cantidades[170227],Cantidades[cod Idu],'CantidadesConsolidadas'!$A48),2)</f>
        <v>0</v>
      </c>
      <c r="Y48" s="497">
        <f>ROUND(SUMIFS(Cantidades[170226],Cantidades[cod Idu],'CantidadesConsolidadas'!$A48),2)</f>
        <v>0</v>
      </c>
      <c r="Z48" s="497">
        <f>ROUND(SUMIFS(Cantidades[171567],Cantidades[cod Idu],'CantidadesConsolidadas'!$A48),2)</f>
        <v>0</v>
      </c>
      <c r="AA48" s="497">
        <f>ROUND(SUMIFS(Cantidades[166632],Cantidades[cod Idu],'CantidadesConsolidadas'!$A48),2)</f>
        <v>0</v>
      </c>
      <c r="AB48" s="497">
        <f>ROUND(SUMIFS(Cantidades[170228],Cantidades[cod Idu],'CantidadesConsolidadas'!$A48),2)</f>
        <v>0</v>
      </c>
      <c r="AC48" s="497">
        <f>ROUND(SUMIFS(Cantidades[172926],Cantidades[cod Idu],'CantidadesConsolidadas'!$A48),2)</f>
        <v>0</v>
      </c>
      <c r="AD48" s="497">
        <f>ROUND(SUMIFS(Cantidades[171152],Cantidades[cod Idu],'CantidadesConsolidadas'!$A48),2)</f>
        <v>0</v>
      </c>
      <c r="AE48" s="497">
        <f>ROUND(SUMIFS(Cantidades[173058],Cantidades[cod Idu],'CantidadesConsolidadas'!$A48),2)</f>
        <v>0</v>
      </c>
      <c r="AF48" s="726">
        <f>ROUND(SUMIFS(Cantidades[174478],Cantidades[cod Idu],'CantidadesConsolidadas'!$A48),2)</f>
        <v>0</v>
      </c>
      <c r="AG48" s="726">
        <f>ROUND(SUMIFS(Cantidades[91010089],Cantidades[cod Idu],'CantidadesConsolidadas'!$A48),2)</f>
        <v>0</v>
      </c>
      <c r="AH48" s="726">
        <f>ROUND(SUMIFS(Cantidades[176122],Cantidades[cod Idu],'CantidadesConsolidadas'!$A48),2)</f>
        <v>0</v>
      </c>
      <c r="AI48" s="726">
        <f>ROUND(SUMIFS(Cantidades[168536],Cantidades[cod Idu],'CantidadesConsolidadas'!$A48),2)</f>
        <v>0</v>
      </c>
      <c r="AJ48" s="497">
        <f>ROUND(SUMIFS(Cantidades[166934],Cantidades[cod Idu],'CantidadesConsolidadas'!$A48),2)</f>
        <v>0</v>
      </c>
      <c r="AK48" s="497">
        <f>ROUND(SUMIFS(Cantidades[174353],Cantidades[cod Idu],'CantidadesConsolidadas'!$A48),2)</f>
        <v>0</v>
      </c>
      <c r="AL48" s="751">
        <f>ROUND(SUMIFS(Cantidades[52531],Cantidades[cod Idu],'CantidadesConsolidadas'!$A48),2)</f>
        <v>0</v>
      </c>
      <c r="AM48" s="500">
        <f>ROUND(SUMIFS(Cantidades[52456],Cantidades[cod Idu],'CantidadesConsolidadas'!$A48),2)</f>
        <v>0</v>
      </c>
      <c r="AN48" s="500">
        <f>ROUND(SUMIFS(Cantidades[92058103],Cantidades[cod Idu],'CantidadesConsolidadas'!$A48),2)</f>
        <v>0</v>
      </c>
      <c r="AO48" s="500">
        <f>ROUND(SUMIFS(Cantidades[20011114],Cantidades[cod Idu],'CantidadesConsolidadas'!$A48),2)</f>
        <v>0</v>
      </c>
      <c r="AP48" s="500">
        <f>ROUND(SUMIFS(Cantidades[20013540],Cantidades[cod Idu],'CantidadesConsolidadas'!$A48),2)</f>
        <v>0</v>
      </c>
      <c r="AQ48" s="500">
        <f>ROUND(SUMIFS(Cantidades[55337],Cantidades[cod Idu],'CantidadesConsolidadas'!$A48),2)</f>
        <v>0</v>
      </c>
      <c r="AR48" s="500">
        <f>ROUND(SUMIFS(Cantidades[92087422],Cantidades[cod Idu],'CantidadesConsolidadas'!$A48),2)</f>
        <v>0</v>
      </c>
      <c r="AS48" s="500">
        <f>ROUND(SUMIFS(Cantidades[55259],Cantidades[cod Idu],'CantidadesConsolidadas'!$A48),2)</f>
        <v>0</v>
      </c>
      <c r="AT48" s="500">
        <f>ROUND(SUMIFS(Cantidades[466904],Cantidades[cod Idu],'CantidadesConsolidadas'!$A48),2)</f>
        <v>0</v>
      </c>
      <c r="AU48" s="500">
        <f>ROUND(SUMIFS(Cantidades[48591],Cantidades[cod Idu],'CantidadesConsolidadas'!$A48),2)</f>
        <v>0</v>
      </c>
      <c r="AV48" s="500">
        <f>ROUND(SUMIFS(Cantidades[48590],Cantidades[cod Idu],'CantidadesConsolidadas'!$A48),2)</f>
        <v>0</v>
      </c>
      <c r="AW48" s="500">
        <f>ROUND(SUMIFS(Cantidades[48561],Cantidades[cod Idu],'CantidadesConsolidadas'!$A48),2)</f>
        <v>0</v>
      </c>
      <c r="AX48" s="805">
        <f>ROUND(SUMIFS(Cantidades[48560],Cantidades[cod Idu],'CantidadesConsolidadas'!$A48),2)</f>
        <v>0</v>
      </c>
      <c r="AY48" s="805">
        <f>ROUND(SUMIFS(Cantidades[48657],Cantidades[cod Idu],'CantidadesConsolidadas'!$A48),2)</f>
        <v>0</v>
      </c>
      <c r="AZ48" s="752">
        <f>ROUND(SUMIFS(Cantidades[48655],Cantidades[cod Idu],'CantidadesConsolidadas'!$A48),2)</f>
        <v>0</v>
      </c>
      <c r="BA48" s="758">
        <f>SUBTOTAL(9,CantidadesConsolidadas[[#This Row],[91013913]:[48655]])</f>
        <v>1</v>
      </c>
      <c r="BB48" s="638">
        <f>ROUND(CantidadesConsolidadas[[#This Row],[Total]]*CantidadesConsolidadas[[#This Row],[VU]],0)</f>
        <v>2095131</v>
      </c>
    </row>
    <row r="49" spans="1:54" ht="15" thickBot="1" x14ac:dyDescent="0.35">
      <c r="A49">
        <v>3539</v>
      </c>
      <c r="B49" s="606" t="str">
        <f>+_xlfn.XLOOKUP(CantidadesConsolidadas[[#This Row],[cod Idu]],APU_IDU[Código],APU_IDU[Nombre],"",0)</f>
        <v>CODO G.RAD. PVC 11.25° TIPO U.M. D=4" RDE 21 (SUMINISTRO E INSTALACIÓN)</v>
      </c>
      <c r="C49" s="609" t="str">
        <f>+_xlfn.XLOOKUP(CantidadesConsolidadas[[#This Row],[cod Idu]],APU_IDU[Código],APU_IDU[UM],"",0)</f>
        <v>UN</v>
      </c>
      <c r="D49" s="743">
        <f>+_xlfn.XLOOKUP(CantidadesConsolidadas[[#This Row],[cod Idu]],APU_IDU[Código],APU_IDU[Valor],"",0)</f>
        <v>134877</v>
      </c>
      <c r="E49" s="497">
        <f>ROUND(SUMIFS(Cantidades[91013913],Cantidades[cod Idu],'CantidadesConsolidadas'!$A49),2)</f>
        <v>0</v>
      </c>
      <c r="F49" s="497">
        <f>ROUND(SUMIFS(Cantidades[472330],Cantidades[cod Idu],'CantidadesConsolidadas'!$A49),2)</f>
        <v>0</v>
      </c>
      <c r="G49" s="497">
        <f>ROUND(SUMIFS(Cantidades[167810],Cantidades[cod Idu],'CantidadesConsolidadas'!$A49),2)</f>
        <v>0</v>
      </c>
      <c r="H49" s="497">
        <f>ROUND(SUMIFS(Cantidades[166646],Cantidades[cod Idu],'CantidadesConsolidadas'!$A49),2)</f>
        <v>0</v>
      </c>
      <c r="I49" s="497">
        <f>ROUND(SUMIFS(Cantidades[167491],Cantidades[cod Idu],'CantidadesConsolidadas'!$A49),2)</f>
        <v>0</v>
      </c>
      <c r="J49" s="497">
        <f>ROUND(SUMIFS(Cantidades[167266],Cantidades[cod Idu],'CantidadesConsolidadas'!$A49),2)</f>
        <v>0</v>
      </c>
      <c r="K49" s="497">
        <f>ROUND(SUMIFS(Cantidades[170896],Cantidades[cod Idu],'CantidadesConsolidadas'!$A49),2)</f>
        <v>0</v>
      </c>
      <c r="L49" s="497">
        <f>ROUND(SUMIFS(Cantidades[170897],Cantidades[cod Idu],'CantidadesConsolidadas'!$A49),2)</f>
        <v>0</v>
      </c>
      <c r="M49" s="497">
        <f>ROUND(SUMIFS(Cantidades[170898],Cantidades[cod Idu],'CantidadesConsolidadas'!$A49),2)</f>
        <v>0</v>
      </c>
      <c r="N49" s="497">
        <f>ROUND(SUMIFS(Cantidades[91064150],Cantidades[cod Idu],'CantidadesConsolidadas'!$A49),2)</f>
        <v>0</v>
      </c>
      <c r="O49" s="497">
        <f>ROUND(SUMIFS(Cantidades[168919],Cantidades[cod Idu],'CantidadesConsolidadas'!$A49),2)</f>
        <v>0</v>
      </c>
      <c r="P49" s="497">
        <f>ROUND(SUMIFS(Cantidades[168426],Cantidades[cod Idu],'CantidadesConsolidadas'!$A49),2)</f>
        <v>0</v>
      </c>
      <c r="Q49" s="497">
        <f>ROUND(SUMIFS(Cantidades[91020796],Cantidades[cod Idu],'CantidadesConsolidadas'!$A49),2)</f>
        <v>0</v>
      </c>
      <c r="R49" s="497">
        <f>ROUND(SUMIFS(Cantidades[176184],Cantidades[cod Idu],'CantidadesConsolidadas'!$A49),2)</f>
        <v>0</v>
      </c>
      <c r="S49" s="497">
        <f>ROUND(SUMIFS(Cantidades[167636],Cantidades[cod Idu],'CantidadesConsolidadas'!$A49),2)</f>
        <v>1</v>
      </c>
      <c r="T49" s="497">
        <f>ROUND(SUMIFS(Cantidades[176730],Cantidades[cod Idu],'CantidadesConsolidadas'!$A49),2)</f>
        <v>0</v>
      </c>
      <c r="U49" s="497">
        <f>ROUND(SUMIFS(Cantidades[173038],Cantidades[cod Idu],'CantidadesConsolidadas'!$A49),2)</f>
        <v>0</v>
      </c>
      <c r="V49" s="497">
        <f>ROUND(SUMIFS(Cantidades[170222],Cantidades[cod Idu],'CantidadesConsolidadas'!$A49),2)</f>
        <v>0</v>
      </c>
      <c r="W49" s="497">
        <f>ROUND(SUMIFS(Cantidades[170229],Cantidades[cod Idu],'CantidadesConsolidadas'!$A49),2)</f>
        <v>0</v>
      </c>
      <c r="X49" s="497">
        <f>ROUND(SUMIFS(Cantidades[170227],Cantidades[cod Idu],'CantidadesConsolidadas'!$A49),2)</f>
        <v>0</v>
      </c>
      <c r="Y49" s="497">
        <f>ROUND(SUMIFS(Cantidades[170226],Cantidades[cod Idu],'CantidadesConsolidadas'!$A49),2)</f>
        <v>0</v>
      </c>
      <c r="Z49" s="497">
        <f>ROUND(SUMIFS(Cantidades[171567],Cantidades[cod Idu],'CantidadesConsolidadas'!$A49),2)</f>
        <v>0</v>
      </c>
      <c r="AA49" s="497">
        <f>ROUND(SUMIFS(Cantidades[166632],Cantidades[cod Idu],'CantidadesConsolidadas'!$A49),2)</f>
        <v>0</v>
      </c>
      <c r="AB49" s="497">
        <f>ROUND(SUMIFS(Cantidades[170228],Cantidades[cod Idu],'CantidadesConsolidadas'!$A49),2)</f>
        <v>0</v>
      </c>
      <c r="AC49" s="497">
        <f>ROUND(SUMIFS(Cantidades[172926],Cantidades[cod Idu],'CantidadesConsolidadas'!$A49),2)</f>
        <v>0</v>
      </c>
      <c r="AD49" s="497">
        <f>ROUND(SUMIFS(Cantidades[171152],Cantidades[cod Idu],'CantidadesConsolidadas'!$A49),2)</f>
        <v>0</v>
      </c>
      <c r="AE49" s="497">
        <f>ROUND(SUMIFS(Cantidades[173058],Cantidades[cod Idu],'CantidadesConsolidadas'!$A49),2)</f>
        <v>0</v>
      </c>
      <c r="AF49" s="726">
        <f>ROUND(SUMIFS(Cantidades[174478],Cantidades[cod Idu],'CantidadesConsolidadas'!$A49),2)</f>
        <v>0</v>
      </c>
      <c r="AG49" s="726">
        <f>ROUND(SUMIFS(Cantidades[91010089],Cantidades[cod Idu],'CantidadesConsolidadas'!$A49),2)</f>
        <v>0</v>
      </c>
      <c r="AH49" s="726">
        <f>ROUND(SUMIFS(Cantidades[176122],Cantidades[cod Idu],'CantidadesConsolidadas'!$A49),2)</f>
        <v>0</v>
      </c>
      <c r="AI49" s="726">
        <f>ROUND(SUMIFS(Cantidades[168536],Cantidades[cod Idu],'CantidadesConsolidadas'!$A49),2)</f>
        <v>0</v>
      </c>
      <c r="AJ49" s="497">
        <f>ROUND(SUMIFS(Cantidades[166934],Cantidades[cod Idu],'CantidadesConsolidadas'!$A49),2)</f>
        <v>0</v>
      </c>
      <c r="AK49" s="497">
        <f>ROUND(SUMIFS(Cantidades[174353],Cantidades[cod Idu],'CantidadesConsolidadas'!$A49),2)</f>
        <v>0</v>
      </c>
      <c r="AL49" s="751">
        <f>ROUND(SUMIFS(Cantidades[52531],Cantidades[cod Idu],'CantidadesConsolidadas'!$A49),2)</f>
        <v>0</v>
      </c>
      <c r="AM49" s="500">
        <f>ROUND(SUMIFS(Cantidades[52456],Cantidades[cod Idu],'CantidadesConsolidadas'!$A49),2)</f>
        <v>0</v>
      </c>
      <c r="AN49" s="500">
        <f>ROUND(SUMIFS(Cantidades[92058103],Cantidades[cod Idu],'CantidadesConsolidadas'!$A49),2)</f>
        <v>0</v>
      </c>
      <c r="AO49" s="500">
        <f>ROUND(SUMIFS(Cantidades[20011114],Cantidades[cod Idu],'CantidadesConsolidadas'!$A49),2)</f>
        <v>0</v>
      </c>
      <c r="AP49" s="500">
        <f>ROUND(SUMIFS(Cantidades[20013540],Cantidades[cod Idu],'CantidadesConsolidadas'!$A49),2)</f>
        <v>0</v>
      </c>
      <c r="AQ49" s="500">
        <f>ROUND(SUMIFS(Cantidades[55337],Cantidades[cod Idu],'CantidadesConsolidadas'!$A49),2)</f>
        <v>0</v>
      </c>
      <c r="AR49" s="500">
        <f>ROUND(SUMIFS(Cantidades[92087422],Cantidades[cod Idu],'CantidadesConsolidadas'!$A49),2)</f>
        <v>0</v>
      </c>
      <c r="AS49" s="500">
        <f>ROUND(SUMIFS(Cantidades[55259],Cantidades[cod Idu],'CantidadesConsolidadas'!$A49),2)</f>
        <v>0</v>
      </c>
      <c r="AT49" s="500">
        <f>ROUND(SUMIFS(Cantidades[466904],Cantidades[cod Idu],'CantidadesConsolidadas'!$A49),2)</f>
        <v>0</v>
      </c>
      <c r="AU49" s="500">
        <f>ROUND(SUMIFS(Cantidades[48591],Cantidades[cod Idu],'CantidadesConsolidadas'!$A49),2)</f>
        <v>0</v>
      </c>
      <c r="AV49" s="500">
        <f>ROUND(SUMIFS(Cantidades[48590],Cantidades[cod Idu],'CantidadesConsolidadas'!$A49),2)</f>
        <v>0</v>
      </c>
      <c r="AW49" s="500">
        <f>ROUND(SUMIFS(Cantidades[48561],Cantidades[cod Idu],'CantidadesConsolidadas'!$A49),2)</f>
        <v>0</v>
      </c>
      <c r="AX49" s="805">
        <f>ROUND(SUMIFS(Cantidades[48560],Cantidades[cod Idu],'CantidadesConsolidadas'!$A49),2)</f>
        <v>0</v>
      </c>
      <c r="AY49" s="805">
        <f>ROUND(SUMIFS(Cantidades[48657],Cantidades[cod Idu],'CantidadesConsolidadas'!$A49),2)</f>
        <v>0</v>
      </c>
      <c r="AZ49" s="752">
        <f>ROUND(SUMIFS(Cantidades[48655],Cantidades[cod Idu],'CantidadesConsolidadas'!$A49),2)</f>
        <v>0</v>
      </c>
      <c r="BA49" s="758">
        <f>SUBTOTAL(9,CantidadesConsolidadas[[#This Row],[91013913]:[48655]])</f>
        <v>1</v>
      </c>
      <c r="BB49" s="638">
        <f>ROUND(CantidadesConsolidadas[[#This Row],[Total]]*CantidadesConsolidadas[[#This Row],[VU]],0)</f>
        <v>134877</v>
      </c>
    </row>
    <row r="50" spans="1:54" ht="15" thickBot="1" x14ac:dyDescent="0.35">
      <c r="A50">
        <v>3540</v>
      </c>
      <c r="B50" s="606" t="str">
        <f>+_xlfn.XLOOKUP(CantidadesConsolidadas[[#This Row],[cod Idu]],APU_IDU[Código],APU_IDU[Nombre],"",0)</f>
        <v>CODO G.RAD. PVC 11.25° TIPO U.M. D=6" (SUMINISTRO E INSTALACIÓN)</v>
      </c>
      <c r="C50" s="609" t="str">
        <f>+_xlfn.XLOOKUP(CantidadesConsolidadas[[#This Row],[cod Idu]],APU_IDU[Código],APU_IDU[UM],"",0)</f>
        <v>UN</v>
      </c>
      <c r="D50" s="743">
        <f>+_xlfn.XLOOKUP(CantidadesConsolidadas[[#This Row],[cod Idu]],APU_IDU[Código],APU_IDU[Valor],"",0)</f>
        <v>304534</v>
      </c>
      <c r="E50" s="497">
        <f>ROUND(SUMIFS(Cantidades[91013913],Cantidades[cod Idu],'CantidadesConsolidadas'!$A50),2)</f>
        <v>0</v>
      </c>
      <c r="F50" s="497">
        <f>ROUND(SUMIFS(Cantidades[472330],Cantidades[cod Idu],'CantidadesConsolidadas'!$A50),2)</f>
        <v>0</v>
      </c>
      <c r="G50" s="497">
        <f>ROUND(SUMIFS(Cantidades[167810],Cantidades[cod Idu],'CantidadesConsolidadas'!$A50),2)</f>
        <v>0</v>
      </c>
      <c r="H50" s="497">
        <f>ROUND(SUMIFS(Cantidades[166646],Cantidades[cod Idu],'CantidadesConsolidadas'!$A50),2)</f>
        <v>1</v>
      </c>
      <c r="I50" s="497">
        <f>ROUND(SUMIFS(Cantidades[167491],Cantidades[cod Idu],'CantidadesConsolidadas'!$A50),2)</f>
        <v>0</v>
      </c>
      <c r="J50" s="497">
        <f>ROUND(SUMIFS(Cantidades[167266],Cantidades[cod Idu],'CantidadesConsolidadas'!$A50),2)</f>
        <v>0</v>
      </c>
      <c r="K50" s="497">
        <f>ROUND(SUMIFS(Cantidades[170896],Cantidades[cod Idu],'CantidadesConsolidadas'!$A50),2)</f>
        <v>1</v>
      </c>
      <c r="L50" s="497">
        <f>ROUND(SUMIFS(Cantidades[170897],Cantidades[cod Idu],'CantidadesConsolidadas'!$A50),2)</f>
        <v>0</v>
      </c>
      <c r="M50" s="497">
        <f>ROUND(SUMIFS(Cantidades[170898],Cantidades[cod Idu],'CantidadesConsolidadas'!$A50),2)</f>
        <v>0</v>
      </c>
      <c r="N50" s="497">
        <f>ROUND(SUMIFS(Cantidades[91064150],Cantidades[cod Idu],'CantidadesConsolidadas'!$A50),2)</f>
        <v>0</v>
      </c>
      <c r="O50" s="497">
        <f>ROUND(SUMIFS(Cantidades[168919],Cantidades[cod Idu],'CantidadesConsolidadas'!$A50),2)</f>
        <v>0</v>
      </c>
      <c r="P50" s="497">
        <f>ROUND(SUMIFS(Cantidades[168426],Cantidades[cod Idu],'CantidadesConsolidadas'!$A50),2)</f>
        <v>1</v>
      </c>
      <c r="Q50" s="497">
        <f>ROUND(SUMIFS(Cantidades[91020796],Cantidades[cod Idu],'CantidadesConsolidadas'!$A50),2)</f>
        <v>0</v>
      </c>
      <c r="R50" s="497">
        <f>ROUND(SUMIFS(Cantidades[176184],Cantidades[cod Idu],'CantidadesConsolidadas'!$A50),2)</f>
        <v>0</v>
      </c>
      <c r="S50" s="497">
        <f>ROUND(SUMIFS(Cantidades[167636],Cantidades[cod Idu],'CantidadesConsolidadas'!$A50),2)</f>
        <v>0</v>
      </c>
      <c r="T50" s="497">
        <f>ROUND(SUMIFS(Cantidades[176730],Cantidades[cod Idu],'CantidadesConsolidadas'!$A50),2)</f>
        <v>0</v>
      </c>
      <c r="U50" s="497">
        <f>ROUND(SUMIFS(Cantidades[173038],Cantidades[cod Idu],'CantidadesConsolidadas'!$A50),2)</f>
        <v>0</v>
      </c>
      <c r="V50" s="497">
        <f>ROUND(SUMIFS(Cantidades[170222],Cantidades[cod Idu],'CantidadesConsolidadas'!$A50),2)</f>
        <v>0</v>
      </c>
      <c r="W50" s="497">
        <f>ROUND(SUMIFS(Cantidades[170229],Cantidades[cod Idu],'CantidadesConsolidadas'!$A50),2)</f>
        <v>0</v>
      </c>
      <c r="X50" s="497">
        <f>ROUND(SUMIFS(Cantidades[170227],Cantidades[cod Idu],'CantidadesConsolidadas'!$A50),2)</f>
        <v>0</v>
      </c>
      <c r="Y50" s="497">
        <f>ROUND(SUMIFS(Cantidades[170226],Cantidades[cod Idu],'CantidadesConsolidadas'!$A50),2)</f>
        <v>0</v>
      </c>
      <c r="Z50" s="497">
        <f>ROUND(SUMIFS(Cantidades[171567],Cantidades[cod Idu],'CantidadesConsolidadas'!$A50),2)</f>
        <v>0</v>
      </c>
      <c r="AA50" s="497">
        <f>ROUND(SUMIFS(Cantidades[166632],Cantidades[cod Idu],'CantidadesConsolidadas'!$A50),2)</f>
        <v>0</v>
      </c>
      <c r="AB50" s="497">
        <f>ROUND(SUMIFS(Cantidades[170228],Cantidades[cod Idu],'CantidadesConsolidadas'!$A50),2)</f>
        <v>0</v>
      </c>
      <c r="AC50" s="497">
        <f>ROUND(SUMIFS(Cantidades[172926],Cantidades[cod Idu],'CantidadesConsolidadas'!$A50),2)</f>
        <v>0</v>
      </c>
      <c r="AD50" s="497">
        <f>ROUND(SUMIFS(Cantidades[171152],Cantidades[cod Idu],'CantidadesConsolidadas'!$A50),2)</f>
        <v>0</v>
      </c>
      <c r="AE50" s="497">
        <f>ROUND(SUMIFS(Cantidades[173058],Cantidades[cod Idu],'CantidadesConsolidadas'!$A50),2)</f>
        <v>0</v>
      </c>
      <c r="AF50" s="726">
        <f>ROUND(SUMIFS(Cantidades[174478],Cantidades[cod Idu],'CantidadesConsolidadas'!$A50),2)</f>
        <v>0</v>
      </c>
      <c r="AG50" s="726">
        <f>ROUND(SUMIFS(Cantidades[91010089],Cantidades[cod Idu],'CantidadesConsolidadas'!$A50),2)</f>
        <v>0</v>
      </c>
      <c r="AH50" s="726">
        <f>ROUND(SUMIFS(Cantidades[176122],Cantidades[cod Idu],'CantidadesConsolidadas'!$A50),2)</f>
        <v>0</v>
      </c>
      <c r="AI50" s="726">
        <f>ROUND(SUMIFS(Cantidades[168536],Cantidades[cod Idu],'CantidadesConsolidadas'!$A50),2)</f>
        <v>0</v>
      </c>
      <c r="AJ50" s="497">
        <f>ROUND(SUMIFS(Cantidades[166934],Cantidades[cod Idu],'CantidadesConsolidadas'!$A50),2)</f>
        <v>0</v>
      </c>
      <c r="AK50" s="497">
        <f>ROUND(SUMIFS(Cantidades[174353],Cantidades[cod Idu],'CantidadesConsolidadas'!$A50),2)</f>
        <v>0</v>
      </c>
      <c r="AL50" s="751">
        <f>ROUND(SUMIFS(Cantidades[52531],Cantidades[cod Idu],'CantidadesConsolidadas'!$A50),2)</f>
        <v>0</v>
      </c>
      <c r="AM50" s="500">
        <f>ROUND(SUMIFS(Cantidades[52456],Cantidades[cod Idu],'CantidadesConsolidadas'!$A50),2)</f>
        <v>0</v>
      </c>
      <c r="AN50" s="500">
        <f>ROUND(SUMIFS(Cantidades[92058103],Cantidades[cod Idu],'CantidadesConsolidadas'!$A50),2)</f>
        <v>0</v>
      </c>
      <c r="AO50" s="500">
        <f>ROUND(SUMIFS(Cantidades[20011114],Cantidades[cod Idu],'CantidadesConsolidadas'!$A50),2)</f>
        <v>0</v>
      </c>
      <c r="AP50" s="500">
        <f>ROUND(SUMIFS(Cantidades[20013540],Cantidades[cod Idu],'CantidadesConsolidadas'!$A50),2)</f>
        <v>0</v>
      </c>
      <c r="AQ50" s="500">
        <f>ROUND(SUMIFS(Cantidades[55337],Cantidades[cod Idu],'CantidadesConsolidadas'!$A50),2)</f>
        <v>0</v>
      </c>
      <c r="AR50" s="500">
        <f>ROUND(SUMIFS(Cantidades[92087422],Cantidades[cod Idu],'CantidadesConsolidadas'!$A50),2)</f>
        <v>0</v>
      </c>
      <c r="AS50" s="500">
        <f>ROUND(SUMIFS(Cantidades[55259],Cantidades[cod Idu],'CantidadesConsolidadas'!$A50),2)</f>
        <v>0</v>
      </c>
      <c r="AT50" s="500">
        <f>ROUND(SUMIFS(Cantidades[466904],Cantidades[cod Idu],'CantidadesConsolidadas'!$A50),2)</f>
        <v>0</v>
      </c>
      <c r="AU50" s="500">
        <f>ROUND(SUMIFS(Cantidades[48591],Cantidades[cod Idu],'CantidadesConsolidadas'!$A50),2)</f>
        <v>0</v>
      </c>
      <c r="AV50" s="500">
        <f>ROUND(SUMIFS(Cantidades[48590],Cantidades[cod Idu],'CantidadesConsolidadas'!$A50),2)</f>
        <v>0</v>
      </c>
      <c r="AW50" s="500">
        <f>ROUND(SUMIFS(Cantidades[48561],Cantidades[cod Idu],'CantidadesConsolidadas'!$A50),2)</f>
        <v>0</v>
      </c>
      <c r="AX50" s="805">
        <f>ROUND(SUMIFS(Cantidades[48560],Cantidades[cod Idu],'CantidadesConsolidadas'!$A50),2)</f>
        <v>0</v>
      </c>
      <c r="AY50" s="805">
        <f>ROUND(SUMIFS(Cantidades[48657],Cantidades[cod Idu],'CantidadesConsolidadas'!$A50),2)</f>
        <v>0</v>
      </c>
      <c r="AZ50" s="752">
        <f>ROUND(SUMIFS(Cantidades[48655],Cantidades[cod Idu],'CantidadesConsolidadas'!$A50),2)</f>
        <v>0</v>
      </c>
      <c r="BA50" s="758">
        <f>SUBTOTAL(9,CantidadesConsolidadas[[#This Row],[91013913]:[48655]])</f>
        <v>3</v>
      </c>
      <c r="BB50" s="638">
        <f>ROUND(CantidadesConsolidadas[[#This Row],[Total]]*CantidadesConsolidadas[[#This Row],[VU]],0)</f>
        <v>913602</v>
      </c>
    </row>
    <row r="51" spans="1:54" ht="29.4" thickBot="1" x14ac:dyDescent="0.35">
      <c r="A51">
        <v>4402</v>
      </c>
      <c r="B51" s="606" t="str">
        <f>+_xlfn.XLOOKUP(CantidadesConsolidadas[[#This Row],[cod Idu]],APU_IDU[Código],APU_IDU[Nombre],"",0)</f>
        <v>VALVULA COMPUERTA ELASTICA VASTAGO NO ASCENDENTE EXTREMO LISO D=4" (SUMINISTRO E INSTALACIÓN)</v>
      </c>
      <c r="C51" s="609" t="str">
        <f>+_xlfn.XLOOKUP(CantidadesConsolidadas[[#This Row],[cod Idu]],APU_IDU[Código],APU_IDU[UM],"",0)</f>
        <v>UN</v>
      </c>
      <c r="D51" s="743">
        <f>+_xlfn.XLOOKUP(CantidadesConsolidadas[[#This Row],[cod Idu]],APU_IDU[Código],APU_IDU[Valor],"",0)</f>
        <v>1190850</v>
      </c>
      <c r="E51" s="497">
        <f>ROUND(SUMIFS(Cantidades[91013913],Cantidades[cod Idu],'CantidadesConsolidadas'!$A51),2)</f>
        <v>0</v>
      </c>
      <c r="F51" s="497">
        <f>ROUND(SUMIFS(Cantidades[472330],Cantidades[cod Idu],'CantidadesConsolidadas'!$A51),2)</f>
        <v>0</v>
      </c>
      <c r="G51" s="497">
        <f>ROUND(SUMIFS(Cantidades[167810],Cantidades[cod Idu],'CantidadesConsolidadas'!$A51),2)</f>
        <v>0</v>
      </c>
      <c r="H51" s="497">
        <f>ROUND(SUMIFS(Cantidades[166646],Cantidades[cod Idu],'CantidadesConsolidadas'!$A51),2)</f>
        <v>0</v>
      </c>
      <c r="I51" s="497">
        <f>ROUND(SUMIFS(Cantidades[167491],Cantidades[cod Idu],'CantidadesConsolidadas'!$A51),2)</f>
        <v>0</v>
      </c>
      <c r="J51" s="497">
        <f>ROUND(SUMIFS(Cantidades[167266],Cantidades[cod Idu],'CantidadesConsolidadas'!$A51),2)</f>
        <v>0</v>
      </c>
      <c r="K51" s="497">
        <f>ROUND(SUMIFS(Cantidades[170896],Cantidades[cod Idu],'CantidadesConsolidadas'!$A51),2)</f>
        <v>0</v>
      </c>
      <c r="L51" s="497">
        <f>ROUND(SUMIFS(Cantidades[170897],Cantidades[cod Idu],'CantidadesConsolidadas'!$A51),2)</f>
        <v>0</v>
      </c>
      <c r="M51" s="497">
        <f>ROUND(SUMIFS(Cantidades[170898],Cantidades[cod Idu],'CantidadesConsolidadas'!$A51),2)</f>
        <v>0</v>
      </c>
      <c r="N51" s="497">
        <f>ROUND(SUMIFS(Cantidades[91064150],Cantidades[cod Idu],'CantidadesConsolidadas'!$A51),2)</f>
        <v>0</v>
      </c>
      <c r="O51" s="497">
        <f>ROUND(SUMIFS(Cantidades[168919],Cantidades[cod Idu],'CantidadesConsolidadas'!$A51),2)</f>
        <v>0</v>
      </c>
      <c r="P51" s="497">
        <f>ROUND(SUMIFS(Cantidades[168426],Cantidades[cod Idu],'CantidadesConsolidadas'!$A51),2)</f>
        <v>0</v>
      </c>
      <c r="Q51" s="497">
        <f>ROUND(SUMIFS(Cantidades[91020796],Cantidades[cod Idu],'CantidadesConsolidadas'!$A51),2)</f>
        <v>0</v>
      </c>
      <c r="R51" s="497">
        <f>ROUND(SUMIFS(Cantidades[176184],Cantidades[cod Idu],'CantidadesConsolidadas'!$A51),2)</f>
        <v>0</v>
      </c>
      <c r="S51" s="497">
        <f>ROUND(SUMIFS(Cantidades[167636],Cantidades[cod Idu],'CantidadesConsolidadas'!$A51),2)</f>
        <v>0</v>
      </c>
      <c r="T51" s="497">
        <f>ROUND(SUMIFS(Cantidades[176730],Cantidades[cod Idu],'CantidadesConsolidadas'!$A51),2)</f>
        <v>0</v>
      </c>
      <c r="U51" s="497">
        <f>ROUND(SUMIFS(Cantidades[173038],Cantidades[cod Idu],'CantidadesConsolidadas'!$A51),2)</f>
        <v>0</v>
      </c>
      <c r="V51" s="497">
        <f>ROUND(SUMIFS(Cantidades[170222],Cantidades[cod Idu],'CantidadesConsolidadas'!$A51),2)</f>
        <v>0</v>
      </c>
      <c r="W51" s="497">
        <f>ROUND(SUMIFS(Cantidades[170229],Cantidades[cod Idu],'CantidadesConsolidadas'!$A51),2)</f>
        <v>0</v>
      </c>
      <c r="X51" s="497">
        <f>ROUND(SUMIFS(Cantidades[170227],Cantidades[cod Idu],'CantidadesConsolidadas'!$A51),2)</f>
        <v>0</v>
      </c>
      <c r="Y51" s="497">
        <f>ROUND(SUMIFS(Cantidades[170226],Cantidades[cod Idu],'CantidadesConsolidadas'!$A51),2)</f>
        <v>0</v>
      </c>
      <c r="Z51" s="497">
        <f>ROUND(SUMIFS(Cantidades[171567],Cantidades[cod Idu],'CantidadesConsolidadas'!$A51),2)</f>
        <v>0</v>
      </c>
      <c r="AA51" s="497">
        <f>ROUND(SUMIFS(Cantidades[166632],Cantidades[cod Idu],'CantidadesConsolidadas'!$A51),2)</f>
        <v>0</v>
      </c>
      <c r="AB51" s="497">
        <f>ROUND(SUMIFS(Cantidades[170228],Cantidades[cod Idu],'CantidadesConsolidadas'!$A51),2)</f>
        <v>0</v>
      </c>
      <c r="AC51" s="497">
        <f>ROUND(SUMIFS(Cantidades[172926],Cantidades[cod Idu],'CantidadesConsolidadas'!$A51),2)</f>
        <v>1</v>
      </c>
      <c r="AD51" s="497">
        <f>ROUND(SUMIFS(Cantidades[171152],Cantidades[cod Idu],'CantidadesConsolidadas'!$A51),2)</f>
        <v>0</v>
      </c>
      <c r="AE51" s="497">
        <f>ROUND(SUMIFS(Cantidades[173058],Cantidades[cod Idu],'CantidadesConsolidadas'!$A51),2)</f>
        <v>0</v>
      </c>
      <c r="AF51" s="726">
        <f>ROUND(SUMIFS(Cantidades[174478],Cantidades[cod Idu],'CantidadesConsolidadas'!$A51),2)</f>
        <v>0</v>
      </c>
      <c r="AG51" s="726">
        <f>ROUND(SUMIFS(Cantidades[91010089],Cantidades[cod Idu],'CantidadesConsolidadas'!$A51),2)</f>
        <v>0</v>
      </c>
      <c r="AH51" s="726">
        <f>ROUND(SUMIFS(Cantidades[176122],Cantidades[cod Idu],'CantidadesConsolidadas'!$A51),2)</f>
        <v>0</v>
      </c>
      <c r="AI51" s="726">
        <f>ROUND(SUMIFS(Cantidades[168536],Cantidades[cod Idu],'CantidadesConsolidadas'!$A51),2)</f>
        <v>0</v>
      </c>
      <c r="AJ51" s="497">
        <f>ROUND(SUMIFS(Cantidades[166934],Cantidades[cod Idu],'CantidadesConsolidadas'!$A51),2)</f>
        <v>0</v>
      </c>
      <c r="AK51" s="497">
        <f>ROUND(SUMIFS(Cantidades[174353],Cantidades[cod Idu],'CantidadesConsolidadas'!$A51),2)</f>
        <v>0</v>
      </c>
      <c r="AL51" s="751">
        <f>ROUND(SUMIFS(Cantidades[52531],Cantidades[cod Idu],'CantidadesConsolidadas'!$A51),2)</f>
        <v>0</v>
      </c>
      <c r="AM51" s="500">
        <f>ROUND(SUMIFS(Cantidades[52456],Cantidades[cod Idu],'CantidadesConsolidadas'!$A51),2)</f>
        <v>0</v>
      </c>
      <c r="AN51" s="500">
        <f>ROUND(SUMIFS(Cantidades[92058103],Cantidades[cod Idu],'CantidadesConsolidadas'!$A51),2)</f>
        <v>0</v>
      </c>
      <c r="AO51" s="500">
        <f>ROUND(SUMIFS(Cantidades[20011114],Cantidades[cod Idu],'CantidadesConsolidadas'!$A51),2)</f>
        <v>0</v>
      </c>
      <c r="AP51" s="500">
        <f>ROUND(SUMIFS(Cantidades[20013540],Cantidades[cod Idu],'CantidadesConsolidadas'!$A51),2)</f>
        <v>0</v>
      </c>
      <c r="AQ51" s="500">
        <f>ROUND(SUMIFS(Cantidades[55337],Cantidades[cod Idu],'CantidadesConsolidadas'!$A51),2)</f>
        <v>0</v>
      </c>
      <c r="AR51" s="500">
        <f>ROUND(SUMIFS(Cantidades[92087422],Cantidades[cod Idu],'CantidadesConsolidadas'!$A51),2)</f>
        <v>0</v>
      </c>
      <c r="AS51" s="500">
        <f>ROUND(SUMIFS(Cantidades[55259],Cantidades[cod Idu],'CantidadesConsolidadas'!$A51),2)</f>
        <v>0</v>
      </c>
      <c r="AT51" s="500">
        <f>ROUND(SUMIFS(Cantidades[466904],Cantidades[cod Idu],'CantidadesConsolidadas'!$A51),2)</f>
        <v>0</v>
      </c>
      <c r="AU51" s="500">
        <f>ROUND(SUMIFS(Cantidades[48591],Cantidades[cod Idu],'CantidadesConsolidadas'!$A51),2)</f>
        <v>0</v>
      </c>
      <c r="AV51" s="500">
        <f>ROUND(SUMIFS(Cantidades[48590],Cantidades[cod Idu],'CantidadesConsolidadas'!$A51),2)</f>
        <v>0</v>
      </c>
      <c r="AW51" s="500">
        <f>ROUND(SUMIFS(Cantidades[48561],Cantidades[cod Idu],'CantidadesConsolidadas'!$A51),2)</f>
        <v>0</v>
      </c>
      <c r="AX51" s="805">
        <f>ROUND(SUMIFS(Cantidades[48560],Cantidades[cod Idu],'CantidadesConsolidadas'!$A51),2)</f>
        <v>0</v>
      </c>
      <c r="AY51" s="805">
        <f>ROUND(SUMIFS(Cantidades[48657],Cantidades[cod Idu],'CantidadesConsolidadas'!$A51),2)</f>
        <v>0</v>
      </c>
      <c r="AZ51" s="752">
        <f>ROUND(SUMIFS(Cantidades[48655],Cantidades[cod Idu],'CantidadesConsolidadas'!$A51),2)</f>
        <v>0</v>
      </c>
      <c r="BA51" s="758">
        <f>SUBTOTAL(9,CantidadesConsolidadas[[#This Row],[91013913]:[48655]])</f>
        <v>1</v>
      </c>
      <c r="BB51" s="638">
        <f>ROUND(CantidadesConsolidadas[[#This Row],[Total]]*CantidadesConsolidadas[[#This Row],[VU]],0)</f>
        <v>1190850</v>
      </c>
    </row>
    <row r="52" spans="1:54" ht="15" thickBot="1" x14ac:dyDescent="0.35">
      <c r="A52">
        <v>4416</v>
      </c>
      <c r="B52" s="606" t="str">
        <f>+_xlfn.XLOOKUP(CantidadesConsolidadas[[#This Row],[cod Idu]],APU_IDU[Código],APU_IDU[Nombre],"",0)</f>
        <v>TAPON PVC TIPO U.M. D=4" (SUMINISTRO E INSTALACIÓN)</v>
      </c>
      <c r="C52" s="609" t="str">
        <f>+_xlfn.XLOOKUP(CantidadesConsolidadas[[#This Row],[cod Idu]],APU_IDU[Código],APU_IDU[UM],"",0)</f>
        <v>UN</v>
      </c>
      <c r="D52" s="743">
        <f>+_xlfn.XLOOKUP(CantidadesConsolidadas[[#This Row],[cod Idu]],APU_IDU[Código],APU_IDU[Valor],"",0)</f>
        <v>109473</v>
      </c>
      <c r="E52" s="497">
        <f>ROUND(SUMIFS(Cantidades[91013913],Cantidades[cod Idu],'CantidadesConsolidadas'!$A52),2)</f>
        <v>0</v>
      </c>
      <c r="F52" s="497">
        <f>ROUND(SUMIFS(Cantidades[472330],Cantidades[cod Idu],'CantidadesConsolidadas'!$A52),2)</f>
        <v>0</v>
      </c>
      <c r="G52" s="497">
        <f>ROUND(SUMIFS(Cantidades[167810],Cantidades[cod Idu],'CantidadesConsolidadas'!$A52),2)</f>
        <v>0</v>
      </c>
      <c r="H52" s="497">
        <f>ROUND(SUMIFS(Cantidades[166646],Cantidades[cod Idu],'CantidadesConsolidadas'!$A52),2)</f>
        <v>0</v>
      </c>
      <c r="I52" s="497">
        <f>ROUND(SUMIFS(Cantidades[167491],Cantidades[cod Idu],'CantidadesConsolidadas'!$A52),2)</f>
        <v>0</v>
      </c>
      <c r="J52" s="497">
        <f>ROUND(SUMIFS(Cantidades[167266],Cantidades[cod Idu],'CantidadesConsolidadas'!$A52),2)</f>
        <v>4</v>
      </c>
      <c r="K52" s="497">
        <f>ROUND(SUMIFS(Cantidades[170896],Cantidades[cod Idu],'CantidadesConsolidadas'!$A52),2)</f>
        <v>0</v>
      </c>
      <c r="L52" s="497">
        <f>ROUND(SUMIFS(Cantidades[170897],Cantidades[cod Idu],'CantidadesConsolidadas'!$A52),2)</f>
        <v>0</v>
      </c>
      <c r="M52" s="497">
        <f>ROUND(SUMIFS(Cantidades[170898],Cantidades[cod Idu],'CantidadesConsolidadas'!$A52),2)</f>
        <v>0</v>
      </c>
      <c r="N52" s="497">
        <f>ROUND(SUMIFS(Cantidades[91064150],Cantidades[cod Idu],'CantidadesConsolidadas'!$A52),2)</f>
        <v>0</v>
      </c>
      <c r="O52" s="497">
        <f>ROUND(SUMIFS(Cantidades[168919],Cantidades[cod Idu],'CantidadesConsolidadas'!$A52),2)</f>
        <v>0</v>
      </c>
      <c r="P52" s="497">
        <f>ROUND(SUMIFS(Cantidades[168426],Cantidades[cod Idu],'CantidadesConsolidadas'!$A52),2)</f>
        <v>0</v>
      </c>
      <c r="Q52" s="497">
        <f>ROUND(SUMIFS(Cantidades[91020796],Cantidades[cod Idu],'CantidadesConsolidadas'!$A52),2)</f>
        <v>0</v>
      </c>
      <c r="R52" s="497">
        <f>ROUND(SUMIFS(Cantidades[176184],Cantidades[cod Idu],'CantidadesConsolidadas'!$A52),2)</f>
        <v>0</v>
      </c>
      <c r="S52" s="497">
        <f>ROUND(SUMIFS(Cantidades[167636],Cantidades[cod Idu],'CantidadesConsolidadas'!$A52),2)</f>
        <v>0</v>
      </c>
      <c r="T52" s="497">
        <f>ROUND(SUMIFS(Cantidades[176730],Cantidades[cod Idu],'CantidadesConsolidadas'!$A52),2)</f>
        <v>0</v>
      </c>
      <c r="U52" s="497">
        <f>ROUND(SUMIFS(Cantidades[173038],Cantidades[cod Idu],'CantidadesConsolidadas'!$A52),2)</f>
        <v>0</v>
      </c>
      <c r="V52" s="497">
        <f>ROUND(SUMIFS(Cantidades[170222],Cantidades[cod Idu],'CantidadesConsolidadas'!$A52),2)</f>
        <v>0</v>
      </c>
      <c r="W52" s="497">
        <f>ROUND(SUMIFS(Cantidades[170229],Cantidades[cod Idu],'CantidadesConsolidadas'!$A52),2)</f>
        <v>0</v>
      </c>
      <c r="X52" s="497">
        <f>ROUND(SUMIFS(Cantidades[170227],Cantidades[cod Idu],'CantidadesConsolidadas'!$A52),2)</f>
        <v>0</v>
      </c>
      <c r="Y52" s="497">
        <f>ROUND(SUMIFS(Cantidades[170226],Cantidades[cod Idu],'CantidadesConsolidadas'!$A52),2)</f>
        <v>0</v>
      </c>
      <c r="Z52" s="497">
        <f>ROUND(SUMIFS(Cantidades[171567],Cantidades[cod Idu],'CantidadesConsolidadas'!$A52),2)</f>
        <v>0</v>
      </c>
      <c r="AA52" s="497">
        <f>ROUND(SUMIFS(Cantidades[166632],Cantidades[cod Idu],'CantidadesConsolidadas'!$A52),2)</f>
        <v>0</v>
      </c>
      <c r="AB52" s="497">
        <f>ROUND(SUMIFS(Cantidades[170228],Cantidades[cod Idu],'CantidadesConsolidadas'!$A52),2)</f>
        <v>0</v>
      </c>
      <c r="AC52" s="497">
        <f>ROUND(SUMIFS(Cantidades[172926],Cantidades[cod Idu],'CantidadesConsolidadas'!$A52),2)</f>
        <v>0</v>
      </c>
      <c r="AD52" s="497">
        <f>ROUND(SUMIFS(Cantidades[171152],Cantidades[cod Idu],'CantidadesConsolidadas'!$A52),2)</f>
        <v>0</v>
      </c>
      <c r="AE52" s="497">
        <f>ROUND(SUMIFS(Cantidades[173058],Cantidades[cod Idu],'CantidadesConsolidadas'!$A52),2)</f>
        <v>0</v>
      </c>
      <c r="AF52" s="726">
        <f>ROUND(SUMIFS(Cantidades[174478],Cantidades[cod Idu],'CantidadesConsolidadas'!$A52),2)</f>
        <v>0</v>
      </c>
      <c r="AG52" s="726">
        <f>ROUND(SUMIFS(Cantidades[91010089],Cantidades[cod Idu],'CantidadesConsolidadas'!$A52),2)</f>
        <v>0</v>
      </c>
      <c r="AH52" s="726">
        <f>ROUND(SUMIFS(Cantidades[176122],Cantidades[cod Idu],'CantidadesConsolidadas'!$A52),2)</f>
        <v>0</v>
      </c>
      <c r="AI52" s="726">
        <f>ROUND(SUMIFS(Cantidades[168536],Cantidades[cod Idu],'CantidadesConsolidadas'!$A52),2)</f>
        <v>0</v>
      </c>
      <c r="AJ52" s="497">
        <f>ROUND(SUMIFS(Cantidades[166934],Cantidades[cod Idu],'CantidadesConsolidadas'!$A52),2)</f>
        <v>0</v>
      </c>
      <c r="AK52" s="497">
        <f>ROUND(SUMIFS(Cantidades[174353],Cantidades[cod Idu],'CantidadesConsolidadas'!$A52),2)</f>
        <v>0</v>
      </c>
      <c r="AL52" s="751">
        <f>ROUND(SUMIFS(Cantidades[52531],Cantidades[cod Idu],'CantidadesConsolidadas'!$A52),2)</f>
        <v>0</v>
      </c>
      <c r="AM52" s="500">
        <f>ROUND(SUMIFS(Cantidades[52456],Cantidades[cod Idu],'CantidadesConsolidadas'!$A52),2)</f>
        <v>0</v>
      </c>
      <c r="AN52" s="500">
        <f>ROUND(SUMIFS(Cantidades[92058103],Cantidades[cod Idu],'CantidadesConsolidadas'!$A52),2)</f>
        <v>0</v>
      </c>
      <c r="AO52" s="500">
        <f>ROUND(SUMIFS(Cantidades[20011114],Cantidades[cod Idu],'CantidadesConsolidadas'!$A52),2)</f>
        <v>0</v>
      </c>
      <c r="AP52" s="500">
        <f>ROUND(SUMIFS(Cantidades[20013540],Cantidades[cod Idu],'CantidadesConsolidadas'!$A52),2)</f>
        <v>0</v>
      </c>
      <c r="AQ52" s="500">
        <f>ROUND(SUMIFS(Cantidades[55337],Cantidades[cod Idu],'CantidadesConsolidadas'!$A52),2)</f>
        <v>0</v>
      </c>
      <c r="AR52" s="500">
        <f>ROUND(SUMIFS(Cantidades[92087422],Cantidades[cod Idu],'CantidadesConsolidadas'!$A52),2)</f>
        <v>0</v>
      </c>
      <c r="AS52" s="500">
        <f>ROUND(SUMIFS(Cantidades[55259],Cantidades[cod Idu],'CantidadesConsolidadas'!$A52),2)</f>
        <v>0</v>
      </c>
      <c r="AT52" s="500">
        <f>ROUND(SUMIFS(Cantidades[466904],Cantidades[cod Idu],'CantidadesConsolidadas'!$A52),2)</f>
        <v>0</v>
      </c>
      <c r="AU52" s="500">
        <f>ROUND(SUMIFS(Cantidades[48591],Cantidades[cod Idu],'CantidadesConsolidadas'!$A52),2)</f>
        <v>0</v>
      </c>
      <c r="AV52" s="500">
        <f>ROUND(SUMIFS(Cantidades[48590],Cantidades[cod Idu],'CantidadesConsolidadas'!$A52),2)</f>
        <v>0</v>
      </c>
      <c r="AW52" s="500">
        <f>ROUND(SUMIFS(Cantidades[48561],Cantidades[cod Idu],'CantidadesConsolidadas'!$A52),2)</f>
        <v>0</v>
      </c>
      <c r="AX52" s="805">
        <f>ROUND(SUMIFS(Cantidades[48560],Cantidades[cod Idu],'CantidadesConsolidadas'!$A52),2)</f>
        <v>0</v>
      </c>
      <c r="AY52" s="805">
        <f>ROUND(SUMIFS(Cantidades[48657],Cantidades[cod Idu],'CantidadesConsolidadas'!$A52),2)</f>
        <v>0</v>
      </c>
      <c r="AZ52" s="752">
        <f>ROUND(SUMIFS(Cantidades[48655],Cantidades[cod Idu],'CantidadesConsolidadas'!$A52),2)</f>
        <v>0</v>
      </c>
      <c r="BA52" s="758">
        <f>SUBTOTAL(9,CantidadesConsolidadas[[#This Row],[91013913]:[48655]])</f>
        <v>4</v>
      </c>
      <c r="BB52" s="638">
        <f>ROUND(CantidadesConsolidadas[[#This Row],[Total]]*CantidadesConsolidadas[[#This Row],[VU]],0)</f>
        <v>437892</v>
      </c>
    </row>
    <row r="53" spans="1:54" ht="43.8" thickBot="1" x14ac:dyDescent="0.35">
      <c r="A53">
        <v>5186</v>
      </c>
      <c r="B53" s="606" t="str">
        <f>+_xlfn.XLOOKUP(CantidadesConsolidadas[[#This Row],[cod Idu]],APU_IDU[Código],APU_IDU[Nombre],"",0)</f>
        <v>ACOMETIDA DOMICILIARIA DE 1/2" CON COLLAR DE DERIVACION DE 4" X 1/2". SUMINISTRO E INSTALACION. (INCLUYE TUBERIA PF, REGISTROS Y ACCESORIOS, LONGITUD PROMEDIO DE 6.5M, INCLUYE CAJILLA EN POLIPROPILENO PARA MEDIDOR)</v>
      </c>
      <c r="C53" s="609" t="str">
        <f>+_xlfn.XLOOKUP(CantidadesConsolidadas[[#This Row],[cod Idu]],APU_IDU[Código],APU_IDU[UM],"",0)</f>
        <v>UN</v>
      </c>
      <c r="D53" s="743">
        <f>+_xlfn.XLOOKUP(CantidadesConsolidadas[[#This Row],[cod Idu]],APU_IDU[Código],APU_IDU[Valor],"",0)</f>
        <v>470326</v>
      </c>
      <c r="E53" s="497">
        <f>ROUND(SUMIFS(Cantidades[91013913],Cantidades[cod Idu],'CantidadesConsolidadas'!$A53),2)</f>
        <v>0</v>
      </c>
      <c r="F53" s="497">
        <f>ROUND(SUMIFS(Cantidades[472330],Cantidades[cod Idu],'CantidadesConsolidadas'!$A53),2)</f>
        <v>0</v>
      </c>
      <c r="G53" s="497">
        <f>ROUND(SUMIFS(Cantidades[167810],Cantidades[cod Idu],'CantidadesConsolidadas'!$A53),2)</f>
        <v>0</v>
      </c>
      <c r="H53" s="497">
        <f>ROUND(SUMIFS(Cantidades[166646],Cantidades[cod Idu],'CantidadesConsolidadas'!$A53),2)</f>
        <v>0</v>
      </c>
      <c r="I53" s="497">
        <f>ROUND(SUMIFS(Cantidades[167491],Cantidades[cod Idu],'CantidadesConsolidadas'!$A53),2)</f>
        <v>0</v>
      </c>
      <c r="J53" s="497">
        <f>ROUND(SUMIFS(Cantidades[167266],Cantidades[cod Idu],'CantidadesConsolidadas'!$A53),2)</f>
        <v>0</v>
      </c>
      <c r="K53" s="497">
        <f>ROUND(SUMIFS(Cantidades[170896],Cantidades[cod Idu],'CantidadesConsolidadas'!$A53),2)</f>
        <v>0</v>
      </c>
      <c r="L53" s="497">
        <f>ROUND(SUMIFS(Cantidades[170897],Cantidades[cod Idu],'CantidadesConsolidadas'!$A53),2)</f>
        <v>0</v>
      </c>
      <c r="M53" s="497">
        <f>ROUND(SUMIFS(Cantidades[170898],Cantidades[cod Idu],'CantidadesConsolidadas'!$A53),2)</f>
        <v>0</v>
      </c>
      <c r="N53" s="497">
        <f>ROUND(SUMIFS(Cantidades[91064150],Cantidades[cod Idu],'CantidadesConsolidadas'!$A53),2)</f>
        <v>0</v>
      </c>
      <c r="O53" s="497">
        <f>ROUND(SUMIFS(Cantidades[168919],Cantidades[cod Idu],'CantidadesConsolidadas'!$A53),2)</f>
        <v>0</v>
      </c>
      <c r="P53" s="497">
        <f>ROUND(SUMIFS(Cantidades[168426],Cantidades[cod Idu],'CantidadesConsolidadas'!$A53),2)</f>
        <v>0</v>
      </c>
      <c r="Q53" s="497">
        <f>ROUND(SUMIFS(Cantidades[91020796],Cantidades[cod Idu],'CantidadesConsolidadas'!$A53),2)</f>
        <v>0</v>
      </c>
      <c r="R53" s="497">
        <f>ROUND(SUMIFS(Cantidades[176184],Cantidades[cod Idu],'CantidadesConsolidadas'!$A53),2)</f>
        <v>0</v>
      </c>
      <c r="S53" s="497">
        <f>ROUND(SUMIFS(Cantidades[167636],Cantidades[cod Idu],'CantidadesConsolidadas'!$A53),2)</f>
        <v>0</v>
      </c>
      <c r="T53" s="497">
        <f>ROUND(SUMIFS(Cantidades[176730],Cantidades[cod Idu],'CantidadesConsolidadas'!$A53),2)</f>
        <v>0</v>
      </c>
      <c r="U53" s="497">
        <f>ROUND(SUMIFS(Cantidades[173038],Cantidades[cod Idu],'CantidadesConsolidadas'!$A53),2)</f>
        <v>0</v>
      </c>
      <c r="V53" s="497">
        <f>ROUND(SUMIFS(Cantidades[170222],Cantidades[cod Idu],'CantidadesConsolidadas'!$A53),2)</f>
        <v>0</v>
      </c>
      <c r="W53" s="497">
        <f>ROUND(SUMIFS(Cantidades[170229],Cantidades[cod Idu],'CantidadesConsolidadas'!$A53),2)</f>
        <v>0</v>
      </c>
      <c r="X53" s="497">
        <f>ROUND(SUMIFS(Cantidades[170227],Cantidades[cod Idu],'CantidadesConsolidadas'!$A53),2)</f>
        <v>0</v>
      </c>
      <c r="Y53" s="497">
        <f>ROUND(SUMIFS(Cantidades[170226],Cantidades[cod Idu],'CantidadesConsolidadas'!$A53),2)</f>
        <v>0</v>
      </c>
      <c r="Z53" s="497">
        <f>ROUND(SUMIFS(Cantidades[171567],Cantidades[cod Idu],'CantidadesConsolidadas'!$A53),2)</f>
        <v>1</v>
      </c>
      <c r="AA53" s="497">
        <f>ROUND(SUMIFS(Cantidades[166632],Cantidades[cod Idu],'CantidadesConsolidadas'!$A53),2)</f>
        <v>1</v>
      </c>
      <c r="AB53" s="497">
        <f>ROUND(SUMIFS(Cantidades[170228],Cantidades[cod Idu],'CantidadesConsolidadas'!$A53),2)</f>
        <v>1</v>
      </c>
      <c r="AC53" s="497">
        <f>ROUND(SUMIFS(Cantidades[172926],Cantidades[cod Idu],'CantidadesConsolidadas'!$A53),2)</f>
        <v>1</v>
      </c>
      <c r="AD53" s="497">
        <f>ROUND(SUMIFS(Cantidades[171152],Cantidades[cod Idu],'CantidadesConsolidadas'!$A53),2)</f>
        <v>1</v>
      </c>
      <c r="AE53" s="497">
        <f>ROUND(SUMIFS(Cantidades[173058],Cantidades[cod Idu],'CantidadesConsolidadas'!$A53),2)</f>
        <v>0</v>
      </c>
      <c r="AF53" s="726">
        <f>ROUND(SUMIFS(Cantidades[174478],Cantidades[cod Idu],'CantidadesConsolidadas'!$A53),2)</f>
        <v>0</v>
      </c>
      <c r="AG53" s="726">
        <f>ROUND(SUMIFS(Cantidades[91010089],Cantidades[cod Idu],'CantidadesConsolidadas'!$A53),2)</f>
        <v>0</v>
      </c>
      <c r="AH53" s="726">
        <f>ROUND(SUMIFS(Cantidades[176122],Cantidades[cod Idu],'CantidadesConsolidadas'!$A53),2)</f>
        <v>0</v>
      </c>
      <c r="AI53" s="726">
        <f>ROUND(SUMIFS(Cantidades[168536],Cantidades[cod Idu],'CantidadesConsolidadas'!$A53),2)</f>
        <v>0</v>
      </c>
      <c r="AJ53" s="497">
        <f>ROUND(SUMIFS(Cantidades[166934],Cantidades[cod Idu],'CantidadesConsolidadas'!$A53),2)</f>
        <v>1</v>
      </c>
      <c r="AK53" s="497">
        <f>ROUND(SUMIFS(Cantidades[174353],Cantidades[cod Idu],'CantidadesConsolidadas'!$A53),2)</f>
        <v>1</v>
      </c>
      <c r="AL53" s="751">
        <f>ROUND(SUMIFS(Cantidades[52531],Cantidades[cod Idu],'CantidadesConsolidadas'!$A53),2)</f>
        <v>0</v>
      </c>
      <c r="AM53" s="500">
        <f>ROUND(SUMIFS(Cantidades[52456],Cantidades[cod Idu],'CantidadesConsolidadas'!$A53),2)</f>
        <v>0</v>
      </c>
      <c r="AN53" s="500">
        <f>ROUND(SUMIFS(Cantidades[92058103],Cantidades[cod Idu],'CantidadesConsolidadas'!$A53),2)</f>
        <v>0</v>
      </c>
      <c r="AO53" s="500">
        <f>ROUND(SUMIFS(Cantidades[20011114],Cantidades[cod Idu],'CantidadesConsolidadas'!$A53),2)</f>
        <v>0</v>
      </c>
      <c r="AP53" s="500">
        <f>ROUND(SUMIFS(Cantidades[20013540],Cantidades[cod Idu],'CantidadesConsolidadas'!$A53),2)</f>
        <v>0</v>
      </c>
      <c r="AQ53" s="500">
        <f>ROUND(SUMIFS(Cantidades[55337],Cantidades[cod Idu],'CantidadesConsolidadas'!$A53),2)</f>
        <v>0</v>
      </c>
      <c r="AR53" s="500">
        <f>ROUND(SUMIFS(Cantidades[92087422],Cantidades[cod Idu],'CantidadesConsolidadas'!$A53),2)</f>
        <v>0</v>
      </c>
      <c r="AS53" s="500">
        <f>ROUND(SUMIFS(Cantidades[55259],Cantidades[cod Idu],'CantidadesConsolidadas'!$A53),2)</f>
        <v>0</v>
      </c>
      <c r="AT53" s="500">
        <f>ROUND(SUMIFS(Cantidades[466904],Cantidades[cod Idu],'CantidadesConsolidadas'!$A53),2)</f>
        <v>0</v>
      </c>
      <c r="AU53" s="500">
        <f>ROUND(SUMIFS(Cantidades[48591],Cantidades[cod Idu],'CantidadesConsolidadas'!$A53),2)</f>
        <v>0</v>
      </c>
      <c r="AV53" s="500">
        <f>ROUND(SUMIFS(Cantidades[48590],Cantidades[cod Idu],'CantidadesConsolidadas'!$A53),2)</f>
        <v>0</v>
      </c>
      <c r="AW53" s="500">
        <f>ROUND(SUMIFS(Cantidades[48561],Cantidades[cod Idu],'CantidadesConsolidadas'!$A53),2)</f>
        <v>0</v>
      </c>
      <c r="AX53" s="805">
        <f>ROUND(SUMIFS(Cantidades[48560],Cantidades[cod Idu],'CantidadesConsolidadas'!$A53),2)</f>
        <v>0</v>
      </c>
      <c r="AY53" s="805">
        <f>ROUND(SUMIFS(Cantidades[48657],Cantidades[cod Idu],'CantidadesConsolidadas'!$A53),2)</f>
        <v>0</v>
      </c>
      <c r="AZ53" s="752">
        <f>ROUND(SUMIFS(Cantidades[48655],Cantidades[cod Idu],'CantidadesConsolidadas'!$A53),2)</f>
        <v>0</v>
      </c>
      <c r="BA53" s="758">
        <f>SUBTOTAL(9,CantidadesConsolidadas[[#This Row],[91013913]:[48655]])</f>
        <v>7</v>
      </c>
      <c r="BB53" s="638">
        <f>ROUND(CantidadesConsolidadas[[#This Row],[Total]]*CantidadesConsolidadas[[#This Row],[VU]],0)</f>
        <v>3292282</v>
      </c>
    </row>
    <row r="54" spans="1:54" ht="15" thickBot="1" x14ac:dyDescent="0.35">
      <c r="A54">
        <v>5078</v>
      </c>
      <c r="B54" s="606" t="str">
        <f>+_xlfn.XLOOKUP(CantidadesConsolidadas[[#This Row],[cod Idu]],APU_IDU[Código],APU_IDU[Nombre],"",0)</f>
        <v>CODO 90° CXE PVC SANITARIA D=4" (INCLUYE SUMINISTRO E INSTALACIÓN).</v>
      </c>
      <c r="C54" s="609" t="str">
        <f>+_xlfn.XLOOKUP(CantidadesConsolidadas[[#This Row],[cod Idu]],APU_IDU[Código],APU_IDU[UM],"",0)</f>
        <v>UN</v>
      </c>
      <c r="D54" s="743">
        <f>+_xlfn.XLOOKUP(CantidadesConsolidadas[[#This Row],[cod Idu]],APU_IDU[Código],APU_IDU[Valor],"",0)</f>
        <v>29796</v>
      </c>
      <c r="E54" s="497">
        <f>ROUND(SUMIFS(Cantidades[91013913],Cantidades[cod Idu],'CantidadesConsolidadas'!$A54),2)</f>
        <v>0</v>
      </c>
      <c r="F54" s="497">
        <f>ROUND(SUMIFS(Cantidades[472330],Cantidades[cod Idu],'CantidadesConsolidadas'!$A54),2)</f>
        <v>0</v>
      </c>
      <c r="G54" s="497">
        <f>ROUND(SUMIFS(Cantidades[167810],Cantidades[cod Idu],'CantidadesConsolidadas'!$A54),2)</f>
        <v>1</v>
      </c>
      <c r="H54" s="497">
        <f>ROUND(SUMIFS(Cantidades[166646],Cantidades[cod Idu],'CantidadesConsolidadas'!$A54),2)</f>
        <v>0</v>
      </c>
      <c r="I54" s="497">
        <f>ROUND(SUMIFS(Cantidades[167491],Cantidades[cod Idu],'CantidadesConsolidadas'!$A54),2)</f>
        <v>1</v>
      </c>
      <c r="J54" s="497">
        <f>ROUND(SUMIFS(Cantidades[167266],Cantidades[cod Idu],'CantidadesConsolidadas'!$A54),2)</f>
        <v>0</v>
      </c>
      <c r="K54" s="497">
        <f>ROUND(SUMIFS(Cantidades[170896],Cantidades[cod Idu],'CantidadesConsolidadas'!$A54),2)</f>
        <v>0</v>
      </c>
      <c r="L54" s="497">
        <f>ROUND(SUMIFS(Cantidades[170897],Cantidades[cod Idu],'CantidadesConsolidadas'!$A54),2)</f>
        <v>0</v>
      </c>
      <c r="M54" s="497">
        <f>ROUND(SUMIFS(Cantidades[170898],Cantidades[cod Idu],'CantidadesConsolidadas'!$A54),2)</f>
        <v>0</v>
      </c>
      <c r="N54" s="497">
        <f>ROUND(SUMIFS(Cantidades[91064150],Cantidades[cod Idu],'CantidadesConsolidadas'!$A54),2)</f>
        <v>0</v>
      </c>
      <c r="O54" s="497">
        <f>ROUND(SUMIFS(Cantidades[168919],Cantidades[cod Idu],'CantidadesConsolidadas'!$A54),2)</f>
        <v>0</v>
      </c>
      <c r="P54" s="497">
        <f>ROUND(SUMIFS(Cantidades[168426],Cantidades[cod Idu],'CantidadesConsolidadas'!$A54),2)</f>
        <v>0</v>
      </c>
      <c r="Q54" s="497">
        <f>ROUND(SUMIFS(Cantidades[91020796],Cantidades[cod Idu],'CantidadesConsolidadas'!$A54),2)</f>
        <v>0</v>
      </c>
      <c r="R54" s="497">
        <f>ROUND(SUMIFS(Cantidades[176184],Cantidades[cod Idu],'CantidadesConsolidadas'!$A54),2)</f>
        <v>0</v>
      </c>
      <c r="S54" s="497">
        <f>ROUND(SUMIFS(Cantidades[167636],Cantidades[cod Idu],'CantidadesConsolidadas'!$A54),2)</f>
        <v>0</v>
      </c>
      <c r="T54" s="497">
        <f>ROUND(SUMIFS(Cantidades[176730],Cantidades[cod Idu],'CantidadesConsolidadas'!$A54),2)</f>
        <v>0</v>
      </c>
      <c r="U54" s="497">
        <f>ROUND(SUMIFS(Cantidades[173038],Cantidades[cod Idu],'CantidadesConsolidadas'!$A54),2)</f>
        <v>0</v>
      </c>
      <c r="V54" s="497">
        <f>ROUND(SUMIFS(Cantidades[170222],Cantidades[cod Idu],'CantidadesConsolidadas'!$A54),2)</f>
        <v>0</v>
      </c>
      <c r="W54" s="497">
        <f>ROUND(SUMIFS(Cantidades[170229],Cantidades[cod Idu],'CantidadesConsolidadas'!$A54),2)</f>
        <v>0</v>
      </c>
      <c r="X54" s="497">
        <f>ROUND(SUMIFS(Cantidades[170227],Cantidades[cod Idu],'CantidadesConsolidadas'!$A54),2)</f>
        <v>0</v>
      </c>
      <c r="Y54" s="497">
        <f>ROUND(SUMIFS(Cantidades[170226],Cantidades[cod Idu],'CantidadesConsolidadas'!$A54),2)</f>
        <v>0</v>
      </c>
      <c r="Z54" s="497">
        <f>ROUND(SUMIFS(Cantidades[171567],Cantidades[cod Idu],'CantidadesConsolidadas'!$A54),2)</f>
        <v>0</v>
      </c>
      <c r="AA54" s="497">
        <f>ROUND(SUMIFS(Cantidades[166632],Cantidades[cod Idu],'CantidadesConsolidadas'!$A54),2)</f>
        <v>0</v>
      </c>
      <c r="AB54" s="497">
        <f>ROUND(SUMIFS(Cantidades[170228],Cantidades[cod Idu],'CantidadesConsolidadas'!$A54),2)</f>
        <v>0</v>
      </c>
      <c r="AC54" s="497">
        <f>ROUND(SUMIFS(Cantidades[172926],Cantidades[cod Idu],'CantidadesConsolidadas'!$A54),2)</f>
        <v>0</v>
      </c>
      <c r="AD54" s="497">
        <f>ROUND(SUMIFS(Cantidades[171152],Cantidades[cod Idu],'CantidadesConsolidadas'!$A54),2)</f>
        <v>0</v>
      </c>
      <c r="AE54" s="497">
        <f>ROUND(SUMIFS(Cantidades[173058],Cantidades[cod Idu],'CantidadesConsolidadas'!$A54),2)</f>
        <v>0</v>
      </c>
      <c r="AF54" s="726">
        <f>ROUND(SUMIFS(Cantidades[174478],Cantidades[cod Idu],'CantidadesConsolidadas'!$A54),2)</f>
        <v>0</v>
      </c>
      <c r="AG54" s="726">
        <f>ROUND(SUMIFS(Cantidades[91010089],Cantidades[cod Idu],'CantidadesConsolidadas'!$A54),2)</f>
        <v>0</v>
      </c>
      <c r="AH54" s="726">
        <f>ROUND(SUMIFS(Cantidades[176122],Cantidades[cod Idu],'CantidadesConsolidadas'!$A54),2)</f>
        <v>0</v>
      </c>
      <c r="AI54" s="726">
        <f>ROUND(SUMIFS(Cantidades[168536],Cantidades[cod Idu],'CantidadesConsolidadas'!$A54),2)</f>
        <v>0</v>
      </c>
      <c r="AJ54" s="497">
        <f>ROUND(SUMIFS(Cantidades[166934],Cantidades[cod Idu],'CantidadesConsolidadas'!$A54),2)</f>
        <v>0</v>
      </c>
      <c r="AK54" s="497">
        <f>ROUND(SUMIFS(Cantidades[174353],Cantidades[cod Idu],'CantidadesConsolidadas'!$A54),2)</f>
        <v>0</v>
      </c>
      <c r="AL54" s="751">
        <f>ROUND(SUMIFS(Cantidades[52531],Cantidades[cod Idu],'CantidadesConsolidadas'!$A54),2)</f>
        <v>0</v>
      </c>
      <c r="AM54" s="500">
        <f>ROUND(SUMIFS(Cantidades[52456],Cantidades[cod Idu],'CantidadesConsolidadas'!$A54),2)</f>
        <v>0</v>
      </c>
      <c r="AN54" s="500">
        <f>ROUND(SUMIFS(Cantidades[92058103],Cantidades[cod Idu],'CantidadesConsolidadas'!$A54),2)</f>
        <v>0</v>
      </c>
      <c r="AO54" s="500">
        <f>ROUND(SUMIFS(Cantidades[20011114],Cantidades[cod Idu],'CantidadesConsolidadas'!$A54),2)</f>
        <v>0</v>
      </c>
      <c r="AP54" s="500">
        <f>ROUND(SUMIFS(Cantidades[20013540],Cantidades[cod Idu],'CantidadesConsolidadas'!$A54),2)</f>
        <v>0</v>
      </c>
      <c r="AQ54" s="500">
        <f>ROUND(SUMIFS(Cantidades[55337],Cantidades[cod Idu],'CantidadesConsolidadas'!$A54),2)</f>
        <v>0</v>
      </c>
      <c r="AR54" s="500">
        <f>ROUND(SUMIFS(Cantidades[92087422],Cantidades[cod Idu],'CantidadesConsolidadas'!$A54),2)</f>
        <v>0</v>
      </c>
      <c r="AS54" s="500">
        <f>ROUND(SUMIFS(Cantidades[55259],Cantidades[cod Idu],'CantidadesConsolidadas'!$A54),2)</f>
        <v>0</v>
      </c>
      <c r="AT54" s="500">
        <f>ROUND(SUMIFS(Cantidades[466904],Cantidades[cod Idu],'CantidadesConsolidadas'!$A54),2)</f>
        <v>0</v>
      </c>
      <c r="AU54" s="500">
        <f>ROUND(SUMIFS(Cantidades[48591],Cantidades[cod Idu],'CantidadesConsolidadas'!$A54),2)</f>
        <v>0</v>
      </c>
      <c r="AV54" s="500">
        <f>ROUND(SUMIFS(Cantidades[48590],Cantidades[cod Idu],'CantidadesConsolidadas'!$A54),2)</f>
        <v>0</v>
      </c>
      <c r="AW54" s="500">
        <f>ROUND(SUMIFS(Cantidades[48561],Cantidades[cod Idu],'CantidadesConsolidadas'!$A54),2)</f>
        <v>0</v>
      </c>
      <c r="AX54" s="805">
        <f>ROUND(SUMIFS(Cantidades[48560],Cantidades[cod Idu],'CantidadesConsolidadas'!$A54),2)</f>
        <v>0</v>
      </c>
      <c r="AY54" s="805">
        <f>ROUND(SUMIFS(Cantidades[48657],Cantidades[cod Idu],'CantidadesConsolidadas'!$A54),2)</f>
        <v>0</v>
      </c>
      <c r="AZ54" s="752">
        <f>ROUND(SUMIFS(Cantidades[48655],Cantidades[cod Idu],'CantidadesConsolidadas'!$A54),2)</f>
        <v>0</v>
      </c>
      <c r="BA54" s="758">
        <f>SUBTOTAL(9,CantidadesConsolidadas[[#This Row],[91013913]:[48655]])</f>
        <v>2</v>
      </c>
      <c r="BB54" s="638">
        <f>ROUND(CantidadesConsolidadas[[#This Row],[Total]]*CantidadesConsolidadas[[#This Row],[VU]],0)</f>
        <v>59592</v>
      </c>
    </row>
    <row r="55" spans="1:54" ht="15" thickBot="1" x14ac:dyDescent="0.35">
      <c r="A55">
        <v>7419</v>
      </c>
      <c r="B55" s="606" t="str">
        <f>+_xlfn.XLOOKUP(CantidadesConsolidadas[[#This Row],[cod Idu]],APU_IDU[Código],APU_IDU[Nombre],"",0)</f>
        <v>TEE PVC U.M. 4" X 4" (SUMINISTRO E INSTALACIÓN)</v>
      </c>
      <c r="C55" s="609" t="str">
        <f>+_xlfn.XLOOKUP(CantidadesConsolidadas[[#This Row],[cod Idu]],APU_IDU[Código],APU_IDU[UM],"",0)</f>
        <v>UN</v>
      </c>
      <c r="D55" s="743">
        <f>+_xlfn.XLOOKUP(CantidadesConsolidadas[[#This Row],[cod Idu]],APU_IDU[Código],APU_IDU[Valor],"",0)</f>
        <v>288662</v>
      </c>
      <c r="E55" s="497">
        <f>ROUND(SUMIFS(Cantidades[91013913],Cantidades[cod Idu],'CantidadesConsolidadas'!$A55),2)</f>
        <v>0</v>
      </c>
      <c r="F55" s="497">
        <f>ROUND(SUMIFS(Cantidades[472330],Cantidades[cod Idu],'CantidadesConsolidadas'!$A55),2)</f>
        <v>0</v>
      </c>
      <c r="G55" s="497">
        <f>ROUND(SUMIFS(Cantidades[167810],Cantidades[cod Idu],'CantidadesConsolidadas'!$A55),2)</f>
        <v>0</v>
      </c>
      <c r="H55" s="497">
        <f>ROUND(SUMIFS(Cantidades[166646],Cantidades[cod Idu],'CantidadesConsolidadas'!$A55),2)</f>
        <v>1</v>
      </c>
      <c r="I55" s="497">
        <f>ROUND(SUMIFS(Cantidades[167491],Cantidades[cod Idu],'CantidadesConsolidadas'!$A55),2)</f>
        <v>0</v>
      </c>
      <c r="J55" s="497">
        <f>ROUND(SUMIFS(Cantidades[167266],Cantidades[cod Idu],'CantidadesConsolidadas'!$A55),2)</f>
        <v>0</v>
      </c>
      <c r="K55" s="497">
        <f>ROUND(SUMIFS(Cantidades[170896],Cantidades[cod Idu],'CantidadesConsolidadas'!$A55),2)</f>
        <v>0</v>
      </c>
      <c r="L55" s="497">
        <f>ROUND(SUMIFS(Cantidades[170897],Cantidades[cod Idu],'CantidadesConsolidadas'!$A55),2)</f>
        <v>0</v>
      </c>
      <c r="M55" s="497">
        <f>ROUND(SUMIFS(Cantidades[170898],Cantidades[cod Idu],'CantidadesConsolidadas'!$A55),2)</f>
        <v>0</v>
      </c>
      <c r="N55" s="497">
        <f>ROUND(SUMIFS(Cantidades[91064150],Cantidades[cod Idu],'CantidadesConsolidadas'!$A55),2)</f>
        <v>1</v>
      </c>
      <c r="O55" s="497">
        <f>ROUND(SUMIFS(Cantidades[168919],Cantidades[cod Idu],'CantidadesConsolidadas'!$A55),2)</f>
        <v>0</v>
      </c>
      <c r="P55" s="497">
        <f>ROUND(SUMIFS(Cantidades[168426],Cantidades[cod Idu],'CantidadesConsolidadas'!$A55),2)</f>
        <v>0</v>
      </c>
      <c r="Q55" s="497">
        <f>ROUND(SUMIFS(Cantidades[91020796],Cantidades[cod Idu],'CantidadesConsolidadas'!$A55),2)</f>
        <v>0</v>
      </c>
      <c r="R55" s="497">
        <f>ROUND(SUMIFS(Cantidades[176184],Cantidades[cod Idu],'CantidadesConsolidadas'!$A55),2)</f>
        <v>0</v>
      </c>
      <c r="S55" s="497">
        <f>ROUND(SUMIFS(Cantidades[167636],Cantidades[cod Idu],'CantidadesConsolidadas'!$A55),2)</f>
        <v>0</v>
      </c>
      <c r="T55" s="497">
        <f>ROUND(SUMIFS(Cantidades[176730],Cantidades[cod Idu],'CantidadesConsolidadas'!$A55),2)</f>
        <v>0</v>
      </c>
      <c r="U55" s="497">
        <f>ROUND(SUMIFS(Cantidades[173038],Cantidades[cod Idu],'CantidadesConsolidadas'!$A55),2)</f>
        <v>0</v>
      </c>
      <c r="V55" s="497">
        <f>ROUND(SUMIFS(Cantidades[170222],Cantidades[cod Idu],'CantidadesConsolidadas'!$A55),2)</f>
        <v>0</v>
      </c>
      <c r="W55" s="497">
        <f>ROUND(SUMIFS(Cantidades[170229],Cantidades[cod Idu],'CantidadesConsolidadas'!$A55),2)</f>
        <v>0</v>
      </c>
      <c r="X55" s="497">
        <f>ROUND(SUMIFS(Cantidades[170227],Cantidades[cod Idu],'CantidadesConsolidadas'!$A55),2)</f>
        <v>0</v>
      </c>
      <c r="Y55" s="497">
        <f>ROUND(SUMIFS(Cantidades[170226],Cantidades[cod Idu],'CantidadesConsolidadas'!$A55),2)</f>
        <v>0</v>
      </c>
      <c r="Z55" s="497">
        <f>ROUND(SUMIFS(Cantidades[171567],Cantidades[cod Idu],'CantidadesConsolidadas'!$A55),2)</f>
        <v>0</v>
      </c>
      <c r="AA55" s="497">
        <f>ROUND(SUMIFS(Cantidades[166632],Cantidades[cod Idu],'CantidadesConsolidadas'!$A55),2)</f>
        <v>0</v>
      </c>
      <c r="AB55" s="497">
        <f>ROUND(SUMIFS(Cantidades[170228],Cantidades[cod Idu],'CantidadesConsolidadas'!$A55),2)</f>
        <v>0</v>
      </c>
      <c r="AC55" s="497">
        <f>ROUND(SUMIFS(Cantidades[172926],Cantidades[cod Idu],'CantidadesConsolidadas'!$A55),2)</f>
        <v>0</v>
      </c>
      <c r="AD55" s="497">
        <f>ROUND(SUMIFS(Cantidades[171152],Cantidades[cod Idu],'CantidadesConsolidadas'!$A55),2)</f>
        <v>0</v>
      </c>
      <c r="AE55" s="497">
        <f>ROUND(SUMIFS(Cantidades[173058],Cantidades[cod Idu],'CantidadesConsolidadas'!$A55),2)</f>
        <v>0</v>
      </c>
      <c r="AF55" s="726">
        <f>ROUND(SUMIFS(Cantidades[174478],Cantidades[cod Idu],'CantidadesConsolidadas'!$A55),2)</f>
        <v>0</v>
      </c>
      <c r="AG55" s="726">
        <f>ROUND(SUMIFS(Cantidades[91010089],Cantidades[cod Idu],'CantidadesConsolidadas'!$A55),2)</f>
        <v>0</v>
      </c>
      <c r="AH55" s="726">
        <f>ROUND(SUMIFS(Cantidades[176122],Cantidades[cod Idu],'CantidadesConsolidadas'!$A55),2)</f>
        <v>0</v>
      </c>
      <c r="AI55" s="726">
        <f>ROUND(SUMIFS(Cantidades[168536],Cantidades[cod Idu],'CantidadesConsolidadas'!$A55),2)</f>
        <v>0</v>
      </c>
      <c r="AJ55" s="497">
        <f>ROUND(SUMIFS(Cantidades[166934],Cantidades[cod Idu],'CantidadesConsolidadas'!$A55),2)</f>
        <v>0</v>
      </c>
      <c r="AK55" s="497">
        <f>ROUND(SUMIFS(Cantidades[174353],Cantidades[cod Idu],'CantidadesConsolidadas'!$A55),2)</f>
        <v>0</v>
      </c>
      <c r="AL55" s="751">
        <f>ROUND(SUMIFS(Cantidades[52531],Cantidades[cod Idu],'CantidadesConsolidadas'!$A55),2)</f>
        <v>0</v>
      </c>
      <c r="AM55" s="500">
        <f>ROUND(SUMIFS(Cantidades[52456],Cantidades[cod Idu],'CantidadesConsolidadas'!$A55),2)</f>
        <v>0</v>
      </c>
      <c r="AN55" s="500">
        <f>ROUND(SUMIFS(Cantidades[92058103],Cantidades[cod Idu],'CantidadesConsolidadas'!$A55),2)</f>
        <v>0</v>
      </c>
      <c r="AO55" s="500">
        <f>ROUND(SUMIFS(Cantidades[20011114],Cantidades[cod Idu],'CantidadesConsolidadas'!$A55),2)</f>
        <v>0</v>
      </c>
      <c r="AP55" s="500">
        <f>ROUND(SUMIFS(Cantidades[20013540],Cantidades[cod Idu],'CantidadesConsolidadas'!$A55),2)</f>
        <v>0</v>
      </c>
      <c r="AQ55" s="500">
        <f>ROUND(SUMIFS(Cantidades[55337],Cantidades[cod Idu],'CantidadesConsolidadas'!$A55),2)</f>
        <v>0</v>
      </c>
      <c r="AR55" s="500">
        <f>ROUND(SUMIFS(Cantidades[92087422],Cantidades[cod Idu],'CantidadesConsolidadas'!$A55),2)</f>
        <v>0</v>
      </c>
      <c r="AS55" s="500">
        <f>ROUND(SUMIFS(Cantidades[55259],Cantidades[cod Idu],'CantidadesConsolidadas'!$A55),2)</f>
        <v>0</v>
      </c>
      <c r="AT55" s="500">
        <f>ROUND(SUMIFS(Cantidades[466904],Cantidades[cod Idu],'CantidadesConsolidadas'!$A55),2)</f>
        <v>0</v>
      </c>
      <c r="AU55" s="500">
        <f>ROUND(SUMIFS(Cantidades[48591],Cantidades[cod Idu],'CantidadesConsolidadas'!$A55),2)</f>
        <v>0</v>
      </c>
      <c r="AV55" s="500">
        <f>ROUND(SUMIFS(Cantidades[48590],Cantidades[cod Idu],'CantidadesConsolidadas'!$A55),2)</f>
        <v>0</v>
      </c>
      <c r="AW55" s="500">
        <f>ROUND(SUMIFS(Cantidades[48561],Cantidades[cod Idu],'CantidadesConsolidadas'!$A55),2)</f>
        <v>0</v>
      </c>
      <c r="AX55" s="805">
        <f>ROUND(SUMIFS(Cantidades[48560],Cantidades[cod Idu],'CantidadesConsolidadas'!$A55),2)</f>
        <v>0</v>
      </c>
      <c r="AY55" s="805">
        <f>ROUND(SUMIFS(Cantidades[48657],Cantidades[cod Idu],'CantidadesConsolidadas'!$A55),2)</f>
        <v>0</v>
      </c>
      <c r="AZ55" s="752">
        <f>ROUND(SUMIFS(Cantidades[48655],Cantidades[cod Idu],'CantidadesConsolidadas'!$A55),2)</f>
        <v>0</v>
      </c>
      <c r="BA55" s="758">
        <f>SUBTOTAL(9,CantidadesConsolidadas[[#This Row],[91013913]:[48655]])</f>
        <v>2</v>
      </c>
      <c r="BB55" s="638">
        <f>ROUND(CantidadesConsolidadas[[#This Row],[Total]]*CantidadesConsolidadas[[#This Row],[VU]],0)</f>
        <v>577324</v>
      </c>
    </row>
    <row r="56" spans="1:54" ht="15" thickBot="1" x14ac:dyDescent="0.35">
      <c r="A56">
        <v>7421</v>
      </c>
      <c r="B56" s="606" t="str">
        <f>+_xlfn.XLOOKUP(CantidadesConsolidadas[[#This Row],[cod Idu]],APU_IDU[Código],APU_IDU[Nombre],"",0)</f>
        <v>TEE PVC U.M. 6" X 4" (SUMINISTRO E INSTALACIÓN)</v>
      </c>
      <c r="C56" s="609" t="str">
        <f>+_xlfn.XLOOKUP(CantidadesConsolidadas[[#This Row],[cod Idu]],APU_IDU[Código],APU_IDU[UM],"",0)</f>
        <v>UN</v>
      </c>
      <c r="D56" s="743">
        <f>+_xlfn.XLOOKUP(CantidadesConsolidadas[[#This Row],[cod Idu]],APU_IDU[Código],APU_IDU[Valor],"",0)</f>
        <v>1926775</v>
      </c>
      <c r="E56" s="497">
        <f>ROUND(SUMIFS(Cantidades[91013913],Cantidades[cod Idu],'CantidadesConsolidadas'!$A56),2)</f>
        <v>0</v>
      </c>
      <c r="F56" s="497">
        <f>ROUND(SUMIFS(Cantidades[472330],Cantidades[cod Idu],'CantidadesConsolidadas'!$A56),2)</f>
        <v>0</v>
      </c>
      <c r="G56" s="497">
        <f>ROUND(SUMIFS(Cantidades[167810],Cantidades[cod Idu],'CantidadesConsolidadas'!$A56),2)</f>
        <v>0</v>
      </c>
      <c r="H56" s="497">
        <f>ROUND(SUMIFS(Cantidades[166646],Cantidades[cod Idu],'CantidadesConsolidadas'!$A56),2)</f>
        <v>0</v>
      </c>
      <c r="I56" s="497">
        <f>ROUND(SUMIFS(Cantidades[167491],Cantidades[cod Idu],'CantidadesConsolidadas'!$A56),2)</f>
        <v>0</v>
      </c>
      <c r="J56" s="497">
        <f>ROUND(SUMIFS(Cantidades[167266],Cantidades[cod Idu],'CantidadesConsolidadas'!$A56),2)</f>
        <v>0</v>
      </c>
      <c r="K56" s="497">
        <f>ROUND(SUMIFS(Cantidades[170896],Cantidades[cod Idu],'CantidadesConsolidadas'!$A56),2)</f>
        <v>0</v>
      </c>
      <c r="L56" s="497">
        <f>ROUND(SUMIFS(Cantidades[170897],Cantidades[cod Idu],'CantidadesConsolidadas'!$A56),2)</f>
        <v>0</v>
      </c>
      <c r="M56" s="497">
        <f>ROUND(SUMIFS(Cantidades[170898],Cantidades[cod Idu],'CantidadesConsolidadas'!$A56),2)</f>
        <v>0</v>
      </c>
      <c r="N56" s="497">
        <f>ROUND(SUMIFS(Cantidades[91064150],Cantidades[cod Idu],'CantidadesConsolidadas'!$A56),2)</f>
        <v>0</v>
      </c>
      <c r="O56" s="497">
        <f>ROUND(SUMIFS(Cantidades[168919],Cantidades[cod Idu],'CantidadesConsolidadas'!$A56),2)</f>
        <v>0</v>
      </c>
      <c r="P56" s="497">
        <f>ROUND(SUMIFS(Cantidades[168426],Cantidades[cod Idu],'CantidadesConsolidadas'!$A56),2)</f>
        <v>0</v>
      </c>
      <c r="Q56" s="497">
        <f>ROUND(SUMIFS(Cantidades[91020796],Cantidades[cod Idu],'CantidadesConsolidadas'!$A56),2)</f>
        <v>0</v>
      </c>
      <c r="R56" s="497">
        <f>ROUND(SUMIFS(Cantidades[176184],Cantidades[cod Idu],'CantidadesConsolidadas'!$A56),2)</f>
        <v>1</v>
      </c>
      <c r="S56" s="497">
        <f>ROUND(SUMIFS(Cantidades[167636],Cantidades[cod Idu],'CantidadesConsolidadas'!$A56),2)</f>
        <v>0</v>
      </c>
      <c r="T56" s="497">
        <f>ROUND(SUMIFS(Cantidades[176730],Cantidades[cod Idu],'CantidadesConsolidadas'!$A56),2)</f>
        <v>0</v>
      </c>
      <c r="U56" s="497">
        <f>ROUND(SUMIFS(Cantidades[173038],Cantidades[cod Idu],'CantidadesConsolidadas'!$A56),2)</f>
        <v>0</v>
      </c>
      <c r="V56" s="497">
        <f>ROUND(SUMIFS(Cantidades[170222],Cantidades[cod Idu],'CantidadesConsolidadas'!$A56),2)</f>
        <v>0</v>
      </c>
      <c r="W56" s="497">
        <f>ROUND(SUMIFS(Cantidades[170229],Cantidades[cod Idu],'CantidadesConsolidadas'!$A56),2)</f>
        <v>0</v>
      </c>
      <c r="X56" s="497">
        <f>ROUND(SUMIFS(Cantidades[170227],Cantidades[cod Idu],'CantidadesConsolidadas'!$A56),2)</f>
        <v>0</v>
      </c>
      <c r="Y56" s="497">
        <f>ROUND(SUMIFS(Cantidades[170226],Cantidades[cod Idu],'CantidadesConsolidadas'!$A56),2)</f>
        <v>0</v>
      </c>
      <c r="Z56" s="497">
        <f>ROUND(SUMIFS(Cantidades[171567],Cantidades[cod Idu],'CantidadesConsolidadas'!$A56),2)</f>
        <v>0</v>
      </c>
      <c r="AA56" s="497">
        <f>ROUND(SUMIFS(Cantidades[166632],Cantidades[cod Idu],'CantidadesConsolidadas'!$A56),2)</f>
        <v>0</v>
      </c>
      <c r="AB56" s="497">
        <f>ROUND(SUMIFS(Cantidades[170228],Cantidades[cod Idu],'CantidadesConsolidadas'!$A56),2)</f>
        <v>0</v>
      </c>
      <c r="AC56" s="497">
        <f>ROUND(SUMIFS(Cantidades[172926],Cantidades[cod Idu],'CantidadesConsolidadas'!$A56),2)</f>
        <v>0</v>
      </c>
      <c r="AD56" s="497">
        <f>ROUND(SUMIFS(Cantidades[171152],Cantidades[cod Idu],'CantidadesConsolidadas'!$A56),2)</f>
        <v>0</v>
      </c>
      <c r="AE56" s="497">
        <f>ROUND(SUMIFS(Cantidades[173058],Cantidades[cod Idu],'CantidadesConsolidadas'!$A56),2)</f>
        <v>0</v>
      </c>
      <c r="AF56" s="726">
        <f>ROUND(SUMIFS(Cantidades[174478],Cantidades[cod Idu],'CantidadesConsolidadas'!$A56),2)</f>
        <v>0</v>
      </c>
      <c r="AG56" s="726">
        <f>ROUND(SUMIFS(Cantidades[91010089],Cantidades[cod Idu],'CantidadesConsolidadas'!$A56),2)</f>
        <v>0</v>
      </c>
      <c r="AH56" s="726">
        <f>ROUND(SUMIFS(Cantidades[176122],Cantidades[cod Idu],'CantidadesConsolidadas'!$A56),2)</f>
        <v>0</v>
      </c>
      <c r="AI56" s="726">
        <f>ROUND(SUMIFS(Cantidades[168536],Cantidades[cod Idu],'CantidadesConsolidadas'!$A56),2)</f>
        <v>0</v>
      </c>
      <c r="AJ56" s="497">
        <f>ROUND(SUMIFS(Cantidades[166934],Cantidades[cod Idu],'CantidadesConsolidadas'!$A56),2)</f>
        <v>0</v>
      </c>
      <c r="AK56" s="497">
        <f>ROUND(SUMIFS(Cantidades[174353],Cantidades[cod Idu],'CantidadesConsolidadas'!$A56),2)</f>
        <v>0</v>
      </c>
      <c r="AL56" s="751">
        <f>ROUND(SUMIFS(Cantidades[52531],Cantidades[cod Idu],'CantidadesConsolidadas'!$A56),2)</f>
        <v>0</v>
      </c>
      <c r="AM56" s="500">
        <f>ROUND(SUMIFS(Cantidades[52456],Cantidades[cod Idu],'CantidadesConsolidadas'!$A56),2)</f>
        <v>0</v>
      </c>
      <c r="AN56" s="500">
        <f>ROUND(SUMIFS(Cantidades[92058103],Cantidades[cod Idu],'CantidadesConsolidadas'!$A56),2)</f>
        <v>0</v>
      </c>
      <c r="AO56" s="500">
        <f>ROUND(SUMIFS(Cantidades[20011114],Cantidades[cod Idu],'CantidadesConsolidadas'!$A56),2)</f>
        <v>0</v>
      </c>
      <c r="AP56" s="500">
        <f>ROUND(SUMIFS(Cantidades[20013540],Cantidades[cod Idu],'CantidadesConsolidadas'!$A56),2)</f>
        <v>0</v>
      </c>
      <c r="AQ56" s="500">
        <f>ROUND(SUMIFS(Cantidades[55337],Cantidades[cod Idu],'CantidadesConsolidadas'!$A56),2)</f>
        <v>0</v>
      </c>
      <c r="AR56" s="500">
        <f>ROUND(SUMIFS(Cantidades[92087422],Cantidades[cod Idu],'CantidadesConsolidadas'!$A56),2)</f>
        <v>0</v>
      </c>
      <c r="AS56" s="500">
        <f>ROUND(SUMIFS(Cantidades[55259],Cantidades[cod Idu],'CantidadesConsolidadas'!$A56),2)</f>
        <v>0</v>
      </c>
      <c r="AT56" s="500">
        <f>ROUND(SUMIFS(Cantidades[466904],Cantidades[cod Idu],'CantidadesConsolidadas'!$A56),2)</f>
        <v>0</v>
      </c>
      <c r="AU56" s="500">
        <f>ROUND(SUMIFS(Cantidades[48591],Cantidades[cod Idu],'CantidadesConsolidadas'!$A56),2)</f>
        <v>0</v>
      </c>
      <c r="AV56" s="500">
        <f>ROUND(SUMIFS(Cantidades[48590],Cantidades[cod Idu],'CantidadesConsolidadas'!$A56),2)</f>
        <v>0</v>
      </c>
      <c r="AW56" s="500">
        <f>ROUND(SUMIFS(Cantidades[48561],Cantidades[cod Idu],'CantidadesConsolidadas'!$A56),2)</f>
        <v>0</v>
      </c>
      <c r="AX56" s="805">
        <f>ROUND(SUMIFS(Cantidades[48560],Cantidades[cod Idu],'CantidadesConsolidadas'!$A56),2)</f>
        <v>0</v>
      </c>
      <c r="AY56" s="805">
        <f>ROUND(SUMIFS(Cantidades[48657],Cantidades[cod Idu],'CantidadesConsolidadas'!$A56),2)</f>
        <v>0</v>
      </c>
      <c r="AZ56" s="752">
        <f>ROUND(SUMIFS(Cantidades[48655],Cantidades[cod Idu],'CantidadesConsolidadas'!$A56),2)</f>
        <v>0</v>
      </c>
      <c r="BA56" s="758">
        <f>SUBTOTAL(9,CantidadesConsolidadas[[#This Row],[91013913]:[48655]])</f>
        <v>1</v>
      </c>
      <c r="BB56" s="638">
        <f>ROUND(CantidadesConsolidadas[[#This Row],[Total]]*CantidadesConsolidadas[[#This Row],[VU]],0)</f>
        <v>1926775</v>
      </c>
    </row>
    <row r="57" spans="1:54" ht="15" thickBot="1" x14ac:dyDescent="0.35">
      <c r="A57">
        <v>7727</v>
      </c>
      <c r="B57" s="606" t="str">
        <f>+_xlfn.XLOOKUP(CantidadesConsolidadas[[#This Row],[cod Idu]],APU_IDU[Código],APU_IDU[Nombre],"",0)</f>
        <v>TEE PVC U.M. 8" X 4" (SUMINISTRO E INSTALACIÓN)</v>
      </c>
      <c r="C57" s="609" t="str">
        <f>+_xlfn.XLOOKUP(CantidadesConsolidadas[[#This Row],[cod Idu]],APU_IDU[Código],APU_IDU[UM],"",0)</f>
        <v>UN</v>
      </c>
      <c r="D57" s="743">
        <f>+_xlfn.XLOOKUP(CantidadesConsolidadas[[#This Row],[cod Idu]],APU_IDU[Código],APU_IDU[Valor],"",0)</f>
        <v>3234266</v>
      </c>
      <c r="E57" s="497">
        <f>ROUND(SUMIFS(Cantidades[91013913],Cantidades[cod Idu],'CantidadesConsolidadas'!$A57),2)</f>
        <v>0</v>
      </c>
      <c r="F57" s="497">
        <f>ROUND(SUMIFS(Cantidades[472330],Cantidades[cod Idu],'CantidadesConsolidadas'!$A57),2)</f>
        <v>0</v>
      </c>
      <c r="G57" s="497">
        <f>ROUND(SUMIFS(Cantidades[167810],Cantidades[cod Idu],'CantidadesConsolidadas'!$A57),2)</f>
        <v>0</v>
      </c>
      <c r="H57" s="497">
        <f>ROUND(SUMIFS(Cantidades[166646],Cantidades[cod Idu],'CantidadesConsolidadas'!$A57),2)</f>
        <v>0</v>
      </c>
      <c r="I57" s="497">
        <f>ROUND(SUMIFS(Cantidades[167491],Cantidades[cod Idu],'CantidadesConsolidadas'!$A57),2)</f>
        <v>0</v>
      </c>
      <c r="J57" s="497">
        <f>ROUND(SUMIFS(Cantidades[167266],Cantidades[cod Idu],'CantidadesConsolidadas'!$A57),2)</f>
        <v>1</v>
      </c>
      <c r="K57" s="497">
        <f>ROUND(SUMIFS(Cantidades[170896],Cantidades[cod Idu],'CantidadesConsolidadas'!$A57),2)</f>
        <v>0</v>
      </c>
      <c r="L57" s="497">
        <f>ROUND(SUMIFS(Cantidades[170897],Cantidades[cod Idu],'CantidadesConsolidadas'!$A57),2)</f>
        <v>0</v>
      </c>
      <c r="M57" s="497">
        <f>ROUND(SUMIFS(Cantidades[170898],Cantidades[cod Idu],'CantidadesConsolidadas'!$A57),2)</f>
        <v>0</v>
      </c>
      <c r="N57" s="497">
        <f>ROUND(SUMIFS(Cantidades[91064150],Cantidades[cod Idu],'CantidadesConsolidadas'!$A57),2)</f>
        <v>0</v>
      </c>
      <c r="O57" s="497">
        <f>ROUND(SUMIFS(Cantidades[168919],Cantidades[cod Idu],'CantidadesConsolidadas'!$A57),2)</f>
        <v>1</v>
      </c>
      <c r="P57" s="497">
        <f>ROUND(SUMIFS(Cantidades[168426],Cantidades[cod Idu],'CantidadesConsolidadas'!$A57),2)</f>
        <v>0</v>
      </c>
      <c r="Q57" s="497">
        <f>ROUND(SUMIFS(Cantidades[91020796],Cantidades[cod Idu],'CantidadesConsolidadas'!$A57),2)</f>
        <v>0</v>
      </c>
      <c r="R57" s="497">
        <f>ROUND(SUMIFS(Cantidades[176184],Cantidades[cod Idu],'CantidadesConsolidadas'!$A57),2)</f>
        <v>1</v>
      </c>
      <c r="S57" s="497">
        <f>ROUND(SUMIFS(Cantidades[167636],Cantidades[cod Idu],'CantidadesConsolidadas'!$A57),2)</f>
        <v>0</v>
      </c>
      <c r="T57" s="497">
        <f>ROUND(SUMIFS(Cantidades[176730],Cantidades[cod Idu],'CantidadesConsolidadas'!$A57),2)</f>
        <v>0</v>
      </c>
      <c r="U57" s="497">
        <f>ROUND(SUMIFS(Cantidades[173038],Cantidades[cod Idu],'CantidadesConsolidadas'!$A57),2)</f>
        <v>0</v>
      </c>
      <c r="V57" s="497">
        <f>ROUND(SUMIFS(Cantidades[170222],Cantidades[cod Idu],'CantidadesConsolidadas'!$A57),2)</f>
        <v>0</v>
      </c>
      <c r="W57" s="497">
        <f>ROUND(SUMIFS(Cantidades[170229],Cantidades[cod Idu],'CantidadesConsolidadas'!$A57),2)</f>
        <v>0</v>
      </c>
      <c r="X57" s="497">
        <f>ROUND(SUMIFS(Cantidades[170227],Cantidades[cod Idu],'CantidadesConsolidadas'!$A57),2)</f>
        <v>0</v>
      </c>
      <c r="Y57" s="497">
        <f>ROUND(SUMIFS(Cantidades[170226],Cantidades[cod Idu],'CantidadesConsolidadas'!$A57),2)</f>
        <v>0</v>
      </c>
      <c r="Z57" s="497">
        <f>ROUND(SUMIFS(Cantidades[171567],Cantidades[cod Idu],'CantidadesConsolidadas'!$A57),2)</f>
        <v>0</v>
      </c>
      <c r="AA57" s="497">
        <f>ROUND(SUMIFS(Cantidades[166632],Cantidades[cod Idu],'CantidadesConsolidadas'!$A57),2)</f>
        <v>0</v>
      </c>
      <c r="AB57" s="497">
        <f>ROUND(SUMIFS(Cantidades[170228],Cantidades[cod Idu],'CantidadesConsolidadas'!$A57),2)</f>
        <v>0</v>
      </c>
      <c r="AC57" s="497">
        <f>ROUND(SUMIFS(Cantidades[172926],Cantidades[cod Idu],'CantidadesConsolidadas'!$A57),2)</f>
        <v>0</v>
      </c>
      <c r="AD57" s="497">
        <f>ROUND(SUMIFS(Cantidades[171152],Cantidades[cod Idu],'CantidadesConsolidadas'!$A57),2)</f>
        <v>0</v>
      </c>
      <c r="AE57" s="497">
        <f>ROUND(SUMIFS(Cantidades[173058],Cantidades[cod Idu],'CantidadesConsolidadas'!$A57),2)</f>
        <v>0</v>
      </c>
      <c r="AF57" s="726">
        <f>ROUND(SUMIFS(Cantidades[174478],Cantidades[cod Idu],'CantidadesConsolidadas'!$A57),2)</f>
        <v>0</v>
      </c>
      <c r="AG57" s="726">
        <f>ROUND(SUMIFS(Cantidades[91010089],Cantidades[cod Idu],'CantidadesConsolidadas'!$A57),2)</f>
        <v>0</v>
      </c>
      <c r="AH57" s="726">
        <f>ROUND(SUMIFS(Cantidades[176122],Cantidades[cod Idu],'CantidadesConsolidadas'!$A57),2)</f>
        <v>0</v>
      </c>
      <c r="AI57" s="726">
        <f>ROUND(SUMIFS(Cantidades[168536],Cantidades[cod Idu],'CantidadesConsolidadas'!$A57),2)</f>
        <v>0</v>
      </c>
      <c r="AJ57" s="497">
        <f>ROUND(SUMIFS(Cantidades[166934],Cantidades[cod Idu],'CantidadesConsolidadas'!$A57),2)</f>
        <v>0</v>
      </c>
      <c r="AK57" s="497">
        <f>ROUND(SUMIFS(Cantidades[174353],Cantidades[cod Idu],'CantidadesConsolidadas'!$A57),2)</f>
        <v>0</v>
      </c>
      <c r="AL57" s="751">
        <f>ROUND(SUMIFS(Cantidades[52531],Cantidades[cod Idu],'CantidadesConsolidadas'!$A57),2)</f>
        <v>0</v>
      </c>
      <c r="AM57" s="500">
        <f>ROUND(SUMIFS(Cantidades[52456],Cantidades[cod Idu],'CantidadesConsolidadas'!$A57),2)</f>
        <v>0</v>
      </c>
      <c r="AN57" s="500">
        <f>ROUND(SUMIFS(Cantidades[92058103],Cantidades[cod Idu],'CantidadesConsolidadas'!$A57),2)</f>
        <v>0</v>
      </c>
      <c r="AO57" s="500">
        <f>ROUND(SUMIFS(Cantidades[20011114],Cantidades[cod Idu],'CantidadesConsolidadas'!$A57),2)</f>
        <v>0</v>
      </c>
      <c r="AP57" s="500">
        <f>ROUND(SUMIFS(Cantidades[20013540],Cantidades[cod Idu],'CantidadesConsolidadas'!$A57),2)</f>
        <v>0</v>
      </c>
      <c r="AQ57" s="500">
        <f>ROUND(SUMIFS(Cantidades[55337],Cantidades[cod Idu],'CantidadesConsolidadas'!$A57),2)</f>
        <v>0</v>
      </c>
      <c r="AR57" s="500">
        <f>ROUND(SUMIFS(Cantidades[92087422],Cantidades[cod Idu],'CantidadesConsolidadas'!$A57),2)</f>
        <v>0</v>
      </c>
      <c r="AS57" s="500">
        <f>ROUND(SUMIFS(Cantidades[55259],Cantidades[cod Idu],'CantidadesConsolidadas'!$A57),2)</f>
        <v>0</v>
      </c>
      <c r="AT57" s="500">
        <f>ROUND(SUMIFS(Cantidades[466904],Cantidades[cod Idu],'CantidadesConsolidadas'!$A57),2)</f>
        <v>0</v>
      </c>
      <c r="AU57" s="500">
        <f>ROUND(SUMIFS(Cantidades[48591],Cantidades[cod Idu],'CantidadesConsolidadas'!$A57),2)</f>
        <v>0</v>
      </c>
      <c r="AV57" s="500">
        <f>ROUND(SUMIFS(Cantidades[48590],Cantidades[cod Idu],'CantidadesConsolidadas'!$A57),2)</f>
        <v>0</v>
      </c>
      <c r="AW57" s="500">
        <f>ROUND(SUMIFS(Cantidades[48561],Cantidades[cod Idu],'CantidadesConsolidadas'!$A57),2)</f>
        <v>0</v>
      </c>
      <c r="AX57" s="805">
        <f>ROUND(SUMIFS(Cantidades[48560],Cantidades[cod Idu],'CantidadesConsolidadas'!$A57),2)</f>
        <v>0</v>
      </c>
      <c r="AY57" s="805">
        <f>ROUND(SUMIFS(Cantidades[48657],Cantidades[cod Idu],'CantidadesConsolidadas'!$A57),2)</f>
        <v>0</v>
      </c>
      <c r="AZ57" s="752">
        <f>ROUND(SUMIFS(Cantidades[48655],Cantidades[cod Idu],'CantidadesConsolidadas'!$A57),2)</f>
        <v>0</v>
      </c>
      <c r="BA57" s="758">
        <f>SUBTOTAL(9,CantidadesConsolidadas[[#This Row],[91013913]:[48655]])</f>
        <v>3</v>
      </c>
      <c r="BB57" s="638">
        <f>ROUND(CantidadesConsolidadas[[#This Row],[Total]]*CantidadesConsolidadas[[#This Row],[VU]],0)</f>
        <v>9702798</v>
      </c>
    </row>
    <row r="58" spans="1:54" ht="15" thickBot="1" x14ac:dyDescent="0.35">
      <c r="A58">
        <v>4558</v>
      </c>
      <c r="B58" s="606" t="str">
        <f>+_xlfn.XLOOKUP(CantidadesConsolidadas[[#This Row],[cod Idu]],APU_IDU[Código],APU_IDU[Nombre],"",0)</f>
        <v>SUMIDERO ALCANTARILLADO PLUVIAL EN VIA NS-047-1V4 EAAB</v>
      </c>
      <c r="C58" s="609" t="str">
        <f>+_xlfn.XLOOKUP(CantidadesConsolidadas[[#This Row],[cod Idu]],APU_IDU[Código],APU_IDU[UM],"",0)</f>
        <v>UN</v>
      </c>
      <c r="D58" s="743">
        <f>+_xlfn.XLOOKUP(CantidadesConsolidadas[[#This Row],[cod Idu]],APU_IDU[Código],APU_IDU[Valor],"",0)</f>
        <v>8015596</v>
      </c>
      <c r="E58" s="497">
        <f>ROUND(SUMIFS(Cantidades[91013913],Cantidades[cod Idu],'CantidadesConsolidadas'!$A58),2)</f>
        <v>0</v>
      </c>
      <c r="F58" s="497">
        <f>ROUND(SUMIFS(Cantidades[472330],Cantidades[cod Idu],'CantidadesConsolidadas'!$A58),2)</f>
        <v>0</v>
      </c>
      <c r="G58" s="497">
        <f>ROUND(SUMIFS(Cantidades[167810],Cantidades[cod Idu],'CantidadesConsolidadas'!$A58),2)</f>
        <v>0</v>
      </c>
      <c r="H58" s="497">
        <f>ROUND(SUMIFS(Cantidades[166646],Cantidades[cod Idu],'CantidadesConsolidadas'!$A58),2)</f>
        <v>0</v>
      </c>
      <c r="I58" s="497">
        <f>ROUND(SUMIFS(Cantidades[167491],Cantidades[cod Idu],'CantidadesConsolidadas'!$A58),2)</f>
        <v>0</v>
      </c>
      <c r="J58" s="497">
        <f>ROUND(SUMIFS(Cantidades[167266],Cantidades[cod Idu],'CantidadesConsolidadas'!$A58),2)</f>
        <v>0</v>
      </c>
      <c r="K58" s="497">
        <f>ROUND(SUMIFS(Cantidades[170896],Cantidades[cod Idu],'CantidadesConsolidadas'!$A58),2)</f>
        <v>0</v>
      </c>
      <c r="L58" s="497">
        <f>ROUND(SUMIFS(Cantidades[170897],Cantidades[cod Idu],'CantidadesConsolidadas'!$A58),2)</f>
        <v>0</v>
      </c>
      <c r="M58" s="497">
        <f>ROUND(SUMIFS(Cantidades[170898],Cantidades[cod Idu],'CantidadesConsolidadas'!$A58),2)</f>
        <v>0</v>
      </c>
      <c r="N58" s="497">
        <f>ROUND(SUMIFS(Cantidades[91064150],Cantidades[cod Idu],'CantidadesConsolidadas'!$A58),2)</f>
        <v>0</v>
      </c>
      <c r="O58" s="497">
        <f>ROUND(SUMIFS(Cantidades[168919],Cantidades[cod Idu],'CantidadesConsolidadas'!$A58),2)</f>
        <v>0</v>
      </c>
      <c r="P58" s="497">
        <f>ROUND(SUMIFS(Cantidades[168426],Cantidades[cod Idu],'CantidadesConsolidadas'!$A58),2)</f>
        <v>0</v>
      </c>
      <c r="Q58" s="497">
        <f>ROUND(SUMIFS(Cantidades[91020796],Cantidades[cod Idu],'CantidadesConsolidadas'!$A58),2)</f>
        <v>0</v>
      </c>
      <c r="R58" s="497">
        <f>ROUND(SUMIFS(Cantidades[176184],Cantidades[cod Idu],'CantidadesConsolidadas'!$A58),2)</f>
        <v>0</v>
      </c>
      <c r="S58" s="497">
        <f>ROUND(SUMIFS(Cantidades[167636],Cantidades[cod Idu],'CantidadesConsolidadas'!$A58),2)</f>
        <v>0</v>
      </c>
      <c r="T58" s="497">
        <f>ROUND(SUMIFS(Cantidades[176730],Cantidades[cod Idu],'CantidadesConsolidadas'!$A58),2)</f>
        <v>0</v>
      </c>
      <c r="U58" s="497">
        <f>ROUND(SUMIFS(Cantidades[173038],Cantidades[cod Idu],'CantidadesConsolidadas'!$A58),2)</f>
        <v>0</v>
      </c>
      <c r="V58" s="497">
        <f>ROUND(SUMIFS(Cantidades[170222],Cantidades[cod Idu],'CantidadesConsolidadas'!$A58),2)</f>
        <v>0</v>
      </c>
      <c r="W58" s="497">
        <f>ROUND(SUMIFS(Cantidades[170229],Cantidades[cod Idu],'CantidadesConsolidadas'!$A58),2)</f>
        <v>0</v>
      </c>
      <c r="X58" s="497">
        <f>ROUND(SUMIFS(Cantidades[170227],Cantidades[cod Idu],'CantidadesConsolidadas'!$A58),2)</f>
        <v>0</v>
      </c>
      <c r="Y58" s="497">
        <f>ROUND(SUMIFS(Cantidades[170226],Cantidades[cod Idu],'CantidadesConsolidadas'!$A58),2)</f>
        <v>1</v>
      </c>
      <c r="Z58" s="497">
        <f>ROUND(SUMIFS(Cantidades[171567],Cantidades[cod Idu],'CantidadesConsolidadas'!$A58),2)</f>
        <v>0</v>
      </c>
      <c r="AA58" s="497">
        <f>ROUND(SUMIFS(Cantidades[166632],Cantidades[cod Idu],'CantidadesConsolidadas'!$A58),2)</f>
        <v>0</v>
      </c>
      <c r="AB58" s="497">
        <f>ROUND(SUMIFS(Cantidades[170228],Cantidades[cod Idu],'CantidadesConsolidadas'!$A58),2)</f>
        <v>0</v>
      </c>
      <c r="AC58" s="497">
        <f>ROUND(SUMIFS(Cantidades[172926],Cantidades[cod Idu],'CantidadesConsolidadas'!$A58),2)</f>
        <v>0</v>
      </c>
      <c r="AD58" s="497">
        <f>ROUND(SUMIFS(Cantidades[171152],Cantidades[cod Idu],'CantidadesConsolidadas'!$A58),2)</f>
        <v>0</v>
      </c>
      <c r="AE58" s="497">
        <f>ROUND(SUMIFS(Cantidades[173058],Cantidades[cod Idu],'CantidadesConsolidadas'!$A58),2)</f>
        <v>0</v>
      </c>
      <c r="AF58" s="726">
        <f>ROUND(SUMIFS(Cantidades[174478],Cantidades[cod Idu],'CantidadesConsolidadas'!$A58),2)</f>
        <v>0</v>
      </c>
      <c r="AG58" s="726">
        <f>ROUND(SUMIFS(Cantidades[91010089],Cantidades[cod Idu],'CantidadesConsolidadas'!$A58),2)</f>
        <v>0</v>
      </c>
      <c r="AH58" s="726">
        <f>ROUND(SUMIFS(Cantidades[176122],Cantidades[cod Idu],'CantidadesConsolidadas'!$A58),2)</f>
        <v>0</v>
      </c>
      <c r="AI58" s="726">
        <f>ROUND(SUMIFS(Cantidades[168536],Cantidades[cod Idu],'CantidadesConsolidadas'!$A58),2)</f>
        <v>0</v>
      </c>
      <c r="AJ58" s="497">
        <f>ROUND(SUMIFS(Cantidades[166934],Cantidades[cod Idu],'CantidadesConsolidadas'!$A58),2)</f>
        <v>0</v>
      </c>
      <c r="AK58" s="497">
        <f>ROUND(SUMIFS(Cantidades[174353],Cantidades[cod Idu],'CantidadesConsolidadas'!$A58),2)</f>
        <v>0</v>
      </c>
      <c r="AL58" s="751">
        <f>ROUND(SUMIFS(Cantidades[52531],Cantidades[cod Idu],'CantidadesConsolidadas'!$A58),2)</f>
        <v>0</v>
      </c>
      <c r="AM58" s="500">
        <f>ROUND(SUMIFS(Cantidades[52456],Cantidades[cod Idu],'CantidadesConsolidadas'!$A58),2)</f>
        <v>0</v>
      </c>
      <c r="AN58" s="500">
        <f>ROUND(SUMIFS(Cantidades[92058103],Cantidades[cod Idu],'CantidadesConsolidadas'!$A58),2)</f>
        <v>0</v>
      </c>
      <c r="AO58" s="500">
        <f>ROUND(SUMIFS(Cantidades[20011114],Cantidades[cod Idu],'CantidadesConsolidadas'!$A58),2)</f>
        <v>0</v>
      </c>
      <c r="AP58" s="500">
        <f>ROUND(SUMIFS(Cantidades[20013540],Cantidades[cod Idu],'CantidadesConsolidadas'!$A58),2)</f>
        <v>0</v>
      </c>
      <c r="AQ58" s="500">
        <f>ROUND(SUMIFS(Cantidades[55337],Cantidades[cod Idu],'CantidadesConsolidadas'!$A58),2)</f>
        <v>0</v>
      </c>
      <c r="AR58" s="500">
        <f>ROUND(SUMIFS(Cantidades[92087422],Cantidades[cod Idu],'CantidadesConsolidadas'!$A58),2)</f>
        <v>0</v>
      </c>
      <c r="AS58" s="500">
        <f>ROUND(SUMIFS(Cantidades[55259],Cantidades[cod Idu],'CantidadesConsolidadas'!$A58),2)</f>
        <v>0</v>
      </c>
      <c r="AT58" s="500">
        <f>ROUND(SUMIFS(Cantidades[466904],Cantidades[cod Idu],'CantidadesConsolidadas'!$A58),2)</f>
        <v>0</v>
      </c>
      <c r="AU58" s="500">
        <f>ROUND(SUMIFS(Cantidades[48591],Cantidades[cod Idu],'CantidadesConsolidadas'!$A58),2)</f>
        <v>0</v>
      </c>
      <c r="AV58" s="500">
        <f>ROUND(SUMIFS(Cantidades[48590],Cantidades[cod Idu],'CantidadesConsolidadas'!$A58),2)</f>
        <v>0</v>
      </c>
      <c r="AW58" s="500">
        <f>ROUND(SUMIFS(Cantidades[48561],Cantidades[cod Idu],'CantidadesConsolidadas'!$A58),2)</f>
        <v>0</v>
      </c>
      <c r="AX58" s="805">
        <f>ROUND(SUMIFS(Cantidades[48560],Cantidades[cod Idu],'CantidadesConsolidadas'!$A58),2)</f>
        <v>0</v>
      </c>
      <c r="AY58" s="805">
        <f>ROUND(SUMIFS(Cantidades[48657],Cantidades[cod Idu],'CantidadesConsolidadas'!$A58),2)</f>
        <v>0</v>
      </c>
      <c r="AZ58" s="752">
        <f>ROUND(SUMIFS(Cantidades[48655],Cantidades[cod Idu],'CantidadesConsolidadas'!$A58),2)</f>
        <v>0</v>
      </c>
      <c r="BA58" s="758">
        <f>SUBTOTAL(9,CantidadesConsolidadas[[#This Row],[91013913]:[48655]])</f>
        <v>1</v>
      </c>
      <c r="BB58" s="638">
        <f>ROUND(CantidadesConsolidadas[[#This Row],[Total]]*CantidadesConsolidadas[[#This Row],[VU]],0)</f>
        <v>8015596</v>
      </c>
    </row>
    <row r="59" spans="1:54" ht="29.4" thickBot="1" x14ac:dyDescent="0.35">
      <c r="A59">
        <v>5015</v>
      </c>
      <c r="B59" s="606" t="str">
        <f>+_xlfn.XLOOKUP(CantidadesConsolidadas[[#This Row],[cod Idu]],APU_IDU[Código],APU_IDU[Nombre],"",0)</f>
        <v>CAJA DE INSPECCION 0.80X0.8M. SUMINISTRO Y CONSTRUCCION. (H=0.6M. INCLUYE MARCO Y TAPA, NO INCLUYE BASE Y CAÑUELA).</v>
      </c>
      <c r="C59" s="609" t="str">
        <f>+_xlfn.XLOOKUP(CantidadesConsolidadas[[#This Row],[cod Idu]],APU_IDU[Código],APU_IDU[UM],"",0)</f>
        <v>UN</v>
      </c>
      <c r="D59" s="743">
        <f>+_xlfn.XLOOKUP(CantidadesConsolidadas[[#This Row],[cod Idu]],APU_IDU[Código],APU_IDU[Valor],"",0)</f>
        <v>729363</v>
      </c>
      <c r="E59" s="497">
        <f>ROUND(SUMIFS(Cantidades[91013913],Cantidades[cod Idu],'CantidadesConsolidadas'!$A59),2)</f>
        <v>0</v>
      </c>
      <c r="F59" s="497">
        <f>ROUND(SUMIFS(Cantidades[472330],Cantidades[cod Idu],'CantidadesConsolidadas'!$A59),2)</f>
        <v>1</v>
      </c>
      <c r="G59" s="497">
        <f>ROUND(SUMIFS(Cantidades[167810],Cantidades[cod Idu],'CantidadesConsolidadas'!$A59),2)</f>
        <v>0</v>
      </c>
      <c r="H59" s="497">
        <f>ROUND(SUMIFS(Cantidades[166646],Cantidades[cod Idu],'CantidadesConsolidadas'!$A59),2)</f>
        <v>0</v>
      </c>
      <c r="I59" s="497">
        <f>ROUND(SUMIFS(Cantidades[167491],Cantidades[cod Idu],'CantidadesConsolidadas'!$A59),2)</f>
        <v>0</v>
      </c>
      <c r="J59" s="497">
        <f>ROUND(SUMIFS(Cantidades[167266],Cantidades[cod Idu],'CantidadesConsolidadas'!$A59),2)</f>
        <v>0</v>
      </c>
      <c r="K59" s="497">
        <f>ROUND(SUMIFS(Cantidades[170896],Cantidades[cod Idu],'CantidadesConsolidadas'!$A59),2)</f>
        <v>0</v>
      </c>
      <c r="L59" s="497">
        <f>ROUND(SUMIFS(Cantidades[170897],Cantidades[cod Idu],'CantidadesConsolidadas'!$A59),2)</f>
        <v>0</v>
      </c>
      <c r="M59" s="497">
        <f>ROUND(SUMIFS(Cantidades[170898],Cantidades[cod Idu],'CantidadesConsolidadas'!$A59),2)</f>
        <v>0</v>
      </c>
      <c r="N59" s="497">
        <f>ROUND(SUMIFS(Cantidades[91064150],Cantidades[cod Idu],'CantidadesConsolidadas'!$A59),2)</f>
        <v>0</v>
      </c>
      <c r="O59" s="497">
        <f>ROUND(SUMIFS(Cantidades[168919],Cantidades[cod Idu],'CantidadesConsolidadas'!$A59),2)</f>
        <v>0</v>
      </c>
      <c r="P59" s="497">
        <f>ROUND(SUMIFS(Cantidades[168426],Cantidades[cod Idu],'CantidadesConsolidadas'!$A59),2)</f>
        <v>0</v>
      </c>
      <c r="Q59" s="497">
        <f>ROUND(SUMIFS(Cantidades[91020796],Cantidades[cod Idu],'CantidadesConsolidadas'!$A59),2)</f>
        <v>0</v>
      </c>
      <c r="R59" s="497">
        <f>ROUND(SUMIFS(Cantidades[176184],Cantidades[cod Idu],'CantidadesConsolidadas'!$A59),2)</f>
        <v>0</v>
      </c>
      <c r="S59" s="497">
        <f>ROUND(SUMIFS(Cantidades[167636],Cantidades[cod Idu],'CantidadesConsolidadas'!$A59),2)</f>
        <v>0</v>
      </c>
      <c r="T59" s="497">
        <f>ROUND(SUMIFS(Cantidades[176730],Cantidades[cod Idu],'CantidadesConsolidadas'!$A59),2)</f>
        <v>0</v>
      </c>
      <c r="U59" s="497">
        <f>ROUND(SUMIFS(Cantidades[173038],Cantidades[cod Idu],'CantidadesConsolidadas'!$A59),2)</f>
        <v>0</v>
      </c>
      <c r="V59" s="497">
        <f>ROUND(SUMIFS(Cantidades[170222],Cantidades[cod Idu],'CantidadesConsolidadas'!$A59),2)</f>
        <v>1</v>
      </c>
      <c r="W59" s="497">
        <f>ROUND(SUMIFS(Cantidades[170229],Cantidades[cod Idu],'CantidadesConsolidadas'!$A59),2)</f>
        <v>0</v>
      </c>
      <c r="X59" s="497">
        <f>ROUND(SUMIFS(Cantidades[170227],Cantidades[cod Idu],'CantidadesConsolidadas'!$A59),2)</f>
        <v>0</v>
      </c>
      <c r="Y59" s="497">
        <f>ROUND(SUMIFS(Cantidades[170226],Cantidades[cod Idu],'CantidadesConsolidadas'!$A59),2)</f>
        <v>0</v>
      </c>
      <c r="Z59" s="497">
        <f>ROUND(SUMIFS(Cantidades[171567],Cantidades[cod Idu],'CantidadesConsolidadas'!$A59),2)</f>
        <v>0</v>
      </c>
      <c r="AA59" s="497">
        <f>ROUND(SUMIFS(Cantidades[166632],Cantidades[cod Idu],'CantidadesConsolidadas'!$A59),2)</f>
        <v>0</v>
      </c>
      <c r="AB59" s="497">
        <f>ROUND(SUMIFS(Cantidades[170228],Cantidades[cod Idu],'CantidadesConsolidadas'!$A59),2)</f>
        <v>0</v>
      </c>
      <c r="AC59" s="497">
        <f>ROUND(SUMIFS(Cantidades[172926],Cantidades[cod Idu],'CantidadesConsolidadas'!$A59),2)</f>
        <v>0</v>
      </c>
      <c r="AD59" s="497">
        <f>ROUND(SUMIFS(Cantidades[171152],Cantidades[cod Idu],'CantidadesConsolidadas'!$A59),2)</f>
        <v>0</v>
      </c>
      <c r="AE59" s="497">
        <f>ROUND(SUMIFS(Cantidades[173058],Cantidades[cod Idu],'CantidadesConsolidadas'!$A59),2)</f>
        <v>0</v>
      </c>
      <c r="AF59" s="726">
        <f>ROUND(SUMIFS(Cantidades[174478],Cantidades[cod Idu],'CantidadesConsolidadas'!$A59),2)</f>
        <v>0</v>
      </c>
      <c r="AG59" s="726">
        <f>ROUND(SUMIFS(Cantidades[91010089],Cantidades[cod Idu],'CantidadesConsolidadas'!$A59),2)</f>
        <v>0</v>
      </c>
      <c r="AH59" s="726">
        <f>ROUND(SUMIFS(Cantidades[176122],Cantidades[cod Idu],'CantidadesConsolidadas'!$A59),2)</f>
        <v>0</v>
      </c>
      <c r="AI59" s="726">
        <f>ROUND(SUMIFS(Cantidades[168536],Cantidades[cod Idu],'CantidadesConsolidadas'!$A59),2)</f>
        <v>0</v>
      </c>
      <c r="AJ59" s="497">
        <f>ROUND(SUMIFS(Cantidades[166934],Cantidades[cod Idu],'CantidadesConsolidadas'!$A59),2)</f>
        <v>0</v>
      </c>
      <c r="AK59" s="497">
        <f>ROUND(SUMIFS(Cantidades[174353],Cantidades[cod Idu],'CantidadesConsolidadas'!$A59),2)</f>
        <v>0</v>
      </c>
      <c r="AL59" s="751">
        <f>ROUND(SUMIFS(Cantidades[52531],Cantidades[cod Idu],'CantidadesConsolidadas'!$A59),2)</f>
        <v>0</v>
      </c>
      <c r="AM59" s="500">
        <f>ROUND(SUMIFS(Cantidades[52456],Cantidades[cod Idu],'CantidadesConsolidadas'!$A59),2)</f>
        <v>0</v>
      </c>
      <c r="AN59" s="500">
        <f>ROUND(SUMIFS(Cantidades[92058103],Cantidades[cod Idu],'CantidadesConsolidadas'!$A59),2)</f>
        <v>0</v>
      </c>
      <c r="AO59" s="500">
        <f>ROUND(SUMIFS(Cantidades[20011114],Cantidades[cod Idu],'CantidadesConsolidadas'!$A59),2)</f>
        <v>0</v>
      </c>
      <c r="AP59" s="500">
        <f>ROUND(SUMIFS(Cantidades[20013540],Cantidades[cod Idu],'CantidadesConsolidadas'!$A59),2)</f>
        <v>0</v>
      </c>
      <c r="AQ59" s="500">
        <f>ROUND(SUMIFS(Cantidades[55337],Cantidades[cod Idu],'CantidadesConsolidadas'!$A59),2)</f>
        <v>0</v>
      </c>
      <c r="AR59" s="500">
        <f>ROUND(SUMIFS(Cantidades[92087422],Cantidades[cod Idu],'CantidadesConsolidadas'!$A59),2)</f>
        <v>0</v>
      </c>
      <c r="AS59" s="500">
        <f>ROUND(SUMIFS(Cantidades[55259],Cantidades[cod Idu],'CantidadesConsolidadas'!$A59),2)</f>
        <v>0</v>
      </c>
      <c r="AT59" s="500">
        <f>ROUND(SUMIFS(Cantidades[466904],Cantidades[cod Idu],'CantidadesConsolidadas'!$A59),2)</f>
        <v>0</v>
      </c>
      <c r="AU59" s="500">
        <f>ROUND(SUMIFS(Cantidades[48591],Cantidades[cod Idu],'CantidadesConsolidadas'!$A59),2)</f>
        <v>0</v>
      </c>
      <c r="AV59" s="500">
        <f>ROUND(SUMIFS(Cantidades[48590],Cantidades[cod Idu],'CantidadesConsolidadas'!$A59),2)</f>
        <v>0</v>
      </c>
      <c r="AW59" s="500">
        <f>ROUND(SUMIFS(Cantidades[48561],Cantidades[cod Idu],'CantidadesConsolidadas'!$A59),2)</f>
        <v>0</v>
      </c>
      <c r="AX59" s="805">
        <f>ROUND(SUMIFS(Cantidades[48560],Cantidades[cod Idu],'CantidadesConsolidadas'!$A59),2)</f>
        <v>0</v>
      </c>
      <c r="AY59" s="805">
        <f>ROUND(SUMIFS(Cantidades[48657],Cantidades[cod Idu],'CantidadesConsolidadas'!$A59),2)</f>
        <v>0</v>
      </c>
      <c r="AZ59" s="752">
        <f>ROUND(SUMIFS(Cantidades[48655],Cantidades[cod Idu],'CantidadesConsolidadas'!$A59),2)</f>
        <v>0</v>
      </c>
      <c r="BA59" s="758">
        <f>SUBTOTAL(9,CantidadesConsolidadas[[#This Row],[91013913]:[48655]])</f>
        <v>2</v>
      </c>
      <c r="BB59" s="638">
        <f>ROUND(CantidadesConsolidadas[[#This Row],[Total]]*CantidadesConsolidadas[[#This Row],[VU]],0)</f>
        <v>1458726</v>
      </c>
    </row>
    <row r="60" spans="1:54" ht="29.4" thickBot="1" x14ac:dyDescent="0.35">
      <c r="A60">
        <v>3779</v>
      </c>
      <c r="B60" s="606" t="str">
        <f>+_xlfn.XLOOKUP(CantidadesConsolidadas[[#This Row],[cod Idu]],APU_IDU[Código],APU_IDU[Nombre],"",0)</f>
        <v>CAJA DE INSPECCIÓN DE 0.6X0.6M (H=0.6M. INCLUYE SUMINISTRO Y CONSTRUCCIÓN. INCLUYE MARCO Y TAPA. NO INC. BASE Y CAÑUELA)</v>
      </c>
      <c r="C60" s="609" t="str">
        <f>+_xlfn.XLOOKUP(CantidadesConsolidadas[[#This Row],[cod Idu]],APU_IDU[Código],APU_IDU[UM],"",0)</f>
        <v>UN</v>
      </c>
      <c r="D60" s="743">
        <f>+_xlfn.XLOOKUP(CantidadesConsolidadas[[#This Row],[cod Idu]],APU_IDU[Código],APU_IDU[Valor],"",0)</f>
        <v>622929</v>
      </c>
      <c r="E60" s="497">
        <f>ROUND(SUMIFS(Cantidades[91013913],Cantidades[cod Idu],'CantidadesConsolidadas'!$A60),2)</f>
        <v>0</v>
      </c>
      <c r="F60" s="497">
        <f>ROUND(SUMIFS(Cantidades[472330],Cantidades[cod Idu],'CantidadesConsolidadas'!$A60),2)</f>
        <v>0</v>
      </c>
      <c r="G60" s="497">
        <f>ROUND(SUMIFS(Cantidades[167810],Cantidades[cod Idu],'CantidadesConsolidadas'!$A60),2)</f>
        <v>0</v>
      </c>
      <c r="H60" s="497">
        <f>ROUND(SUMIFS(Cantidades[166646],Cantidades[cod Idu],'CantidadesConsolidadas'!$A60),2)</f>
        <v>0</v>
      </c>
      <c r="I60" s="497">
        <f>ROUND(SUMIFS(Cantidades[167491],Cantidades[cod Idu],'CantidadesConsolidadas'!$A60),2)</f>
        <v>0</v>
      </c>
      <c r="J60" s="497">
        <f>ROUND(SUMIFS(Cantidades[167266],Cantidades[cod Idu],'CantidadesConsolidadas'!$A60),2)</f>
        <v>0</v>
      </c>
      <c r="K60" s="497">
        <f>ROUND(SUMIFS(Cantidades[170896],Cantidades[cod Idu],'CantidadesConsolidadas'!$A60),2)</f>
        <v>0</v>
      </c>
      <c r="L60" s="497">
        <f>ROUND(SUMIFS(Cantidades[170897],Cantidades[cod Idu],'CantidadesConsolidadas'!$A60),2)</f>
        <v>0</v>
      </c>
      <c r="M60" s="497">
        <f>ROUND(SUMIFS(Cantidades[170898],Cantidades[cod Idu],'CantidadesConsolidadas'!$A60),2)</f>
        <v>0</v>
      </c>
      <c r="N60" s="497">
        <f>ROUND(SUMIFS(Cantidades[91064150],Cantidades[cod Idu],'CantidadesConsolidadas'!$A60),2)</f>
        <v>0</v>
      </c>
      <c r="O60" s="497">
        <f>ROUND(SUMIFS(Cantidades[168919],Cantidades[cod Idu],'CantidadesConsolidadas'!$A60),2)</f>
        <v>0</v>
      </c>
      <c r="P60" s="497">
        <f>ROUND(SUMIFS(Cantidades[168426],Cantidades[cod Idu],'CantidadesConsolidadas'!$A60),2)</f>
        <v>0</v>
      </c>
      <c r="Q60" s="497">
        <f>ROUND(SUMIFS(Cantidades[91020796],Cantidades[cod Idu],'CantidadesConsolidadas'!$A60),2)</f>
        <v>0</v>
      </c>
      <c r="R60" s="497">
        <f>ROUND(SUMIFS(Cantidades[176184],Cantidades[cod Idu],'CantidadesConsolidadas'!$A60),2)</f>
        <v>0</v>
      </c>
      <c r="S60" s="497">
        <f>ROUND(SUMIFS(Cantidades[167636],Cantidades[cod Idu],'CantidadesConsolidadas'!$A60),2)</f>
        <v>0</v>
      </c>
      <c r="T60" s="497">
        <f>ROUND(SUMIFS(Cantidades[176730],Cantidades[cod Idu],'CantidadesConsolidadas'!$A60),2)</f>
        <v>0</v>
      </c>
      <c r="U60" s="497">
        <f>ROUND(SUMIFS(Cantidades[173038],Cantidades[cod Idu],'CantidadesConsolidadas'!$A60),2)</f>
        <v>0</v>
      </c>
      <c r="V60" s="497">
        <f>ROUND(SUMIFS(Cantidades[170222],Cantidades[cod Idu],'CantidadesConsolidadas'!$A60),2)</f>
        <v>1</v>
      </c>
      <c r="W60" s="497">
        <f>ROUND(SUMIFS(Cantidades[170229],Cantidades[cod Idu],'CantidadesConsolidadas'!$A60),2)</f>
        <v>0</v>
      </c>
      <c r="X60" s="497">
        <f>ROUND(SUMIFS(Cantidades[170227],Cantidades[cod Idu],'CantidadesConsolidadas'!$A60),2)</f>
        <v>0</v>
      </c>
      <c r="Y60" s="497">
        <f>ROUND(SUMIFS(Cantidades[170226],Cantidades[cod Idu],'CantidadesConsolidadas'!$A60),2)</f>
        <v>0</v>
      </c>
      <c r="Z60" s="497">
        <f>ROUND(SUMIFS(Cantidades[171567],Cantidades[cod Idu],'CantidadesConsolidadas'!$A60),2)</f>
        <v>0</v>
      </c>
      <c r="AA60" s="497">
        <f>ROUND(SUMIFS(Cantidades[166632],Cantidades[cod Idu],'CantidadesConsolidadas'!$A60),2)</f>
        <v>0</v>
      </c>
      <c r="AB60" s="497">
        <f>ROUND(SUMIFS(Cantidades[170228],Cantidades[cod Idu],'CantidadesConsolidadas'!$A60),2)</f>
        <v>0</v>
      </c>
      <c r="AC60" s="497">
        <f>ROUND(SUMIFS(Cantidades[172926],Cantidades[cod Idu],'CantidadesConsolidadas'!$A60),2)</f>
        <v>0</v>
      </c>
      <c r="AD60" s="497">
        <f>ROUND(SUMIFS(Cantidades[171152],Cantidades[cod Idu],'CantidadesConsolidadas'!$A60),2)</f>
        <v>0</v>
      </c>
      <c r="AE60" s="497">
        <f>ROUND(SUMIFS(Cantidades[173058],Cantidades[cod Idu],'CantidadesConsolidadas'!$A60),2)</f>
        <v>0</v>
      </c>
      <c r="AF60" s="726">
        <f>ROUND(SUMIFS(Cantidades[174478],Cantidades[cod Idu],'CantidadesConsolidadas'!$A60),2)</f>
        <v>0</v>
      </c>
      <c r="AG60" s="726">
        <f>ROUND(SUMIFS(Cantidades[91010089],Cantidades[cod Idu],'CantidadesConsolidadas'!$A60),2)</f>
        <v>0</v>
      </c>
      <c r="AH60" s="726">
        <f>ROUND(SUMIFS(Cantidades[176122],Cantidades[cod Idu],'CantidadesConsolidadas'!$A60),2)</f>
        <v>0</v>
      </c>
      <c r="AI60" s="726">
        <f>ROUND(SUMIFS(Cantidades[168536],Cantidades[cod Idu],'CantidadesConsolidadas'!$A60),2)</f>
        <v>0</v>
      </c>
      <c r="AJ60" s="497">
        <f>ROUND(SUMIFS(Cantidades[166934],Cantidades[cod Idu],'CantidadesConsolidadas'!$A60),2)</f>
        <v>0</v>
      </c>
      <c r="AK60" s="497">
        <f>ROUND(SUMIFS(Cantidades[174353],Cantidades[cod Idu],'CantidadesConsolidadas'!$A60),2)</f>
        <v>0</v>
      </c>
      <c r="AL60" s="751">
        <f>ROUND(SUMIFS(Cantidades[52531],Cantidades[cod Idu],'CantidadesConsolidadas'!$A60),2)</f>
        <v>0</v>
      </c>
      <c r="AM60" s="500">
        <f>ROUND(SUMIFS(Cantidades[52456],Cantidades[cod Idu],'CantidadesConsolidadas'!$A60),2)</f>
        <v>0</v>
      </c>
      <c r="AN60" s="500">
        <f>ROUND(SUMIFS(Cantidades[92058103],Cantidades[cod Idu],'CantidadesConsolidadas'!$A60),2)</f>
        <v>0</v>
      </c>
      <c r="AO60" s="500">
        <f>ROUND(SUMIFS(Cantidades[20011114],Cantidades[cod Idu],'CantidadesConsolidadas'!$A60),2)</f>
        <v>0</v>
      </c>
      <c r="AP60" s="500">
        <f>ROUND(SUMIFS(Cantidades[20013540],Cantidades[cod Idu],'CantidadesConsolidadas'!$A60),2)</f>
        <v>0</v>
      </c>
      <c r="AQ60" s="500">
        <f>ROUND(SUMIFS(Cantidades[55337],Cantidades[cod Idu],'CantidadesConsolidadas'!$A60),2)</f>
        <v>0</v>
      </c>
      <c r="AR60" s="500">
        <f>ROUND(SUMIFS(Cantidades[92087422],Cantidades[cod Idu],'CantidadesConsolidadas'!$A60),2)</f>
        <v>0</v>
      </c>
      <c r="AS60" s="500">
        <f>ROUND(SUMIFS(Cantidades[55259],Cantidades[cod Idu],'CantidadesConsolidadas'!$A60),2)</f>
        <v>0</v>
      </c>
      <c r="AT60" s="500">
        <f>ROUND(SUMIFS(Cantidades[466904],Cantidades[cod Idu],'CantidadesConsolidadas'!$A60),2)</f>
        <v>0</v>
      </c>
      <c r="AU60" s="500">
        <f>ROUND(SUMIFS(Cantidades[48591],Cantidades[cod Idu],'CantidadesConsolidadas'!$A60),2)</f>
        <v>0</v>
      </c>
      <c r="AV60" s="500">
        <f>ROUND(SUMIFS(Cantidades[48590],Cantidades[cod Idu],'CantidadesConsolidadas'!$A60),2)</f>
        <v>0</v>
      </c>
      <c r="AW60" s="500">
        <f>ROUND(SUMIFS(Cantidades[48561],Cantidades[cod Idu],'CantidadesConsolidadas'!$A60),2)</f>
        <v>0</v>
      </c>
      <c r="AX60" s="805">
        <f>ROUND(SUMIFS(Cantidades[48560],Cantidades[cod Idu],'CantidadesConsolidadas'!$A60),2)</f>
        <v>0</v>
      </c>
      <c r="AY60" s="805">
        <f>ROUND(SUMIFS(Cantidades[48657],Cantidades[cod Idu],'CantidadesConsolidadas'!$A60),2)</f>
        <v>0</v>
      </c>
      <c r="AZ60" s="752">
        <f>ROUND(SUMIFS(Cantidades[48655],Cantidades[cod Idu],'CantidadesConsolidadas'!$A60),2)</f>
        <v>0</v>
      </c>
      <c r="BA60" s="758">
        <f>SUBTOTAL(9,CantidadesConsolidadas[[#This Row],[91013913]:[48655]])</f>
        <v>1</v>
      </c>
      <c r="BB60" s="638">
        <f>ROUND(CantidadesConsolidadas[[#This Row],[Total]]*CantidadesConsolidadas[[#This Row],[VU]],0)</f>
        <v>622929</v>
      </c>
    </row>
    <row r="61" spans="1:54" ht="15" thickBot="1" x14ac:dyDescent="0.35">
      <c r="A61">
        <v>4611</v>
      </c>
      <c r="B61" s="606" t="str">
        <f>+_xlfn.XLOOKUP(CantidadesConsolidadas[[#This Row],[cod Idu]],APU_IDU[Código],APU_IDU[Nombre],"",0)</f>
        <v>CARCAMO PROTECCIÓN DE TUBERÍA Ø 8" (TIPO PLACA) NORMA EAAB NS-090</v>
      </c>
      <c r="C61" s="609" t="str">
        <f>+_xlfn.XLOOKUP(CantidadesConsolidadas[[#This Row],[cod Idu]],APU_IDU[Código],APU_IDU[UM],"",0)</f>
        <v>ML</v>
      </c>
      <c r="D61" s="743">
        <f>+_xlfn.XLOOKUP(CantidadesConsolidadas[[#This Row],[cod Idu]],APU_IDU[Código],APU_IDU[Valor],"",0)</f>
        <v>254780</v>
      </c>
      <c r="E61" s="497">
        <f>ROUND(SUMIFS(Cantidades[91013913],Cantidades[cod Idu],'CantidadesConsolidadas'!$A61),2)</f>
        <v>0</v>
      </c>
      <c r="F61" s="497">
        <f>ROUND(SUMIFS(Cantidades[472330],Cantidades[cod Idu],'CantidadesConsolidadas'!$A61),2)</f>
        <v>0</v>
      </c>
      <c r="G61" s="497">
        <f>ROUND(SUMIFS(Cantidades[167810],Cantidades[cod Idu],'CantidadesConsolidadas'!$A61),2)</f>
        <v>0</v>
      </c>
      <c r="H61" s="497">
        <f>ROUND(SUMIFS(Cantidades[166646],Cantidades[cod Idu],'CantidadesConsolidadas'!$A61),2)</f>
        <v>15</v>
      </c>
      <c r="I61" s="497">
        <f>ROUND(SUMIFS(Cantidades[167491],Cantidades[cod Idu],'CantidadesConsolidadas'!$A61),2)</f>
        <v>0</v>
      </c>
      <c r="J61" s="497">
        <f>ROUND(SUMIFS(Cantidades[167266],Cantidades[cod Idu],'CantidadesConsolidadas'!$A61),2)</f>
        <v>0</v>
      </c>
      <c r="K61" s="497">
        <f>ROUND(SUMIFS(Cantidades[170896],Cantidades[cod Idu],'CantidadesConsolidadas'!$A61),2)</f>
        <v>0</v>
      </c>
      <c r="L61" s="497">
        <f>ROUND(SUMIFS(Cantidades[170897],Cantidades[cod Idu],'CantidadesConsolidadas'!$A61),2)</f>
        <v>0</v>
      </c>
      <c r="M61" s="497">
        <f>ROUND(SUMIFS(Cantidades[170898],Cantidades[cod Idu],'CantidadesConsolidadas'!$A61),2)</f>
        <v>0</v>
      </c>
      <c r="N61" s="497">
        <f>ROUND(SUMIFS(Cantidades[91064150],Cantidades[cod Idu],'CantidadesConsolidadas'!$A61),2)</f>
        <v>0</v>
      </c>
      <c r="O61" s="497">
        <f>ROUND(SUMIFS(Cantidades[168919],Cantidades[cod Idu],'CantidadesConsolidadas'!$A61),2)</f>
        <v>0</v>
      </c>
      <c r="P61" s="497">
        <f>ROUND(SUMIFS(Cantidades[168426],Cantidades[cod Idu],'CantidadesConsolidadas'!$A61),2)</f>
        <v>0</v>
      </c>
      <c r="Q61" s="497">
        <f>ROUND(SUMIFS(Cantidades[91020796],Cantidades[cod Idu],'CantidadesConsolidadas'!$A61),2)</f>
        <v>0</v>
      </c>
      <c r="R61" s="497">
        <f>ROUND(SUMIFS(Cantidades[176184],Cantidades[cod Idu],'CantidadesConsolidadas'!$A61),2)</f>
        <v>0</v>
      </c>
      <c r="S61" s="497">
        <f>ROUND(SUMIFS(Cantidades[167636],Cantidades[cod Idu],'CantidadesConsolidadas'!$A61),2)</f>
        <v>0</v>
      </c>
      <c r="T61" s="497">
        <f>ROUND(SUMIFS(Cantidades[176730],Cantidades[cod Idu],'CantidadesConsolidadas'!$A61),2)</f>
        <v>8</v>
      </c>
      <c r="U61" s="497">
        <f>ROUND(SUMIFS(Cantidades[173038],Cantidades[cod Idu],'CantidadesConsolidadas'!$A61),2)</f>
        <v>0</v>
      </c>
      <c r="V61" s="497">
        <f>ROUND(SUMIFS(Cantidades[170222],Cantidades[cod Idu],'CantidadesConsolidadas'!$A61),2)</f>
        <v>0</v>
      </c>
      <c r="W61" s="497">
        <f>ROUND(SUMIFS(Cantidades[170229],Cantidades[cod Idu],'CantidadesConsolidadas'!$A61),2)</f>
        <v>0</v>
      </c>
      <c r="X61" s="497">
        <f>ROUND(SUMIFS(Cantidades[170227],Cantidades[cod Idu],'CantidadesConsolidadas'!$A61),2)</f>
        <v>0</v>
      </c>
      <c r="Y61" s="497">
        <f>ROUND(SUMIFS(Cantidades[170226],Cantidades[cod Idu],'CantidadesConsolidadas'!$A61),2)</f>
        <v>0</v>
      </c>
      <c r="Z61" s="497">
        <f>ROUND(SUMIFS(Cantidades[171567],Cantidades[cod Idu],'CantidadesConsolidadas'!$A61),2)</f>
        <v>0</v>
      </c>
      <c r="AA61" s="497">
        <f>ROUND(SUMIFS(Cantidades[166632],Cantidades[cod Idu],'CantidadesConsolidadas'!$A61),2)</f>
        <v>0</v>
      </c>
      <c r="AB61" s="497">
        <f>ROUND(SUMIFS(Cantidades[170228],Cantidades[cod Idu],'CantidadesConsolidadas'!$A61),2)</f>
        <v>0</v>
      </c>
      <c r="AC61" s="497">
        <f>ROUND(SUMIFS(Cantidades[172926],Cantidades[cod Idu],'CantidadesConsolidadas'!$A61),2)</f>
        <v>0</v>
      </c>
      <c r="AD61" s="497">
        <f>ROUND(SUMIFS(Cantidades[171152],Cantidades[cod Idu],'CantidadesConsolidadas'!$A61),2)</f>
        <v>0</v>
      </c>
      <c r="AE61" s="497">
        <f>ROUND(SUMIFS(Cantidades[173058],Cantidades[cod Idu],'CantidadesConsolidadas'!$A61),2)</f>
        <v>0</v>
      </c>
      <c r="AF61" s="726">
        <f>ROUND(SUMIFS(Cantidades[174478],Cantidades[cod Idu],'CantidadesConsolidadas'!$A61),2)</f>
        <v>0</v>
      </c>
      <c r="AG61" s="726">
        <f>ROUND(SUMIFS(Cantidades[91010089],Cantidades[cod Idu],'CantidadesConsolidadas'!$A61),2)</f>
        <v>0</v>
      </c>
      <c r="AH61" s="726">
        <f>ROUND(SUMIFS(Cantidades[176122],Cantidades[cod Idu],'CantidadesConsolidadas'!$A61),2)</f>
        <v>0</v>
      </c>
      <c r="AI61" s="726">
        <f>ROUND(SUMIFS(Cantidades[168536],Cantidades[cod Idu],'CantidadesConsolidadas'!$A61),2)</f>
        <v>0</v>
      </c>
      <c r="AJ61" s="497">
        <f>ROUND(SUMIFS(Cantidades[166934],Cantidades[cod Idu],'CantidadesConsolidadas'!$A61),2)</f>
        <v>0</v>
      </c>
      <c r="AK61" s="497">
        <f>ROUND(SUMIFS(Cantidades[174353],Cantidades[cod Idu],'CantidadesConsolidadas'!$A61),2)</f>
        <v>0</v>
      </c>
      <c r="AL61" s="751">
        <f>ROUND(SUMIFS(Cantidades[52531],Cantidades[cod Idu],'CantidadesConsolidadas'!$A61),2)</f>
        <v>0</v>
      </c>
      <c r="AM61" s="500">
        <f>ROUND(SUMIFS(Cantidades[52456],Cantidades[cod Idu],'CantidadesConsolidadas'!$A61),2)</f>
        <v>0</v>
      </c>
      <c r="AN61" s="500">
        <f>ROUND(SUMIFS(Cantidades[92058103],Cantidades[cod Idu],'CantidadesConsolidadas'!$A61),2)</f>
        <v>0</v>
      </c>
      <c r="AO61" s="500">
        <f>ROUND(SUMIFS(Cantidades[20011114],Cantidades[cod Idu],'CantidadesConsolidadas'!$A61),2)</f>
        <v>0</v>
      </c>
      <c r="AP61" s="500">
        <f>ROUND(SUMIFS(Cantidades[20013540],Cantidades[cod Idu],'CantidadesConsolidadas'!$A61),2)</f>
        <v>0</v>
      </c>
      <c r="AQ61" s="500">
        <f>ROUND(SUMIFS(Cantidades[55337],Cantidades[cod Idu],'CantidadesConsolidadas'!$A61),2)</f>
        <v>0</v>
      </c>
      <c r="AR61" s="500">
        <f>ROUND(SUMIFS(Cantidades[92087422],Cantidades[cod Idu],'CantidadesConsolidadas'!$A61),2)</f>
        <v>0</v>
      </c>
      <c r="AS61" s="500">
        <f>ROUND(SUMIFS(Cantidades[55259],Cantidades[cod Idu],'CantidadesConsolidadas'!$A61),2)</f>
        <v>0</v>
      </c>
      <c r="AT61" s="500">
        <f>ROUND(SUMIFS(Cantidades[466904],Cantidades[cod Idu],'CantidadesConsolidadas'!$A61),2)</f>
        <v>0</v>
      </c>
      <c r="AU61" s="500">
        <f>ROUND(SUMIFS(Cantidades[48591],Cantidades[cod Idu],'CantidadesConsolidadas'!$A61),2)</f>
        <v>0</v>
      </c>
      <c r="AV61" s="500">
        <f>ROUND(SUMIFS(Cantidades[48590],Cantidades[cod Idu],'CantidadesConsolidadas'!$A61),2)</f>
        <v>0</v>
      </c>
      <c r="AW61" s="500">
        <f>ROUND(SUMIFS(Cantidades[48561],Cantidades[cod Idu],'CantidadesConsolidadas'!$A61),2)</f>
        <v>0</v>
      </c>
      <c r="AX61" s="805">
        <f>ROUND(SUMIFS(Cantidades[48560],Cantidades[cod Idu],'CantidadesConsolidadas'!$A61),2)</f>
        <v>0</v>
      </c>
      <c r="AY61" s="805">
        <f>ROUND(SUMIFS(Cantidades[48657],Cantidades[cod Idu],'CantidadesConsolidadas'!$A61),2)</f>
        <v>0</v>
      </c>
      <c r="AZ61" s="752">
        <f>ROUND(SUMIFS(Cantidades[48655],Cantidades[cod Idu],'CantidadesConsolidadas'!$A61),2)</f>
        <v>0</v>
      </c>
      <c r="BA61" s="758">
        <f>SUBTOTAL(9,CantidadesConsolidadas[[#This Row],[91013913]:[48655]])</f>
        <v>23</v>
      </c>
      <c r="BB61" s="638">
        <f>ROUND(CantidadesConsolidadas[[#This Row],[Total]]*CantidadesConsolidadas[[#This Row],[VU]],0)</f>
        <v>5859940</v>
      </c>
    </row>
    <row r="62" spans="1:54" ht="15" thickBot="1" x14ac:dyDescent="0.35">
      <c r="A62">
        <v>4612</v>
      </c>
      <c r="B62" s="606" t="str">
        <f>+_xlfn.XLOOKUP(CantidadesConsolidadas[[#This Row],[cod Idu]],APU_IDU[Código],APU_IDU[Nombre],"",0)</f>
        <v>CARCAMO PROTECCIÓN DE TUBERÍA Ø 10" (TIPO PLACA) NORMA EAAB NS-090</v>
      </c>
      <c r="C62" s="609" t="str">
        <f>+_xlfn.XLOOKUP(CantidadesConsolidadas[[#This Row],[cod Idu]],APU_IDU[Código],APU_IDU[UM],"",0)</f>
        <v>ML</v>
      </c>
      <c r="D62" s="743">
        <f>+_xlfn.XLOOKUP(CantidadesConsolidadas[[#This Row],[cod Idu]],APU_IDU[Código],APU_IDU[Valor],"",0)</f>
        <v>254780</v>
      </c>
      <c r="E62" s="497">
        <f>ROUND(SUMIFS(Cantidades[91013913],Cantidades[cod Idu],'CantidadesConsolidadas'!$A62),2)</f>
        <v>0</v>
      </c>
      <c r="F62" s="497">
        <f>ROUND(SUMIFS(Cantidades[472330],Cantidades[cod Idu],'CantidadesConsolidadas'!$A62),2)</f>
        <v>0</v>
      </c>
      <c r="G62" s="497">
        <f>ROUND(SUMIFS(Cantidades[167810],Cantidades[cod Idu],'CantidadesConsolidadas'!$A62),2)</f>
        <v>0</v>
      </c>
      <c r="H62" s="497">
        <f>ROUND(SUMIFS(Cantidades[166646],Cantidades[cod Idu],'CantidadesConsolidadas'!$A62),2)</f>
        <v>0</v>
      </c>
      <c r="I62" s="497">
        <f>ROUND(SUMIFS(Cantidades[167491],Cantidades[cod Idu],'CantidadesConsolidadas'!$A62),2)</f>
        <v>0</v>
      </c>
      <c r="J62" s="497">
        <f>ROUND(SUMIFS(Cantidades[167266],Cantidades[cod Idu],'CantidadesConsolidadas'!$A62),2)</f>
        <v>0</v>
      </c>
      <c r="K62" s="497">
        <f>ROUND(SUMIFS(Cantidades[170896],Cantidades[cod Idu],'CantidadesConsolidadas'!$A62),2)</f>
        <v>0</v>
      </c>
      <c r="L62" s="497">
        <f>ROUND(SUMIFS(Cantidades[170897],Cantidades[cod Idu],'CantidadesConsolidadas'!$A62),2)</f>
        <v>0</v>
      </c>
      <c r="M62" s="497">
        <f>ROUND(SUMIFS(Cantidades[170898],Cantidades[cod Idu],'CantidadesConsolidadas'!$A62),2)</f>
        <v>0</v>
      </c>
      <c r="N62" s="497">
        <f>ROUND(SUMIFS(Cantidades[91064150],Cantidades[cod Idu],'CantidadesConsolidadas'!$A62),2)</f>
        <v>0</v>
      </c>
      <c r="O62" s="497">
        <f>ROUND(SUMIFS(Cantidades[168919],Cantidades[cod Idu],'CantidadesConsolidadas'!$A62),2)</f>
        <v>0</v>
      </c>
      <c r="P62" s="497">
        <f>ROUND(SUMIFS(Cantidades[168426],Cantidades[cod Idu],'CantidadesConsolidadas'!$A62),2)</f>
        <v>0</v>
      </c>
      <c r="Q62" s="497">
        <f>ROUND(SUMIFS(Cantidades[91020796],Cantidades[cod Idu],'CantidadesConsolidadas'!$A62),2)</f>
        <v>0</v>
      </c>
      <c r="R62" s="497">
        <f>ROUND(SUMIFS(Cantidades[176184],Cantidades[cod Idu],'CantidadesConsolidadas'!$A62),2)</f>
        <v>0</v>
      </c>
      <c r="S62" s="497">
        <f>ROUND(SUMIFS(Cantidades[167636],Cantidades[cod Idu],'CantidadesConsolidadas'!$A62),2)</f>
        <v>10</v>
      </c>
      <c r="T62" s="497">
        <f>ROUND(SUMIFS(Cantidades[176730],Cantidades[cod Idu],'CantidadesConsolidadas'!$A62),2)</f>
        <v>0</v>
      </c>
      <c r="U62" s="497">
        <f>ROUND(SUMIFS(Cantidades[173038],Cantidades[cod Idu],'CantidadesConsolidadas'!$A62),2)</f>
        <v>0</v>
      </c>
      <c r="V62" s="497">
        <f>ROUND(SUMIFS(Cantidades[170222],Cantidades[cod Idu],'CantidadesConsolidadas'!$A62),2)</f>
        <v>0</v>
      </c>
      <c r="W62" s="497">
        <f>ROUND(SUMIFS(Cantidades[170229],Cantidades[cod Idu],'CantidadesConsolidadas'!$A62),2)</f>
        <v>0</v>
      </c>
      <c r="X62" s="497">
        <f>ROUND(SUMIFS(Cantidades[170227],Cantidades[cod Idu],'CantidadesConsolidadas'!$A62),2)</f>
        <v>0</v>
      </c>
      <c r="Y62" s="497">
        <f>ROUND(SUMIFS(Cantidades[170226],Cantidades[cod Idu],'CantidadesConsolidadas'!$A62),2)</f>
        <v>0</v>
      </c>
      <c r="Z62" s="497">
        <f>ROUND(SUMIFS(Cantidades[171567],Cantidades[cod Idu],'CantidadesConsolidadas'!$A62),2)</f>
        <v>0</v>
      </c>
      <c r="AA62" s="497">
        <f>ROUND(SUMIFS(Cantidades[166632],Cantidades[cod Idu],'CantidadesConsolidadas'!$A62),2)</f>
        <v>0</v>
      </c>
      <c r="AB62" s="497">
        <f>ROUND(SUMIFS(Cantidades[170228],Cantidades[cod Idu],'CantidadesConsolidadas'!$A62),2)</f>
        <v>0</v>
      </c>
      <c r="AC62" s="497">
        <f>ROUND(SUMIFS(Cantidades[172926],Cantidades[cod Idu],'CantidadesConsolidadas'!$A62),2)</f>
        <v>0</v>
      </c>
      <c r="AD62" s="497">
        <f>ROUND(SUMIFS(Cantidades[171152],Cantidades[cod Idu],'CantidadesConsolidadas'!$A62),2)</f>
        <v>0</v>
      </c>
      <c r="AE62" s="497">
        <f>ROUND(SUMIFS(Cantidades[173058],Cantidades[cod Idu],'CantidadesConsolidadas'!$A62),2)</f>
        <v>0</v>
      </c>
      <c r="AF62" s="726">
        <f>ROUND(SUMIFS(Cantidades[174478],Cantidades[cod Idu],'CantidadesConsolidadas'!$A62),2)</f>
        <v>0</v>
      </c>
      <c r="AG62" s="726">
        <f>ROUND(SUMIFS(Cantidades[91010089],Cantidades[cod Idu],'CantidadesConsolidadas'!$A62),2)</f>
        <v>0</v>
      </c>
      <c r="AH62" s="726">
        <f>ROUND(SUMIFS(Cantidades[176122],Cantidades[cod Idu],'CantidadesConsolidadas'!$A62),2)</f>
        <v>0</v>
      </c>
      <c r="AI62" s="726">
        <f>ROUND(SUMIFS(Cantidades[168536],Cantidades[cod Idu],'CantidadesConsolidadas'!$A62),2)</f>
        <v>0</v>
      </c>
      <c r="AJ62" s="497">
        <f>ROUND(SUMIFS(Cantidades[166934],Cantidades[cod Idu],'CantidadesConsolidadas'!$A62),2)</f>
        <v>0</v>
      </c>
      <c r="AK62" s="497">
        <f>ROUND(SUMIFS(Cantidades[174353],Cantidades[cod Idu],'CantidadesConsolidadas'!$A62),2)</f>
        <v>0</v>
      </c>
      <c r="AL62" s="751">
        <f>ROUND(SUMIFS(Cantidades[52531],Cantidades[cod Idu],'CantidadesConsolidadas'!$A62),2)</f>
        <v>0</v>
      </c>
      <c r="AM62" s="500">
        <f>ROUND(SUMIFS(Cantidades[52456],Cantidades[cod Idu],'CantidadesConsolidadas'!$A62),2)</f>
        <v>0</v>
      </c>
      <c r="AN62" s="500">
        <f>ROUND(SUMIFS(Cantidades[92058103],Cantidades[cod Idu],'CantidadesConsolidadas'!$A62),2)</f>
        <v>0</v>
      </c>
      <c r="AO62" s="500">
        <f>ROUND(SUMIFS(Cantidades[20011114],Cantidades[cod Idu],'CantidadesConsolidadas'!$A62),2)</f>
        <v>0</v>
      </c>
      <c r="AP62" s="500">
        <f>ROUND(SUMIFS(Cantidades[20013540],Cantidades[cod Idu],'CantidadesConsolidadas'!$A62),2)</f>
        <v>0</v>
      </c>
      <c r="AQ62" s="500">
        <f>ROUND(SUMIFS(Cantidades[55337],Cantidades[cod Idu],'CantidadesConsolidadas'!$A62),2)</f>
        <v>0</v>
      </c>
      <c r="AR62" s="500">
        <f>ROUND(SUMIFS(Cantidades[92087422],Cantidades[cod Idu],'CantidadesConsolidadas'!$A62),2)</f>
        <v>0</v>
      </c>
      <c r="AS62" s="500">
        <f>ROUND(SUMIFS(Cantidades[55259],Cantidades[cod Idu],'CantidadesConsolidadas'!$A62),2)</f>
        <v>0</v>
      </c>
      <c r="AT62" s="500">
        <f>ROUND(SUMIFS(Cantidades[466904],Cantidades[cod Idu],'CantidadesConsolidadas'!$A62),2)</f>
        <v>0</v>
      </c>
      <c r="AU62" s="500">
        <f>ROUND(SUMIFS(Cantidades[48591],Cantidades[cod Idu],'CantidadesConsolidadas'!$A62),2)</f>
        <v>0</v>
      </c>
      <c r="AV62" s="500">
        <f>ROUND(SUMIFS(Cantidades[48590],Cantidades[cod Idu],'CantidadesConsolidadas'!$A62),2)</f>
        <v>0</v>
      </c>
      <c r="AW62" s="500">
        <f>ROUND(SUMIFS(Cantidades[48561],Cantidades[cod Idu],'CantidadesConsolidadas'!$A62),2)</f>
        <v>0</v>
      </c>
      <c r="AX62" s="805">
        <f>ROUND(SUMIFS(Cantidades[48560],Cantidades[cod Idu],'CantidadesConsolidadas'!$A62),2)</f>
        <v>0</v>
      </c>
      <c r="AY62" s="805">
        <f>ROUND(SUMIFS(Cantidades[48657],Cantidades[cod Idu],'CantidadesConsolidadas'!$A62),2)</f>
        <v>0</v>
      </c>
      <c r="AZ62" s="752">
        <f>ROUND(SUMIFS(Cantidades[48655],Cantidades[cod Idu],'CantidadesConsolidadas'!$A62),2)</f>
        <v>0</v>
      </c>
      <c r="BA62" s="758">
        <f>SUBTOTAL(9,CantidadesConsolidadas[[#This Row],[91013913]:[48655]])</f>
        <v>10</v>
      </c>
      <c r="BB62" s="638">
        <f>ROUND(CantidadesConsolidadas[[#This Row],[Total]]*CantidadesConsolidadas[[#This Row],[VU]],0)</f>
        <v>2547800</v>
      </c>
    </row>
    <row r="63" spans="1:54" ht="15" thickBot="1" x14ac:dyDescent="0.35">
      <c r="A63">
        <v>4614</v>
      </c>
      <c r="B63" s="606" t="str">
        <f>+_xlfn.XLOOKUP(CantidadesConsolidadas[[#This Row],[cod Idu]],APU_IDU[Código],APU_IDU[Nombre],"",0)</f>
        <v>CARCAMO PROTECCIÓN DE TUBERÍA Ø 12" (TIPO PLACA) NORMA EAAB NS-090</v>
      </c>
      <c r="C63" s="609" t="str">
        <f>+_xlfn.XLOOKUP(CantidadesConsolidadas[[#This Row],[cod Idu]],APU_IDU[Código],APU_IDU[UM],"",0)</f>
        <v>ML</v>
      </c>
      <c r="D63" s="743">
        <f>+_xlfn.XLOOKUP(CantidadesConsolidadas[[#This Row],[cod Idu]],APU_IDU[Código],APU_IDU[Valor],"",0)</f>
        <v>257166</v>
      </c>
      <c r="E63" s="497">
        <f>ROUND(SUMIFS(Cantidades[91013913],Cantidades[cod Idu],'CantidadesConsolidadas'!$A63),2)</f>
        <v>0</v>
      </c>
      <c r="F63" s="497">
        <f>ROUND(SUMIFS(Cantidades[472330],Cantidades[cod Idu],'CantidadesConsolidadas'!$A63),2)</f>
        <v>0</v>
      </c>
      <c r="G63" s="497">
        <f>ROUND(SUMIFS(Cantidades[167810],Cantidades[cod Idu],'CantidadesConsolidadas'!$A63),2)</f>
        <v>0</v>
      </c>
      <c r="H63" s="497">
        <f>ROUND(SUMIFS(Cantidades[166646],Cantidades[cod Idu],'CantidadesConsolidadas'!$A63),2)</f>
        <v>0</v>
      </c>
      <c r="I63" s="497">
        <f>ROUND(SUMIFS(Cantidades[167491],Cantidades[cod Idu],'CantidadesConsolidadas'!$A63),2)</f>
        <v>0</v>
      </c>
      <c r="J63" s="497">
        <f>ROUND(SUMIFS(Cantidades[167266],Cantidades[cod Idu],'CantidadesConsolidadas'!$A63),2)</f>
        <v>0</v>
      </c>
      <c r="K63" s="497">
        <f>ROUND(SUMIFS(Cantidades[170896],Cantidades[cod Idu],'CantidadesConsolidadas'!$A63),2)</f>
        <v>0</v>
      </c>
      <c r="L63" s="497">
        <f>ROUND(SUMIFS(Cantidades[170897],Cantidades[cod Idu],'CantidadesConsolidadas'!$A63),2)</f>
        <v>0</v>
      </c>
      <c r="M63" s="497">
        <f>ROUND(SUMIFS(Cantidades[170898],Cantidades[cod Idu],'CantidadesConsolidadas'!$A63),2)</f>
        <v>0</v>
      </c>
      <c r="N63" s="497">
        <f>ROUND(SUMIFS(Cantidades[91064150],Cantidades[cod Idu],'CantidadesConsolidadas'!$A63),2)</f>
        <v>0</v>
      </c>
      <c r="O63" s="497">
        <f>ROUND(SUMIFS(Cantidades[168919],Cantidades[cod Idu],'CantidadesConsolidadas'!$A63),2)</f>
        <v>0</v>
      </c>
      <c r="P63" s="497">
        <f>ROUND(SUMIFS(Cantidades[168426],Cantidades[cod Idu],'CantidadesConsolidadas'!$A63),2)</f>
        <v>0</v>
      </c>
      <c r="Q63" s="497">
        <f>ROUND(SUMIFS(Cantidades[91020796],Cantidades[cod Idu],'CantidadesConsolidadas'!$A63),2)</f>
        <v>8</v>
      </c>
      <c r="R63" s="497">
        <f>ROUND(SUMIFS(Cantidades[176184],Cantidades[cod Idu],'CantidadesConsolidadas'!$A63),2)</f>
        <v>3</v>
      </c>
      <c r="S63" s="497">
        <f>ROUND(SUMIFS(Cantidades[167636],Cantidades[cod Idu],'CantidadesConsolidadas'!$A63),2)</f>
        <v>0</v>
      </c>
      <c r="T63" s="497">
        <f>ROUND(SUMIFS(Cantidades[176730],Cantidades[cod Idu],'CantidadesConsolidadas'!$A63),2)</f>
        <v>0</v>
      </c>
      <c r="U63" s="497">
        <f>ROUND(SUMIFS(Cantidades[173038],Cantidades[cod Idu],'CantidadesConsolidadas'!$A63),2)</f>
        <v>0</v>
      </c>
      <c r="V63" s="497">
        <f>ROUND(SUMIFS(Cantidades[170222],Cantidades[cod Idu],'CantidadesConsolidadas'!$A63),2)</f>
        <v>0</v>
      </c>
      <c r="W63" s="497">
        <f>ROUND(SUMIFS(Cantidades[170229],Cantidades[cod Idu],'CantidadesConsolidadas'!$A63),2)</f>
        <v>0</v>
      </c>
      <c r="X63" s="497">
        <f>ROUND(SUMIFS(Cantidades[170227],Cantidades[cod Idu],'CantidadesConsolidadas'!$A63),2)</f>
        <v>0</v>
      </c>
      <c r="Y63" s="497">
        <f>ROUND(SUMIFS(Cantidades[170226],Cantidades[cod Idu],'CantidadesConsolidadas'!$A63),2)</f>
        <v>0</v>
      </c>
      <c r="Z63" s="497">
        <f>ROUND(SUMIFS(Cantidades[171567],Cantidades[cod Idu],'CantidadesConsolidadas'!$A63),2)</f>
        <v>0</v>
      </c>
      <c r="AA63" s="497">
        <f>ROUND(SUMIFS(Cantidades[166632],Cantidades[cod Idu],'CantidadesConsolidadas'!$A63),2)</f>
        <v>0</v>
      </c>
      <c r="AB63" s="497">
        <f>ROUND(SUMIFS(Cantidades[170228],Cantidades[cod Idu],'CantidadesConsolidadas'!$A63),2)</f>
        <v>0</v>
      </c>
      <c r="AC63" s="497">
        <f>ROUND(SUMIFS(Cantidades[172926],Cantidades[cod Idu],'CantidadesConsolidadas'!$A63),2)</f>
        <v>0</v>
      </c>
      <c r="AD63" s="497">
        <f>ROUND(SUMIFS(Cantidades[171152],Cantidades[cod Idu],'CantidadesConsolidadas'!$A63),2)</f>
        <v>0</v>
      </c>
      <c r="AE63" s="497">
        <f>ROUND(SUMIFS(Cantidades[173058],Cantidades[cod Idu],'CantidadesConsolidadas'!$A63),2)</f>
        <v>0</v>
      </c>
      <c r="AF63" s="726">
        <f>ROUND(SUMIFS(Cantidades[174478],Cantidades[cod Idu],'CantidadesConsolidadas'!$A63),2)</f>
        <v>0</v>
      </c>
      <c r="AG63" s="726">
        <f>ROUND(SUMIFS(Cantidades[91010089],Cantidades[cod Idu],'CantidadesConsolidadas'!$A63),2)</f>
        <v>0</v>
      </c>
      <c r="AH63" s="726">
        <f>ROUND(SUMIFS(Cantidades[176122],Cantidades[cod Idu],'CantidadesConsolidadas'!$A63),2)</f>
        <v>0</v>
      </c>
      <c r="AI63" s="726">
        <f>ROUND(SUMIFS(Cantidades[168536],Cantidades[cod Idu],'CantidadesConsolidadas'!$A63),2)</f>
        <v>0</v>
      </c>
      <c r="AJ63" s="497">
        <f>ROUND(SUMIFS(Cantidades[166934],Cantidades[cod Idu],'CantidadesConsolidadas'!$A63),2)</f>
        <v>0</v>
      </c>
      <c r="AK63" s="497">
        <f>ROUND(SUMIFS(Cantidades[174353],Cantidades[cod Idu],'CantidadesConsolidadas'!$A63),2)</f>
        <v>0</v>
      </c>
      <c r="AL63" s="751">
        <f>ROUND(SUMIFS(Cantidades[52531],Cantidades[cod Idu],'CantidadesConsolidadas'!$A63),2)</f>
        <v>0</v>
      </c>
      <c r="AM63" s="500">
        <f>ROUND(SUMIFS(Cantidades[52456],Cantidades[cod Idu],'CantidadesConsolidadas'!$A63),2)</f>
        <v>0</v>
      </c>
      <c r="AN63" s="500">
        <f>ROUND(SUMIFS(Cantidades[92058103],Cantidades[cod Idu],'CantidadesConsolidadas'!$A63),2)</f>
        <v>0</v>
      </c>
      <c r="AO63" s="500">
        <f>ROUND(SUMIFS(Cantidades[20011114],Cantidades[cod Idu],'CantidadesConsolidadas'!$A63),2)</f>
        <v>0</v>
      </c>
      <c r="AP63" s="500">
        <f>ROUND(SUMIFS(Cantidades[20013540],Cantidades[cod Idu],'CantidadesConsolidadas'!$A63),2)</f>
        <v>0</v>
      </c>
      <c r="AQ63" s="500">
        <f>ROUND(SUMIFS(Cantidades[55337],Cantidades[cod Idu],'CantidadesConsolidadas'!$A63),2)</f>
        <v>0</v>
      </c>
      <c r="AR63" s="500">
        <f>ROUND(SUMIFS(Cantidades[92087422],Cantidades[cod Idu],'CantidadesConsolidadas'!$A63),2)</f>
        <v>0</v>
      </c>
      <c r="AS63" s="500">
        <f>ROUND(SUMIFS(Cantidades[55259],Cantidades[cod Idu],'CantidadesConsolidadas'!$A63),2)</f>
        <v>0</v>
      </c>
      <c r="AT63" s="500">
        <f>ROUND(SUMIFS(Cantidades[466904],Cantidades[cod Idu],'CantidadesConsolidadas'!$A63),2)</f>
        <v>0</v>
      </c>
      <c r="AU63" s="500">
        <f>ROUND(SUMIFS(Cantidades[48591],Cantidades[cod Idu],'CantidadesConsolidadas'!$A63),2)</f>
        <v>0</v>
      </c>
      <c r="AV63" s="500">
        <f>ROUND(SUMIFS(Cantidades[48590],Cantidades[cod Idu],'CantidadesConsolidadas'!$A63),2)</f>
        <v>0</v>
      </c>
      <c r="AW63" s="500">
        <f>ROUND(SUMIFS(Cantidades[48561],Cantidades[cod Idu],'CantidadesConsolidadas'!$A63),2)</f>
        <v>0</v>
      </c>
      <c r="AX63" s="805">
        <f>ROUND(SUMIFS(Cantidades[48560],Cantidades[cod Idu],'CantidadesConsolidadas'!$A63),2)</f>
        <v>0</v>
      </c>
      <c r="AY63" s="805">
        <f>ROUND(SUMIFS(Cantidades[48657],Cantidades[cod Idu],'CantidadesConsolidadas'!$A63),2)</f>
        <v>0</v>
      </c>
      <c r="AZ63" s="752">
        <f>ROUND(SUMIFS(Cantidades[48655],Cantidades[cod Idu],'CantidadesConsolidadas'!$A63),2)</f>
        <v>0</v>
      </c>
      <c r="BA63" s="758">
        <f>SUBTOTAL(9,CantidadesConsolidadas[[#This Row],[91013913]:[48655]])</f>
        <v>11</v>
      </c>
      <c r="BB63" s="638">
        <f>ROUND(CantidadesConsolidadas[[#This Row],[Total]]*CantidadesConsolidadas[[#This Row],[VU]],0)</f>
        <v>2828826</v>
      </c>
    </row>
    <row r="64" spans="1:54" ht="15" thickBot="1" x14ac:dyDescent="0.35">
      <c r="A64">
        <v>3009</v>
      </c>
      <c r="B64" s="606" t="str">
        <f>+_xlfn.XLOOKUP(CantidadesConsolidadas[[#This Row],[cod Idu]],APU_IDU[Código],APU_IDU[Nombre],"",0)</f>
        <v>EXCAVACION MANUAL PARA REDES PROFUNDIDAD 0M - 2M (INCLUYE CARGUE)</v>
      </c>
      <c r="C64" s="609" t="str">
        <f>+_xlfn.XLOOKUP(CantidadesConsolidadas[[#This Row],[cod Idu]],APU_IDU[Código],APU_IDU[UM],"",0)</f>
        <v>M3</v>
      </c>
      <c r="D64" s="743">
        <f>+_xlfn.XLOOKUP(CantidadesConsolidadas[[#This Row],[cod Idu]],APU_IDU[Código],APU_IDU[Valor],"",0)</f>
        <v>58471</v>
      </c>
      <c r="E64" s="497">
        <f>ROUND(SUMIFS(Cantidades[91013913],Cantidades[cod Idu],'CantidadesConsolidadas'!$A64),2)</f>
        <v>0</v>
      </c>
      <c r="F64" s="497">
        <f>ROUND(SUMIFS(Cantidades[472330],Cantidades[cod Idu],'CantidadesConsolidadas'!$A64),2)</f>
        <v>147.49</v>
      </c>
      <c r="G64" s="497">
        <f>ROUND(SUMIFS(Cantidades[167810],Cantidades[cod Idu],'CantidadesConsolidadas'!$A64),2)</f>
        <v>160.22999999999999</v>
      </c>
      <c r="H64" s="497">
        <f>ROUND(SUMIFS(Cantidades[166646],Cantidades[cod Idu],'CantidadesConsolidadas'!$A64),2)</f>
        <v>112.85</v>
      </c>
      <c r="I64" s="497">
        <f>ROUND(SUMIFS(Cantidades[167491],Cantidades[cod Idu],'CantidadesConsolidadas'!$A64),2)</f>
        <v>109.06</v>
      </c>
      <c r="J64" s="497">
        <f>ROUND(SUMIFS(Cantidades[167266],Cantidades[cod Idu],'CantidadesConsolidadas'!$A64),2)</f>
        <v>114</v>
      </c>
      <c r="K64" s="497">
        <f>ROUND(SUMIFS(Cantidades[170896],Cantidades[cod Idu],'CantidadesConsolidadas'!$A64),2)</f>
        <v>0</v>
      </c>
      <c r="L64" s="497">
        <f>ROUND(SUMIFS(Cantidades[170897],Cantidades[cod Idu],'CantidadesConsolidadas'!$A64),2)</f>
        <v>30.72</v>
      </c>
      <c r="M64" s="497">
        <f>ROUND(SUMIFS(Cantidades[170898],Cantidades[cod Idu],'CantidadesConsolidadas'!$A64),2)</f>
        <v>0</v>
      </c>
      <c r="N64" s="497">
        <f>ROUND(SUMIFS(Cantidades[91064150],Cantidades[cod Idu],'CantidadesConsolidadas'!$A64),2)</f>
        <v>32.659999999999997</v>
      </c>
      <c r="O64" s="497">
        <f>ROUND(SUMIFS(Cantidades[168919],Cantidades[cod Idu],'CantidadesConsolidadas'!$A64),2)</f>
        <v>84.74</v>
      </c>
      <c r="P64" s="497">
        <f>ROUND(SUMIFS(Cantidades[168426],Cantidades[cod Idu],'CantidadesConsolidadas'!$A64),2)</f>
        <v>89.96</v>
      </c>
      <c r="Q64" s="497">
        <f>ROUND(SUMIFS(Cantidades[91020796],Cantidades[cod Idu],'CantidadesConsolidadas'!$A64),2)</f>
        <v>18.98</v>
      </c>
      <c r="R64" s="497">
        <f>ROUND(SUMIFS(Cantidades[176184],Cantidades[cod Idu],'CantidadesConsolidadas'!$A64),2)</f>
        <v>39.64</v>
      </c>
      <c r="S64" s="497">
        <f>ROUND(SUMIFS(Cantidades[167636],Cantidades[cod Idu],'CantidadesConsolidadas'!$A64),2)</f>
        <v>117.69</v>
      </c>
      <c r="T64" s="497">
        <f>ROUND(SUMIFS(Cantidades[176730],Cantidades[cod Idu],'CantidadesConsolidadas'!$A64),2)</f>
        <v>48.65</v>
      </c>
      <c r="U64" s="497">
        <f>ROUND(SUMIFS(Cantidades[173038],Cantidades[cod Idu],'CantidadesConsolidadas'!$A64),2)</f>
        <v>90.72</v>
      </c>
      <c r="V64" s="497">
        <f>ROUND(SUMIFS(Cantidades[170222],Cantidades[cod Idu],'CantidadesConsolidadas'!$A64),2)</f>
        <v>0</v>
      </c>
      <c r="W64" s="497">
        <f>ROUND(SUMIFS(Cantidades[170229],Cantidades[cod Idu],'CantidadesConsolidadas'!$A64),2)</f>
        <v>0</v>
      </c>
      <c r="X64" s="497">
        <f>ROUND(SUMIFS(Cantidades[170227],Cantidades[cod Idu],'CantidadesConsolidadas'!$A64),2)</f>
        <v>46.1</v>
      </c>
      <c r="Y64" s="497">
        <f>ROUND(SUMIFS(Cantidades[170226],Cantidades[cod Idu],'CantidadesConsolidadas'!$A64),2)</f>
        <v>0</v>
      </c>
      <c r="Z64" s="497">
        <f>ROUND(SUMIFS(Cantidades[171567],Cantidades[cod Idu],'CantidadesConsolidadas'!$A64),2)</f>
        <v>103.13</v>
      </c>
      <c r="AA64" s="497">
        <f>ROUND(SUMIFS(Cantidades[166632],Cantidades[cod Idu],'CantidadesConsolidadas'!$A64),2)</f>
        <v>77.239999999999995</v>
      </c>
      <c r="AB64" s="497">
        <f>ROUND(SUMIFS(Cantidades[170228],Cantidades[cod Idu],'CantidadesConsolidadas'!$A64),2)</f>
        <v>48.48</v>
      </c>
      <c r="AC64" s="497">
        <f>ROUND(SUMIFS(Cantidades[172926],Cantidades[cod Idu],'CantidadesConsolidadas'!$A64),2)</f>
        <v>33.4</v>
      </c>
      <c r="AD64" s="497">
        <f>ROUND(SUMIFS(Cantidades[171152],Cantidades[cod Idu],'CantidadesConsolidadas'!$A64),2)</f>
        <v>129.63</v>
      </c>
      <c r="AE64" s="497">
        <f>ROUND(SUMIFS(Cantidades[173058],Cantidades[cod Idu],'CantidadesConsolidadas'!$A64),2)</f>
        <v>0</v>
      </c>
      <c r="AF64" s="726">
        <f>ROUND(SUMIFS(Cantidades[174478],Cantidades[cod Idu],'CantidadesConsolidadas'!$A64),2)</f>
        <v>0</v>
      </c>
      <c r="AG64" s="726">
        <f>ROUND(SUMIFS(Cantidades[91010089],Cantidades[cod Idu],'CantidadesConsolidadas'!$A64),2)</f>
        <v>0</v>
      </c>
      <c r="AH64" s="726">
        <f>ROUND(SUMIFS(Cantidades[176122],Cantidades[cod Idu],'CantidadesConsolidadas'!$A64),2)</f>
        <v>0</v>
      </c>
      <c r="AI64" s="726">
        <f>ROUND(SUMIFS(Cantidades[168536],Cantidades[cod Idu],'CantidadesConsolidadas'!$A64),2)</f>
        <v>0</v>
      </c>
      <c r="AJ64" s="497">
        <f>ROUND(SUMIFS(Cantidades[166934],Cantidades[cod Idu],'CantidadesConsolidadas'!$A64),2)</f>
        <v>193.13</v>
      </c>
      <c r="AK64" s="497">
        <f>ROUND(SUMIFS(Cantidades[174353],Cantidades[cod Idu],'CantidadesConsolidadas'!$A64),2)</f>
        <v>129.03</v>
      </c>
      <c r="AL64" s="751">
        <f>ROUND(SUMIFS(Cantidades[52531],Cantidades[cod Idu],'CantidadesConsolidadas'!$A64),2)</f>
        <v>0</v>
      </c>
      <c r="AM64" s="500">
        <f>ROUND(SUMIFS(Cantidades[52456],Cantidades[cod Idu],'CantidadesConsolidadas'!$A64),2)</f>
        <v>0</v>
      </c>
      <c r="AN64" s="500">
        <f>ROUND(SUMIFS(Cantidades[92058103],Cantidades[cod Idu],'CantidadesConsolidadas'!$A64),2)</f>
        <v>0</v>
      </c>
      <c r="AO64" s="500">
        <f>ROUND(SUMIFS(Cantidades[20011114],Cantidades[cod Idu],'CantidadesConsolidadas'!$A64),2)</f>
        <v>0</v>
      </c>
      <c r="AP64" s="500">
        <f>ROUND(SUMIFS(Cantidades[20013540],Cantidades[cod Idu],'CantidadesConsolidadas'!$A64),2)</f>
        <v>0</v>
      </c>
      <c r="AQ64" s="500">
        <f>ROUND(SUMIFS(Cantidades[55337],Cantidades[cod Idu],'CantidadesConsolidadas'!$A64),2)</f>
        <v>0</v>
      </c>
      <c r="AR64" s="500">
        <f>ROUND(SUMIFS(Cantidades[92087422],Cantidades[cod Idu],'CantidadesConsolidadas'!$A64),2)</f>
        <v>0</v>
      </c>
      <c r="AS64" s="500">
        <f>ROUND(SUMIFS(Cantidades[55259],Cantidades[cod Idu],'CantidadesConsolidadas'!$A64),2)</f>
        <v>0</v>
      </c>
      <c r="AT64" s="500">
        <f>ROUND(SUMIFS(Cantidades[466904],Cantidades[cod Idu],'CantidadesConsolidadas'!$A64),2)</f>
        <v>0</v>
      </c>
      <c r="AU64" s="500">
        <f>ROUND(SUMIFS(Cantidades[48591],Cantidades[cod Idu],'CantidadesConsolidadas'!$A64),2)</f>
        <v>0</v>
      </c>
      <c r="AV64" s="500">
        <f>ROUND(SUMIFS(Cantidades[48590],Cantidades[cod Idu],'CantidadesConsolidadas'!$A64),2)</f>
        <v>0</v>
      </c>
      <c r="AW64" s="500">
        <f>ROUND(SUMIFS(Cantidades[48561],Cantidades[cod Idu],'CantidadesConsolidadas'!$A64),2)</f>
        <v>0</v>
      </c>
      <c r="AX64" s="805">
        <f>ROUND(SUMIFS(Cantidades[48560],Cantidades[cod Idu],'CantidadesConsolidadas'!$A64),2)</f>
        <v>0</v>
      </c>
      <c r="AY64" s="805">
        <f>ROUND(SUMIFS(Cantidades[48657],Cantidades[cod Idu],'CantidadesConsolidadas'!$A64),2)</f>
        <v>0</v>
      </c>
      <c r="AZ64" s="752">
        <f>ROUND(SUMIFS(Cantidades[48655],Cantidades[cod Idu],'CantidadesConsolidadas'!$A64),2)</f>
        <v>0</v>
      </c>
      <c r="BA64" s="758">
        <f>SUBTOTAL(9,CantidadesConsolidadas[[#This Row],[91013913]:[48655]])</f>
        <v>1957.5300000000004</v>
      </c>
      <c r="BB64" s="638">
        <f>ROUND(CantidadesConsolidadas[[#This Row],[Total]]*CantidadesConsolidadas[[#This Row],[VU]],0)</f>
        <v>114458737</v>
      </c>
    </row>
    <row r="65" spans="1:54" ht="29.4" thickBot="1" x14ac:dyDescent="0.35">
      <c r="A65">
        <v>3050</v>
      </c>
      <c r="B65" s="606" t="str">
        <f>+_xlfn.XLOOKUP(CantidadesConsolidadas[[#This Row],[cod Idu]],APU_IDU[Código],APU_IDU[Nombre],"",0)</f>
        <v>RELLENO EN MATERIAL SELECCIONADO PROVENIENTE DE LA EXCAVACIÓN (EXTENDIDO MANUAL, HUMEDECIMIENTO Y COMPACTACIÓN)</v>
      </c>
      <c r="C65" s="609" t="str">
        <f>+_xlfn.XLOOKUP(CantidadesConsolidadas[[#This Row],[cod Idu]],APU_IDU[Código],APU_IDU[UM],"",0)</f>
        <v>M3</v>
      </c>
      <c r="D65" s="743">
        <f>+_xlfn.XLOOKUP(CantidadesConsolidadas[[#This Row],[cod Idu]],APU_IDU[Código],APU_IDU[Valor],"",0)</f>
        <v>48122</v>
      </c>
      <c r="E65" s="497">
        <f>ROUND(SUMIFS(Cantidades[91013913],Cantidades[cod Idu],'CantidadesConsolidadas'!$A65),2)</f>
        <v>0</v>
      </c>
      <c r="F65" s="497">
        <f>ROUND(SUMIFS(Cantidades[472330],Cantidades[cod Idu],'CantidadesConsolidadas'!$A65),2)</f>
        <v>14.75</v>
      </c>
      <c r="G65" s="497">
        <f>ROUND(SUMIFS(Cantidades[167810],Cantidades[cod Idu],'CantidadesConsolidadas'!$A65),2)</f>
        <v>16.02</v>
      </c>
      <c r="H65" s="497">
        <f>ROUND(SUMIFS(Cantidades[166646],Cantidades[cod Idu],'CantidadesConsolidadas'!$A65),2)</f>
        <v>0</v>
      </c>
      <c r="I65" s="497">
        <f>ROUND(SUMIFS(Cantidades[167491],Cantidades[cod Idu],'CantidadesConsolidadas'!$A65),2)</f>
        <v>10.91</v>
      </c>
      <c r="J65" s="497">
        <f>ROUND(SUMIFS(Cantidades[167266],Cantidades[cod Idu],'CantidadesConsolidadas'!$A65),2)</f>
        <v>11.4</v>
      </c>
      <c r="K65" s="497">
        <f>ROUND(SUMIFS(Cantidades[170896],Cantidades[cod Idu],'CantidadesConsolidadas'!$A65),2)</f>
        <v>0</v>
      </c>
      <c r="L65" s="497">
        <f>ROUND(SUMIFS(Cantidades[170897],Cantidades[cod Idu],'CantidadesConsolidadas'!$A65),2)</f>
        <v>3.07</v>
      </c>
      <c r="M65" s="497">
        <f>ROUND(SUMIFS(Cantidades[170898],Cantidades[cod Idu],'CantidadesConsolidadas'!$A65),2)</f>
        <v>0</v>
      </c>
      <c r="N65" s="497">
        <f>ROUND(SUMIFS(Cantidades[91064150],Cantidades[cod Idu],'CantidadesConsolidadas'!$A65),2)</f>
        <v>3.27</v>
      </c>
      <c r="O65" s="497">
        <f>ROUND(SUMIFS(Cantidades[168919],Cantidades[cod Idu],'CantidadesConsolidadas'!$A65),2)</f>
        <v>8.4700000000000006</v>
      </c>
      <c r="P65" s="497">
        <f>ROUND(SUMIFS(Cantidades[168426],Cantidades[cod Idu],'CantidadesConsolidadas'!$A65),2)</f>
        <v>9</v>
      </c>
      <c r="Q65" s="497">
        <f>ROUND(SUMIFS(Cantidades[91020796],Cantidades[cod Idu],'CantidadesConsolidadas'!$A65),2)</f>
        <v>1.9</v>
      </c>
      <c r="R65" s="497">
        <f>ROUND(SUMIFS(Cantidades[176184],Cantidades[cod Idu],'CantidadesConsolidadas'!$A65),2)</f>
        <v>3.96</v>
      </c>
      <c r="S65" s="497">
        <f>ROUND(SUMIFS(Cantidades[167636],Cantidades[cod Idu],'CantidadesConsolidadas'!$A65),2)</f>
        <v>11.77</v>
      </c>
      <c r="T65" s="497">
        <f>ROUND(SUMIFS(Cantidades[176730],Cantidades[cod Idu],'CantidadesConsolidadas'!$A65),2)</f>
        <v>4.87</v>
      </c>
      <c r="U65" s="497">
        <f>ROUND(SUMIFS(Cantidades[173038],Cantidades[cod Idu],'CantidadesConsolidadas'!$A65),2)</f>
        <v>9.07</v>
      </c>
      <c r="V65" s="497">
        <f>ROUND(SUMIFS(Cantidades[170222],Cantidades[cod Idu],'CantidadesConsolidadas'!$A65),2)</f>
        <v>0</v>
      </c>
      <c r="W65" s="497">
        <f>ROUND(SUMIFS(Cantidades[170229],Cantidades[cod Idu],'CantidadesConsolidadas'!$A65),2)</f>
        <v>0</v>
      </c>
      <c r="X65" s="497">
        <f>ROUND(SUMIFS(Cantidades[170227],Cantidades[cod Idu],'CantidadesConsolidadas'!$A65),2)</f>
        <v>4.6100000000000003</v>
      </c>
      <c r="Y65" s="497">
        <f>ROUND(SUMIFS(Cantidades[170226],Cantidades[cod Idu],'CantidadesConsolidadas'!$A65),2)</f>
        <v>0</v>
      </c>
      <c r="Z65" s="497">
        <f>ROUND(SUMIFS(Cantidades[171567],Cantidades[cod Idu],'CantidadesConsolidadas'!$A65),2)</f>
        <v>10.31</v>
      </c>
      <c r="AA65" s="497">
        <f>ROUND(SUMIFS(Cantidades[166632],Cantidades[cod Idu],'CantidadesConsolidadas'!$A65),2)</f>
        <v>7.72</v>
      </c>
      <c r="AB65" s="497">
        <f>ROUND(SUMIFS(Cantidades[170228],Cantidades[cod Idu],'CantidadesConsolidadas'!$A65),2)</f>
        <v>4.8499999999999996</v>
      </c>
      <c r="AC65" s="497">
        <f>ROUND(SUMIFS(Cantidades[172926],Cantidades[cod Idu],'CantidadesConsolidadas'!$A65),2)</f>
        <v>3.34</v>
      </c>
      <c r="AD65" s="497">
        <f>ROUND(SUMIFS(Cantidades[171152],Cantidades[cod Idu],'CantidadesConsolidadas'!$A65),2)</f>
        <v>12.96</v>
      </c>
      <c r="AE65" s="497">
        <f>ROUND(SUMIFS(Cantidades[173058],Cantidades[cod Idu],'CantidadesConsolidadas'!$A65),2)</f>
        <v>0</v>
      </c>
      <c r="AF65" s="726">
        <f>ROUND(SUMIFS(Cantidades[174478],Cantidades[cod Idu],'CantidadesConsolidadas'!$A65),2)</f>
        <v>0</v>
      </c>
      <c r="AG65" s="726">
        <f>ROUND(SUMIFS(Cantidades[91010089],Cantidades[cod Idu],'CantidadesConsolidadas'!$A65),2)</f>
        <v>0</v>
      </c>
      <c r="AH65" s="726">
        <f>ROUND(SUMIFS(Cantidades[176122],Cantidades[cod Idu],'CantidadesConsolidadas'!$A65),2)</f>
        <v>0</v>
      </c>
      <c r="AI65" s="726">
        <f>ROUND(SUMIFS(Cantidades[168536],Cantidades[cod Idu],'CantidadesConsolidadas'!$A65),2)</f>
        <v>0</v>
      </c>
      <c r="AJ65" s="497">
        <f>ROUND(SUMIFS(Cantidades[166934],Cantidades[cod Idu],'CantidadesConsolidadas'!$A65),2)</f>
        <v>19.309999999999999</v>
      </c>
      <c r="AK65" s="497">
        <f>ROUND(SUMIFS(Cantidades[174353],Cantidades[cod Idu],'CantidadesConsolidadas'!$A65),2)</f>
        <v>12.9</v>
      </c>
      <c r="AL65" s="751">
        <f>ROUND(SUMIFS(Cantidades[52531],Cantidades[cod Idu],'CantidadesConsolidadas'!$A65),2)</f>
        <v>0</v>
      </c>
      <c r="AM65" s="500">
        <f>ROUND(SUMIFS(Cantidades[52456],Cantidades[cod Idu],'CantidadesConsolidadas'!$A65),2)</f>
        <v>0</v>
      </c>
      <c r="AN65" s="500">
        <f>ROUND(SUMIFS(Cantidades[92058103],Cantidades[cod Idu],'CantidadesConsolidadas'!$A65),2)</f>
        <v>0</v>
      </c>
      <c r="AO65" s="500">
        <f>ROUND(SUMIFS(Cantidades[20011114],Cantidades[cod Idu],'CantidadesConsolidadas'!$A65),2)</f>
        <v>0</v>
      </c>
      <c r="AP65" s="500">
        <f>ROUND(SUMIFS(Cantidades[20013540],Cantidades[cod Idu],'CantidadesConsolidadas'!$A65),2)</f>
        <v>0</v>
      </c>
      <c r="AQ65" s="500">
        <f>ROUND(SUMIFS(Cantidades[55337],Cantidades[cod Idu],'CantidadesConsolidadas'!$A65),2)</f>
        <v>0</v>
      </c>
      <c r="AR65" s="500">
        <f>ROUND(SUMIFS(Cantidades[92087422],Cantidades[cod Idu],'CantidadesConsolidadas'!$A65),2)</f>
        <v>0</v>
      </c>
      <c r="AS65" s="500">
        <f>ROUND(SUMIFS(Cantidades[55259],Cantidades[cod Idu],'CantidadesConsolidadas'!$A65),2)</f>
        <v>0</v>
      </c>
      <c r="AT65" s="500">
        <f>ROUND(SUMIFS(Cantidades[466904],Cantidades[cod Idu],'CantidadesConsolidadas'!$A65),2)</f>
        <v>0</v>
      </c>
      <c r="AU65" s="500">
        <f>ROUND(SUMIFS(Cantidades[48591],Cantidades[cod Idu],'CantidadesConsolidadas'!$A65),2)</f>
        <v>0</v>
      </c>
      <c r="AV65" s="500">
        <f>ROUND(SUMIFS(Cantidades[48590],Cantidades[cod Idu],'CantidadesConsolidadas'!$A65),2)</f>
        <v>0</v>
      </c>
      <c r="AW65" s="500">
        <f>ROUND(SUMIFS(Cantidades[48561],Cantidades[cod Idu],'CantidadesConsolidadas'!$A65),2)</f>
        <v>0</v>
      </c>
      <c r="AX65" s="805">
        <f>ROUND(SUMIFS(Cantidades[48560],Cantidades[cod Idu],'CantidadesConsolidadas'!$A65),2)</f>
        <v>0</v>
      </c>
      <c r="AY65" s="805">
        <f>ROUND(SUMIFS(Cantidades[48657],Cantidades[cod Idu],'CantidadesConsolidadas'!$A65),2)</f>
        <v>0</v>
      </c>
      <c r="AZ65" s="752">
        <f>ROUND(SUMIFS(Cantidades[48655],Cantidades[cod Idu],'CantidadesConsolidadas'!$A65),2)</f>
        <v>0</v>
      </c>
      <c r="BA65" s="758">
        <f>SUBTOTAL(9,CantidadesConsolidadas[[#This Row],[91013913]:[48655]])</f>
        <v>184.46000000000004</v>
      </c>
      <c r="BB65" s="638">
        <f>ROUND(CantidadesConsolidadas[[#This Row],[Total]]*CantidadesConsolidadas[[#This Row],[VU]],0)</f>
        <v>8876584</v>
      </c>
    </row>
    <row r="66" spans="1:54" ht="29.4" thickBot="1" x14ac:dyDescent="0.35">
      <c r="A66">
        <v>5412</v>
      </c>
      <c r="B66" s="606" t="str">
        <f>+_xlfn.XLOOKUP(CantidadesConsolidadas[[#This Row],[cod Idu]],APU_IDU[Código],APU_IDU[Nombre],"",0)</f>
        <v>RELLENO EN TRITURADO DE 3/4`` (INCLUYE TRANSPORTE, SUMINISTRO, EXTENDIDO MANUAL Y COLOCACIÓN)</v>
      </c>
      <c r="C66" s="609" t="str">
        <f>+_xlfn.XLOOKUP(CantidadesConsolidadas[[#This Row],[cod Idu]],APU_IDU[Código],APU_IDU[UM],"",0)</f>
        <v>M3</v>
      </c>
      <c r="D66" s="743">
        <f>+_xlfn.XLOOKUP(CantidadesConsolidadas[[#This Row],[cod Idu]],APU_IDU[Código],APU_IDU[Valor],"",0)</f>
        <v>178829</v>
      </c>
      <c r="E66" s="497">
        <f>ROUND(SUMIFS(Cantidades[91013913],Cantidades[cod Idu],'CantidadesConsolidadas'!$A66),2)</f>
        <v>0</v>
      </c>
      <c r="F66" s="497">
        <f>ROUND(SUMIFS(Cantidades[472330],Cantidades[cod Idu],'CantidadesConsolidadas'!$A66),2)</f>
        <v>0</v>
      </c>
      <c r="G66" s="497">
        <f>ROUND(SUMIFS(Cantidades[167810],Cantidades[cod Idu],'CantidadesConsolidadas'!$A66),2)</f>
        <v>0</v>
      </c>
      <c r="H66" s="497">
        <f>ROUND(SUMIFS(Cantidades[166646],Cantidades[cod Idu],'CantidadesConsolidadas'!$A66),2)</f>
        <v>11.29</v>
      </c>
      <c r="I66" s="497">
        <f>ROUND(SUMIFS(Cantidades[167491],Cantidades[cod Idu],'CantidadesConsolidadas'!$A66),2)</f>
        <v>0</v>
      </c>
      <c r="J66" s="497">
        <f>ROUND(SUMIFS(Cantidades[167266],Cantidades[cod Idu],'CantidadesConsolidadas'!$A66),2)</f>
        <v>0</v>
      </c>
      <c r="K66" s="497">
        <f>ROUND(SUMIFS(Cantidades[170896],Cantidades[cod Idu],'CantidadesConsolidadas'!$A66),2)</f>
        <v>0</v>
      </c>
      <c r="L66" s="497">
        <f>ROUND(SUMIFS(Cantidades[170897],Cantidades[cod Idu],'CantidadesConsolidadas'!$A66),2)</f>
        <v>0</v>
      </c>
      <c r="M66" s="497">
        <f>ROUND(SUMIFS(Cantidades[170898],Cantidades[cod Idu],'CantidadesConsolidadas'!$A66),2)</f>
        <v>0</v>
      </c>
      <c r="N66" s="497">
        <f>ROUND(SUMIFS(Cantidades[91064150],Cantidades[cod Idu],'CantidadesConsolidadas'!$A66),2)</f>
        <v>0</v>
      </c>
      <c r="O66" s="497">
        <f>ROUND(SUMIFS(Cantidades[168919],Cantidades[cod Idu],'CantidadesConsolidadas'!$A66),2)</f>
        <v>0</v>
      </c>
      <c r="P66" s="497">
        <f>ROUND(SUMIFS(Cantidades[168426],Cantidades[cod Idu],'CantidadesConsolidadas'!$A66),2)</f>
        <v>0</v>
      </c>
      <c r="Q66" s="497">
        <f>ROUND(SUMIFS(Cantidades[91020796],Cantidades[cod Idu],'CantidadesConsolidadas'!$A66),2)</f>
        <v>0</v>
      </c>
      <c r="R66" s="497">
        <f>ROUND(SUMIFS(Cantidades[176184],Cantidades[cod Idu],'CantidadesConsolidadas'!$A66),2)</f>
        <v>0</v>
      </c>
      <c r="S66" s="497">
        <f>ROUND(SUMIFS(Cantidades[167636],Cantidades[cod Idu],'CantidadesConsolidadas'!$A66),2)</f>
        <v>0</v>
      </c>
      <c r="T66" s="497">
        <f>ROUND(SUMIFS(Cantidades[176730],Cantidades[cod Idu],'CantidadesConsolidadas'!$A66),2)</f>
        <v>0</v>
      </c>
      <c r="U66" s="497">
        <f>ROUND(SUMIFS(Cantidades[173038],Cantidades[cod Idu],'CantidadesConsolidadas'!$A66),2)</f>
        <v>0</v>
      </c>
      <c r="V66" s="497">
        <f>ROUND(SUMIFS(Cantidades[170222],Cantidades[cod Idu],'CantidadesConsolidadas'!$A66),2)</f>
        <v>0</v>
      </c>
      <c r="W66" s="497">
        <f>ROUND(SUMIFS(Cantidades[170229],Cantidades[cod Idu],'CantidadesConsolidadas'!$A66),2)</f>
        <v>0</v>
      </c>
      <c r="X66" s="497">
        <f>ROUND(SUMIFS(Cantidades[170227],Cantidades[cod Idu],'CantidadesConsolidadas'!$A66),2)</f>
        <v>0</v>
      </c>
      <c r="Y66" s="497">
        <f>ROUND(SUMIFS(Cantidades[170226],Cantidades[cod Idu],'CantidadesConsolidadas'!$A66),2)</f>
        <v>0</v>
      </c>
      <c r="Z66" s="497">
        <f>ROUND(SUMIFS(Cantidades[171567],Cantidades[cod Idu],'CantidadesConsolidadas'!$A66),2)</f>
        <v>0</v>
      </c>
      <c r="AA66" s="497">
        <f>ROUND(SUMIFS(Cantidades[166632],Cantidades[cod Idu],'CantidadesConsolidadas'!$A66),2)</f>
        <v>0</v>
      </c>
      <c r="AB66" s="497">
        <f>ROUND(SUMIFS(Cantidades[170228],Cantidades[cod Idu],'CantidadesConsolidadas'!$A66),2)</f>
        <v>0</v>
      </c>
      <c r="AC66" s="497">
        <f>ROUND(SUMIFS(Cantidades[172926],Cantidades[cod Idu],'CantidadesConsolidadas'!$A66),2)</f>
        <v>0</v>
      </c>
      <c r="AD66" s="497">
        <f>ROUND(SUMIFS(Cantidades[171152],Cantidades[cod Idu],'CantidadesConsolidadas'!$A66),2)</f>
        <v>0</v>
      </c>
      <c r="AE66" s="497">
        <f>ROUND(SUMIFS(Cantidades[173058],Cantidades[cod Idu],'CantidadesConsolidadas'!$A66),2)</f>
        <v>0</v>
      </c>
      <c r="AF66" s="726">
        <f>ROUND(SUMIFS(Cantidades[174478],Cantidades[cod Idu],'CantidadesConsolidadas'!$A66),2)</f>
        <v>0</v>
      </c>
      <c r="AG66" s="726">
        <f>ROUND(SUMIFS(Cantidades[91010089],Cantidades[cod Idu],'CantidadesConsolidadas'!$A66),2)</f>
        <v>0</v>
      </c>
      <c r="AH66" s="726">
        <f>ROUND(SUMIFS(Cantidades[176122],Cantidades[cod Idu],'CantidadesConsolidadas'!$A66),2)</f>
        <v>0</v>
      </c>
      <c r="AI66" s="726">
        <f>ROUND(SUMIFS(Cantidades[168536],Cantidades[cod Idu],'CantidadesConsolidadas'!$A66),2)</f>
        <v>0</v>
      </c>
      <c r="AJ66" s="497">
        <f>ROUND(SUMIFS(Cantidades[166934],Cantidades[cod Idu],'CantidadesConsolidadas'!$A66),2)</f>
        <v>0</v>
      </c>
      <c r="AK66" s="497">
        <f>ROUND(SUMIFS(Cantidades[174353],Cantidades[cod Idu],'CantidadesConsolidadas'!$A66),2)</f>
        <v>0</v>
      </c>
      <c r="AL66" s="751">
        <f>ROUND(SUMIFS(Cantidades[52531],Cantidades[cod Idu],'CantidadesConsolidadas'!$A66),2)</f>
        <v>0</v>
      </c>
      <c r="AM66" s="500">
        <f>ROUND(SUMIFS(Cantidades[52456],Cantidades[cod Idu],'CantidadesConsolidadas'!$A66),2)</f>
        <v>0</v>
      </c>
      <c r="AN66" s="500">
        <f>ROUND(SUMIFS(Cantidades[92058103],Cantidades[cod Idu],'CantidadesConsolidadas'!$A66),2)</f>
        <v>0</v>
      </c>
      <c r="AO66" s="500">
        <f>ROUND(SUMIFS(Cantidades[20011114],Cantidades[cod Idu],'CantidadesConsolidadas'!$A66),2)</f>
        <v>0</v>
      </c>
      <c r="AP66" s="500">
        <f>ROUND(SUMIFS(Cantidades[20013540],Cantidades[cod Idu],'CantidadesConsolidadas'!$A66),2)</f>
        <v>0</v>
      </c>
      <c r="AQ66" s="500">
        <f>ROUND(SUMIFS(Cantidades[55337],Cantidades[cod Idu],'CantidadesConsolidadas'!$A66),2)</f>
        <v>0</v>
      </c>
      <c r="AR66" s="500">
        <f>ROUND(SUMIFS(Cantidades[92087422],Cantidades[cod Idu],'CantidadesConsolidadas'!$A66),2)</f>
        <v>0</v>
      </c>
      <c r="AS66" s="500">
        <f>ROUND(SUMIFS(Cantidades[55259],Cantidades[cod Idu],'CantidadesConsolidadas'!$A66),2)</f>
        <v>0</v>
      </c>
      <c r="AT66" s="500">
        <f>ROUND(SUMIFS(Cantidades[466904],Cantidades[cod Idu],'CantidadesConsolidadas'!$A66),2)</f>
        <v>0</v>
      </c>
      <c r="AU66" s="500">
        <f>ROUND(SUMIFS(Cantidades[48591],Cantidades[cod Idu],'CantidadesConsolidadas'!$A66),2)</f>
        <v>0</v>
      </c>
      <c r="AV66" s="500">
        <f>ROUND(SUMIFS(Cantidades[48590],Cantidades[cod Idu],'CantidadesConsolidadas'!$A66),2)</f>
        <v>0</v>
      </c>
      <c r="AW66" s="500">
        <f>ROUND(SUMIFS(Cantidades[48561],Cantidades[cod Idu],'CantidadesConsolidadas'!$A66),2)</f>
        <v>0</v>
      </c>
      <c r="AX66" s="805">
        <f>ROUND(SUMIFS(Cantidades[48560],Cantidades[cod Idu],'CantidadesConsolidadas'!$A66),2)</f>
        <v>0</v>
      </c>
      <c r="AY66" s="805">
        <f>ROUND(SUMIFS(Cantidades[48657],Cantidades[cod Idu],'CantidadesConsolidadas'!$A66),2)</f>
        <v>0</v>
      </c>
      <c r="AZ66" s="752">
        <f>ROUND(SUMIFS(Cantidades[48655],Cantidades[cod Idu],'CantidadesConsolidadas'!$A66),2)</f>
        <v>0</v>
      </c>
      <c r="BA66" s="758">
        <f>SUBTOTAL(9,CantidadesConsolidadas[[#This Row],[91013913]:[48655]])</f>
        <v>11.29</v>
      </c>
      <c r="BB66" s="638">
        <f>ROUND(CantidadesConsolidadas[[#This Row],[Total]]*CantidadesConsolidadas[[#This Row],[VU]],0)</f>
        <v>2018979</v>
      </c>
    </row>
    <row r="67" spans="1:54" ht="29.4" thickBot="1" x14ac:dyDescent="0.35">
      <c r="A67">
        <v>4792</v>
      </c>
      <c r="B67" s="606" t="str">
        <f>+_xlfn.XLOOKUP(CantidadesConsolidadas[[#This Row],[cod Idu]],APU_IDU[Código],APU_IDU[Nombre],"",0)</f>
        <v>RELLENO EN RECEBO COMUN (SUMINISTRO E INSTALACIÓN EXTENDIDO MANUAL, HUMEDECIMIENTO Y COMPACTACIÓN TRANSPORTE A 28 KM).</v>
      </c>
      <c r="C67" s="609" t="str">
        <f>+_xlfn.XLOOKUP(CantidadesConsolidadas[[#This Row],[cod Idu]],APU_IDU[Código],APU_IDU[UM],"",0)</f>
        <v>M3</v>
      </c>
      <c r="D67" s="743">
        <f>+_xlfn.XLOOKUP(CantidadesConsolidadas[[#This Row],[cod Idu]],APU_IDU[Código],APU_IDU[Valor],"",0)</f>
        <v>112980</v>
      </c>
      <c r="E67" s="497">
        <f>ROUND(SUMIFS(Cantidades[91013913],Cantidades[cod Idu],'CantidadesConsolidadas'!$A67),2)</f>
        <v>0</v>
      </c>
      <c r="F67" s="497">
        <f>ROUND(SUMIFS(Cantidades[472330],Cantidades[cod Idu],'CantidadesConsolidadas'!$A67),2)</f>
        <v>1.48</v>
      </c>
      <c r="G67" s="497">
        <f>ROUND(SUMIFS(Cantidades[167810],Cantidades[cod Idu],'CantidadesConsolidadas'!$A67),2)</f>
        <v>1.6</v>
      </c>
      <c r="H67" s="497">
        <f>ROUND(SUMIFS(Cantidades[166646],Cantidades[cod Idu],'CantidadesConsolidadas'!$A67),2)</f>
        <v>0</v>
      </c>
      <c r="I67" s="497">
        <f>ROUND(SUMIFS(Cantidades[167491],Cantidades[cod Idu],'CantidadesConsolidadas'!$A67),2)</f>
        <v>0</v>
      </c>
      <c r="J67" s="497">
        <f>ROUND(SUMIFS(Cantidades[167266],Cantidades[cod Idu],'CantidadesConsolidadas'!$A67),2)</f>
        <v>1.1399999999999999</v>
      </c>
      <c r="K67" s="497">
        <f>ROUND(SUMIFS(Cantidades[170896],Cantidades[cod Idu],'CantidadesConsolidadas'!$A67),2)</f>
        <v>0</v>
      </c>
      <c r="L67" s="497">
        <f>ROUND(SUMIFS(Cantidades[170897],Cantidades[cod Idu],'CantidadesConsolidadas'!$A67),2)</f>
        <v>0.31</v>
      </c>
      <c r="M67" s="497">
        <f>ROUND(SUMIFS(Cantidades[170898],Cantidades[cod Idu],'CantidadesConsolidadas'!$A67),2)</f>
        <v>0</v>
      </c>
      <c r="N67" s="497">
        <f>ROUND(SUMIFS(Cantidades[91064150],Cantidades[cod Idu],'CantidadesConsolidadas'!$A67),2)</f>
        <v>0.33</v>
      </c>
      <c r="O67" s="497">
        <f>ROUND(SUMIFS(Cantidades[168919],Cantidades[cod Idu],'CantidadesConsolidadas'!$A67),2)</f>
        <v>0.85</v>
      </c>
      <c r="P67" s="497">
        <f>ROUND(SUMIFS(Cantidades[168426],Cantidades[cod Idu],'CantidadesConsolidadas'!$A67),2)</f>
        <v>0.9</v>
      </c>
      <c r="Q67" s="497">
        <f>ROUND(SUMIFS(Cantidades[91020796],Cantidades[cod Idu],'CantidadesConsolidadas'!$A67),2)</f>
        <v>0.19</v>
      </c>
      <c r="R67" s="497">
        <f>ROUND(SUMIFS(Cantidades[176184],Cantidades[cod Idu],'CantidadesConsolidadas'!$A67),2)</f>
        <v>0.4</v>
      </c>
      <c r="S67" s="497">
        <f>ROUND(SUMIFS(Cantidades[167636],Cantidades[cod Idu],'CantidadesConsolidadas'!$A67),2)</f>
        <v>1.18</v>
      </c>
      <c r="T67" s="497">
        <f>ROUND(SUMIFS(Cantidades[176730],Cantidades[cod Idu],'CantidadesConsolidadas'!$A67),2)</f>
        <v>0.49</v>
      </c>
      <c r="U67" s="497">
        <f>ROUND(SUMIFS(Cantidades[173038],Cantidades[cod Idu],'CantidadesConsolidadas'!$A67),2)</f>
        <v>0.91</v>
      </c>
      <c r="V67" s="497">
        <f>ROUND(SUMIFS(Cantidades[170222],Cantidades[cod Idu],'CantidadesConsolidadas'!$A67),2)</f>
        <v>0</v>
      </c>
      <c r="W67" s="497">
        <f>ROUND(SUMIFS(Cantidades[170229],Cantidades[cod Idu],'CantidadesConsolidadas'!$A67),2)</f>
        <v>0</v>
      </c>
      <c r="X67" s="497">
        <f>ROUND(SUMIFS(Cantidades[170227],Cantidades[cod Idu],'CantidadesConsolidadas'!$A67),2)</f>
        <v>0.46</v>
      </c>
      <c r="Y67" s="497">
        <f>ROUND(SUMIFS(Cantidades[170226],Cantidades[cod Idu],'CantidadesConsolidadas'!$A67),2)</f>
        <v>0</v>
      </c>
      <c r="Z67" s="497">
        <f>ROUND(SUMIFS(Cantidades[171567],Cantidades[cod Idu],'CantidadesConsolidadas'!$A67),2)</f>
        <v>1.03</v>
      </c>
      <c r="AA67" s="497">
        <f>ROUND(SUMIFS(Cantidades[166632],Cantidades[cod Idu],'CantidadesConsolidadas'!$A67),2)</f>
        <v>0.77</v>
      </c>
      <c r="AB67" s="497">
        <f>ROUND(SUMIFS(Cantidades[170228],Cantidades[cod Idu],'CantidadesConsolidadas'!$A67),2)</f>
        <v>0.49</v>
      </c>
      <c r="AC67" s="497">
        <f>ROUND(SUMIFS(Cantidades[172926],Cantidades[cod Idu],'CantidadesConsolidadas'!$A67),2)</f>
        <v>0.33</v>
      </c>
      <c r="AD67" s="497">
        <f>ROUND(SUMIFS(Cantidades[171152],Cantidades[cod Idu],'CantidadesConsolidadas'!$A67),2)</f>
        <v>1.3</v>
      </c>
      <c r="AE67" s="497">
        <f>ROUND(SUMIFS(Cantidades[173058],Cantidades[cod Idu],'CantidadesConsolidadas'!$A67),2)</f>
        <v>0</v>
      </c>
      <c r="AF67" s="726">
        <f>ROUND(SUMIFS(Cantidades[174478],Cantidades[cod Idu],'CantidadesConsolidadas'!$A67),2)</f>
        <v>0</v>
      </c>
      <c r="AG67" s="726">
        <f>ROUND(SUMIFS(Cantidades[91010089],Cantidades[cod Idu],'CantidadesConsolidadas'!$A67),2)</f>
        <v>0</v>
      </c>
      <c r="AH67" s="726">
        <f>ROUND(SUMIFS(Cantidades[176122],Cantidades[cod Idu],'CantidadesConsolidadas'!$A67),2)</f>
        <v>0</v>
      </c>
      <c r="AI67" s="726">
        <f>ROUND(SUMIFS(Cantidades[168536],Cantidades[cod Idu],'CantidadesConsolidadas'!$A67),2)</f>
        <v>0</v>
      </c>
      <c r="AJ67" s="497">
        <f>ROUND(SUMIFS(Cantidades[166934],Cantidades[cod Idu],'CantidadesConsolidadas'!$A67),2)</f>
        <v>1.93</v>
      </c>
      <c r="AK67" s="497">
        <f>ROUND(SUMIFS(Cantidades[174353],Cantidades[cod Idu],'CantidadesConsolidadas'!$A67),2)</f>
        <v>1.29</v>
      </c>
      <c r="AL67" s="751">
        <f>ROUND(SUMIFS(Cantidades[52531],Cantidades[cod Idu],'CantidadesConsolidadas'!$A67),2)</f>
        <v>0</v>
      </c>
      <c r="AM67" s="500">
        <f>ROUND(SUMIFS(Cantidades[52456],Cantidades[cod Idu],'CantidadesConsolidadas'!$A67),2)</f>
        <v>0</v>
      </c>
      <c r="AN67" s="500">
        <f>ROUND(SUMIFS(Cantidades[92058103],Cantidades[cod Idu],'CantidadesConsolidadas'!$A67),2)</f>
        <v>0</v>
      </c>
      <c r="AO67" s="500">
        <f>ROUND(SUMIFS(Cantidades[20011114],Cantidades[cod Idu],'CantidadesConsolidadas'!$A67),2)</f>
        <v>0</v>
      </c>
      <c r="AP67" s="500">
        <f>ROUND(SUMIFS(Cantidades[20013540],Cantidades[cod Idu],'CantidadesConsolidadas'!$A67),2)</f>
        <v>0</v>
      </c>
      <c r="AQ67" s="500">
        <f>ROUND(SUMIFS(Cantidades[55337],Cantidades[cod Idu],'CantidadesConsolidadas'!$A67),2)</f>
        <v>0</v>
      </c>
      <c r="AR67" s="500">
        <f>ROUND(SUMIFS(Cantidades[92087422],Cantidades[cod Idu],'CantidadesConsolidadas'!$A67),2)</f>
        <v>0</v>
      </c>
      <c r="AS67" s="500">
        <f>ROUND(SUMIFS(Cantidades[55259],Cantidades[cod Idu],'CantidadesConsolidadas'!$A67),2)</f>
        <v>0</v>
      </c>
      <c r="AT67" s="500">
        <f>ROUND(SUMIFS(Cantidades[466904],Cantidades[cod Idu],'CantidadesConsolidadas'!$A67),2)</f>
        <v>0</v>
      </c>
      <c r="AU67" s="500">
        <f>ROUND(SUMIFS(Cantidades[48591],Cantidades[cod Idu],'CantidadesConsolidadas'!$A67),2)</f>
        <v>0</v>
      </c>
      <c r="AV67" s="500">
        <f>ROUND(SUMIFS(Cantidades[48590],Cantidades[cod Idu],'CantidadesConsolidadas'!$A67),2)</f>
        <v>0</v>
      </c>
      <c r="AW67" s="500">
        <f>ROUND(SUMIFS(Cantidades[48561],Cantidades[cod Idu],'CantidadesConsolidadas'!$A67),2)</f>
        <v>0</v>
      </c>
      <c r="AX67" s="805">
        <f>ROUND(SUMIFS(Cantidades[48560],Cantidades[cod Idu],'CantidadesConsolidadas'!$A67),2)</f>
        <v>0</v>
      </c>
      <c r="AY67" s="805">
        <f>ROUND(SUMIFS(Cantidades[48657],Cantidades[cod Idu],'CantidadesConsolidadas'!$A67),2)</f>
        <v>0</v>
      </c>
      <c r="AZ67" s="752">
        <f>ROUND(SUMIFS(Cantidades[48655],Cantidades[cod Idu],'CantidadesConsolidadas'!$A67),2)</f>
        <v>0</v>
      </c>
      <c r="BA67" s="758">
        <f>SUBTOTAL(9,CantidadesConsolidadas[[#This Row],[91013913]:[48655]])</f>
        <v>17.380000000000003</v>
      </c>
      <c r="BB67" s="638">
        <f>ROUND(CantidadesConsolidadas[[#This Row],[Total]]*CantidadesConsolidadas[[#This Row],[VU]],0)</f>
        <v>1963592</v>
      </c>
    </row>
    <row r="68" spans="1:54" ht="29.4" thickBot="1" x14ac:dyDescent="0.35">
      <c r="A68">
        <v>4837</v>
      </c>
      <c r="B68" s="606" t="str">
        <f>+_xlfn.XLOOKUP(CantidadesConsolidadas[[#This Row],[cod Idu]],APU_IDU[Código],APU_IDU[Nombre],"",0)</f>
        <v>RELLENO CON MEZCLA DE GRAVILLA DE 3/4" Y ARENA DE RIO (RELACIÓN 1:1) SUMINISTRO Y COLOCACIÓN. (INCLUYE TRANSPORTE, SUMINISTRO, EXTENDIDO MANUAL Y COLOCACIÓN).</v>
      </c>
      <c r="C68" s="609" t="str">
        <f>+_xlfn.XLOOKUP(CantidadesConsolidadas[[#This Row],[cod Idu]],APU_IDU[Código],APU_IDU[UM],"",0)</f>
        <v>M3</v>
      </c>
      <c r="D68" s="743">
        <f>+_xlfn.XLOOKUP(CantidadesConsolidadas[[#This Row],[cod Idu]],APU_IDU[Código],APU_IDU[Valor],"",0)</f>
        <v>223097</v>
      </c>
      <c r="E68" s="497">
        <f>ROUND(SUMIFS(Cantidades[91013913],Cantidades[cod Idu],'CantidadesConsolidadas'!$A68),2)</f>
        <v>0</v>
      </c>
      <c r="F68" s="497">
        <f>ROUND(SUMIFS(Cantidades[472330],Cantidades[cod Idu],'CantidadesConsolidadas'!$A68),2)</f>
        <v>44.25</v>
      </c>
      <c r="G68" s="497">
        <f>ROUND(SUMIFS(Cantidades[167810],Cantidades[cod Idu],'CantidadesConsolidadas'!$A68),2)</f>
        <v>48.07</v>
      </c>
      <c r="H68" s="497">
        <f>ROUND(SUMIFS(Cantidades[166646],Cantidades[cod Idu],'CantidadesConsolidadas'!$A68),2)</f>
        <v>33.86</v>
      </c>
      <c r="I68" s="497">
        <f>ROUND(SUMIFS(Cantidades[167491],Cantidades[cod Idu],'CantidadesConsolidadas'!$A68),2)</f>
        <v>32.72</v>
      </c>
      <c r="J68" s="497">
        <f>ROUND(SUMIFS(Cantidades[167266],Cantidades[cod Idu],'CantidadesConsolidadas'!$A68),2)</f>
        <v>34.200000000000003</v>
      </c>
      <c r="K68" s="497">
        <f>ROUND(SUMIFS(Cantidades[170896],Cantidades[cod Idu],'CantidadesConsolidadas'!$A68),2)</f>
        <v>0</v>
      </c>
      <c r="L68" s="497">
        <f>ROUND(SUMIFS(Cantidades[170897],Cantidades[cod Idu],'CantidadesConsolidadas'!$A68),2)</f>
        <v>9.2200000000000006</v>
      </c>
      <c r="M68" s="497">
        <f>ROUND(SUMIFS(Cantidades[170898],Cantidades[cod Idu],'CantidadesConsolidadas'!$A68),2)</f>
        <v>0</v>
      </c>
      <c r="N68" s="497">
        <f>ROUND(SUMIFS(Cantidades[91064150],Cantidades[cod Idu],'CantidadesConsolidadas'!$A68),2)</f>
        <v>9.8000000000000007</v>
      </c>
      <c r="O68" s="497">
        <f>ROUND(SUMIFS(Cantidades[168919],Cantidades[cod Idu],'CantidadesConsolidadas'!$A68),2)</f>
        <v>25.42</v>
      </c>
      <c r="P68" s="497">
        <f>ROUND(SUMIFS(Cantidades[168426],Cantidades[cod Idu],'CantidadesConsolidadas'!$A68),2)</f>
        <v>26.99</v>
      </c>
      <c r="Q68" s="497">
        <f>ROUND(SUMIFS(Cantidades[91020796],Cantidades[cod Idu],'CantidadesConsolidadas'!$A68),2)</f>
        <v>5.69</v>
      </c>
      <c r="R68" s="497">
        <f>ROUND(SUMIFS(Cantidades[176184],Cantidades[cod Idu],'CantidadesConsolidadas'!$A68),2)</f>
        <v>11.89</v>
      </c>
      <c r="S68" s="497">
        <f>ROUND(SUMIFS(Cantidades[167636],Cantidades[cod Idu],'CantidadesConsolidadas'!$A68),2)</f>
        <v>35.31</v>
      </c>
      <c r="T68" s="497">
        <f>ROUND(SUMIFS(Cantidades[176730],Cantidades[cod Idu],'CantidadesConsolidadas'!$A68),2)</f>
        <v>14.6</v>
      </c>
      <c r="U68" s="497">
        <f>ROUND(SUMIFS(Cantidades[173038],Cantidades[cod Idu],'CantidadesConsolidadas'!$A68),2)</f>
        <v>27.22</v>
      </c>
      <c r="V68" s="497">
        <f>ROUND(SUMIFS(Cantidades[170222],Cantidades[cod Idu],'CantidadesConsolidadas'!$A68),2)</f>
        <v>0</v>
      </c>
      <c r="W68" s="497">
        <f>ROUND(SUMIFS(Cantidades[170229],Cantidades[cod Idu],'CantidadesConsolidadas'!$A68),2)</f>
        <v>0</v>
      </c>
      <c r="X68" s="497">
        <f>ROUND(SUMIFS(Cantidades[170227],Cantidades[cod Idu],'CantidadesConsolidadas'!$A68),2)</f>
        <v>13.83</v>
      </c>
      <c r="Y68" s="497">
        <f>ROUND(SUMIFS(Cantidades[170226],Cantidades[cod Idu],'CantidadesConsolidadas'!$A68),2)</f>
        <v>0</v>
      </c>
      <c r="Z68" s="497">
        <f>ROUND(SUMIFS(Cantidades[171567],Cantidades[cod Idu],'CantidadesConsolidadas'!$A68),2)</f>
        <v>30.94</v>
      </c>
      <c r="AA68" s="497">
        <f>ROUND(SUMIFS(Cantidades[166632],Cantidades[cod Idu],'CantidadesConsolidadas'!$A68),2)</f>
        <v>23.17</v>
      </c>
      <c r="AB68" s="497">
        <f>ROUND(SUMIFS(Cantidades[170228],Cantidades[cod Idu],'CantidadesConsolidadas'!$A68),2)</f>
        <v>14.54</v>
      </c>
      <c r="AC68" s="497">
        <f>ROUND(SUMIFS(Cantidades[172926],Cantidades[cod Idu],'CantidadesConsolidadas'!$A68),2)</f>
        <v>10.02</v>
      </c>
      <c r="AD68" s="497">
        <f>ROUND(SUMIFS(Cantidades[171152],Cantidades[cod Idu],'CantidadesConsolidadas'!$A68),2)</f>
        <v>38.89</v>
      </c>
      <c r="AE68" s="497">
        <f>ROUND(SUMIFS(Cantidades[173058],Cantidades[cod Idu],'CantidadesConsolidadas'!$A68),2)</f>
        <v>0</v>
      </c>
      <c r="AF68" s="726">
        <f>ROUND(SUMIFS(Cantidades[174478],Cantidades[cod Idu],'CantidadesConsolidadas'!$A68),2)</f>
        <v>0</v>
      </c>
      <c r="AG68" s="726">
        <f>ROUND(SUMIFS(Cantidades[91010089],Cantidades[cod Idu],'CantidadesConsolidadas'!$A68),2)</f>
        <v>0</v>
      </c>
      <c r="AH68" s="726">
        <f>ROUND(SUMIFS(Cantidades[176122],Cantidades[cod Idu],'CantidadesConsolidadas'!$A68),2)</f>
        <v>0</v>
      </c>
      <c r="AI68" s="726">
        <f>ROUND(SUMIFS(Cantidades[168536],Cantidades[cod Idu],'CantidadesConsolidadas'!$A68),2)</f>
        <v>0</v>
      </c>
      <c r="AJ68" s="497">
        <f>ROUND(SUMIFS(Cantidades[166934],Cantidades[cod Idu],'CantidadesConsolidadas'!$A68),2)</f>
        <v>57.94</v>
      </c>
      <c r="AK68" s="497">
        <f>ROUND(SUMIFS(Cantidades[174353],Cantidades[cod Idu],'CantidadesConsolidadas'!$A68),2)</f>
        <v>38.71</v>
      </c>
      <c r="AL68" s="751">
        <f>ROUND(SUMIFS(Cantidades[52531],Cantidades[cod Idu],'CantidadesConsolidadas'!$A68),2)</f>
        <v>0</v>
      </c>
      <c r="AM68" s="500">
        <f>ROUND(SUMIFS(Cantidades[52456],Cantidades[cod Idu],'CantidadesConsolidadas'!$A68),2)</f>
        <v>0</v>
      </c>
      <c r="AN68" s="500">
        <f>ROUND(SUMIFS(Cantidades[92058103],Cantidades[cod Idu],'CantidadesConsolidadas'!$A68),2)</f>
        <v>0</v>
      </c>
      <c r="AO68" s="500">
        <f>ROUND(SUMIFS(Cantidades[20011114],Cantidades[cod Idu],'CantidadesConsolidadas'!$A68),2)</f>
        <v>0</v>
      </c>
      <c r="AP68" s="500">
        <f>ROUND(SUMIFS(Cantidades[20013540],Cantidades[cod Idu],'CantidadesConsolidadas'!$A68),2)</f>
        <v>0</v>
      </c>
      <c r="AQ68" s="500">
        <f>ROUND(SUMIFS(Cantidades[55337],Cantidades[cod Idu],'CantidadesConsolidadas'!$A68),2)</f>
        <v>0</v>
      </c>
      <c r="AR68" s="500">
        <f>ROUND(SUMIFS(Cantidades[92087422],Cantidades[cod Idu],'CantidadesConsolidadas'!$A68),2)</f>
        <v>0</v>
      </c>
      <c r="AS68" s="500">
        <f>ROUND(SUMIFS(Cantidades[55259],Cantidades[cod Idu],'CantidadesConsolidadas'!$A68),2)</f>
        <v>0</v>
      </c>
      <c r="AT68" s="500">
        <f>ROUND(SUMIFS(Cantidades[466904],Cantidades[cod Idu],'CantidadesConsolidadas'!$A68),2)</f>
        <v>0</v>
      </c>
      <c r="AU68" s="500">
        <f>ROUND(SUMIFS(Cantidades[48591],Cantidades[cod Idu],'CantidadesConsolidadas'!$A68),2)</f>
        <v>0</v>
      </c>
      <c r="AV68" s="500">
        <f>ROUND(SUMIFS(Cantidades[48590],Cantidades[cod Idu],'CantidadesConsolidadas'!$A68),2)</f>
        <v>0</v>
      </c>
      <c r="AW68" s="500">
        <f>ROUND(SUMIFS(Cantidades[48561],Cantidades[cod Idu],'CantidadesConsolidadas'!$A68),2)</f>
        <v>0</v>
      </c>
      <c r="AX68" s="805">
        <f>ROUND(SUMIFS(Cantidades[48560],Cantidades[cod Idu],'CantidadesConsolidadas'!$A68),2)</f>
        <v>0</v>
      </c>
      <c r="AY68" s="805">
        <f>ROUND(SUMIFS(Cantidades[48657],Cantidades[cod Idu],'CantidadesConsolidadas'!$A68),2)</f>
        <v>0</v>
      </c>
      <c r="AZ68" s="752">
        <f>ROUND(SUMIFS(Cantidades[48655],Cantidades[cod Idu],'CantidadesConsolidadas'!$A68),2)</f>
        <v>0</v>
      </c>
      <c r="BA68" s="758">
        <f>SUBTOTAL(9,CantidadesConsolidadas[[#This Row],[91013913]:[48655]])</f>
        <v>587.28</v>
      </c>
      <c r="BB68" s="638">
        <f>ROUND(CantidadesConsolidadas[[#This Row],[Total]]*CantidadesConsolidadas[[#This Row],[VU]],0)</f>
        <v>131020406</v>
      </c>
    </row>
    <row r="69" spans="1:54" ht="29.4" thickBot="1" x14ac:dyDescent="0.35">
      <c r="A69">
        <v>3024</v>
      </c>
      <c r="B69" s="606" t="str">
        <f>+_xlfn.XLOOKUP(CantidadesConsolidadas[[#This Row],[cod Idu]],APU_IDU[Código],APU_IDU[Nombre],"",0)</f>
        <v>RELLENO PARA REDES EN ARENA DE PEÑA (SUMINISTRO, EXTENDIDO, HUMEDECIMIENTO Y COMPACTACIÓN)</v>
      </c>
      <c r="C69" s="609" t="str">
        <f>+_xlfn.XLOOKUP(CantidadesConsolidadas[[#This Row],[cod Idu]],APU_IDU[Código],APU_IDU[UM],"",0)</f>
        <v>M3</v>
      </c>
      <c r="D69" s="743">
        <f>+_xlfn.XLOOKUP(CantidadesConsolidadas[[#This Row],[cod Idu]],APU_IDU[Código],APU_IDU[Valor],"",0)</f>
        <v>182185</v>
      </c>
      <c r="E69" s="497">
        <f>ROUND(SUMIFS(Cantidades[91013913],Cantidades[cod Idu],'CantidadesConsolidadas'!$A69),2)</f>
        <v>0</v>
      </c>
      <c r="F69" s="497">
        <f>ROUND(SUMIFS(Cantidades[472330],Cantidades[cod Idu],'CantidadesConsolidadas'!$A69),2)</f>
        <v>0.15</v>
      </c>
      <c r="G69" s="497">
        <f>ROUND(SUMIFS(Cantidades[167810],Cantidades[cod Idu],'CantidadesConsolidadas'!$A69),2)</f>
        <v>0.16</v>
      </c>
      <c r="H69" s="497">
        <f>ROUND(SUMIFS(Cantidades[166646],Cantidades[cod Idu],'CantidadesConsolidadas'!$A69),2)</f>
        <v>1.1299999999999999</v>
      </c>
      <c r="I69" s="497">
        <f>ROUND(SUMIFS(Cantidades[167491],Cantidades[cod Idu],'CantidadesConsolidadas'!$A69),2)</f>
        <v>0</v>
      </c>
      <c r="J69" s="497">
        <f>ROUND(SUMIFS(Cantidades[167266],Cantidades[cod Idu],'CantidadesConsolidadas'!$A69),2)</f>
        <v>0.11</v>
      </c>
      <c r="K69" s="497">
        <f>ROUND(SUMIFS(Cantidades[170896],Cantidades[cod Idu],'CantidadesConsolidadas'!$A69),2)</f>
        <v>0</v>
      </c>
      <c r="L69" s="497">
        <f>ROUND(SUMIFS(Cantidades[170897],Cantidades[cod Idu],'CantidadesConsolidadas'!$A69),2)</f>
        <v>0.03</v>
      </c>
      <c r="M69" s="497">
        <f>ROUND(SUMIFS(Cantidades[170898],Cantidades[cod Idu],'CantidadesConsolidadas'!$A69),2)</f>
        <v>0</v>
      </c>
      <c r="N69" s="497">
        <f>ROUND(SUMIFS(Cantidades[91064150],Cantidades[cod Idu],'CantidadesConsolidadas'!$A69),2)</f>
        <v>0.03</v>
      </c>
      <c r="O69" s="497">
        <f>ROUND(SUMIFS(Cantidades[168919],Cantidades[cod Idu],'CantidadesConsolidadas'!$A69),2)</f>
        <v>0.09</v>
      </c>
      <c r="P69" s="497">
        <f>ROUND(SUMIFS(Cantidades[168426],Cantidades[cod Idu],'CantidadesConsolidadas'!$A69),2)</f>
        <v>0.09</v>
      </c>
      <c r="Q69" s="497">
        <f>ROUND(SUMIFS(Cantidades[91020796],Cantidades[cod Idu],'CantidadesConsolidadas'!$A69),2)</f>
        <v>0.02</v>
      </c>
      <c r="R69" s="497">
        <f>ROUND(SUMIFS(Cantidades[176184],Cantidades[cod Idu],'CantidadesConsolidadas'!$A69),2)</f>
        <v>0.04</v>
      </c>
      <c r="S69" s="497">
        <f>ROUND(SUMIFS(Cantidades[167636],Cantidades[cod Idu],'CantidadesConsolidadas'!$A69),2)</f>
        <v>0.12</v>
      </c>
      <c r="T69" s="497">
        <f>ROUND(SUMIFS(Cantidades[176730],Cantidades[cod Idu],'CantidadesConsolidadas'!$A69),2)</f>
        <v>0.05</v>
      </c>
      <c r="U69" s="497">
        <f>ROUND(SUMIFS(Cantidades[173038],Cantidades[cod Idu],'CantidadesConsolidadas'!$A69),2)</f>
        <v>0.09</v>
      </c>
      <c r="V69" s="497">
        <f>ROUND(SUMIFS(Cantidades[170222],Cantidades[cod Idu],'CantidadesConsolidadas'!$A69),2)</f>
        <v>0</v>
      </c>
      <c r="W69" s="497">
        <f>ROUND(SUMIFS(Cantidades[170229],Cantidades[cod Idu],'CantidadesConsolidadas'!$A69),2)</f>
        <v>0</v>
      </c>
      <c r="X69" s="497">
        <f>ROUND(SUMIFS(Cantidades[170227],Cantidades[cod Idu],'CantidadesConsolidadas'!$A69),2)</f>
        <v>0.05</v>
      </c>
      <c r="Y69" s="497">
        <f>ROUND(SUMIFS(Cantidades[170226],Cantidades[cod Idu],'CantidadesConsolidadas'!$A69),2)</f>
        <v>0</v>
      </c>
      <c r="Z69" s="497">
        <f>ROUND(SUMIFS(Cantidades[171567],Cantidades[cod Idu],'CantidadesConsolidadas'!$A69),2)</f>
        <v>0.1</v>
      </c>
      <c r="AA69" s="497">
        <f>ROUND(SUMIFS(Cantidades[166632],Cantidades[cod Idu],'CantidadesConsolidadas'!$A69),2)</f>
        <v>0.08</v>
      </c>
      <c r="AB69" s="497">
        <f>ROUND(SUMIFS(Cantidades[170228],Cantidades[cod Idu],'CantidadesConsolidadas'!$A69),2)</f>
        <v>0.05</v>
      </c>
      <c r="AC69" s="497">
        <f>ROUND(SUMIFS(Cantidades[172926],Cantidades[cod Idu],'CantidadesConsolidadas'!$A69),2)</f>
        <v>0.03</v>
      </c>
      <c r="AD69" s="497">
        <f>ROUND(SUMIFS(Cantidades[171152],Cantidades[cod Idu],'CantidadesConsolidadas'!$A69),2)</f>
        <v>0.13</v>
      </c>
      <c r="AE69" s="497">
        <f>ROUND(SUMIFS(Cantidades[173058],Cantidades[cod Idu],'CantidadesConsolidadas'!$A69),2)</f>
        <v>0</v>
      </c>
      <c r="AF69" s="726">
        <f>ROUND(SUMIFS(Cantidades[174478],Cantidades[cod Idu],'CantidadesConsolidadas'!$A69),2)</f>
        <v>0</v>
      </c>
      <c r="AG69" s="726">
        <f>ROUND(SUMIFS(Cantidades[91010089],Cantidades[cod Idu],'CantidadesConsolidadas'!$A69),2)</f>
        <v>0</v>
      </c>
      <c r="AH69" s="726">
        <f>ROUND(SUMIFS(Cantidades[176122],Cantidades[cod Idu],'CantidadesConsolidadas'!$A69),2)</f>
        <v>0</v>
      </c>
      <c r="AI69" s="726">
        <f>ROUND(SUMIFS(Cantidades[168536],Cantidades[cod Idu],'CantidadesConsolidadas'!$A69),2)</f>
        <v>0</v>
      </c>
      <c r="AJ69" s="497">
        <f>ROUND(SUMIFS(Cantidades[166934],Cantidades[cod Idu],'CantidadesConsolidadas'!$A69),2)</f>
        <v>0.19</v>
      </c>
      <c r="AK69" s="497">
        <f>ROUND(SUMIFS(Cantidades[174353],Cantidades[cod Idu],'CantidadesConsolidadas'!$A69),2)</f>
        <v>0.13</v>
      </c>
      <c r="AL69" s="751">
        <f>ROUND(SUMIFS(Cantidades[52531],Cantidades[cod Idu],'CantidadesConsolidadas'!$A69),2)</f>
        <v>0</v>
      </c>
      <c r="AM69" s="500">
        <f>ROUND(SUMIFS(Cantidades[52456],Cantidades[cod Idu],'CantidadesConsolidadas'!$A69),2)</f>
        <v>0</v>
      </c>
      <c r="AN69" s="500">
        <f>ROUND(SUMIFS(Cantidades[92058103],Cantidades[cod Idu],'CantidadesConsolidadas'!$A69),2)</f>
        <v>0</v>
      </c>
      <c r="AO69" s="500">
        <f>ROUND(SUMIFS(Cantidades[20011114],Cantidades[cod Idu],'CantidadesConsolidadas'!$A69),2)</f>
        <v>0</v>
      </c>
      <c r="AP69" s="500">
        <f>ROUND(SUMIFS(Cantidades[20013540],Cantidades[cod Idu],'CantidadesConsolidadas'!$A69),2)</f>
        <v>0</v>
      </c>
      <c r="AQ69" s="500">
        <f>ROUND(SUMIFS(Cantidades[55337],Cantidades[cod Idu],'CantidadesConsolidadas'!$A69),2)</f>
        <v>0</v>
      </c>
      <c r="AR69" s="500">
        <f>ROUND(SUMIFS(Cantidades[92087422],Cantidades[cod Idu],'CantidadesConsolidadas'!$A69),2)</f>
        <v>0</v>
      </c>
      <c r="AS69" s="500">
        <f>ROUND(SUMIFS(Cantidades[55259],Cantidades[cod Idu],'CantidadesConsolidadas'!$A69),2)</f>
        <v>0</v>
      </c>
      <c r="AT69" s="500">
        <f>ROUND(SUMIFS(Cantidades[466904],Cantidades[cod Idu],'CantidadesConsolidadas'!$A69),2)</f>
        <v>0</v>
      </c>
      <c r="AU69" s="500">
        <f>ROUND(SUMIFS(Cantidades[48591],Cantidades[cod Idu],'CantidadesConsolidadas'!$A69),2)</f>
        <v>0</v>
      </c>
      <c r="AV69" s="500">
        <f>ROUND(SUMIFS(Cantidades[48590],Cantidades[cod Idu],'CantidadesConsolidadas'!$A69),2)</f>
        <v>0</v>
      </c>
      <c r="AW69" s="500">
        <f>ROUND(SUMIFS(Cantidades[48561],Cantidades[cod Idu],'CantidadesConsolidadas'!$A69),2)</f>
        <v>0</v>
      </c>
      <c r="AX69" s="805">
        <f>ROUND(SUMIFS(Cantidades[48560],Cantidades[cod Idu],'CantidadesConsolidadas'!$A69),2)</f>
        <v>0</v>
      </c>
      <c r="AY69" s="805">
        <f>ROUND(SUMIFS(Cantidades[48657],Cantidades[cod Idu],'CantidadesConsolidadas'!$A69),2)</f>
        <v>0</v>
      </c>
      <c r="AZ69" s="752">
        <f>ROUND(SUMIFS(Cantidades[48655],Cantidades[cod Idu],'CantidadesConsolidadas'!$A69),2)</f>
        <v>0</v>
      </c>
      <c r="BA69" s="758">
        <f>SUBTOTAL(9,CantidadesConsolidadas[[#This Row],[91013913]:[48655]])</f>
        <v>2.8699999999999992</v>
      </c>
      <c r="BB69" s="638">
        <f>ROUND(CantidadesConsolidadas[[#This Row],[Total]]*CantidadesConsolidadas[[#This Row],[VU]],0)</f>
        <v>522871</v>
      </c>
    </row>
    <row r="70" spans="1:54" ht="29.4" thickBot="1" x14ac:dyDescent="0.35">
      <c r="A70">
        <v>3878</v>
      </c>
      <c r="B70" s="606" t="str">
        <f>+_xlfn.XLOOKUP(CantidadesConsolidadas[[#This Row],[cod Idu]],APU_IDU[Código],APU_IDU[Nombre],"",0)</f>
        <v>PLACA CUBIERTA D=1.70M POZO INSPEC. (PREFABRICADA. INCLUYE SUMINISTRO E INSTALACIÓN. INCLUYE TAPA)</v>
      </c>
      <c r="C70" s="609" t="str">
        <f>+_xlfn.XLOOKUP(CantidadesConsolidadas[[#This Row],[cod Idu]],APU_IDU[Código],APU_IDU[UM],"",0)</f>
        <v>UN</v>
      </c>
      <c r="D70" s="743">
        <f>+_xlfn.XLOOKUP(CantidadesConsolidadas[[#This Row],[cod Idu]],APU_IDU[Código],APU_IDU[Valor],"",0)</f>
        <v>2025781</v>
      </c>
      <c r="E70" s="497">
        <f>ROUND(SUMIFS(Cantidades[91013913],Cantidades[cod Idu],'CantidadesConsolidadas'!$A70),2)</f>
        <v>0</v>
      </c>
      <c r="F70" s="497">
        <f>ROUND(SUMIFS(Cantidades[472330],Cantidades[cod Idu],'CantidadesConsolidadas'!$A70),2)</f>
        <v>2</v>
      </c>
      <c r="G70" s="497">
        <f>ROUND(SUMIFS(Cantidades[167810],Cantidades[cod Idu],'CantidadesConsolidadas'!$A70),2)</f>
        <v>3</v>
      </c>
      <c r="H70" s="497">
        <f>ROUND(SUMIFS(Cantidades[166646],Cantidades[cod Idu],'CantidadesConsolidadas'!$A70),2)</f>
        <v>4</v>
      </c>
      <c r="I70" s="497">
        <f>ROUND(SUMIFS(Cantidades[167491],Cantidades[cod Idu],'CantidadesConsolidadas'!$A70),2)</f>
        <v>0</v>
      </c>
      <c r="J70" s="497">
        <f>ROUND(SUMIFS(Cantidades[167266],Cantidades[cod Idu],'CantidadesConsolidadas'!$A70),2)</f>
        <v>0</v>
      </c>
      <c r="K70" s="497">
        <f>ROUND(SUMIFS(Cantidades[170896],Cantidades[cod Idu],'CantidadesConsolidadas'!$A70),2)</f>
        <v>3</v>
      </c>
      <c r="L70" s="497">
        <f>ROUND(SUMIFS(Cantidades[170897],Cantidades[cod Idu],'CantidadesConsolidadas'!$A70),2)</f>
        <v>4</v>
      </c>
      <c r="M70" s="497">
        <f>ROUND(SUMIFS(Cantidades[170898],Cantidades[cod Idu],'CantidadesConsolidadas'!$A70),2)</f>
        <v>0</v>
      </c>
      <c r="N70" s="497">
        <f>ROUND(SUMIFS(Cantidades[91064150],Cantidades[cod Idu],'CantidadesConsolidadas'!$A70),2)</f>
        <v>4</v>
      </c>
      <c r="O70" s="497">
        <f>ROUND(SUMIFS(Cantidades[168919],Cantidades[cod Idu],'CantidadesConsolidadas'!$A70),2)</f>
        <v>0</v>
      </c>
      <c r="P70" s="497">
        <f>ROUND(SUMIFS(Cantidades[168426],Cantidades[cod Idu],'CantidadesConsolidadas'!$A70),2)</f>
        <v>2</v>
      </c>
      <c r="Q70" s="497">
        <f>ROUND(SUMIFS(Cantidades[91020796],Cantidades[cod Idu],'CantidadesConsolidadas'!$A70),2)</f>
        <v>4</v>
      </c>
      <c r="R70" s="497">
        <f>ROUND(SUMIFS(Cantidades[176184],Cantidades[cod Idu],'CantidadesConsolidadas'!$A70),2)</f>
        <v>0</v>
      </c>
      <c r="S70" s="497">
        <f>ROUND(SUMIFS(Cantidades[167636],Cantidades[cod Idu],'CantidadesConsolidadas'!$A70),2)</f>
        <v>2</v>
      </c>
      <c r="T70" s="497">
        <f>ROUND(SUMIFS(Cantidades[176730],Cantidades[cod Idu],'CantidadesConsolidadas'!$A70),2)</f>
        <v>3</v>
      </c>
      <c r="U70" s="497">
        <f>ROUND(SUMIFS(Cantidades[173038],Cantidades[cod Idu],'CantidadesConsolidadas'!$A70),2)</f>
        <v>2</v>
      </c>
      <c r="V70" s="497">
        <f>ROUND(SUMIFS(Cantidades[170222],Cantidades[cod Idu],'CantidadesConsolidadas'!$A70),2)</f>
        <v>3</v>
      </c>
      <c r="W70" s="497">
        <f>ROUND(SUMIFS(Cantidades[170229],Cantidades[cod Idu],'CantidadesConsolidadas'!$A70),2)</f>
        <v>0</v>
      </c>
      <c r="X70" s="497">
        <f>ROUND(SUMIFS(Cantidades[170227],Cantidades[cod Idu],'CantidadesConsolidadas'!$A70),2)</f>
        <v>2</v>
      </c>
      <c r="Y70" s="497">
        <f>ROUND(SUMIFS(Cantidades[170226],Cantidades[cod Idu],'CantidadesConsolidadas'!$A70),2)</f>
        <v>0</v>
      </c>
      <c r="Z70" s="497">
        <f>ROUND(SUMIFS(Cantidades[171567],Cantidades[cod Idu],'CantidadesConsolidadas'!$A70),2)</f>
        <v>0</v>
      </c>
      <c r="AA70" s="497">
        <f>ROUND(SUMIFS(Cantidades[166632],Cantidades[cod Idu],'CantidadesConsolidadas'!$A70),2)</f>
        <v>0</v>
      </c>
      <c r="AB70" s="497">
        <f>ROUND(SUMIFS(Cantidades[170228],Cantidades[cod Idu],'CantidadesConsolidadas'!$A70),2)</f>
        <v>0</v>
      </c>
      <c r="AC70" s="497">
        <f>ROUND(SUMIFS(Cantidades[172926],Cantidades[cod Idu],'CantidadesConsolidadas'!$A70),2)</f>
        <v>4</v>
      </c>
      <c r="AD70" s="497">
        <f>ROUND(SUMIFS(Cantidades[171152],Cantidades[cod Idu],'CantidadesConsolidadas'!$A70),2)</f>
        <v>3</v>
      </c>
      <c r="AE70" s="497">
        <f>ROUND(SUMIFS(Cantidades[173058],Cantidades[cod Idu],'CantidadesConsolidadas'!$A70),2)</f>
        <v>0</v>
      </c>
      <c r="AF70" s="726">
        <f>ROUND(SUMIFS(Cantidades[174478],Cantidades[cod Idu],'CantidadesConsolidadas'!$A70),2)</f>
        <v>0</v>
      </c>
      <c r="AG70" s="726">
        <f>ROUND(SUMIFS(Cantidades[91010089],Cantidades[cod Idu],'CantidadesConsolidadas'!$A70),2)</f>
        <v>0</v>
      </c>
      <c r="AH70" s="726">
        <f>ROUND(SUMIFS(Cantidades[176122],Cantidades[cod Idu],'CantidadesConsolidadas'!$A70),2)</f>
        <v>0</v>
      </c>
      <c r="AI70" s="726">
        <f>ROUND(SUMIFS(Cantidades[168536],Cantidades[cod Idu],'CantidadesConsolidadas'!$A70),2)</f>
        <v>0</v>
      </c>
      <c r="AJ70" s="497">
        <f>ROUND(SUMIFS(Cantidades[166934],Cantidades[cod Idu],'CantidadesConsolidadas'!$A70),2)</f>
        <v>3</v>
      </c>
      <c r="AK70" s="497">
        <f>ROUND(SUMIFS(Cantidades[174353],Cantidades[cod Idu],'CantidadesConsolidadas'!$A70),2)</f>
        <v>3</v>
      </c>
      <c r="AL70" s="751">
        <f>ROUND(SUMIFS(Cantidades[52531],Cantidades[cod Idu],'CantidadesConsolidadas'!$A70),2)</f>
        <v>0</v>
      </c>
      <c r="AM70" s="500">
        <f>ROUND(SUMIFS(Cantidades[52456],Cantidades[cod Idu],'CantidadesConsolidadas'!$A70),2)</f>
        <v>0</v>
      </c>
      <c r="AN70" s="500">
        <f>ROUND(SUMIFS(Cantidades[92058103],Cantidades[cod Idu],'CantidadesConsolidadas'!$A70),2)</f>
        <v>0</v>
      </c>
      <c r="AO70" s="500">
        <f>ROUND(SUMIFS(Cantidades[20011114],Cantidades[cod Idu],'CantidadesConsolidadas'!$A70),2)</f>
        <v>0</v>
      </c>
      <c r="AP70" s="500">
        <f>ROUND(SUMIFS(Cantidades[20013540],Cantidades[cod Idu],'CantidadesConsolidadas'!$A70),2)</f>
        <v>0</v>
      </c>
      <c r="AQ70" s="500">
        <f>ROUND(SUMIFS(Cantidades[55337],Cantidades[cod Idu],'CantidadesConsolidadas'!$A70),2)</f>
        <v>0</v>
      </c>
      <c r="AR70" s="500">
        <f>ROUND(SUMIFS(Cantidades[92087422],Cantidades[cod Idu],'CantidadesConsolidadas'!$A70),2)</f>
        <v>0</v>
      </c>
      <c r="AS70" s="500">
        <f>ROUND(SUMIFS(Cantidades[55259],Cantidades[cod Idu],'CantidadesConsolidadas'!$A70),2)</f>
        <v>0</v>
      </c>
      <c r="AT70" s="500">
        <f>ROUND(SUMIFS(Cantidades[466904],Cantidades[cod Idu],'CantidadesConsolidadas'!$A70),2)</f>
        <v>0</v>
      </c>
      <c r="AU70" s="500">
        <f>ROUND(SUMIFS(Cantidades[48591],Cantidades[cod Idu],'CantidadesConsolidadas'!$A70),2)</f>
        <v>0</v>
      </c>
      <c r="AV70" s="500">
        <f>ROUND(SUMIFS(Cantidades[48590],Cantidades[cod Idu],'CantidadesConsolidadas'!$A70),2)</f>
        <v>0</v>
      </c>
      <c r="AW70" s="500">
        <f>ROUND(SUMIFS(Cantidades[48561],Cantidades[cod Idu],'CantidadesConsolidadas'!$A70),2)</f>
        <v>0</v>
      </c>
      <c r="AX70" s="805">
        <f>ROUND(SUMIFS(Cantidades[48560],Cantidades[cod Idu],'CantidadesConsolidadas'!$A70),2)</f>
        <v>0</v>
      </c>
      <c r="AY70" s="805">
        <f>ROUND(SUMIFS(Cantidades[48657],Cantidades[cod Idu],'CantidadesConsolidadas'!$A70),2)</f>
        <v>0</v>
      </c>
      <c r="AZ70" s="752">
        <f>ROUND(SUMIFS(Cantidades[48655],Cantidades[cod Idu],'CantidadesConsolidadas'!$A70),2)</f>
        <v>0</v>
      </c>
      <c r="BA70" s="758">
        <f>SUBTOTAL(9,CantidadesConsolidadas[[#This Row],[91013913]:[48655]])</f>
        <v>51</v>
      </c>
      <c r="BB70" s="638">
        <f>ROUND(CantidadesConsolidadas[[#This Row],[Total]]*CantidadesConsolidadas[[#This Row],[VU]],0)</f>
        <v>103314831</v>
      </c>
    </row>
    <row r="71" spans="1:54" ht="43.8" thickBot="1" x14ac:dyDescent="0.35">
      <c r="A71">
        <v>3471</v>
      </c>
      <c r="B71" s="606" t="str">
        <f>+_xlfn.XLOOKUP(CantidadesConsolidadas[[#This Row],[cod Idu]],APU_IDU[Código],APU_IDU[Nombre],"",0)</f>
        <v>CILINDRO POZO INSP. EN MAMPOSTERIA E=0.25M (INC. SUMIN. Y CONST, ACERO PARA ESCALERAS, GEOTEXTIL NO TEJIDO CON RESISTENCIA A LA TENSION GRAB: ENTRE 450 N Y 500 N Y PAÑETE IMPERMEAB.)</v>
      </c>
      <c r="C71" s="609" t="str">
        <f>+_xlfn.XLOOKUP(CantidadesConsolidadas[[#This Row],[cod Idu]],APU_IDU[Código],APU_IDU[UM],"",0)</f>
        <v>ML</v>
      </c>
      <c r="D71" s="743">
        <f>+_xlfn.XLOOKUP(CantidadesConsolidadas[[#This Row],[cod Idu]],APU_IDU[Código],APU_IDU[Valor],"",0)</f>
        <v>907310</v>
      </c>
      <c r="E71" s="497">
        <f>ROUND(SUMIFS(Cantidades[91013913],Cantidades[cod Idu],'CantidadesConsolidadas'!$A71),2)</f>
        <v>0</v>
      </c>
      <c r="F71" s="497">
        <f>ROUND(SUMIFS(Cantidades[472330],Cantidades[cod Idu],'CantidadesConsolidadas'!$A71),2)</f>
        <v>2</v>
      </c>
      <c r="G71" s="497">
        <f>ROUND(SUMIFS(Cantidades[167810],Cantidades[cod Idu],'CantidadesConsolidadas'!$A71),2)</f>
        <v>3</v>
      </c>
      <c r="H71" s="497">
        <f>ROUND(SUMIFS(Cantidades[166646],Cantidades[cod Idu],'CantidadesConsolidadas'!$A71),2)</f>
        <v>4</v>
      </c>
      <c r="I71" s="497">
        <f>ROUND(SUMIFS(Cantidades[167491],Cantidades[cod Idu],'CantidadesConsolidadas'!$A71),2)</f>
        <v>0</v>
      </c>
      <c r="J71" s="497">
        <f>ROUND(SUMIFS(Cantidades[167266],Cantidades[cod Idu],'CantidadesConsolidadas'!$A71),2)</f>
        <v>0</v>
      </c>
      <c r="K71" s="497">
        <f>ROUND(SUMIFS(Cantidades[170896],Cantidades[cod Idu],'CantidadesConsolidadas'!$A71),2)</f>
        <v>3</v>
      </c>
      <c r="L71" s="497">
        <f>ROUND(SUMIFS(Cantidades[170897],Cantidades[cod Idu],'CantidadesConsolidadas'!$A71),2)</f>
        <v>4</v>
      </c>
      <c r="M71" s="497">
        <f>ROUND(SUMIFS(Cantidades[170898],Cantidades[cod Idu],'CantidadesConsolidadas'!$A71),2)</f>
        <v>0</v>
      </c>
      <c r="N71" s="497">
        <f>ROUND(SUMIFS(Cantidades[91064150],Cantidades[cod Idu],'CantidadesConsolidadas'!$A71),2)</f>
        <v>4</v>
      </c>
      <c r="O71" s="497">
        <f>ROUND(SUMIFS(Cantidades[168919],Cantidades[cod Idu],'CantidadesConsolidadas'!$A71),2)</f>
        <v>0</v>
      </c>
      <c r="P71" s="497">
        <f>ROUND(SUMIFS(Cantidades[168426],Cantidades[cod Idu],'CantidadesConsolidadas'!$A71),2)</f>
        <v>2</v>
      </c>
      <c r="Q71" s="497">
        <f>ROUND(SUMIFS(Cantidades[91020796],Cantidades[cod Idu],'CantidadesConsolidadas'!$A71),2)</f>
        <v>4</v>
      </c>
      <c r="R71" s="497">
        <f>ROUND(SUMIFS(Cantidades[176184],Cantidades[cod Idu],'CantidadesConsolidadas'!$A71),2)</f>
        <v>0</v>
      </c>
      <c r="S71" s="497">
        <f>ROUND(SUMIFS(Cantidades[167636],Cantidades[cod Idu],'CantidadesConsolidadas'!$A71),2)</f>
        <v>2</v>
      </c>
      <c r="T71" s="497">
        <f>ROUND(SUMIFS(Cantidades[176730],Cantidades[cod Idu],'CantidadesConsolidadas'!$A71),2)</f>
        <v>3</v>
      </c>
      <c r="U71" s="497">
        <f>ROUND(SUMIFS(Cantidades[173038],Cantidades[cod Idu],'CantidadesConsolidadas'!$A71),2)</f>
        <v>2</v>
      </c>
      <c r="V71" s="497">
        <f>ROUND(SUMIFS(Cantidades[170222],Cantidades[cod Idu],'CantidadesConsolidadas'!$A71),2)</f>
        <v>3</v>
      </c>
      <c r="W71" s="497">
        <f>ROUND(SUMIFS(Cantidades[170229],Cantidades[cod Idu],'CantidadesConsolidadas'!$A71),2)</f>
        <v>0</v>
      </c>
      <c r="X71" s="497">
        <f>ROUND(SUMIFS(Cantidades[170227],Cantidades[cod Idu],'CantidadesConsolidadas'!$A71),2)</f>
        <v>2</v>
      </c>
      <c r="Y71" s="497">
        <f>ROUND(SUMIFS(Cantidades[170226],Cantidades[cod Idu],'CantidadesConsolidadas'!$A71),2)</f>
        <v>0</v>
      </c>
      <c r="Z71" s="497">
        <f>ROUND(SUMIFS(Cantidades[171567],Cantidades[cod Idu],'CantidadesConsolidadas'!$A71),2)</f>
        <v>0</v>
      </c>
      <c r="AA71" s="497">
        <f>ROUND(SUMIFS(Cantidades[166632],Cantidades[cod Idu],'CantidadesConsolidadas'!$A71),2)</f>
        <v>0</v>
      </c>
      <c r="AB71" s="497">
        <f>ROUND(SUMIFS(Cantidades[170228],Cantidades[cod Idu],'CantidadesConsolidadas'!$A71),2)</f>
        <v>0</v>
      </c>
      <c r="AC71" s="497">
        <f>ROUND(SUMIFS(Cantidades[172926],Cantidades[cod Idu],'CantidadesConsolidadas'!$A71),2)</f>
        <v>4</v>
      </c>
      <c r="AD71" s="497">
        <f>ROUND(SUMIFS(Cantidades[171152],Cantidades[cod Idu],'CantidadesConsolidadas'!$A71),2)</f>
        <v>3</v>
      </c>
      <c r="AE71" s="497">
        <f>ROUND(SUMIFS(Cantidades[173058],Cantidades[cod Idu],'CantidadesConsolidadas'!$A71),2)</f>
        <v>0</v>
      </c>
      <c r="AF71" s="726">
        <f>ROUND(SUMIFS(Cantidades[174478],Cantidades[cod Idu],'CantidadesConsolidadas'!$A71),2)</f>
        <v>0</v>
      </c>
      <c r="AG71" s="726">
        <f>ROUND(SUMIFS(Cantidades[91010089],Cantidades[cod Idu],'CantidadesConsolidadas'!$A71),2)</f>
        <v>0</v>
      </c>
      <c r="AH71" s="726">
        <f>ROUND(SUMIFS(Cantidades[176122],Cantidades[cod Idu],'CantidadesConsolidadas'!$A71),2)</f>
        <v>0</v>
      </c>
      <c r="AI71" s="726">
        <f>ROUND(SUMIFS(Cantidades[168536],Cantidades[cod Idu],'CantidadesConsolidadas'!$A71),2)</f>
        <v>0</v>
      </c>
      <c r="AJ71" s="497">
        <f>ROUND(SUMIFS(Cantidades[166934],Cantidades[cod Idu],'CantidadesConsolidadas'!$A71),2)</f>
        <v>3</v>
      </c>
      <c r="AK71" s="497">
        <f>ROUND(SUMIFS(Cantidades[174353],Cantidades[cod Idu],'CantidadesConsolidadas'!$A71),2)</f>
        <v>3</v>
      </c>
      <c r="AL71" s="751">
        <f>ROUND(SUMIFS(Cantidades[52531],Cantidades[cod Idu],'CantidadesConsolidadas'!$A71),2)</f>
        <v>0</v>
      </c>
      <c r="AM71" s="500">
        <f>ROUND(SUMIFS(Cantidades[52456],Cantidades[cod Idu],'CantidadesConsolidadas'!$A71),2)</f>
        <v>0</v>
      </c>
      <c r="AN71" s="500">
        <f>ROUND(SUMIFS(Cantidades[92058103],Cantidades[cod Idu],'CantidadesConsolidadas'!$A71),2)</f>
        <v>0</v>
      </c>
      <c r="AO71" s="500">
        <f>ROUND(SUMIFS(Cantidades[20011114],Cantidades[cod Idu],'CantidadesConsolidadas'!$A71),2)</f>
        <v>0</v>
      </c>
      <c r="AP71" s="500">
        <f>ROUND(SUMIFS(Cantidades[20013540],Cantidades[cod Idu],'CantidadesConsolidadas'!$A71),2)</f>
        <v>0</v>
      </c>
      <c r="AQ71" s="500">
        <f>ROUND(SUMIFS(Cantidades[55337],Cantidades[cod Idu],'CantidadesConsolidadas'!$A71),2)</f>
        <v>0</v>
      </c>
      <c r="AR71" s="500">
        <f>ROUND(SUMIFS(Cantidades[92087422],Cantidades[cod Idu],'CantidadesConsolidadas'!$A71),2)</f>
        <v>0</v>
      </c>
      <c r="AS71" s="500">
        <f>ROUND(SUMIFS(Cantidades[55259],Cantidades[cod Idu],'CantidadesConsolidadas'!$A71),2)</f>
        <v>0</v>
      </c>
      <c r="AT71" s="500">
        <f>ROUND(SUMIFS(Cantidades[466904],Cantidades[cod Idu],'CantidadesConsolidadas'!$A71),2)</f>
        <v>0</v>
      </c>
      <c r="AU71" s="500">
        <f>ROUND(SUMIFS(Cantidades[48591],Cantidades[cod Idu],'CantidadesConsolidadas'!$A71),2)</f>
        <v>0</v>
      </c>
      <c r="AV71" s="500">
        <f>ROUND(SUMIFS(Cantidades[48590],Cantidades[cod Idu],'CantidadesConsolidadas'!$A71),2)</f>
        <v>0</v>
      </c>
      <c r="AW71" s="500">
        <f>ROUND(SUMIFS(Cantidades[48561],Cantidades[cod Idu],'CantidadesConsolidadas'!$A71),2)</f>
        <v>0</v>
      </c>
      <c r="AX71" s="805">
        <f>ROUND(SUMIFS(Cantidades[48560],Cantidades[cod Idu],'CantidadesConsolidadas'!$A71),2)</f>
        <v>0</v>
      </c>
      <c r="AY71" s="805">
        <f>ROUND(SUMIFS(Cantidades[48657],Cantidades[cod Idu],'CantidadesConsolidadas'!$A71),2)</f>
        <v>0</v>
      </c>
      <c r="AZ71" s="752">
        <f>ROUND(SUMIFS(Cantidades[48655],Cantidades[cod Idu],'CantidadesConsolidadas'!$A71),2)</f>
        <v>0</v>
      </c>
      <c r="BA71" s="758">
        <f>SUBTOTAL(9,CantidadesConsolidadas[[#This Row],[91013913]:[48655]])</f>
        <v>51</v>
      </c>
      <c r="BB71" s="638">
        <f>ROUND(CantidadesConsolidadas[[#This Row],[Total]]*CantidadesConsolidadas[[#This Row],[VU]],0)</f>
        <v>46272810</v>
      </c>
    </row>
    <row r="72" spans="1:54" ht="29.4" thickBot="1" x14ac:dyDescent="0.35">
      <c r="A72">
        <v>3722</v>
      </c>
      <c r="B72" s="606" t="str">
        <f>+_xlfn.XLOOKUP(CantidadesConsolidadas[[#This Row],[cod Idu]],APU_IDU[Código],APU_IDU[Nombre],"",0)</f>
        <v>NIVELACIÓN DE POZO (HASTA RASANTE EN CONCRETO 3000 PSI HECHO EN OBRA, H=0.15M. INCLUYE SUMINISTRO Y CONSTRUCCIÓN)</v>
      </c>
      <c r="C72" s="609" t="str">
        <f>+_xlfn.XLOOKUP(CantidadesConsolidadas[[#This Row],[cod Idu]],APU_IDU[Código],APU_IDU[UM],"",0)</f>
        <v>UN</v>
      </c>
      <c r="D72" s="743">
        <f>+_xlfn.XLOOKUP(CantidadesConsolidadas[[#This Row],[cod Idu]],APU_IDU[Código],APU_IDU[Valor],"",0)</f>
        <v>146651</v>
      </c>
      <c r="E72" s="497">
        <f>ROUND(SUMIFS(Cantidades[91013913],Cantidades[cod Idu],'CantidadesConsolidadas'!$A72),2)</f>
        <v>0</v>
      </c>
      <c r="F72" s="497">
        <f>ROUND(SUMIFS(Cantidades[472330],Cantidades[cod Idu],'CantidadesConsolidadas'!$A72),2)</f>
        <v>2</v>
      </c>
      <c r="G72" s="497">
        <f>ROUND(SUMIFS(Cantidades[167810],Cantidades[cod Idu],'CantidadesConsolidadas'!$A72),2)</f>
        <v>3</v>
      </c>
      <c r="H72" s="497">
        <f>ROUND(SUMIFS(Cantidades[166646],Cantidades[cod Idu],'CantidadesConsolidadas'!$A72),2)</f>
        <v>4</v>
      </c>
      <c r="I72" s="497">
        <f>ROUND(SUMIFS(Cantidades[167491],Cantidades[cod Idu],'CantidadesConsolidadas'!$A72),2)</f>
        <v>0</v>
      </c>
      <c r="J72" s="497">
        <f>ROUND(SUMIFS(Cantidades[167266],Cantidades[cod Idu],'CantidadesConsolidadas'!$A72),2)</f>
        <v>0</v>
      </c>
      <c r="K72" s="497">
        <f>ROUND(SUMIFS(Cantidades[170896],Cantidades[cod Idu],'CantidadesConsolidadas'!$A72),2)</f>
        <v>3</v>
      </c>
      <c r="L72" s="497">
        <f>ROUND(SUMIFS(Cantidades[170897],Cantidades[cod Idu],'CantidadesConsolidadas'!$A72),2)</f>
        <v>4</v>
      </c>
      <c r="M72" s="497">
        <f>ROUND(SUMIFS(Cantidades[170898],Cantidades[cod Idu],'CantidadesConsolidadas'!$A72),2)</f>
        <v>0</v>
      </c>
      <c r="N72" s="497">
        <f>ROUND(SUMIFS(Cantidades[91064150],Cantidades[cod Idu],'CantidadesConsolidadas'!$A72),2)</f>
        <v>4</v>
      </c>
      <c r="O72" s="497">
        <f>ROUND(SUMIFS(Cantidades[168919],Cantidades[cod Idu],'CantidadesConsolidadas'!$A72),2)</f>
        <v>0</v>
      </c>
      <c r="P72" s="497">
        <f>ROUND(SUMIFS(Cantidades[168426],Cantidades[cod Idu],'CantidadesConsolidadas'!$A72),2)</f>
        <v>2</v>
      </c>
      <c r="Q72" s="497">
        <f>ROUND(SUMIFS(Cantidades[91020796],Cantidades[cod Idu],'CantidadesConsolidadas'!$A72),2)</f>
        <v>4</v>
      </c>
      <c r="R72" s="497">
        <f>ROUND(SUMIFS(Cantidades[176184],Cantidades[cod Idu],'CantidadesConsolidadas'!$A72),2)</f>
        <v>0</v>
      </c>
      <c r="S72" s="497">
        <f>ROUND(SUMIFS(Cantidades[167636],Cantidades[cod Idu],'CantidadesConsolidadas'!$A72),2)</f>
        <v>2</v>
      </c>
      <c r="T72" s="497">
        <f>ROUND(SUMIFS(Cantidades[176730],Cantidades[cod Idu],'CantidadesConsolidadas'!$A72),2)</f>
        <v>3</v>
      </c>
      <c r="U72" s="497">
        <f>ROUND(SUMIFS(Cantidades[173038],Cantidades[cod Idu],'CantidadesConsolidadas'!$A72),2)</f>
        <v>2</v>
      </c>
      <c r="V72" s="497">
        <f>ROUND(SUMIFS(Cantidades[170222],Cantidades[cod Idu],'CantidadesConsolidadas'!$A72),2)</f>
        <v>3</v>
      </c>
      <c r="W72" s="497">
        <f>ROUND(SUMIFS(Cantidades[170229],Cantidades[cod Idu],'CantidadesConsolidadas'!$A72),2)</f>
        <v>0</v>
      </c>
      <c r="X72" s="497">
        <f>ROUND(SUMIFS(Cantidades[170227],Cantidades[cod Idu],'CantidadesConsolidadas'!$A72),2)</f>
        <v>2</v>
      </c>
      <c r="Y72" s="497">
        <f>ROUND(SUMIFS(Cantidades[170226],Cantidades[cod Idu],'CantidadesConsolidadas'!$A72),2)</f>
        <v>0</v>
      </c>
      <c r="Z72" s="497">
        <f>ROUND(SUMIFS(Cantidades[171567],Cantidades[cod Idu],'CantidadesConsolidadas'!$A72),2)</f>
        <v>0</v>
      </c>
      <c r="AA72" s="497">
        <f>ROUND(SUMIFS(Cantidades[166632],Cantidades[cod Idu],'CantidadesConsolidadas'!$A72),2)</f>
        <v>0</v>
      </c>
      <c r="AB72" s="497">
        <f>ROUND(SUMIFS(Cantidades[170228],Cantidades[cod Idu],'CantidadesConsolidadas'!$A72),2)</f>
        <v>0</v>
      </c>
      <c r="AC72" s="497">
        <f>ROUND(SUMIFS(Cantidades[172926],Cantidades[cod Idu],'CantidadesConsolidadas'!$A72),2)</f>
        <v>4</v>
      </c>
      <c r="AD72" s="497">
        <f>ROUND(SUMIFS(Cantidades[171152],Cantidades[cod Idu],'CantidadesConsolidadas'!$A72),2)</f>
        <v>3</v>
      </c>
      <c r="AE72" s="497">
        <f>ROUND(SUMIFS(Cantidades[173058],Cantidades[cod Idu],'CantidadesConsolidadas'!$A72),2)</f>
        <v>0</v>
      </c>
      <c r="AF72" s="726">
        <f>ROUND(SUMIFS(Cantidades[174478],Cantidades[cod Idu],'CantidadesConsolidadas'!$A72),2)</f>
        <v>0</v>
      </c>
      <c r="AG72" s="726">
        <f>ROUND(SUMIFS(Cantidades[91010089],Cantidades[cod Idu],'CantidadesConsolidadas'!$A72),2)</f>
        <v>0</v>
      </c>
      <c r="AH72" s="726">
        <f>ROUND(SUMIFS(Cantidades[176122],Cantidades[cod Idu],'CantidadesConsolidadas'!$A72),2)</f>
        <v>0</v>
      </c>
      <c r="AI72" s="726">
        <f>ROUND(SUMIFS(Cantidades[168536],Cantidades[cod Idu],'CantidadesConsolidadas'!$A72),2)</f>
        <v>0</v>
      </c>
      <c r="AJ72" s="497">
        <f>ROUND(SUMIFS(Cantidades[166934],Cantidades[cod Idu],'CantidadesConsolidadas'!$A72),2)</f>
        <v>3</v>
      </c>
      <c r="AK72" s="497">
        <f>ROUND(SUMIFS(Cantidades[174353],Cantidades[cod Idu],'CantidadesConsolidadas'!$A72),2)</f>
        <v>3</v>
      </c>
      <c r="AL72" s="751">
        <f>ROUND(SUMIFS(Cantidades[52531],Cantidades[cod Idu],'CantidadesConsolidadas'!$A72),2)</f>
        <v>0</v>
      </c>
      <c r="AM72" s="500">
        <f>ROUND(SUMIFS(Cantidades[52456],Cantidades[cod Idu],'CantidadesConsolidadas'!$A72),2)</f>
        <v>0</v>
      </c>
      <c r="AN72" s="500">
        <f>ROUND(SUMIFS(Cantidades[92058103],Cantidades[cod Idu],'CantidadesConsolidadas'!$A72),2)</f>
        <v>0</v>
      </c>
      <c r="AO72" s="500">
        <f>ROUND(SUMIFS(Cantidades[20011114],Cantidades[cod Idu],'CantidadesConsolidadas'!$A72),2)</f>
        <v>0</v>
      </c>
      <c r="AP72" s="500">
        <f>ROUND(SUMIFS(Cantidades[20013540],Cantidades[cod Idu],'CantidadesConsolidadas'!$A72),2)</f>
        <v>0</v>
      </c>
      <c r="AQ72" s="500">
        <f>ROUND(SUMIFS(Cantidades[55337],Cantidades[cod Idu],'CantidadesConsolidadas'!$A72),2)</f>
        <v>0</v>
      </c>
      <c r="AR72" s="500">
        <f>ROUND(SUMIFS(Cantidades[92087422],Cantidades[cod Idu],'CantidadesConsolidadas'!$A72),2)</f>
        <v>0</v>
      </c>
      <c r="AS72" s="500">
        <f>ROUND(SUMIFS(Cantidades[55259],Cantidades[cod Idu],'CantidadesConsolidadas'!$A72),2)</f>
        <v>0</v>
      </c>
      <c r="AT72" s="500">
        <f>ROUND(SUMIFS(Cantidades[466904],Cantidades[cod Idu],'CantidadesConsolidadas'!$A72),2)</f>
        <v>0</v>
      </c>
      <c r="AU72" s="500">
        <f>ROUND(SUMIFS(Cantidades[48591],Cantidades[cod Idu],'CantidadesConsolidadas'!$A72),2)</f>
        <v>0</v>
      </c>
      <c r="AV72" s="500">
        <f>ROUND(SUMIFS(Cantidades[48590],Cantidades[cod Idu],'CantidadesConsolidadas'!$A72),2)</f>
        <v>0</v>
      </c>
      <c r="AW72" s="500">
        <f>ROUND(SUMIFS(Cantidades[48561],Cantidades[cod Idu],'CantidadesConsolidadas'!$A72),2)</f>
        <v>0</v>
      </c>
      <c r="AX72" s="805">
        <f>ROUND(SUMIFS(Cantidades[48560],Cantidades[cod Idu],'CantidadesConsolidadas'!$A72),2)</f>
        <v>0</v>
      </c>
      <c r="AY72" s="805">
        <f>ROUND(SUMIFS(Cantidades[48657],Cantidades[cod Idu],'CantidadesConsolidadas'!$A72),2)</f>
        <v>0</v>
      </c>
      <c r="AZ72" s="752">
        <f>ROUND(SUMIFS(Cantidades[48655],Cantidades[cod Idu],'CantidadesConsolidadas'!$A72),2)</f>
        <v>0</v>
      </c>
      <c r="BA72" s="758">
        <f>SUBTOTAL(9,CantidadesConsolidadas[[#This Row],[91013913]:[48655]])</f>
        <v>51</v>
      </c>
      <c r="BB72" s="638">
        <f>ROUND(CantidadesConsolidadas[[#This Row],[Total]]*CantidadesConsolidadas[[#This Row],[VU]],0)</f>
        <v>7479201</v>
      </c>
    </row>
    <row r="73" spans="1:54" ht="15" thickBot="1" x14ac:dyDescent="0.35">
      <c r="A73">
        <v>4265</v>
      </c>
      <c r="B73" s="606" t="str">
        <f>+_xlfn.XLOOKUP(CantidadesConsolidadas[[#This Row],[cod Idu]],APU_IDU[Código],APU_IDU[Nombre],"",0)</f>
        <v>TUBERIA CONCRETO D=10" CL. II SIN REFUERZO (INCLUYE SUMINISTRO E INSTALACIÓN)</v>
      </c>
      <c r="C73" s="609" t="str">
        <f>+_xlfn.XLOOKUP(CantidadesConsolidadas[[#This Row],[cod Idu]],APU_IDU[Código],APU_IDU[UM],"",0)</f>
        <v>ML</v>
      </c>
      <c r="D73" s="743">
        <f>+_xlfn.XLOOKUP(CantidadesConsolidadas[[#This Row],[cod Idu]],APU_IDU[Código],APU_IDU[Valor],"",0)</f>
        <v>154949</v>
      </c>
      <c r="E73" s="497">
        <f>ROUND(SUMIFS(Cantidades[91013913],Cantidades[cod Idu],'CantidadesConsolidadas'!$A73),2)</f>
        <v>0</v>
      </c>
      <c r="F73" s="497">
        <f>ROUND(SUMIFS(Cantidades[472330],Cantidades[cod Idu],'CantidadesConsolidadas'!$A73),2)</f>
        <v>0</v>
      </c>
      <c r="G73" s="497">
        <f>ROUND(SUMIFS(Cantidades[167810],Cantidades[cod Idu],'CantidadesConsolidadas'!$A73),2)</f>
        <v>66.760000000000005</v>
      </c>
      <c r="H73" s="497">
        <f>ROUND(SUMIFS(Cantidades[166646],Cantidades[cod Idu],'CantidadesConsolidadas'!$A73),2)</f>
        <v>47.02</v>
      </c>
      <c r="I73" s="497">
        <f>ROUND(SUMIFS(Cantidades[167491],Cantidades[cod Idu],'CantidadesConsolidadas'!$A73),2)</f>
        <v>0</v>
      </c>
      <c r="J73" s="497">
        <f>ROUND(SUMIFS(Cantidades[167266],Cantidades[cod Idu],'CantidadesConsolidadas'!$A73),2)</f>
        <v>47.5</v>
      </c>
      <c r="K73" s="497">
        <f>ROUND(SUMIFS(Cantidades[170896],Cantidades[cod Idu],'CantidadesConsolidadas'!$A73),2)</f>
        <v>0</v>
      </c>
      <c r="L73" s="497">
        <f>ROUND(SUMIFS(Cantidades[170897],Cantidades[cod Idu],'CantidadesConsolidadas'!$A73),2)</f>
        <v>0</v>
      </c>
      <c r="M73" s="497">
        <f>ROUND(SUMIFS(Cantidades[170898],Cantidades[cod Idu],'CantidadesConsolidadas'!$A73),2)</f>
        <v>0</v>
      </c>
      <c r="N73" s="497">
        <f>ROUND(SUMIFS(Cantidades[91064150],Cantidades[cod Idu],'CantidadesConsolidadas'!$A73),2)</f>
        <v>0</v>
      </c>
      <c r="O73" s="497">
        <f>ROUND(SUMIFS(Cantidades[168919],Cantidades[cod Idu],'CantidadesConsolidadas'!$A73),2)</f>
        <v>35.31</v>
      </c>
      <c r="P73" s="497">
        <f>ROUND(SUMIFS(Cantidades[168426],Cantidades[cod Idu],'CantidadesConsolidadas'!$A73),2)</f>
        <v>0</v>
      </c>
      <c r="Q73" s="497">
        <f>ROUND(SUMIFS(Cantidades[91020796],Cantidades[cod Idu],'CantidadesConsolidadas'!$A73),2)</f>
        <v>7.91</v>
      </c>
      <c r="R73" s="497">
        <f>ROUND(SUMIFS(Cantidades[176184],Cantidades[cod Idu],'CantidadesConsolidadas'!$A73),2)</f>
        <v>16.510000000000002</v>
      </c>
      <c r="S73" s="497">
        <f>ROUND(SUMIFS(Cantidades[167636],Cantidades[cod Idu],'CantidadesConsolidadas'!$A73),2)</f>
        <v>49.04</v>
      </c>
      <c r="T73" s="497">
        <f>ROUND(SUMIFS(Cantidades[176730],Cantidades[cod Idu],'CantidadesConsolidadas'!$A73),2)</f>
        <v>0</v>
      </c>
      <c r="U73" s="497">
        <f>ROUND(SUMIFS(Cantidades[173038],Cantidades[cod Idu],'CantidadesConsolidadas'!$A73),2)</f>
        <v>0</v>
      </c>
      <c r="V73" s="497">
        <f>ROUND(SUMIFS(Cantidades[170222],Cantidades[cod Idu],'CantidadesConsolidadas'!$A73),2)</f>
        <v>0</v>
      </c>
      <c r="W73" s="497">
        <f>ROUND(SUMIFS(Cantidades[170229],Cantidades[cod Idu],'CantidadesConsolidadas'!$A73),2)</f>
        <v>0</v>
      </c>
      <c r="X73" s="497">
        <f>ROUND(SUMIFS(Cantidades[170227],Cantidades[cod Idu],'CantidadesConsolidadas'!$A73),2)</f>
        <v>0</v>
      </c>
      <c r="Y73" s="497">
        <f>ROUND(SUMIFS(Cantidades[170226],Cantidades[cod Idu],'CantidadesConsolidadas'!$A73),2)</f>
        <v>0</v>
      </c>
      <c r="Z73" s="497">
        <f>ROUND(SUMIFS(Cantidades[171567],Cantidades[cod Idu],'CantidadesConsolidadas'!$A73),2)</f>
        <v>0</v>
      </c>
      <c r="AA73" s="497">
        <f>ROUND(SUMIFS(Cantidades[166632],Cantidades[cod Idu],'CantidadesConsolidadas'!$A73),2)</f>
        <v>0</v>
      </c>
      <c r="AB73" s="497">
        <f>ROUND(SUMIFS(Cantidades[170228],Cantidades[cod Idu],'CantidadesConsolidadas'!$A73),2)</f>
        <v>0</v>
      </c>
      <c r="AC73" s="497">
        <f>ROUND(SUMIFS(Cantidades[172926],Cantidades[cod Idu],'CantidadesConsolidadas'!$A73),2)</f>
        <v>0</v>
      </c>
      <c r="AD73" s="497">
        <f>ROUND(SUMIFS(Cantidades[171152],Cantidades[cod Idu],'CantidadesConsolidadas'!$A73),2)</f>
        <v>54.01</v>
      </c>
      <c r="AE73" s="497">
        <f>ROUND(SUMIFS(Cantidades[173058],Cantidades[cod Idu],'CantidadesConsolidadas'!$A73),2)</f>
        <v>0</v>
      </c>
      <c r="AF73" s="726">
        <f>ROUND(SUMIFS(Cantidades[174478],Cantidades[cod Idu],'CantidadesConsolidadas'!$A73),2)</f>
        <v>0</v>
      </c>
      <c r="AG73" s="726">
        <f>ROUND(SUMIFS(Cantidades[91010089],Cantidades[cod Idu],'CantidadesConsolidadas'!$A73),2)</f>
        <v>0</v>
      </c>
      <c r="AH73" s="726">
        <f>ROUND(SUMIFS(Cantidades[176122],Cantidades[cod Idu],'CantidadesConsolidadas'!$A73),2)</f>
        <v>0</v>
      </c>
      <c r="AI73" s="726">
        <f>ROUND(SUMIFS(Cantidades[168536],Cantidades[cod Idu],'CantidadesConsolidadas'!$A73),2)</f>
        <v>0</v>
      </c>
      <c r="AJ73" s="497">
        <f>ROUND(SUMIFS(Cantidades[166934],Cantidades[cod Idu],'CantidadesConsolidadas'!$A73),2)</f>
        <v>80.47</v>
      </c>
      <c r="AK73" s="497">
        <f>ROUND(SUMIFS(Cantidades[174353],Cantidades[cod Idu],'CantidadesConsolidadas'!$A73),2)</f>
        <v>53.76</v>
      </c>
      <c r="AL73" s="751">
        <f>ROUND(SUMIFS(Cantidades[52531],Cantidades[cod Idu],'CantidadesConsolidadas'!$A73),2)</f>
        <v>0</v>
      </c>
      <c r="AM73" s="500">
        <f>ROUND(SUMIFS(Cantidades[52456],Cantidades[cod Idu],'CantidadesConsolidadas'!$A73),2)</f>
        <v>0</v>
      </c>
      <c r="AN73" s="500">
        <f>ROUND(SUMIFS(Cantidades[92058103],Cantidades[cod Idu],'CantidadesConsolidadas'!$A73),2)</f>
        <v>0</v>
      </c>
      <c r="AO73" s="500">
        <f>ROUND(SUMIFS(Cantidades[20011114],Cantidades[cod Idu],'CantidadesConsolidadas'!$A73),2)</f>
        <v>0</v>
      </c>
      <c r="AP73" s="500">
        <f>ROUND(SUMIFS(Cantidades[20013540],Cantidades[cod Idu],'CantidadesConsolidadas'!$A73),2)</f>
        <v>0</v>
      </c>
      <c r="AQ73" s="500">
        <f>ROUND(SUMIFS(Cantidades[55337],Cantidades[cod Idu],'CantidadesConsolidadas'!$A73),2)</f>
        <v>0</v>
      </c>
      <c r="AR73" s="500">
        <f>ROUND(SUMIFS(Cantidades[92087422],Cantidades[cod Idu],'CantidadesConsolidadas'!$A73),2)</f>
        <v>0</v>
      </c>
      <c r="AS73" s="500">
        <f>ROUND(SUMIFS(Cantidades[55259],Cantidades[cod Idu],'CantidadesConsolidadas'!$A73),2)</f>
        <v>0</v>
      </c>
      <c r="AT73" s="500">
        <f>ROUND(SUMIFS(Cantidades[466904],Cantidades[cod Idu],'CantidadesConsolidadas'!$A73),2)</f>
        <v>0</v>
      </c>
      <c r="AU73" s="500">
        <f>ROUND(SUMIFS(Cantidades[48591],Cantidades[cod Idu],'CantidadesConsolidadas'!$A73),2)</f>
        <v>0</v>
      </c>
      <c r="AV73" s="500">
        <f>ROUND(SUMIFS(Cantidades[48590],Cantidades[cod Idu],'CantidadesConsolidadas'!$A73),2)</f>
        <v>0</v>
      </c>
      <c r="AW73" s="500">
        <f>ROUND(SUMIFS(Cantidades[48561],Cantidades[cod Idu],'CantidadesConsolidadas'!$A73),2)</f>
        <v>0</v>
      </c>
      <c r="AX73" s="805">
        <f>ROUND(SUMIFS(Cantidades[48560],Cantidades[cod Idu],'CantidadesConsolidadas'!$A73),2)</f>
        <v>0</v>
      </c>
      <c r="AY73" s="805">
        <f>ROUND(SUMIFS(Cantidades[48657],Cantidades[cod Idu],'CantidadesConsolidadas'!$A73),2)</f>
        <v>0</v>
      </c>
      <c r="AZ73" s="752">
        <f>ROUND(SUMIFS(Cantidades[48655],Cantidades[cod Idu],'CantidadesConsolidadas'!$A73),2)</f>
        <v>0</v>
      </c>
      <c r="BA73" s="758">
        <f>SUBTOTAL(9,CantidadesConsolidadas[[#This Row],[91013913]:[48655]])</f>
        <v>458.28999999999996</v>
      </c>
      <c r="BB73" s="638">
        <f>ROUND(CantidadesConsolidadas[[#This Row],[Total]]*CantidadesConsolidadas[[#This Row],[VU]],0)</f>
        <v>71011577</v>
      </c>
    </row>
    <row r="74" spans="1:54" ht="15" thickBot="1" x14ac:dyDescent="0.35">
      <c r="A74">
        <v>3934</v>
      </c>
      <c r="B74" s="606" t="str">
        <f>+_xlfn.XLOOKUP(CantidadesConsolidadas[[#This Row],[cod Idu]],APU_IDU[Código],APU_IDU[Nombre],"",0)</f>
        <v>TUBERIA CONCRETO D=12" CL. II SIN REFUERZO (INCLUYE SUMINISTRO E INSTALACIÓN)</v>
      </c>
      <c r="C74" s="609" t="str">
        <f>+_xlfn.XLOOKUP(CantidadesConsolidadas[[#This Row],[cod Idu]],APU_IDU[Código],APU_IDU[UM],"",0)</f>
        <v>ML</v>
      </c>
      <c r="D74" s="743">
        <f>+_xlfn.XLOOKUP(CantidadesConsolidadas[[#This Row],[cod Idu]],APU_IDU[Código],APU_IDU[Valor],"",0)</f>
        <v>209263</v>
      </c>
      <c r="E74" s="497">
        <f>ROUND(SUMIFS(Cantidades[91013913],Cantidades[cod Idu],'CantidadesConsolidadas'!$A74),2)</f>
        <v>0</v>
      </c>
      <c r="F74" s="497">
        <f>ROUND(SUMIFS(Cantidades[472330],Cantidades[cod Idu],'CantidadesConsolidadas'!$A74),2)</f>
        <v>61.45</v>
      </c>
      <c r="G74" s="497">
        <f>ROUND(SUMIFS(Cantidades[167810],Cantidades[cod Idu],'CantidadesConsolidadas'!$A74),2)</f>
        <v>0</v>
      </c>
      <c r="H74" s="497">
        <f>ROUND(SUMIFS(Cantidades[166646],Cantidades[cod Idu],'CantidadesConsolidadas'!$A74),2)</f>
        <v>0</v>
      </c>
      <c r="I74" s="497">
        <f>ROUND(SUMIFS(Cantidades[167491],Cantidades[cod Idu],'CantidadesConsolidadas'!$A74),2)</f>
        <v>0</v>
      </c>
      <c r="J74" s="497">
        <f>ROUND(SUMIFS(Cantidades[167266],Cantidades[cod Idu],'CantidadesConsolidadas'!$A74),2)</f>
        <v>0</v>
      </c>
      <c r="K74" s="497">
        <f>ROUND(SUMIFS(Cantidades[170896],Cantidades[cod Idu],'CantidadesConsolidadas'!$A74),2)</f>
        <v>0</v>
      </c>
      <c r="L74" s="497">
        <f>ROUND(SUMIFS(Cantidades[170897],Cantidades[cod Idu],'CantidadesConsolidadas'!$A74),2)</f>
        <v>12.8</v>
      </c>
      <c r="M74" s="497">
        <f>ROUND(SUMIFS(Cantidades[170898],Cantidades[cod Idu],'CantidadesConsolidadas'!$A74),2)</f>
        <v>0</v>
      </c>
      <c r="N74" s="497">
        <f>ROUND(SUMIFS(Cantidades[91064150],Cantidades[cod Idu],'CantidadesConsolidadas'!$A74),2)</f>
        <v>13.61</v>
      </c>
      <c r="O74" s="497">
        <f>ROUND(SUMIFS(Cantidades[168919],Cantidades[cod Idu],'CantidadesConsolidadas'!$A74),2)</f>
        <v>0</v>
      </c>
      <c r="P74" s="497">
        <f>ROUND(SUMIFS(Cantidades[168426],Cantidades[cod Idu],'CantidadesConsolidadas'!$A74),2)</f>
        <v>37.479999999999997</v>
      </c>
      <c r="Q74" s="497">
        <f>ROUND(SUMIFS(Cantidades[91020796],Cantidades[cod Idu],'CantidadesConsolidadas'!$A74),2)</f>
        <v>0</v>
      </c>
      <c r="R74" s="497">
        <f>ROUND(SUMIFS(Cantidades[176184],Cantidades[cod Idu],'CantidadesConsolidadas'!$A74),2)</f>
        <v>0</v>
      </c>
      <c r="S74" s="497">
        <f>ROUND(SUMIFS(Cantidades[167636],Cantidades[cod Idu],'CantidadesConsolidadas'!$A74),2)</f>
        <v>0</v>
      </c>
      <c r="T74" s="497">
        <f>ROUND(SUMIFS(Cantidades[176730],Cantidades[cod Idu],'CantidadesConsolidadas'!$A74),2)</f>
        <v>20.27</v>
      </c>
      <c r="U74" s="497">
        <f>ROUND(SUMIFS(Cantidades[173038],Cantidades[cod Idu],'CantidadesConsolidadas'!$A74),2)</f>
        <v>37.799999999999997</v>
      </c>
      <c r="V74" s="497">
        <f>ROUND(SUMIFS(Cantidades[170222],Cantidades[cod Idu],'CantidadesConsolidadas'!$A74),2)</f>
        <v>0</v>
      </c>
      <c r="W74" s="497">
        <f>ROUND(SUMIFS(Cantidades[170229],Cantidades[cod Idu],'CantidadesConsolidadas'!$A74),2)</f>
        <v>0</v>
      </c>
      <c r="X74" s="497">
        <f>ROUND(SUMIFS(Cantidades[170227],Cantidades[cod Idu],'CantidadesConsolidadas'!$A74),2)</f>
        <v>0</v>
      </c>
      <c r="Y74" s="497">
        <f>ROUND(SUMIFS(Cantidades[170226],Cantidades[cod Idu],'CantidadesConsolidadas'!$A74),2)</f>
        <v>0</v>
      </c>
      <c r="Z74" s="497">
        <f>ROUND(SUMIFS(Cantidades[171567],Cantidades[cod Idu],'CantidadesConsolidadas'!$A74),2)</f>
        <v>42.97</v>
      </c>
      <c r="AA74" s="497">
        <f>ROUND(SUMIFS(Cantidades[166632],Cantidades[cod Idu],'CantidadesConsolidadas'!$A74),2)</f>
        <v>32.18</v>
      </c>
      <c r="AB74" s="497">
        <f>ROUND(SUMIFS(Cantidades[170228],Cantidades[cod Idu],'CantidadesConsolidadas'!$A74),2)</f>
        <v>20.2</v>
      </c>
      <c r="AC74" s="497">
        <f>ROUND(SUMIFS(Cantidades[172926],Cantidades[cod Idu],'CantidadesConsolidadas'!$A74),2)</f>
        <v>13.92</v>
      </c>
      <c r="AD74" s="497">
        <f>ROUND(SUMIFS(Cantidades[171152],Cantidades[cod Idu],'CantidadesConsolidadas'!$A74),2)</f>
        <v>0</v>
      </c>
      <c r="AE74" s="497">
        <f>ROUND(SUMIFS(Cantidades[173058],Cantidades[cod Idu],'CantidadesConsolidadas'!$A74),2)</f>
        <v>0</v>
      </c>
      <c r="AF74" s="726">
        <f>ROUND(SUMIFS(Cantidades[174478],Cantidades[cod Idu],'CantidadesConsolidadas'!$A74),2)</f>
        <v>0</v>
      </c>
      <c r="AG74" s="726">
        <f>ROUND(SUMIFS(Cantidades[91010089],Cantidades[cod Idu],'CantidadesConsolidadas'!$A74),2)</f>
        <v>0</v>
      </c>
      <c r="AH74" s="726">
        <f>ROUND(SUMIFS(Cantidades[176122],Cantidades[cod Idu],'CantidadesConsolidadas'!$A74),2)</f>
        <v>0</v>
      </c>
      <c r="AI74" s="726">
        <f>ROUND(SUMIFS(Cantidades[168536],Cantidades[cod Idu],'CantidadesConsolidadas'!$A74),2)</f>
        <v>0</v>
      </c>
      <c r="AJ74" s="497">
        <f>ROUND(SUMIFS(Cantidades[166934],Cantidades[cod Idu],'CantidadesConsolidadas'!$A74),2)</f>
        <v>0</v>
      </c>
      <c r="AK74" s="497">
        <f>ROUND(SUMIFS(Cantidades[174353],Cantidades[cod Idu],'CantidadesConsolidadas'!$A74),2)</f>
        <v>0</v>
      </c>
      <c r="AL74" s="751">
        <f>ROUND(SUMIFS(Cantidades[52531],Cantidades[cod Idu],'CantidadesConsolidadas'!$A74),2)</f>
        <v>0</v>
      </c>
      <c r="AM74" s="500">
        <f>ROUND(SUMIFS(Cantidades[52456],Cantidades[cod Idu],'CantidadesConsolidadas'!$A74),2)</f>
        <v>0</v>
      </c>
      <c r="AN74" s="500">
        <f>ROUND(SUMIFS(Cantidades[92058103],Cantidades[cod Idu],'CantidadesConsolidadas'!$A74),2)</f>
        <v>0</v>
      </c>
      <c r="AO74" s="500">
        <f>ROUND(SUMIFS(Cantidades[20011114],Cantidades[cod Idu],'CantidadesConsolidadas'!$A74),2)</f>
        <v>0</v>
      </c>
      <c r="AP74" s="500">
        <f>ROUND(SUMIFS(Cantidades[20013540],Cantidades[cod Idu],'CantidadesConsolidadas'!$A74),2)</f>
        <v>0</v>
      </c>
      <c r="AQ74" s="500">
        <f>ROUND(SUMIFS(Cantidades[55337],Cantidades[cod Idu],'CantidadesConsolidadas'!$A74),2)</f>
        <v>0</v>
      </c>
      <c r="AR74" s="500">
        <f>ROUND(SUMIFS(Cantidades[92087422],Cantidades[cod Idu],'CantidadesConsolidadas'!$A74),2)</f>
        <v>0</v>
      </c>
      <c r="AS74" s="500">
        <f>ROUND(SUMIFS(Cantidades[55259],Cantidades[cod Idu],'CantidadesConsolidadas'!$A74),2)</f>
        <v>0</v>
      </c>
      <c r="AT74" s="500">
        <f>ROUND(SUMIFS(Cantidades[466904],Cantidades[cod Idu],'CantidadesConsolidadas'!$A74),2)</f>
        <v>0</v>
      </c>
      <c r="AU74" s="500">
        <f>ROUND(SUMIFS(Cantidades[48591],Cantidades[cod Idu],'CantidadesConsolidadas'!$A74),2)</f>
        <v>0</v>
      </c>
      <c r="AV74" s="500">
        <f>ROUND(SUMIFS(Cantidades[48590],Cantidades[cod Idu],'CantidadesConsolidadas'!$A74),2)</f>
        <v>0</v>
      </c>
      <c r="AW74" s="500">
        <f>ROUND(SUMIFS(Cantidades[48561],Cantidades[cod Idu],'CantidadesConsolidadas'!$A74),2)</f>
        <v>0</v>
      </c>
      <c r="AX74" s="805">
        <f>ROUND(SUMIFS(Cantidades[48560],Cantidades[cod Idu],'CantidadesConsolidadas'!$A74),2)</f>
        <v>0</v>
      </c>
      <c r="AY74" s="805">
        <f>ROUND(SUMIFS(Cantidades[48657],Cantidades[cod Idu],'CantidadesConsolidadas'!$A74),2)</f>
        <v>0</v>
      </c>
      <c r="AZ74" s="752">
        <f>ROUND(SUMIFS(Cantidades[48655],Cantidades[cod Idu],'CantidadesConsolidadas'!$A74),2)</f>
        <v>0</v>
      </c>
      <c r="BA74" s="758">
        <f>SUBTOTAL(9,CantidadesConsolidadas[[#This Row],[91013913]:[48655]])</f>
        <v>292.68</v>
      </c>
      <c r="BB74" s="638">
        <f>ROUND(CantidadesConsolidadas[[#This Row],[Total]]*CantidadesConsolidadas[[#This Row],[VU]],0)</f>
        <v>61247095</v>
      </c>
    </row>
    <row r="75" spans="1:54" ht="15" thickBot="1" x14ac:dyDescent="0.35">
      <c r="A75">
        <v>3935</v>
      </c>
      <c r="B75" s="606" t="str">
        <f>+_xlfn.XLOOKUP(CantidadesConsolidadas[[#This Row],[cod Idu]],APU_IDU[Código],APU_IDU[Nombre],"",0)</f>
        <v>TUBERIA CONCRETO D=14" CL. II SIN REFUERZO (INCLUYE SUMINISTRO E INSTALACIÓN)</v>
      </c>
      <c r="C75" s="609" t="str">
        <f>+_xlfn.XLOOKUP(CantidadesConsolidadas[[#This Row],[cod Idu]],APU_IDU[Código],APU_IDU[UM],"",0)</f>
        <v>ML</v>
      </c>
      <c r="D75" s="743">
        <f>+_xlfn.XLOOKUP(CantidadesConsolidadas[[#This Row],[cod Idu]],APU_IDU[Código],APU_IDU[Valor],"",0)</f>
        <v>264640</v>
      </c>
      <c r="E75" s="497">
        <f>ROUND(SUMIFS(Cantidades[91013913],Cantidades[cod Idu],'CantidadesConsolidadas'!$A75),2)</f>
        <v>0</v>
      </c>
      <c r="F75" s="497">
        <f>ROUND(SUMIFS(Cantidades[472330],Cantidades[cod Idu],'CantidadesConsolidadas'!$A75),2)</f>
        <v>0</v>
      </c>
      <c r="G75" s="497">
        <f>ROUND(SUMIFS(Cantidades[167810],Cantidades[cod Idu],'CantidadesConsolidadas'!$A75),2)</f>
        <v>0</v>
      </c>
      <c r="H75" s="497">
        <f>ROUND(SUMIFS(Cantidades[166646],Cantidades[cod Idu],'CantidadesConsolidadas'!$A75),2)</f>
        <v>0</v>
      </c>
      <c r="I75" s="497">
        <f>ROUND(SUMIFS(Cantidades[167491],Cantidades[cod Idu],'CantidadesConsolidadas'!$A75),2)</f>
        <v>0</v>
      </c>
      <c r="J75" s="497">
        <f>ROUND(SUMIFS(Cantidades[167266],Cantidades[cod Idu],'CantidadesConsolidadas'!$A75),2)</f>
        <v>0</v>
      </c>
      <c r="K75" s="497">
        <f>ROUND(SUMIFS(Cantidades[170896],Cantidades[cod Idu],'CantidadesConsolidadas'!$A75),2)</f>
        <v>0</v>
      </c>
      <c r="L75" s="497">
        <f>ROUND(SUMIFS(Cantidades[170897],Cantidades[cod Idu],'CantidadesConsolidadas'!$A75),2)</f>
        <v>0</v>
      </c>
      <c r="M75" s="497">
        <f>ROUND(SUMIFS(Cantidades[170898],Cantidades[cod Idu],'CantidadesConsolidadas'!$A75),2)</f>
        <v>0</v>
      </c>
      <c r="N75" s="497">
        <f>ROUND(SUMIFS(Cantidades[91064150],Cantidades[cod Idu],'CantidadesConsolidadas'!$A75),2)</f>
        <v>0</v>
      </c>
      <c r="O75" s="497">
        <f>ROUND(SUMIFS(Cantidades[168919],Cantidades[cod Idu],'CantidadesConsolidadas'!$A75),2)</f>
        <v>0</v>
      </c>
      <c r="P75" s="497">
        <f>ROUND(SUMIFS(Cantidades[168426],Cantidades[cod Idu],'CantidadesConsolidadas'!$A75),2)</f>
        <v>0</v>
      </c>
      <c r="Q75" s="497">
        <f>ROUND(SUMIFS(Cantidades[91020796],Cantidades[cod Idu],'CantidadesConsolidadas'!$A75),2)</f>
        <v>0</v>
      </c>
      <c r="R75" s="497">
        <f>ROUND(SUMIFS(Cantidades[176184],Cantidades[cod Idu],'CantidadesConsolidadas'!$A75),2)</f>
        <v>0</v>
      </c>
      <c r="S75" s="497">
        <f>ROUND(SUMIFS(Cantidades[167636],Cantidades[cod Idu],'CantidadesConsolidadas'!$A75),2)</f>
        <v>0</v>
      </c>
      <c r="T75" s="497">
        <f>ROUND(SUMIFS(Cantidades[176730],Cantidades[cod Idu],'CantidadesConsolidadas'!$A75),2)</f>
        <v>0</v>
      </c>
      <c r="U75" s="497">
        <f>ROUND(SUMIFS(Cantidades[173038],Cantidades[cod Idu],'CantidadesConsolidadas'!$A75),2)</f>
        <v>0</v>
      </c>
      <c r="V75" s="497">
        <f>ROUND(SUMIFS(Cantidades[170222],Cantidades[cod Idu],'CantidadesConsolidadas'!$A75),2)</f>
        <v>0</v>
      </c>
      <c r="W75" s="497">
        <f>ROUND(SUMIFS(Cantidades[170229],Cantidades[cod Idu],'CantidadesConsolidadas'!$A75),2)</f>
        <v>0</v>
      </c>
      <c r="X75" s="497">
        <f>ROUND(SUMIFS(Cantidades[170227],Cantidades[cod Idu],'CantidadesConsolidadas'!$A75),2)</f>
        <v>19.21</v>
      </c>
      <c r="Y75" s="497">
        <f>ROUND(SUMIFS(Cantidades[170226],Cantidades[cod Idu],'CantidadesConsolidadas'!$A75),2)</f>
        <v>0</v>
      </c>
      <c r="Z75" s="497">
        <f>ROUND(SUMIFS(Cantidades[171567],Cantidades[cod Idu],'CantidadesConsolidadas'!$A75),2)</f>
        <v>0</v>
      </c>
      <c r="AA75" s="497">
        <f>ROUND(SUMIFS(Cantidades[166632],Cantidades[cod Idu],'CantidadesConsolidadas'!$A75),2)</f>
        <v>0</v>
      </c>
      <c r="AB75" s="497">
        <f>ROUND(SUMIFS(Cantidades[170228],Cantidades[cod Idu],'CantidadesConsolidadas'!$A75),2)</f>
        <v>0</v>
      </c>
      <c r="AC75" s="497">
        <f>ROUND(SUMIFS(Cantidades[172926],Cantidades[cod Idu],'CantidadesConsolidadas'!$A75),2)</f>
        <v>0</v>
      </c>
      <c r="AD75" s="497">
        <f>ROUND(SUMIFS(Cantidades[171152],Cantidades[cod Idu],'CantidadesConsolidadas'!$A75),2)</f>
        <v>0</v>
      </c>
      <c r="AE75" s="497">
        <f>ROUND(SUMIFS(Cantidades[173058],Cantidades[cod Idu],'CantidadesConsolidadas'!$A75),2)</f>
        <v>0</v>
      </c>
      <c r="AF75" s="726">
        <f>ROUND(SUMIFS(Cantidades[174478],Cantidades[cod Idu],'CantidadesConsolidadas'!$A75),2)</f>
        <v>0</v>
      </c>
      <c r="AG75" s="726">
        <f>ROUND(SUMIFS(Cantidades[91010089],Cantidades[cod Idu],'CantidadesConsolidadas'!$A75),2)</f>
        <v>0</v>
      </c>
      <c r="AH75" s="726">
        <f>ROUND(SUMIFS(Cantidades[176122],Cantidades[cod Idu],'CantidadesConsolidadas'!$A75),2)</f>
        <v>0</v>
      </c>
      <c r="AI75" s="726">
        <f>ROUND(SUMIFS(Cantidades[168536],Cantidades[cod Idu],'CantidadesConsolidadas'!$A75),2)</f>
        <v>0</v>
      </c>
      <c r="AJ75" s="497">
        <f>ROUND(SUMIFS(Cantidades[166934],Cantidades[cod Idu],'CantidadesConsolidadas'!$A75),2)</f>
        <v>0</v>
      </c>
      <c r="AK75" s="497">
        <f>ROUND(SUMIFS(Cantidades[174353],Cantidades[cod Idu],'CantidadesConsolidadas'!$A75),2)</f>
        <v>0</v>
      </c>
      <c r="AL75" s="751">
        <f>ROUND(SUMIFS(Cantidades[52531],Cantidades[cod Idu],'CantidadesConsolidadas'!$A75),2)</f>
        <v>0</v>
      </c>
      <c r="AM75" s="500">
        <f>ROUND(SUMIFS(Cantidades[52456],Cantidades[cod Idu],'CantidadesConsolidadas'!$A75),2)</f>
        <v>0</v>
      </c>
      <c r="AN75" s="500">
        <f>ROUND(SUMIFS(Cantidades[92058103],Cantidades[cod Idu],'CantidadesConsolidadas'!$A75),2)</f>
        <v>0</v>
      </c>
      <c r="AO75" s="500">
        <f>ROUND(SUMIFS(Cantidades[20011114],Cantidades[cod Idu],'CantidadesConsolidadas'!$A75),2)</f>
        <v>0</v>
      </c>
      <c r="AP75" s="500">
        <f>ROUND(SUMIFS(Cantidades[20013540],Cantidades[cod Idu],'CantidadesConsolidadas'!$A75),2)</f>
        <v>0</v>
      </c>
      <c r="AQ75" s="500">
        <f>ROUND(SUMIFS(Cantidades[55337],Cantidades[cod Idu],'CantidadesConsolidadas'!$A75),2)</f>
        <v>0</v>
      </c>
      <c r="AR75" s="500">
        <f>ROUND(SUMIFS(Cantidades[92087422],Cantidades[cod Idu],'CantidadesConsolidadas'!$A75),2)</f>
        <v>0</v>
      </c>
      <c r="AS75" s="500">
        <f>ROUND(SUMIFS(Cantidades[55259],Cantidades[cod Idu],'CantidadesConsolidadas'!$A75),2)</f>
        <v>0</v>
      </c>
      <c r="AT75" s="500">
        <f>ROUND(SUMIFS(Cantidades[466904],Cantidades[cod Idu],'CantidadesConsolidadas'!$A75),2)</f>
        <v>0</v>
      </c>
      <c r="AU75" s="500">
        <f>ROUND(SUMIFS(Cantidades[48591],Cantidades[cod Idu],'CantidadesConsolidadas'!$A75),2)</f>
        <v>0</v>
      </c>
      <c r="AV75" s="500">
        <f>ROUND(SUMIFS(Cantidades[48590],Cantidades[cod Idu],'CantidadesConsolidadas'!$A75),2)</f>
        <v>0</v>
      </c>
      <c r="AW75" s="500">
        <f>ROUND(SUMIFS(Cantidades[48561],Cantidades[cod Idu],'CantidadesConsolidadas'!$A75),2)</f>
        <v>0</v>
      </c>
      <c r="AX75" s="805">
        <f>ROUND(SUMIFS(Cantidades[48560],Cantidades[cod Idu],'CantidadesConsolidadas'!$A75),2)</f>
        <v>0</v>
      </c>
      <c r="AY75" s="805">
        <f>ROUND(SUMIFS(Cantidades[48657],Cantidades[cod Idu],'CantidadesConsolidadas'!$A75),2)</f>
        <v>0</v>
      </c>
      <c r="AZ75" s="752">
        <f>ROUND(SUMIFS(Cantidades[48655],Cantidades[cod Idu],'CantidadesConsolidadas'!$A75),2)</f>
        <v>0</v>
      </c>
      <c r="BA75" s="758">
        <f>SUBTOTAL(9,CantidadesConsolidadas[[#This Row],[91013913]:[48655]])</f>
        <v>19.21</v>
      </c>
      <c r="BB75" s="638">
        <f>ROUND(CantidadesConsolidadas[[#This Row],[Total]]*CantidadesConsolidadas[[#This Row],[VU]],0)</f>
        <v>5083734</v>
      </c>
    </row>
    <row r="76" spans="1:54" ht="15" thickBot="1" x14ac:dyDescent="0.35">
      <c r="A76">
        <v>3936</v>
      </c>
      <c r="B76" s="606" t="str">
        <f>+_xlfn.XLOOKUP(CantidadesConsolidadas[[#This Row],[cod Idu]],APU_IDU[Código],APU_IDU[Nombre],"",0)</f>
        <v>TUBERIA CONCRETO D=16" CL. II SIN REFUERZO (INCLUYE SUMINISTRO E INSTALACIÓN)</v>
      </c>
      <c r="C76" s="609" t="str">
        <f>+_xlfn.XLOOKUP(CantidadesConsolidadas[[#This Row],[cod Idu]],APU_IDU[Código],APU_IDU[UM],"",0)</f>
        <v>ML</v>
      </c>
      <c r="D76" s="743">
        <f>+_xlfn.XLOOKUP(CantidadesConsolidadas[[#This Row],[cod Idu]],APU_IDU[Código],APU_IDU[Valor],"",0)</f>
        <v>338622</v>
      </c>
      <c r="E76" s="497">
        <f>ROUND(SUMIFS(Cantidades[91013913],Cantidades[cod Idu],'CantidadesConsolidadas'!$A76),2)</f>
        <v>0</v>
      </c>
      <c r="F76" s="497">
        <f>ROUND(SUMIFS(Cantidades[472330],Cantidades[cod Idu],'CantidadesConsolidadas'!$A76),2)</f>
        <v>0</v>
      </c>
      <c r="G76" s="497">
        <f>ROUND(SUMIFS(Cantidades[167810],Cantidades[cod Idu],'CantidadesConsolidadas'!$A76),2)</f>
        <v>0</v>
      </c>
      <c r="H76" s="497">
        <f>ROUND(SUMIFS(Cantidades[166646],Cantidades[cod Idu],'CantidadesConsolidadas'!$A76),2)</f>
        <v>0</v>
      </c>
      <c r="I76" s="497">
        <f>ROUND(SUMIFS(Cantidades[167491],Cantidades[cod Idu],'CantidadesConsolidadas'!$A76),2)</f>
        <v>45.44</v>
      </c>
      <c r="J76" s="497">
        <f>ROUND(SUMIFS(Cantidades[167266],Cantidades[cod Idu],'CantidadesConsolidadas'!$A76),2)</f>
        <v>0</v>
      </c>
      <c r="K76" s="497">
        <f>ROUND(SUMIFS(Cantidades[170896],Cantidades[cod Idu],'CantidadesConsolidadas'!$A76),2)</f>
        <v>0</v>
      </c>
      <c r="L76" s="497">
        <f>ROUND(SUMIFS(Cantidades[170897],Cantidades[cod Idu],'CantidadesConsolidadas'!$A76),2)</f>
        <v>0</v>
      </c>
      <c r="M76" s="497">
        <f>ROUND(SUMIFS(Cantidades[170898],Cantidades[cod Idu],'CantidadesConsolidadas'!$A76),2)</f>
        <v>0</v>
      </c>
      <c r="N76" s="497">
        <f>ROUND(SUMIFS(Cantidades[91064150],Cantidades[cod Idu],'CantidadesConsolidadas'!$A76),2)</f>
        <v>0</v>
      </c>
      <c r="O76" s="497">
        <f>ROUND(SUMIFS(Cantidades[168919],Cantidades[cod Idu],'CantidadesConsolidadas'!$A76),2)</f>
        <v>0</v>
      </c>
      <c r="P76" s="497">
        <f>ROUND(SUMIFS(Cantidades[168426],Cantidades[cod Idu],'CantidadesConsolidadas'!$A76),2)</f>
        <v>0</v>
      </c>
      <c r="Q76" s="497">
        <f>ROUND(SUMIFS(Cantidades[91020796],Cantidades[cod Idu],'CantidadesConsolidadas'!$A76),2)</f>
        <v>0</v>
      </c>
      <c r="R76" s="497">
        <f>ROUND(SUMIFS(Cantidades[176184],Cantidades[cod Idu],'CantidadesConsolidadas'!$A76),2)</f>
        <v>0</v>
      </c>
      <c r="S76" s="497">
        <f>ROUND(SUMIFS(Cantidades[167636],Cantidades[cod Idu],'CantidadesConsolidadas'!$A76),2)</f>
        <v>0</v>
      </c>
      <c r="T76" s="497">
        <f>ROUND(SUMIFS(Cantidades[176730],Cantidades[cod Idu],'CantidadesConsolidadas'!$A76),2)</f>
        <v>0</v>
      </c>
      <c r="U76" s="497">
        <f>ROUND(SUMIFS(Cantidades[173038],Cantidades[cod Idu],'CantidadesConsolidadas'!$A76),2)</f>
        <v>0</v>
      </c>
      <c r="V76" s="497">
        <f>ROUND(SUMIFS(Cantidades[170222],Cantidades[cod Idu],'CantidadesConsolidadas'!$A76),2)</f>
        <v>0</v>
      </c>
      <c r="W76" s="497">
        <f>ROUND(SUMIFS(Cantidades[170229],Cantidades[cod Idu],'CantidadesConsolidadas'!$A76),2)</f>
        <v>0</v>
      </c>
      <c r="X76" s="497">
        <f>ROUND(SUMIFS(Cantidades[170227],Cantidades[cod Idu],'CantidadesConsolidadas'!$A76),2)</f>
        <v>0</v>
      </c>
      <c r="Y76" s="497">
        <f>ROUND(SUMIFS(Cantidades[170226],Cantidades[cod Idu],'CantidadesConsolidadas'!$A76),2)</f>
        <v>0</v>
      </c>
      <c r="Z76" s="497">
        <f>ROUND(SUMIFS(Cantidades[171567],Cantidades[cod Idu],'CantidadesConsolidadas'!$A76),2)</f>
        <v>0</v>
      </c>
      <c r="AA76" s="497">
        <f>ROUND(SUMIFS(Cantidades[166632],Cantidades[cod Idu],'CantidadesConsolidadas'!$A76),2)</f>
        <v>0</v>
      </c>
      <c r="AB76" s="497">
        <f>ROUND(SUMIFS(Cantidades[170228],Cantidades[cod Idu],'CantidadesConsolidadas'!$A76),2)</f>
        <v>0</v>
      </c>
      <c r="AC76" s="497">
        <f>ROUND(SUMIFS(Cantidades[172926],Cantidades[cod Idu],'CantidadesConsolidadas'!$A76),2)</f>
        <v>0</v>
      </c>
      <c r="AD76" s="497">
        <f>ROUND(SUMIFS(Cantidades[171152],Cantidades[cod Idu],'CantidadesConsolidadas'!$A76),2)</f>
        <v>0</v>
      </c>
      <c r="AE76" s="497">
        <f>ROUND(SUMIFS(Cantidades[173058],Cantidades[cod Idu],'CantidadesConsolidadas'!$A76),2)</f>
        <v>0</v>
      </c>
      <c r="AF76" s="726">
        <f>ROUND(SUMIFS(Cantidades[174478],Cantidades[cod Idu],'CantidadesConsolidadas'!$A76),2)</f>
        <v>0</v>
      </c>
      <c r="AG76" s="726">
        <f>ROUND(SUMIFS(Cantidades[91010089],Cantidades[cod Idu],'CantidadesConsolidadas'!$A76),2)</f>
        <v>0</v>
      </c>
      <c r="AH76" s="726">
        <f>ROUND(SUMIFS(Cantidades[176122],Cantidades[cod Idu],'CantidadesConsolidadas'!$A76),2)</f>
        <v>0</v>
      </c>
      <c r="AI76" s="726">
        <f>ROUND(SUMIFS(Cantidades[168536],Cantidades[cod Idu],'CantidadesConsolidadas'!$A76),2)</f>
        <v>0</v>
      </c>
      <c r="AJ76" s="497">
        <f>ROUND(SUMIFS(Cantidades[166934],Cantidades[cod Idu],'CantidadesConsolidadas'!$A76),2)</f>
        <v>0</v>
      </c>
      <c r="AK76" s="497">
        <f>ROUND(SUMIFS(Cantidades[174353],Cantidades[cod Idu],'CantidadesConsolidadas'!$A76),2)</f>
        <v>0</v>
      </c>
      <c r="AL76" s="751">
        <f>ROUND(SUMIFS(Cantidades[52531],Cantidades[cod Idu],'CantidadesConsolidadas'!$A76),2)</f>
        <v>0</v>
      </c>
      <c r="AM76" s="500">
        <f>ROUND(SUMIFS(Cantidades[52456],Cantidades[cod Idu],'CantidadesConsolidadas'!$A76),2)</f>
        <v>0</v>
      </c>
      <c r="AN76" s="500">
        <f>ROUND(SUMIFS(Cantidades[92058103],Cantidades[cod Idu],'CantidadesConsolidadas'!$A76),2)</f>
        <v>0</v>
      </c>
      <c r="AO76" s="500">
        <f>ROUND(SUMIFS(Cantidades[20011114],Cantidades[cod Idu],'CantidadesConsolidadas'!$A76),2)</f>
        <v>0</v>
      </c>
      <c r="AP76" s="500">
        <f>ROUND(SUMIFS(Cantidades[20013540],Cantidades[cod Idu],'CantidadesConsolidadas'!$A76),2)</f>
        <v>0</v>
      </c>
      <c r="AQ76" s="500">
        <f>ROUND(SUMIFS(Cantidades[55337],Cantidades[cod Idu],'CantidadesConsolidadas'!$A76),2)</f>
        <v>0</v>
      </c>
      <c r="AR76" s="500">
        <f>ROUND(SUMIFS(Cantidades[92087422],Cantidades[cod Idu],'CantidadesConsolidadas'!$A76),2)</f>
        <v>0</v>
      </c>
      <c r="AS76" s="500">
        <f>ROUND(SUMIFS(Cantidades[55259],Cantidades[cod Idu],'CantidadesConsolidadas'!$A76),2)</f>
        <v>0</v>
      </c>
      <c r="AT76" s="500">
        <f>ROUND(SUMIFS(Cantidades[466904],Cantidades[cod Idu],'CantidadesConsolidadas'!$A76),2)</f>
        <v>0</v>
      </c>
      <c r="AU76" s="500">
        <f>ROUND(SUMIFS(Cantidades[48591],Cantidades[cod Idu],'CantidadesConsolidadas'!$A76),2)</f>
        <v>0</v>
      </c>
      <c r="AV76" s="500">
        <f>ROUND(SUMIFS(Cantidades[48590],Cantidades[cod Idu],'CantidadesConsolidadas'!$A76),2)</f>
        <v>0</v>
      </c>
      <c r="AW76" s="500">
        <f>ROUND(SUMIFS(Cantidades[48561],Cantidades[cod Idu],'CantidadesConsolidadas'!$A76),2)</f>
        <v>0</v>
      </c>
      <c r="AX76" s="805">
        <f>ROUND(SUMIFS(Cantidades[48560],Cantidades[cod Idu],'CantidadesConsolidadas'!$A76),2)</f>
        <v>0</v>
      </c>
      <c r="AY76" s="805">
        <f>ROUND(SUMIFS(Cantidades[48657],Cantidades[cod Idu],'CantidadesConsolidadas'!$A76),2)</f>
        <v>0</v>
      </c>
      <c r="AZ76" s="752">
        <f>ROUND(SUMIFS(Cantidades[48655],Cantidades[cod Idu],'CantidadesConsolidadas'!$A76),2)</f>
        <v>0</v>
      </c>
      <c r="BA76" s="758">
        <f>SUBTOTAL(9,CantidadesConsolidadas[[#This Row],[91013913]:[48655]])</f>
        <v>45.44</v>
      </c>
      <c r="BB76" s="638">
        <f>ROUND(CantidadesConsolidadas[[#This Row],[Total]]*CantidadesConsolidadas[[#This Row],[VU]],0)</f>
        <v>15386984</v>
      </c>
    </row>
    <row r="77" spans="1:54" ht="29.4" thickBot="1" x14ac:dyDescent="0.35">
      <c r="A77">
        <v>3041</v>
      </c>
      <c r="B77" s="606" t="str">
        <f>+_xlfn.XLOOKUP(CantidadesConsolidadas[[#This Row],[cod Idu]],APU_IDU[Código],APU_IDU[Nombre],"",0)</f>
        <v>TUBERIA PVC U.M. EXT CORRUGADO/INT LISO U.M. NORMA NTC 3722-1 D=4" (INCLUYE SUMINISTRO E INSTALACIÓN)</v>
      </c>
      <c r="C77" s="609" t="str">
        <f>+_xlfn.XLOOKUP(CantidadesConsolidadas[[#This Row],[cod Idu]],APU_IDU[Código],APU_IDU[UM],"",0)</f>
        <v>ML</v>
      </c>
      <c r="D77" s="743">
        <f>+_xlfn.XLOOKUP(CantidadesConsolidadas[[#This Row],[cod Idu]],APU_IDU[Código],APU_IDU[Valor],"",0)</f>
        <v>39297</v>
      </c>
      <c r="E77" s="497">
        <f>ROUND(SUMIFS(Cantidades[91013913],Cantidades[cod Idu],'CantidadesConsolidadas'!$A77),2)</f>
        <v>0</v>
      </c>
      <c r="F77" s="497">
        <f>ROUND(SUMIFS(Cantidades[472330],Cantidades[cod Idu],'CantidadesConsolidadas'!$A77),2)</f>
        <v>61.45</v>
      </c>
      <c r="G77" s="497">
        <f>ROUND(SUMIFS(Cantidades[167810],Cantidades[cod Idu],'CantidadesConsolidadas'!$A77),2)</f>
        <v>66.760000000000005</v>
      </c>
      <c r="H77" s="497">
        <f>ROUND(SUMIFS(Cantidades[166646],Cantidades[cod Idu],'CantidadesConsolidadas'!$A77),2)</f>
        <v>47.02</v>
      </c>
      <c r="I77" s="497">
        <f>ROUND(SUMIFS(Cantidades[167491],Cantidades[cod Idu],'CantidadesConsolidadas'!$A77),2)</f>
        <v>0</v>
      </c>
      <c r="J77" s="497">
        <f>ROUND(SUMIFS(Cantidades[167266],Cantidades[cod Idu],'CantidadesConsolidadas'!$A77),2)</f>
        <v>47.5</v>
      </c>
      <c r="K77" s="497">
        <f>ROUND(SUMIFS(Cantidades[170896],Cantidades[cod Idu],'CantidadesConsolidadas'!$A77),2)</f>
        <v>0</v>
      </c>
      <c r="L77" s="497">
        <f>ROUND(SUMIFS(Cantidades[170897],Cantidades[cod Idu],'CantidadesConsolidadas'!$A77),2)</f>
        <v>0</v>
      </c>
      <c r="M77" s="497">
        <f>ROUND(SUMIFS(Cantidades[170898],Cantidades[cod Idu],'CantidadesConsolidadas'!$A77),2)</f>
        <v>0</v>
      </c>
      <c r="N77" s="497">
        <f>ROUND(SUMIFS(Cantidades[91064150],Cantidades[cod Idu],'CantidadesConsolidadas'!$A77),2)</f>
        <v>13.61</v>
      </c>
      <c r="O77" s="497">
        <f>ROUND(SUMIFS(Cantidades[168919],Cantidades[cod Idu],'CantidadesConsolidadas'!$A77),2)</f>
        <v>35.31</v>
      </c>
      <c r="P77" s="497">
        <f>ROUND(SUMIFS(Cantidades[168426],Cantidades[cod Idu],'CantidadesConsolidadas'!$A77),2)</f>
        <v>37.479999999999997</v>
      </c>
      <c r="Q77" s="497">
        <f>ROUND(SUMIFS(Cantidades[91020796],Cantidades[cod Idu],'CantidadesConsolidadas'!$A77),2)</f>
        <v>0</v>
      </c>
      <c r="R77" s="497">
        <f>ROUND(SUMIFS(Cantidades[176184],Cantidades[cod Idu],'CantidadesConsolidadas'!$A77),2)</f>
        <v>16.510000000000002</v>
      </c>
      <c r="S77" s="497">
        <f>ROUND(SUMIFS(Cantidades[167636],Cantidades[cod Idu],'CantidadesConsolidadas'!$A77),2)</f>
        <v>0</v>
      </c>
      <c r="T77" s="497">
        <f>ROUND(SUMIFS(Cantidades[176730],Cantidades[cod Idu],'CantidadesConsolidadas'!$A77),2)</f>
        <v>20.27</v>
      </c>
      <c r="U77" s="497">
        <f>ROUND(SUMIFS(Cantidades[173038],Cantidades[cod Idu],'CantidadesConsolidadas'!$A77),2)</f>
        <v>37.799999999999997</v>
      </c>
      <c r="V77" s="497">
        <f>ROUND(SUMIFS(Cantidades[170222],Cantidades[cod Idu],'CantidadesConsolidadas'!$A77),2)</f>
        <v>0</v>
      </c>
      <c r="W77" s="497">
        <f>ROUND(SUMIFS(Cantidades[170229],Cantidades[cod Idu],'CantidadesConsolidadas'!$A77),2)</f>
        <v>0</v>
      </c>
      <c r="X77" s="497">
        <f>ROUND(SUMIFS(Cantidades[170227],Cantidades[cod Idu],'CantidadesConsolidadas'!$A77),2)</f>
        <v>0</v>
      </c>
      <c r="Y77" s="497">
        <f>ROUND(SUMIFS(Cantidades[170226],Cantidades[cod Idu],'CantidadesConsolidadas'!$A77),2)</f>
        <v>0</v>
      </c>
      <c r="Z77" s="497">
        <f>ROUND(SUMIFS(Cantidades[171567],Cantidades[cod Idu],'CantidadesConsolidadas'!$A77),2)</f>
        <v>42.97</v>
      </c>
      <c r="AA77" s="497">
        <f>ROUND(SUMIFS(Cantidades[166632],Cantidades[cod Idu],'CantidadesConsolidadas'!$A77),2)</f>
        <v>0</v>
      </c>
      <c r="AB77" s="497">
        <f>ROUND(SUMIFS(Cantidades[170228],Cantidades[cod Idu],'CantidadesConsolidadas'!$A77),2)</f>
        <v>20.2</v>
      </c>
      <c r="AC77" s="497">
        <f>ROUND(SUMIFS(Cantidades[172926],Cantidades[cod Idu],'CantidadesConsolidadas'!$A77),2)</f>
        <v>0</v>
      </c>
      <c r="AD77" s="497">
        <f>ROUND(SUMIFS(Cantidades[171152],Cantidades[cod Idu],'CantidadesConsolidadas'!$A77),2)</f>
        <v>54.01</v>
      </c>
      <c r="AE77" s="497">
        <f>ROUND(SUMIFS(Cantidades[173058],Cantidades[cod Idu],'CantidadesConsolidadas'!$A77),2)</f>
        <v>0</v>
      </c>
      <c r="AF77" s="726">
        <f>ROUND(SUMIFS(Cantidades[174478],Cantidades[cod Idu],'CantidadesConsolidadas'!$A77),2)</f>
        <v>0</v>
      </c>
      <c r="AG77" s="726">
        <f>ROUND(SUMIFS(Cantidades[91010089],Cantidades[cod Idu],'CantidadesConsolidadas'!$A77),2)</f>
        <v>0</v>
      </c>
      <c r="AH77" s="726">
        <f>ROUND(SUMIFS(Cantidades[176122],Cantidades[cod Idu],'CantidadesConsolidadas'!$A77),2)</f>
        <v>0</v>
      </c>
      <c r="AI77" s="726">
        <f>ROUND(SUMIFS(Cantidades[168536],Cantidades[cod Idu],'CantidadesConsolidadas'!$A77),2)</f>
        <v>0</v>
      </c>
      <c r="AJ77" s="497">
        <f>ROUND(SUMIFS(Cantidades[166934],Cantidades[cod Idu],'CantidadesConsolidadas'!$A77),2)</f>
        <v>80.47</v>
      </c>
      <c r="AK77" s="497">
        <f>ROUND(SUMIFS(Cantidades[174353],Cantidades[cod Idu],'CantidadesConsolidadas'!$A77),2)</f>
        <v>53.76</v>
      </c>
      <c r="AL77" s="751">
        <f>ROUND(SUMIFS(Cantidades[52531],Cantidades[cod Idu],'CantidadesConsolidadas'!$A77),2)</f>
        <v>0</v>
      </c>
      <c r="AM77" s="500">
        <f>ROUND(SUMIFS(Cantidades[52456],Cantidades[cod Idu],'CantidadesConsolidadas'!$A77),2)</f>
        <v>0</v>
      </c>
      <c r="AN77" s="500">
        <f>ROUND(SUMIFS(Cantidades[92058103],Cantidades[cod Idu],'CantidadesConsolidadas'!$A77),2)</f>
        <v>0</v>
      </c>
      <c r="AO77" s="500">
        <f>ROUND(SUMIFS(Cantidades[20011114],Cantidades[cod Idu],'CantidadesConsolidadas'!$A77),2)</f>
        <v>0</v>
      </c>
      <c r="AP77" s="500">
        <f>ROUND(SUMIFS(Cantidades[20013540],Cantidades[cod Idu],'CantidadesConsolidadas'!$A77),2)</f>
        <v>0</v>
      </c>
      <c r="AQ77" s="500">
        <f>ROUND(SUMIFS(Cantidades[55337],Cantidades[cod Idu],'CantidadesConsolidadas'!$A77),2)</f>
        <v>0</v>
      </c>
      <c r="AR77" s="500">
        <f>ROUND(SUMIFS(Cantidades[92087422],Cantidades[cod Idu],'CantidadesConsolidadas'!$A77),2)</f>
        <v>0</v>
      </c>
      <c r="AS77" s="500">
        <f>ROUND(SUMIFS(Cantidades[55259],Cantidades[cod Idu],'CantidadesConsolidadas'!$A77),2)</f>
        <v>0</v>
      </c>
      <c r="AT77" s="500">
        <f>ROUND(SUMIFS(Cantidades[466904],Cantidades[cod Idu],'CantidadesConsolidadas'!$A77),2)</f>
        <v>0</v>
      </c>
      <c r="AU77" s="500">
        <f>ROUND(SUMIFS(Cantidades[48591],Cantidades[cod Idu],'CantidadesConsolidadas'!$A77),2)</f>
        <v>0</v>
      </c>
      <c r="AV77" s="500">
        <f>ROUND(SUMIFS(Cantidades[48590],Cantidades[cod Idu],'CantidadesConsolidadas'!$A77),2)</f>
        <v>0</v>
      </c>
      <c r="AW77" s="500">
        <f>ROUND(SUMIFS(Cantidades[48561],Cantidades[cod Idu],'CantidadesConsolidadas'!$A77),2)</f>
        <v>0</v>
      </c>
      <c r="AX77" s="805">
        <f>ROUND(SUMIFS(Cantidades[48560],Cantidades[cod Idu],'CantidadesConsolidadas'!$A77),2)</f>
        <v>0</v>
      </c>
      <c r="AY77" s="805">
        <f>ROUND(SUMIFS(Cantidades[48657],Cantidades[cod Idu],'CantidadesConsolidadas'!$A77),2)</f>
        <v>0</v>
      </c>
      <c r="AZ77" s="752">
        <f>ROUND(SUMIFS(Cantidades[48655],Cantidades[cod Idu],'CantidadesConsolidadas'!$A77),2)</f>
        <v>0</v>
      </c>
      <c r="BA77" s="758">
        <f>SUBTOTAL(9,CantidadesConsolidadas[[#This Row],[91013913]:[48655]])</f>
        <v>635.12</v>
      </c>
      <c r="BB77" s="638">
        <f>ROUND(CantidadesConsolidadas[[#This Row],[Total]]*CantidadesConsolidadas[[#This Row],[VU]],0)</f>
        <v>24958311</v>
      </c>
    </row>
    <row r="78" spans="1:54" ht="29.4" thickBot="1" x14ac:dyDescent="0.35">
      <c r="A78">
        <v>3042</v>
      </c>
      <c r="B78" s="606" t="str">
        <f>+_xlfn.XLOOKUP(CantidadesConsolidadas[[#This Row],[cod Idu]],APU_IDU[Código],APU_IDU[Nombre],"",0)</f>
        <v>TUBERIA PVC U.M. EXT CORRUGADO/INT LISO U.M. NORMA NTC 3722-1 D=6" (INCLUYE SUMINISTRO E INSTALACIÓN)</v>
      </c>
      <c r="C78" s="609" t="str">
        <f>+_xlfn.XLOOKUP(CantidadesConsolidadas[[#This Row],[cod Idu]],APU_IDU[Código],APU_IDU[UM],"",0)</f>
        <v>ML</v>
      </c>
      <c r="D78" s="743">
        <f>+_xlfn.XLOOKUP(CantidadesConsolidadas[[#This Row],[cod Idu]],APU_IDU[Código],APU_IDU[Valor],"",0)</f>
        <v>66044</v>
      </c>
      <c r="E78" s="609">
        <f>ROUND(SUMIFS(Cantidades[91013913],Cantidades[cod Idu],'CantidadesConsolidadas'!$A78),2)</f>
        <v>0</v>
      </c>
      <c r="F78" s="609">
        <f>ROUND(SUMIFS(Cantidades[472330],Cantidades[cod Idu],'CantidadesConsolidadas'!$A78),2)</f>
        <v>0</v>
      </c>
      <c r="G78" s="609">
        <f>ROUND(SUMIFS(Cantidades[167810],Cantidades[cod Idu],'CantidadesConsolidadas'!$A78),2)</f>
        <v>0</v>
      </c>
      <c r="H78" s="609">
        <f>ROUND(SUMIFS(Cantidades[166646],Cantidades[cod Idu],'CantidadesConsolidadas'!$A78),2)</f>
        <v>0</v>
      </c>
      <c r="I78" s="609">
        <f>ROUND(SUMIFS(Cantidades[167491],Cantidades[cod Idu],'CantidadesConsolidadas'!$A78),2)</f>
        <v>0</v>
      </c>
      <c r="J78" s="609">
        <f>ROUND(SUMIFS(Cantidades[167266],Cantidades[cod Idu],'CantidadesConsolidadas'!$A78),2)</f>
        <v>0</v>
      </c>
      <c r="K78" s="609">
        <f>ROUND(SUMIFS(Cantidades[170896],Cantidades[cod Idu],'CantidadesConsolidadas'!$A78),2)</f>
        <v>0</v>
      </c>
      <c r="L78" s="609">
        <f>ROUND(SUMIFS(Cantidades[170897],Cantidades[cod Idu],'CantidadesConsolidadas'!$A78),2)</f>
        <v>0</v>
      </c>
      <c r="M78" s="609">
        <f>ROUND(SUMIFS(Cantidades[170898],Cantidades[cod Idu],'CantidadesConsolidadas'!$A78),2)</f>
        <v>0</v>
      </c>
      <c r="N78" s="609">
        <f>ROUND(SUMIFS(Cantidades[91064150],Cantidades[cod Idu],'CantidadesConsolidadas'!$A78),2)</f>
        <v>0</v>
      </c>
      <c r="O78" s="609">
        <f>ROUND(SUMIFS(Cantidades[168919],Cantidades[cod Idu],'CantidadesConsolidadas'!$A78),2)</f>
        <v>0</v>
      </c>
      <c r="P78" s="609">
        <f>ROUND(SUMIFS(Cantidades[168426],Cantidades[cod Idu],'CantidadesConsolidadas'!$A78),2)</f>
        <v>0</v>
      </c>
      <c r="Q78" s="609">
        <f>ROUND(SUMIFS(Cantidades[91020796],Cantidades[cod Idu],'CantidadesConsolidadas'!$A78),2)</f>
        <v>0</v>
      </c>
      <c r="R78" s="609">
        <f>ROUND(SUMIFS(Cantidades[176184],Cantidades[cod Idu],'CantidadesConsolidadas'!$A78),2)</f>
        <v>0</v>
      </c>
      <c r="S78" s="609">
        <f>ROUND(SUMIFS(Cantidades[167636],Cantidades[cod Idu],'CantidadesConsolidadas'!$A78),2)</f>
        <v>0</v>
      </c>
      <c r="T78" s="609">
        <f>ROUND(SUMIFS(Cantidades[176730],Cantidades[cod Idu],'CantidadesConsolidadas'!$A78),2)</f>
        <v>0</v>
      </c>
      <c r="U78" s="609">
        <f>ROUND(SUMIFS(Cantidades[173038],Cantidades[cod Idu],'CantidadesConsolidadas'!$A78),2)</f>
        <v>0</v>
      </c>
      <c r="V78" s="609">
        <f>ROUND(SUMIFS(Cantidades[170222],Cantidades[cod Idu],'CantidadesConsolidadas'!$A78),2)</f>
        <v>0</v>
      </c>
      <c r="W78" s="609">
        <f>ROUND(SUMIFS(Cantidades[170229],Cantidades[cod Idu],'CantidadesConsolidadas'!$A78),2)</f>
        <v>0</v>
      </c>
      <c r="X78" s="609">
        <f>ROUND(SUMIFS(Cantidades[170227],Cantidades[cod Idu],'CantidadesConsolidadas'!$A78),2)</f>
        <v>0</v>
      </c>
      <c r="Y78" s="609">
        <f>ROUND(SUMIFS(Cantidades[170226],Cantidades[cod Idu],'CantidadesConsolidadas'!$A78),2)</f>
        <v>0</v>
      </c>
      <c r="Z78" s="609">
        <f>ROUND(SUMIFS(Cantidades[171567],Cantidades[cod Idu],'CantidadesConsolidadas'!$A78),2)</f>
        <v>0</v>
      </c>
      <c r="AA78" s="609">
        <f>ROUND(SUMIFS(Cantidades[166632],Cantidades[cod Idu],'CantidadesConsolidadas'!$A78),2)</f>
        <v>32.18</v>
      </c>
      <c r="AB78" s="609">
        <f>ROUND(SUMIFS(Cantidades[170228],Cantidades[cod Idu],'CantidadesConsolidadas'!$A78),2)</f>
        <v>0</v>
      </c>
      <c r="AC78" s="609">
        <f>ROUND(SUMIFS(Cantidades[172926],Cantidades[cod Idu],'CantidadesConsolidadas'!$A78),2)</f>
        <v>13.92</v>
      </c>
      <c r="AD78" s="609">
        <f>ROUND(SUMIFS(Cantidades[171152],Cantidades[cod Idu],'CantidadesConsolidadas'!$A78),2)</f>
        <v>0</v>
      </c>
      <c r="AE78" s="609">
        <f>ROUND(SUMIFS(Cantidades[173058],Cantidades[cod Idu],'CantidadesConsolidadas'!$A78),2)</f>
        <v>0</v>
      </c>
      <c r="AF78" s="726">
        <f>ROUND(SUMIFS(Cantidades[174478],Cantidades[cod Idu],'CantidadesConsolidadas'!$A78),2)</f>
        <v>0</v>
      </c>
      <c r="AG78" s="726">
        <f>ROUND(SUMIFS(Cantidades[91010089],Cantidades[cod Idu],'CantidadesConsolidadas'!$A78),2)</f>
        <v>0</v>
      </c>
      <c r="AH78" s="726">
        <f>ROUND(SUMIFS(Cantidades[176122],Cantidades[cod Idu],'CantidadesConsolidadas'!$A78),2)</f>
        <v>0</v>
      </c>
      <c r="AI78" s="726">
        <f>ROUND(SUMIFS(Cantidades[168536],Cantidades[cod Idu],'CantidadesConsolidadas'!$A78),2)</f>
        <v>0</v>
      </c>
      <c r="AJ78" s="609">
        <f>ROUND(SUMIFS(Cantidades[166934],Cantidades[cod Idu],'CantidadesConsolidadas'!$A78),2)</f>
        <v>0</v>
      </c>
      <c r="AK78" s="609">
        <f>ROUND(SUMIFS(Cantidades[174353],Cantidades[cod Idu],'CantidadesConsolidadas'!$A78),2)</f>
        <v>0</v>
      </c>
      <c r="AL78" s="751">
        <f>ROUND(SUMIFS(Cantidades[52531],Cantidades[cod Idu],'CantidadesConsolidadas'!$A78),2)</f>
        <v>0</v>
      </c>
      <c r="AM78" s="500">
        <f>ROUND(SUMIFS(Cantidades[52456],Cantidades[cod Idu],'CantidadesConsolidadas'!$A78),2)</f>
        <v>0</v>
      </c>
      <c r="AN78" s="500">
        <f>ROUND(SUMIFS(Cantidades[92058103],Cantidades[cod Idu],'CantidadesConsolidadas'!$A78),2)</f>
        <v>0</v>
      </c>
      <c r="AO78" s="500">
        <f>ROUND(SUMIFS(Cantidades[20011114],Cantidades[cod Idu],'CantidadesConsolidadas'!$A78),2)</f>
        <v>0</v>
      </c>
      <c r="AP78" s="500">
        <f>ROUND(SUMIFS(Cantidades[20013540],Cantidades[cod Idu],'CantidadesConsolidadas'!$A78),2)</f>
        <v>0</v>
      </c>
      <c r="AQ78" s="500">
        <f>ROUND(SUMIFS(Cantidades[55337],Cantidades[cod Idu],'CantidadesConsolidadas'!$A78),2)</f>
        <v>0</v>
      </c>
      <c r="AR78" s="500">
        <f>ROUND(SUMIFS(Cantidades[92087422],Cantidades[cod Idu],'CantidadesConsolidadas'!$A78),2)</f>
        <v>0</v>
      </c>
      <c r="AS78" s="500">
        <f>ROUND(SUMIFS(Cantidades[55259],Cantidades[cod Idu],'CantidadesConsolidadas'!$A78),2)</f>
        <v>0</v>
      </c>
      <c r="AT78" s="500">
        <f>ROUND(SUMIFS(Cantidades[466904],Cantidades[cod Idu],'CantidadesConsolidadas'!$A78),2)</f>
        <v>0</v>
      </c>
      <c r="AU78" s="500">
        <f>ROUND(SUMIFS(Cantidades[48591],Cantidades[cod Idu],'CantidadesConsolidadas'!$A78),2)</f>
        <v>0</v>
      </c>
      <c r="AV78" s="500">
        <f>ROUND(SUMIFS(Cantidades[48590],Cantidades[cod Idu],'CantidadesConsolidadas'!$A78),2)</f>
        <v>0</v>
      </c>
      <c r="AW78" s="500">
        <f>ROUND(SUMIFS(Cantidades[48561],Cantidades[cod Idu],'CantidadesConsolidadas'!$A78),2)</f>
        <v>0</v>
      </c>
      <c r="AX78" s="805">
        <f>ROUND(SUMIFS(Cantidades[48560],Cantidades[cod Idu],'CantidadesConsolidadas'!$A78),2)</f>
        <v>0</v>
      </c>
      <c r="AY78" s="805">
        <f>ROUND(SUMIFS(Cantidades[48657],Cantidades[cod Idu],'CantidadesConsolidadas'!$A78),2)</f>
        <v>0</v>
      </c>
      <c r="AZ78" s="752">
        <f>ROUND(SUMIFS(Cantidades[48655],Cantidades[cod Idu],'CantidadesConsolidadas'!$A78),2)</f>
        <v>0</v>
      </c>
      <c r="BA78" s="758">
        <f>SUBTOTAL(9,CantidadesConsolidadas[[#This Row],[91013913]:[48655]])</f>
        <v>46.1</v>
      </c>
      <c r="BB78" s="638">
        <f>ROUND(CantidadesConsolidadas[[#This Row],[Total]]*CantidadesConsolidadas[[#This Row],[VU]],0)</f>
        <v>3044628</v>
      </c>
    </row>
    <row r="79" spans="1:54" ht="29.4" thickBot="1" x14ac:dyDescent="0.35">
      <c r="A79">
        <v>3043</v>
      </c>
      <c r="B79" s="606" t="str">
        <f>+_xlfn.XLOOKUP(CantidadesConsolidadas[[#This Row],[cod Idu]],APU_IDU[Código],APU_IDU[Nombre],"",0)</f>
        <v>TUBERIA PVC U.M. EXT CORRUGADO/INT LISO U.M. NORMA NTC 3722-1 D=8" (INCLUYE SUMINISTRO E INSTALACIÓN)</v>
      </c>
      <c r="C79" s="609" t="str">
        <f>+_xlfn.XLOOKUP(CantidadesConsolidadas[[#This Row],[cod Idu]],APU_IDU[Código],APU_IDU[UM],"",0)</f>
        <v>ML</v>
      </c>
      <c r="D79" s="743">
        <f>+_xlfn.XLOOKUP(CantidadesConsolidadas[[#This Row],[cod Idu]],APU_IDU[Código],APU_IDU[Valor],"",0)</f>
        <v>91366</v>
      </c>
      <c r="E79" s="609">
        <f>ROUND(SUMIFS(Cantidades[91013913],Cantidades[cod Idu],'CantidadesConsolidadas'!$A79),2)</f>
        <v>0</v>
      </c>
      <c r="F79" s="609">
        <f>ROUND(SUMIFS(Cantidades[472330],Cantidades[cod Idu],'CantidadesConsolidadas'!$A79),2)</f>
        <v>0</v>
      </c>
      <c r="G79" s="609">
        <f>ROUND(SUMIFS(Cantidades[167810],Cantidades[cod Idu],'CantidadesConsolidadas'!$A79),2)</f>
        <v>0</v>
      </c>
      <c r="H79" s="609">
        <f>ROUND(SUMIFS(Cantidades[166646],Cantidades[cod Idu],'CantidadesConsolidadas'!$A79),2)</f>
        <v>0</v>
      </c>
      <c r="I79" s="609">
        <f>ROUND(SUMIFS(Cantidades[167491],Cantidades[cod Idu],'CantidadesConsolidadas'!$A79),2)</f>
        <v>45.44</v>
      </c>
      <c r="J79" s="609">
        <f>ROUND(SUMIFS(Cantidades[167266],Cantidades[cod Idu],'CantidadesConsolidadas'!$A79),2)</f>
        <v>0</v>
      </c>
      <c r="K79" s="609">
        <f>ROUND(SUMIFS(Cantidades[170896],Cantidades[cod Idu],'CantidadesConsolidadas'!$A79),2)</f>
        <v>0</v>
      </c>
      <c r="L79" s="609">
        <f>ROUND(SUMIFS(Cantidades[170897],Cantidades[cod Idu],'CantidadesConsolidadas'!$A79),2)</f>
        <v>0</v>
      </c>
      <c r="M79" s="609">
        <f>ROUND(SUMIFS(Cantidades[170898],Cantidades[cod Idu],'CantidadesConsolidadas'!$A79),2)</f>
        <v>0</v>
      </c>
      <c r="N79" s="609">
        <f>ROUND(SUMIFS(Cantidades[91064150],Cantidades[cod Idu],'CantidadesConsolidadas'!$A79),2)</f>
        <v>0</v>
      </c>
      <c r="O79" s="609">
        <f>ROUND(SUMIFS(Cantidades[168919],Cantidades[cod Idu],'CantidadesConsolidadas'!$A79),2)</f>
        <v>0</v>
      </c>
      <c r="P79" s="609">
        <f>ROUND(SUMIFS(Cantidades[168426],Cantidades[cod Idu],'CantidadesConsolidadas'!$A79),2)</f>
        <v>0</v>
      </c>
      <c r="Q79" s="609">
        <f>ROUND(SUMIFS(Cantidades[91020796],Cantidades[cod Idu],'CantidadesConsolidadas'!$A79),2)</f>
        <v>0</v>
      </c>
      <c r="R79" s="609">
        <f>ROUND(SUMIFS(Cantidades[176184],Cantidades[cod Idu],'CantidadesConsolidadas'!$A79),2)</f>
        <v>0</v>
      </c>
      <c r="S79" s="609">
        <f>ROUND(SUMIFS(Cantidades[167636],Cantidades[cod Idu],'CantidadesConsolidadas'!$A79),2)</f>
        <v>0</v>
      </c>
      <c r="T79" s="609">
        <f>ROUND(SUMIFS(Cantidades[176730],Cantidades[cod Idu],'CantidadesConsolidadas'!$A79),2)</f>
        <v>0</v>
      </c>
      <c r="U79" s="609">
        <f>ROUND(SUMIFS(Cantidades[173038],Cantidades[cod Idu],'CantidadesConsolidadas'!$A79),2)</f>
        <v>0</v>
      </c>
      <c r="V79" s="609">
        <f>ROUND(SUMIFS(Cantidades[170222],Cantidades[cod Idu],'CantidadesConsolidadas'!$A79),2)</f>
        <v>0</v>
      </c>
      <c r="W79" s="609">
        <f>ROUND(SUMIFS(Cantidades[170229],Cantidades[cod Idu],'CantidadesConsolidadas'!$A79),2)</f>
        <v>0</v>
      </c>
      <c r="X79" s="609">
        <f>ROUND(SUMIFS(Cantidades[170227],Cantidades[cod Idu],'CantidadesConsolidadas'!$A79),2)</f>
        <v>0</v>
      </c>
      <c r="Y79" s="609">
        <f>ROUND(SUMIFS(Cantidades[170226],Cantidades[cod Idu],'CantidadesConsolidadas'!$A79),2)</f>
        <v>0</v>
      </c>
      <c r="Z79" s="609">
        <f>ROUND(SUMIFS(Cantidades[171567],Cantidades[cod Idu],'CantidadesConsolidadas'!$A79),2)</f>
        <v>0</v>
      </c>
      <c r="AA79" s="609">
        <f>ROUND(SUMIFS(Cantidades[166632],Cantidades[cod Idu],'CantidadesConsolidadas'!$A79),2)</f>
        <v>0</v>
      </c>
      <c r="AB79" s="609">
        <f>ROUND(SUMIFS(Cantidades[170228],Cantidades[cod Idu],'CantidadesConsolidadas'!$A79),2)</f>
        <v>0</v>
      </c>
      <c r="AC79" s="609">
        <f>ROUND(SUMIFS(Cantidades[172926],Cantidades[cod Idu],'CantidadesConsolidadas'!$A79),2)</f>
        <v>0</v>
      </c>
      <c r="AD79" s="609">
        <f>ROUND(SUMIFS(Cantidades[171152],Cantidades[cod Idu],'CantidadesConsolidadas'!$A79),2)</f>
        <v>0</v>
      </c>
      <c r="AE79" s="609">
        <f>ROUND(SUMIFS(Cantidades[173058],Cantidades[cod Idu],'CantidadesConsolidadas'!$A79),2)</f>
        <v>0</v>
      </c>
      <c r="AF79" s="726">
        <f>ROUND(SUMIFS(Cantidades[174478],Cantidades[cod Idu],'CantidadesConsolidadas'!$A79),2)</f>
        <v>0</v>
      </c>
      <c r="AG79" s="726">
        <f>ROUND(SUMIFS(Cantidades[91010089],Cantidades[cod Idu],'CantidadesConsolidadas'!$A79),2)</f>
        <v>0</v>
      </c>
      <c r="AH79" s="726">
        <f>ROUND(SUMIFS(Cantidades[176122],Cantidades[cod Idu],'CantidadesConsolidadas'!$A79),2)</f>
        <v>0</v>
      </c>
      <c r="AI79" s="726">
        <f>ROUND(SUMIFS(Cantidades[168536],Cantidades[cod Idu],'CantidadesConsolidadas'!$A79),2)</f>
        <v>0</v>
      </c>
      <c r="AJ79" s="609">
        <f>ROUND(SUMIFS(Cantidades[166934],Cantidades[cod Idu],'CantidadesConsolidadas'!$A79),2)</f>
        <v>0</v>
      </c>
      <c r="AK79" s="609">
        <f>ROUND(SUMIFS(Cantidades[174353],Cantidades[cod Idu],'CantidadesConsolidadas'!$A79),2)</f>
        <v>0</v>
      </c>
      <c r="AL79" s="751">
        <f>ROUND(SUMIFS(Cantidades[52531],Cantidades[cod Idu],'CantidadesConsolidadas'!$A79),2)</f>
        <v>0</v>
      </c>
      <c r="AM79" s="500">
        <f>ROUND(SUMIFS(Cantidades[52456],Cantidades[cod Idu],'CantidadesConsolidadas'!$A79),2)</f>
        <v>0</v>
      </c>
      <c r="AN79" s="500">
        <f>ROUND(SUMIFS(Cantidades[92058103],Cantidades[cod Idu],'CantidadesConsolidadas'!$A79),2)</f>
        <v>0</v>
      </c>
      <c r="AO79" s="500">
        <f>ROUND(SUMIFS(Cantidades[20011114],Cantidades[cod Idu],'CantidadesConsolidadas'!$A79),2)</f>
        <v>0</v>
      </c>
      <c r="AP79" s="500">
        <f>ROUND(SUMIFS(Cantidades[20013540],Cantidades[cod Idu],'CantidadesConsolidadas'!$A79),2)</f>
        <v>0</v>
      </c>
      <c r="AQ79" s="500">
        <f>ROUND(SUMIFS(Cantidades[55337],Cantidades[cod Idu],'CantidadesConsolidadas'!$A79),2)</f>
        <v>0</v>
      </c>
      <c r="AR79" s="500">
        <f>ROUND(SUMIFS(Cantidades[92087422],Cantidades[cod Idu],'CantidadesConsolidadas'!$A79),2)</f>
        <v>0</v>
      </c>
      <c r="AS79" s="500">
        <f>ROUND(SUMIFS(Cantidades[55259],Cantidades[cod Idu],'CantidadesConsolidadas'!$A79),2)</f>
        <v>0</v>
      </c>
      <c r="AT79" s="500">
        <f>ROUND(SUMIFS(Cantidades[466904],Cantidades[cod Idu],'CantidadesConsolidadas'!$A79),2)</f>
        <v>0</v>
      </c>
      <c r="AU79" s="500">
        <f>ROUND(SUMIFS(Cantidades[48591],Cantidades[cod Idu],'CantidadesConsolidadas'!$A79),2)</f>
        <v>0</v>
      </c>
      <c r="AV79" s="500">
        <f>ROUND(SUMIFS(Cantidades[48590],Cantidades[cod Idu],'CantidadesConsolidadas'!$A79),2)</f>
        <v>0</v>
      </c>
      <c r="AW79" s="500">
        <f>ROUND(SUMIFS(Cantidades[48561],Cantidades[cod Idu],'CantidadesConsolidadas'!$A79),2)</f>
        <v>0</v>
      </c>
      <c r="AX79" s="805">
        <f>ROUND(SUMIFS(Cantidades[48560],Cantidades[cod Idu],'CantidadesConsolidadas'!$A79),2)</f>
        <v>0</v>
      </c>
      <c r="AY79" s="805">
        <f>ROUND(SUMIFS(Cantidades[48657],Cantidades[cod Idu],'CantidadesConsolidadas'!$A79),2)</f>
        <v>0</v>
      </c>
      <c r="AZ79" s="752">
        <f>ROUND(SUMIFS(Cantidades[48655],Cantidades[cod Idu],'CantidadesConsolidadas'!$A79),2)</f>
        <v>0</v>
      </c>
      <c r="BA79" s="758">
        <f>SUBTOTAL(9,CantidadesConsolidadas[[#This Row],[91013913]:[48655]])</f>
        <v>45.44</v>
      </c>
      <c r="BB79" s="638">
        <f>ROUND(CantidadesConsolidadas[[#This Row],[Total]]*CantidadesConsolidadas[[#This Row],[VU]],0)</f>
        <v>4151671</v>
      </c>
    </row>
    <row r="80" spans="1:54" ht="29.4" thickBot="1" x14ac:dyDescent="0.35">
      <c r="A80">
        <v>3044</v>
      </c>
      <c r="B80" s="606" t="str">
        <f>+_xlfn.XLOOKUP(CantidadesConsolidadas[[#This Row],[cod Idu]],APU_IDU[Código],APU_IDU[Nombre],"",0)</f>
        <v>TUBERIA PVC U.M. EXT CORRUGADO/INT LISO U.M. NORMA NTC 3722-1 D=10" (INCLUYE SUMINISTRO E INSTALACIÓN)</v>
      </c>
      <c r="C80" s="609" t="str">
        <f>+_xlfn.XLOOKUP(CantidadesConsolidadas[[#This Row],[cod Idu]],APU_IDU[Código],APU_IDU[UM],"",0)</f>
        <v>ML</v>
      </c>
      <c r="D80" s="743">
        <f>+_xlfn.XLOOKUP(CantidadesConsolidadas[[#This Row],[cod Idu]],APU_IDU[Código],APU_IDU[Valor],"",0)</f>
        <v>128594</v>
      </c>
      <c r="E80" s="609">
        <f>ROUND(SUMIFS(Cantidades[91013913],Cantidades[cod Idu],'CantidadesConsolidadas'!$A80),2)</f>
        <v>0</v>
      </c>
      <c r="F80" s="609">
        <f>ROUND(SUMIFS(Cantidades[472330],Cantidades[cod Idu],'CantidadesConsolidadas'!$A80),2)</f>
        <v>0</v>
      </c>
      <c r="G80" s="609">
        <f>ROUND(SUMIFS(Cantidades[167810],Cantidades[cod Idu],'CantidadesConsolidadas'!$A80),2)</f>
        <v>0</v>
      </c>
      <c r="H80" s="609">
        <f>ROUND(SUMIFS(Cantidades[166646],Cantidades[cod Idu],'CantidadesConsolidadas'!$A80),2)</f>
        <v>0</v>
      </c>
      <c r="I80" s="609">
        <f>ROUND(SUMIFS(Cantidades[167491],Cantidades[cod Idu],'CantidadesConsolidadas'!$A80),2)</f>
        <v>0</v>
      </c>
      <c r="J80" s="609">
        <f>ROUND(SUMIFS(Cantidades[167266],Cantidades[cod Idu],'CantidadesConsolidadas'!$A80),2)</f>
        <v>0</v>
      </c>
      <c r="K80" s="609">
        <f>ROUND(SUMIFS(Cantidades[170896],Cantidades[cod Idu],'CantidadesConsolidadas'!$A80),2)</f>
        <v>0</v>
      </c>
      <c r="L80" s="609">
        <f>ROUND(SUMIFS(Cantidades[170897],Cantidades[cod Idu],'CantidadesConsolidadas'!$A80),2)</f>
        <v>0</v>
      </c>
      <c r="M80" s="609">
        <f>ROUND(SUMIFS(Cantidades[170898],Cantidades[cod Idu],'CantidadesConsolidadas'!$A80),2)</f>
        <v>0</v>
      </c>
      <c r="N80" s="609">
        <f>ROUND(SUMIFS(Cantidades[91064150],Cantidades[cod Idu],'CantidadesConsolidadas'!$A80),2)</f>
        <v>0</v>
      </c>
      <c r="O80" s="609">
        <f>ROUND(SUMIFS(Cantidades[168919],Cantidades[cod Idu],'CantidadesConsolidadas'!$A80),2)</f>
        <v>0</v>
      </c>
      <c r="P80" s="609">
        <f>ROUND(SUMIFS(Cantidades[168426],Cantidades[cod Idu],'CantidadesConsolidadas'!$A80),2)</f>
        <v>0</v>
      </c>
      <c r="Q80" s="609">
        <f>ROUND(SUMIFS(Cantidades[91020796],Cantidades[cod Idu],'CantidadesConsolidadas'!$A80),2)</f>
        <v>0</v>
      </c>
      <c r="R80" s="609">
        <f>ROUND(SUMIFS(Cantidades[176184],Cantidades[cod Idu],'CantidadesConsolidadas'!$A80),2)</f>
        <v>0</v>
      </c>
      <c r="S80" s="609">
        <f>ROUND(SUMIFS(Cantidades[167636],Cantidades[cod Idu],'CantidadesConsolidadas'!$A80),2)</f>
        <v>49.04</v>
      </c>
      <c r="T80" s="609">
        <f>ROUND(SUMIFS(Cantidades[176730],Cantidades[cod Idu],'CantidadesConsolidadas'!$A80),2)</f>
        <v>0</v>
      </c>
      <c r="U80" s="609">
        <f>ROUND(SUMIFS(Cantidades[173038],Cantidades[cod Idu],'CantidadesConsolidadas'!$A80),2)</f>
        <v>0</v>
      </c>
      <c r="V80" s="609">
        <f>ROUND(SUMIFS(Cantidades[170222],Cantidades[cod Idu],'CantidadesConsolidadas'!$A80),2)</f>
        <v>0</v>
      </c>
      <c r="W80" s="609">
        <f>ROUND(SUMIFS(Cantidades[170229],Cantidades[cod Idu],'CantidadesConsolidadas'!$A80),2)</f>
        <v>0</v>
      </c>
      <c r="X80" s="609">
        <f>ROUND(SUMIFS(Cantidades[170227],Cantidades[cod Idu],'CantidadesConsolidadas'!$A80),2)</f>
        <v>0</v>
      </c>
      <c r="Y80" s="609">
        <f>ROUND(SUMIFS(Cantidades[170226],Cantidades[cod Idu],'CantidadesConsolidadas'!$A80),2)</f>
        <v>0</v>
      </c>
      <c r="Z80" s="609">
        <f>ROUND(SUMIFS(Cantidades[171567],Cantidades[cod Idu],'CantidadesConsolidadas'!$A80),2)</f>
        <v>0</v>
      </c>
      <c r="AA80" s="609">
        <f>ROUND(SUMIFS(Cantidades[166632],Cantidades[cod Idu],'CantidadesConsolidadas'!$A80),2)</f>
        <v>0</v>
      </c>
      <c r="AB80" s="609">
        <f>ROUND(SUMIFS(Cantidades[170228],Cantidades[cod Idu],'CantidadesConsolidadas'!$A80),2)</f>
        <v>0</v>
      </c>
      <c r="AC80" s="609">
        <f>ROUND(SUMIFS(Cantidades[172926],Cantidades[cod Idu],'CantidadesConsolidadas'!$A80),2)</f>
        <v>0</v>
      </c>
      <c r="AD80" s="609">
        <f>ROUND(SUMIFS(Cantidades[171152],Cantidades[cod Idu],'CantidadesConsolidadas'!$A80),2)</f>
        <v>0</v>
      </c>
      <c r="AE80" s="609">
        <f>ROUND(SUMIFS(Cantidades[173058],Cantidades[cod Idu],'CantidadesConsolidadas'!$A80),2)</f>
        <v>0</v>
      </c>
      <c r="AF80" s="726">
        <f>ROUND(SUMIFS(Cantidades[174478],Cantidades[cod Idu],'CantidadesConsolidadas'!$A80),2)</f>
        <v>0</v>
      </c>
      <c r="AG80" s="726">
        <f>ROUND(SUMIFS(Cantidades[91010089],Cantidades[cod Idu],'CantidadesConsolidadas'!$A80),2)</f>
        <v>0</v>
      </c>
      <c r="AH80" s="726">
        <f>ROUND(SUMIFS(Cantidades[176122],Cantidades[cod Idu],'CantidadesConsolidadas'!$A80),2)</f>
        <v>0</v>
      </c>
      <c r="AI80" s="726">
        <f>ROUND(SUMIFS(Cantidades[168536],Cantidades[cod Idu],'CantidadesConsolidadas'!$A80),2)</f>
        <v>0</v>
      </c>
      <c r="AJ80" s="609">
        <f>ROUND(SUMIFS(Cantidades[166934],Cantidades[cod Idu],'CantidadesConsolidadas'!$A80),2)</f>
        <v>0</v>
      </c>
      <c r="AK80" s="609">
        <f>ROUND(SUMIFS(Cantidades[174353],Cantidades[cod Idu],'CantidadesConsolidadas'!$A80),2)</f>
        <v>0</v>
      </c>
      <c r="AL80" s="751">
        <f>ROUND(SUMIFS(Cantidades[52531],Cantidades[cod Idu],'CantidadesConsolidadas'!$A80),2)</f>
        <v>0</v>
      </c>
      <c r="AM80" s="500">
        <f>ROUND(SUMIFS(Cantidades[52456],Cantidades[cod Idu],'CantidadesConsolidadas'!$A80),2)</f>
        <v>0</v>
      </c>
      <c r="AN80" s="500">
        <f>ROUND(SUMIFS(Cantidades[92058103],Cantidades[cod Idu],'CantidadesConsolidadas'!$A80),2)</f>
        <v>0</v>
      </c>
      <c r="AO80" s="500">
        <f>ROUND(SUMIFS(Cantidades[20011114],Cantidades[cod Idu],'CantidadesConsolidadas'!$A80),2)</f>
        <v>0</v>
      </c>
      <c r="AP80" s="500">
        <f>ROUND(SUMIFS(Cantidades[20013540],Cantidades[cod Idu],'CantidadesConsolidadas'!$A80),2)</f>
        <v>0</v>
      </c>
      <c r="AQ80" s="500">
        <f>ROUND(SUMIFS(Cantidades[55337],Cantidades[cod Idu],'CantidadesConsolidadas'!$A80),2)</f>
        <v>0</v>
      </c>
      <c r="AR80" s="500">
        <f>ROUND(SUMIFS(Cantidades[92087422],Cantidades[cod Idu],'CantidadesConsolidadas'!$A80),2)</f>
        <v>0</v>
      </c>
      <c r="AS80" s="500">
        <f>ROUND(SUMIFS(Cantidades[55259],Cantidades[cod Idu],'CantidadesConsolidadas'!$A80),2)</f>
        <v>0</v>
      </c>
      <c r="AT80" s="500">
        <f>ROUND(SUMIFS(Cantidades[466904],Cantidades[cod Idu],'CantidadesConsolidadas'!$A80),2)</f>
        <v>0</v>
      </c>
      <c r="AU80" s="500">
        <f>ROUND(SUMIFS(Cantidades[48591],Cantidades[cod Idu],'CantidadesConsolidadas'!$A80),2)</f>
        <v>0</v>
      </c>
      <c r="AV80" s="500">
        <f>ROUND(SUMIFS(Cantidades[48590],Cantidades[cod Idu],'CantidadesConsolidadas'!$A80),2)</f>
        <v>0</v>
      </c>
      <c r="AW80" s="500">
        <f>ROUND(SUMIFS(Cantidades[48561],Cantidades[cod Idu],'CantidadesConsolidadas'!$A80),2)</f>
        <v>0</v>
      </c>
      <c r="AX80" s="805">
        <f>ROUND(SUMIFS(Cantidades[48560],Cantidades[cod Idu],'CantidadesConsolidadas'!$A80),2)</f>
        <v>0</v>
      </c>
      <c r="AY80" s="805">
        <f>ROUND(SUMIFS(Cantidades[48657],Cantidades[cod Idu],'CantidadesConsolidadas'!$A80),2)</f>
        <v>0</v>
      </c>
      <c r="AZ80" s="752">
        <f>ROUND(SUMIFS(Cantidades[48655],Cantidades[cod Idu],'CantidadesConsolidadas'!$A80),2)</f>
        <v>0</v>
      </c>
      <c r="BA80" s="758">
        <f>SUBTOTAL(9,CantidadesConsolidadas[[#This Row],[91013913]:[48655]])</f>
        <v>49.04</v>
      </c>
      <c r="BB80" s="638">
        <f>ROUND(CantidadesConsolidadas[[#This Row],[Total]]*CantidadesConsolidadas[[#This Row],[VU]],0)</f>
        <v>6306250</v>
      </c>
    </row>
    <row r="81" spans="1:54" ht="29.4" thickBot="1" x14ac:dyDescent="0.35">
      <c r="A81">
        <v>3045</v>
      </c>
      <c r="B81" s="606" t="str">
        <f>+_xlfn.XLOOKUP(CantidadesConsolidadas[[#This Row],[cod Idu]],APU_IDU[Código],APU_IDU[Nombre],"",0)</f>
        <v>TUBERIA PVC U.M. EXT CORRUGADO/INT LISO U.M. NORMA NTC 3722-1 D=12" (INCLUYE SUMINISTRO E INSTALACIÓN)</v>
      </c>
      <c r="C81" s="609" t="str">
        <f>+_xlfn.XLOOKUP(CantidadesConsolidadas[[#This Row],[cod Idu]],APU_IDU[Código],APU_IDU[UM],"",0)</f>
        <v>ML</v>
      </c>
      <c r="D81" s="743">
        <f>+_xlfn.XLOOKUP(CantidadesConsolidadas[[#This Row],[cod Idu]],APU_IDU[Código],APU_IDU[Valor],"",0)</f>
        <v>179457</v>
      </c>
      <c r="E81" s="497">
        <f>ROUND(SUMIFS(Cantidades[91013913],Cantidades[cod Idu],'CantidadesConsolidadas'!$A81),2)</f>
        <v>0</v>
      </c>
      <c r="F81" s="497">
        <f>ROUND(SUMIFS(Cantidades[472330],Cantidades[cod Idu],'CantidadesConsolidadas'!$A81),2)</f>
        <v>0</v>
      </c>
      <c r="G81" s="497">
        <f>ROUND(SUMIFS(Cantidades[167810],Cantidades[cod Idu],'CantidadesConsolidadas'!$A81),2)</f>
        <v>0</v>
      </c>
      <c r="H81" s="497">
        <f>ROUND(SUMIFS(Cantidades[166646],Cantidades[cod Idu],'CantidadesConsolidadas'!$A81),2)</f>
        <v>0</v>
      </c>
      <c r="I81" s="497">
        <f>ROUND(SUMIFS(Cantidades[167491],Cantidades[cod Idu],'CantidadesConsolidadas'!$A81),2)</f>
        <v>0</v>
      </c>
      <c r="J81" s="497">
        <f>ROUND(SUMIFS(Cantidades[167266],Cantidades[cod Idu],'CantidadesConsolidadas'!$A81),2)</f>
        <v>0</v>
      </c>
      <c r="K81" s="497">
        <f>ROUND(SUMIFS(Cantidades[170896],Cantidades[cod Idu],'CantidadesConsolidadas'!$A81),2)</f>
        <v>0</v>
      </c>
      <c r="L81" s="497">
        <f>ROUND(SUMIFS(Cantidades[170897],Cantidades[cod Idu],'CantidadesConsolidadas'!$A81),2)</f>
        <v>0</v>
      </c>
      <c r="M81" s="497">
        <f>ROUND(SUMIFS(Cantidades[170898],Cantidades[cod Idu],'CantidadesConsolidadas'!$A81),2)</f>
        <v>0</v>
      </c>
      <c r="N81" s="497">
        <f>ROUND(SUMIFS(Cantidades[91064150],Cantidades[cod Idu],'CantidadesConsolidadas'!$A81),2)</f>
        <v>0</v>
      </c>
      <c r="O81" s="497">
        <f>ROUND(SUMIFS(Cantidades[168919],Cantidades[cod Idu],'CantidadesConsolidadas'!$A81),2)</f>
        <v>0</v>
      </c>
      <c r="P81" s="497">
        <f>ROUND(SUMIFS(Cantidades[168426],Cantidades[cod Idu],'CantidadesConsolidadas'!$A81),2)</f>
        <v>0</v>
      </c>
      <c r="Q81" s="497">
        <f>ROUND(SUMIFS(Cantidades[91020796],Cantidades[cod Idu],'CantidadesConsolidadas'!$A81),2)</f>
        <v>7.91</v>
      </c>
      <c r="R81" s="497">
        <f>ROUND(SUMIFS(Cantidades[176184],Cantidades[cod Idu],'CantidadesConsolidadas'!$A81),2)</f>
        <v>0</v>
      </c>
      <c r="S81" s="497">
        <f>ROUND(SUMIFS(Cantidades[167636],Cantidades[cod Idu],'CantidadesConsolidadas'!$A81),2)</f>
        <v>0</v>
      </c>
      <c r="T81" s="497">
        <f>ROUND(SUMIFS(Cantidades[176730],Cantidades[cod Idu],'CantidadesConsolidadas'!$A81),2)</f>
        <v>0</v>
      </c>
      <c r="U81" s="497">
        <f>ROUND(SUMIFS(Cantidades[173038],Cantidades[cod Idu],'CantidadesConsolidadas'!$A81),2)</f>
        <v>0</v>
      </c>
      <c r="V81" s="497">
        <f>ROUND(SUMIFS(Cantidades[170222],Cantidades[cod Idu],'CantidadesConsolidadas'!$A81),2)</f>
        <v>0</v>
      </c>
      <c r="W81" s="497">
        <f>ROUND(SUMIFS(Cantidades[170229],Cantidades[cod Idu],'CantidadesConsolidadas'!$A81),2)</f>
        <v>0</v>
      </c>
      <c r="X81" s="497">
        <f>ROUND(SUMIFS(Cantidades[170227],Cantidades[cod Idu],'CantidadesConsolidadas'!$A81),2)</f>
        <v>0</v>
      </c>
      <c r="Y81" s="497">
        <f>ROUND(SUMIFS(Cantidades[170226],Cantidades[cod Idu],'CantidadesConsolidadas'!$A81),2)</f>
        <v>0</v>
      </c>
      <c r="Z81" s="497">
        <f>ROUND(SUMIFS(Cantidades[171567],Cantidades[cod Idu],'CantidadesConsolidadas'!$A81),2)</f>
        <v>0</v>
      </c>
      <c r="AA81" s="497">
        <f>ROUND(SUMIFS(Cantidades[166632],Cantidades[cod Idu],'CantidadesConsolidadas'!$A81),2)</f>
        <v>0</v>
      </c>
      <c r="AB81" s="497">
        <f>ROUND(SUMIFS(Cantidades[170228],Cantidades[cod Idu],'CantidadesConsolidadas'!$A81),2)</f>
        <v>0</v>
      </c>
      <c r="AC81" s="497">
        <f>ROUND(SUMIFS(Cantidades[172926],Cantidades[cod Idu],'CantidadesConsolidadas'!$A81),2)</f>
        <v>0</v>
      </c>
      <c r="AD81" s="497">
        <f>ROUND(SUMIFS(Cantidades[171152],Cantidades[cod Idu],'CantidadesConsolidadas'!$A81),2)</f>
        <v>0</v>
      </c>
      <c r="AE81" s="497">
        <f>ROUND(SUMIFS(Cantidades[173058],Cantidades[cod Idu],'CantidadesConsolidadas'!$A81),2)</f>
        <v>0</v>
      </c>
      <c r="AF81" s="726">
        <f>ROUND(SUMIFS(Cantidades[174478],Cantidades[cod Idu],'CantidadesConsolidadas'!$A81),2)</f>
        <v>0</v>
      </c>
      <c r="AG81" s="726">
        <f>ROUND(SUMIFS(Cantidades[91010089],Cantidades[cod Idu],'CantidadesConsolidadas'!$A81),2)</f>
        <v>0</v>
      </c>
      <c r="AH81" s="726">
        <f>ROUND(SUMIFS(Cantidades[176122],Cantidades[cod Idu],'CantidadesConsolidadas'!$A81),2)</f>
        <v>0</v>
      </c>
      <c r="AI81" s="726">
        <f>ROUND(SUMIFS(Cantidades[168536],Cantidades[cod Idu],'CantidadesConsolidadas'!$A81),2)</f>
        <v>0</v>
      </c>
      <c r="AJ81" s="497">
        <f>ROUND(SUMIFS(Cantidades[166934],Cantidades[cod Idu],'CantidadesConsolidadas'!$A81),2)</f>
        <v>0</v>
      </c>
      <c r="AK81" s="497">
        <f>ROUND(SUMIFS(Cantidades[174353],Cantidades[cod Idu],'CantidadesConsolidadas'!$A81),2)</f>
        <v>0</v>
      </c>
      <c r="AL81" s="751">
        <f>ROUND(SUMIFS(Cantidades[52531],Cantidades[cod Idu],'CantidadesConsolidadas'!$A81),2)</f>
        <v>0</v>
      </c>
      <c r="AM81" s="500">
        <f>ROUND(SUMIFS(Cantidades[52456],Cantidades[cod Idu],'CantidadesConsolidadas'!$A81),2)</f>
        <v>0</v>
      </c>
      <c r="AN81" s="500">
        <f>ROUND(SUMIFS(Cantidades[92058103],Cantidades[cod Idu],'CantidadesConsolidadas'!$A81),2)</f>
        <v>0</v>
      </c>
      <c r="AO81" s="500">
        <f>ROUND(SUMIFS(Cantidades[20011114],Cantidades[cod Idu],'CantidadesConsolidadas'!$A81),2)</f>
        <v>0</v>
      </c>
      <c r="AP81" s="500">
        <f>ROUND(SUMIFS(Cantidades[20013540],Cantidades[cod Idu],'CantidadesConsolidadas'!$A81),2)</f>
        <v>0</v>
      </c>
      <c r="AQ81" s="500">
        <f>ROUND(SUMIFS(Cantidades[55337],Cantidades[cod Idu],'CantidadesConsolidadas'!$A81),2)</f>
        <v>0</v>
      </c>
      <c r="AR81" s="500">
        <f>ROUND(SUMIFS(Cantidades[92087422],Cantidades[cod Idu],'CantidadesConsolidadas'!$A81),2)</f>
        <v>0</v>
      </c>
      <c r="AS81" s="500">
        <f>ROUND(SUMIFS(Cantidades[55259],Cantidades[cod Idu],'CantidadesConsolidadas'!$A81),2)</f>
        <v>0</v>
      </c>
      <c r="AT81" s="500">
        <f>ROUND(SUMIFS(Cantidades[466904],Cantidades[cod Idu],'CantidadesConsolidadas'!$A81),2)</f>
        <v>0</v>
      </c>
      <c r="AU81" s="500">
        <f>ROUND(SUMIFS(Cantidades[48591],Cantidades[cod Idu],'CantidadesConsolidadas'!$A81),2)</f>
        <v>0</v>
      </c>
      <c r="AV81" s="500">
        <f>ROUND(SUMIFS(Cantidades[48590],Cantidades[cod Idu],'CantidadesConsolidadas'!$A81),2)</f>
        <v>0</v>
      </c>
      <c r="AW81" s="500">
        <f>ROUND(SUMIFS(Cantidades[48561],Cantidades[cod Idu],'CantidadesConsolidadas'!$A81),2)</f>
        <v>0</v>
      </c>
      <c r="AX81" s="805">
        <f>ROUND(SUMIFS(Cantidades[48560],Cantidades[cod Idu],'CantidadesConsolidadas'!$A81),2)</f>
        <v>0</v>
      </c>
      <c r="AY81" s="805">
        <f>ROUND(SUMIFS(Cantidades[48657],Cantidades[cod Idu],'CantidadesConsolidadas'!$A81),2)</f>
        <v>0</v>
      </c>
      <c r="AZ81" s="752">
        <f>ROUND(SUMIFS(Cantidades[48655],Cantidades[cod Idu],'CantidadesConsolidadas'!$A81),2)</f>
        <v>0</v>
      </c>
      <c r="BA81" s="758">
        <f>SUBTOTAL(9,CantidadesConsolidadas[[#This Row],[91013913]:[48655]])</f>
        <v>7.91</v>
      </c>
      <c r="BB81" s="638">
        <f>ROUND(CantidadesConsolidadas[[#This Row],[Total]]*CantidadesConsolidadas[[#This Row],[VU]],0)</f>
        <v>1419505</v>
      </c>
    </row>
    <row r="82" spans="1:54" ht="29.4" thickBot="1" x14ac:dyDescent="0.35">
      <c r="A82">
        <v>3047</v>
      </c>
      <c r="B82" s="606" t="str">
        <f>+_xlfn.XLOOKUP(CantidadesConsolidadas[[#This Row],[cod Idu]],APU_IDU[Código],APU_IDU[Nombre],"",0)</f>
        <v>TUBERIA PVC U.M. EXT CORRUGADO/INT LISO U.M. NORMA NTC 3722-1 D=18" (INCLUYE SUMINISTRO E INSTALACIÓN)</v>
      </c>
      <c r="C82" s="609" t="str">
        <f>+_xlfn.XLOOKUP(CantidadesConsolidadas[[#This Row],[cod Idu]],APU_IDU[Código],APU_IDU[UM],"",0)</f>
        <v>ML</v>
      </c>
      <c r="D82" s="743">
        <f>+_xlfn.XLOOKUP(CantidadesConsolidadas[[#This Row],[cod Idu]],APU_IDU[Código],APU_IDU[Valor],"",0)</f>
        <v>430046</v>
      </c>
      <c r="E82" s="497">
        <f>ROUND(SUMIFS(Cantidades[91013913],Cantidades[cod Idu],'CantidadesConsolidadas'!$A82),2)</f>
        <v>0</v>
      </c>
      <c r="F82" s="497">
        <f>ROUND(SUMIFS(Cantidades[472330],Cantidades[cod Idu],'CantidadesConsolidadas'!$A82),2)</f>
        <v>0</v>
      </c>
      <c r="G82" s="497">
        <f>ROUND(SUMIFS(Cantidades[167810],Cantidades[cod Idu],'CantidadesConsolidadas'!$A82),2)</f>
        <v>0</v>
      </c>
      <c r="H82" s="497">
        <f>ROUND(SUMIFS(Cantidades[166646],Cantidades[cod Idu],'CantidadesConsolidadas'!$A82),2)</f>
        <v>0</v>
      </c>
      <c r="I82" s="497">
        <f>ROUND(SUMIFS(Cantidades[167491],Cantidades[cod Idu],'CantidadesConsolidadas'!$A82),2)</f>
        <v>0</v>
      </c>
      <c r="J82" s="497">
        <f>ROUND(SUMIFS(Cantidades[167266],Cantidades[cod Idu],'CantidadesConsolidadas'!$A82),2)</f>
        <v>0</v>
      </c>
      <c r="K82" s="497">
        <f>ROUND(SUMIFS(Cantidades[170896],Cantidades[cod Idu],'CantidadesConsolidadas'!$A82),2)</f>
        <v>0</v>
      </c>
      <c r="L82" s="497">
        <f>ROUND(SUMIFS(Cantidades[170897],Cantidades[cod Idu],'CantidadesConsolidadas'!$A82),2)</f>
        <v>12.8</v>
      </c>
      <c r="M82" s="497">
        <f>ROUND(SUMIFS(Cantidades[170898],Cantidades[cod Idu],'CantidadesConsolidadas'!$A82),2)</f>
        <v>0</v>
      </c>
      <c r="N82" s="497">
        <f>ROUND(SUMIFS(Cantidades[91064150],Cantidades[cod Idu],'CantidadesConsolidadas'!$A82),2)</f>
        <v>0</v>
      </c>
      <c r="O82" s="497">
        <f>ROUND(SUMIFS(Cantidades[168919],Cantidades[cod Idu],'CantidadesConsolidadas'!$A82),2)</f>
        <v>0</v>
      </c>
      <c r="P82" s="497">
        <f>ROUND(SUMIFS(Cantidades[168426],Cantidades[cod Idu],'CantidadesConsolidadas'!$A82),2)</f>
        <v>0</v>
      </c>
      <c r="Q82" s="497">
        <f>ROUND(SUMIFS(Cantidades[91020796],Cantidades[cod Idu],'CantidadesConsolidadas'!$A82),2)</f>
        <v>0</v>
      </c>
      <c r="R82" s="497">
        <f>ROUND(SUMIFS(Cantidades[176184],Cantidades[cod Idu],'CantidadesConsolidadas'!$A82),2)</f>
        <v>0</v>
      </c>
      <c r="S82" s="497">
        <f>ROUND(SUMIFS(Cantidades[167636],Cantidades[cod Idu],'CantidadesConsolidadas'!$A82),2)</f>
        <v>0</v>
      </c>
      <c r="T82" s="497">
        <f>ROUND(SUMIFS(Cantidades[176730],Cantidades[cod Idu],'CantidadesConsolidadas'!$A82),2)</f>
        <v>0</v>
      </c>
      <c r="U82" s="497">
        <f>ROUND(SUMIFS(Cantidades[173038],Cantidades[cod Idu],'CantidadesConsolidadas'!$A82),2)</f>
        <v>0</v>
      </c>
      <c r="V82" s="497">
        <f>ROUND(SUMIFS(Cantidades[170222],Cantidades[cod Idu],'CantidadesConsolidadas'!$A82),2)</f>
        <v>0</v>
      </c>
      <c r="W82" s="497">
        <f>ROUND(SUMIFS(Cantidades[170229],Cantidades[cod Idu],'CantidadesConsolidadas'!$A82),2)</f>
        <v>0</v>
      </c>
      <c r="X82" s="497">
        <f>ROUND(SUMIFS(Cantidades[170227],Cantidades[cod Idu],'CantidadesConsolidadas'!$A82),2)</f>
        <v>0</v>
      </c>
      <c r="Y82" s="497">
        <f>ROUND(SUMIFS(Cantidades[170226],Cantidades[cod Idu],'CantidadesConsolidadas'!$A82),2)</f>
        <v>0</v>
      </c>
      <c r="Z82" s="497">
        <f>ROUND(SUMIFS(Cantidades[171567],Cantidades[cod Idu],'CantidadesConsolidadas'!$A82),2)</f>
        <v>0</v>
      </c>
      <c r="AA82" s="497">
        <f>ROUND(SUMIFS(Cantidades[166632],Cantidades[cod Idu],'CantidadesConsolidadas'!$A82),2)</f>
        <v>0</v>
      </c>
      <c r="AB82" s="497">
        <f>ROUND(SUMIFS(Cantidades[170228],Cantidades[cod Idu],'CantidadesConsolidadas'!$A82),2)</f>
        <v>0</v>
      </c>
      <c r="AC82" s="497">
        <f>ROUND(SUMIFS(Cantidades[172926],Cantidades[cod Idu],'CantidadesConsolidadas'!$A82),2)</f>
        <v>0</v>
      </c>
      <c r="AD82" s="497">
        <f>ROUND(SUMIFS(Cantidades[171152],Cantidades[cod Idu],'CantidadesConsolidadas'!$A82),2)</f>
        <v>0</v>
      </c>
      <c r="AE82" s="497">
        <f>ROUND(SUMIFS(Cantidades[173058],Cantidades[cod Idu],'CantidadesConsolidadas'!$A82),2)</f>
        <v>0</v>
      </c>
      <c r="AF82" s="726">
        <f>ROUND(SUMIFS(Cantidades[174478],Cantidades[cod Idu],'CantidadesConsolidadas'!$A82),2)</f>
        <v>0</v>
      </c>
      <c r="AG82" s="726">
        <f>ROUND(SUMIFS(Cantidades[91010089],Cantidades[cod Idu],'CantidadesConsolidadas'!$A82),2)</f>
        <v>0</v>
      </c>
      <c r="AH82" s="726">
        <f>ROUND(SUMIFS(Cantidades[176122],Cantidades[cod Idu],'CantidadesConsolidadas'!$A82),2)</f>
        <v>0</v>
      </c>
      <c r="AI82" s="726">
        <f>ROUND(SUMIFS(Cantidades[168536],Cantidades[cod Idu],'CantidadesConsolidadas'!$A82),2)</f>
        <v>0</v>
      </c>
      <c r="AJ82" s="497">
        <f>ROUND(SUMIFS(Cantidades[166934],Cantidades[cod Idu],'CantidadesConsolidadas'!$A82),2)</f>
        <v>0</v>
      </c>
      <c r="AK82" s="497">
        <f>ROUND(SUMIFS(Cantidades[174353],Cantidades[cod Idu],'CantidadesConsolidadas'!$A82),2)</f>
        <v>0</v>
      </c>
      <c r="AL82" s="751">
        <f>ROUND(SUMIFS(Cantidades[52531],Cantidades[cod Idu],'CantidadesConsolidadas'!$A82),2)</f>
        <v>0</v>
      </c>
      <c r="AM82" s="500">
        <f>ROUND(SUMIFS(Cantidades[52456],Cantidades[cod Idu],'CantidadesConsolidadas'!$A82),2)</f>
        <v>0</v>
      </c>
      <c r="AN82" s="500">
        <f>ROUND(SUMIFS(Cantidades[92058103],Cantidades[cod Idu],'CantidadesConsolidadas'!$A82),2)</f>
        <v>0</v>
      </c>
      <c r="AO82" s="500">
        <f>ROUND(SUMIFS(Cantidades[20011114],Cantidades[cod Idu],'CantidadesConsolidadas'!$A82),2)</f>
        <v>0</v>
      </c>
      <c r="AP82" s="500">
        <f>ROUND(SUMIFS(Cantidades[20013540],Cantidades[cod Idu],'CantidadesConsolidadas'!$A82),2)</f>
        <v>0</v>
      </c>
      <c r="AQ82" s="500">
        <f>ROUND(SUMIFS(Cantidades[55337],Cantidades[cod Idu],'CantidadesConsolidadas'!$A82),2)</f>
        <v>0</v>
      </c>
      <c r="AR82" s="500">
        <f>ROUND(SUMIFS(Cantidades[92087422],Cantidades[cod Idu],'CantidadesConsolidadas'!$A82),2)</f>
        <v>0</v>
      </c>
      <c r="AS82" s="500">
        <f>ROUND(SUMIFS(Cantidades[55259],Cantidades[cod Idu],'CantidadesConsolidadas'!$A82),2)</f>
        <v>0</v>
      </c>
      <c r="AT82" s="500">
        <f>ROUND(SUMIFS(Cantidades[466904],Cantidades[cod Idu],'CantidadesConsolidadas'!$A82),2)</f>
        <v>0</v>
      </c>
      <c r="AU82" s="500">
        <f>ROUND(SUMIFS(Cantidades[48591],Cantidades[cod Idu],'CantidadesConsolidadas'!$A82),2)</f>
        <v>0</v>
      </c>
      <c r="AV82" s="500">
        <f>ROUND(SUMIFS(Cantidades[48590],Cantidades[cod Idu],'CantidadesConsolidadas'!$A82),2)</f>
        <v>0</v>
      </c>
      <c r="AW82" s="500">
        <f>ROUND(SUMIFS(Cantidades[48561],Cantidades[cod Idu],'CantidadesConsolidadas'!$A82),2)</f>
        <v>0</v>
      </c>
      <c r="AX82" s="805">
        <f>ROUND(SUMIFS(Cantidades[48560],Cantidades[cod Idu],'CantidadesConsolidadas'!$A82),2)</f>
        <v>0</v>
      </c>
      <c r="AY82" s="805">
        <f>ROUND(SUMIFS(Cantidades[48657],Cantidades[cod Idu],'CantidadesConsolidadas'!$A82),2)</f>
        <v>0</v>
      </c>
      <c r="AZ82" s="752">
        <f>ROUND(SUMIFS(Cantidades[48655],Cantidades[cod Idu],'CantidadesConsolidadas'!$A82),2)</f>
        <v>0</v>
      </c>
      <c r="BA82" s="758">
        <f>SUBTOTAL(9,CantidadesConsolidadas[[#This Row],[91013913]:[48655]])</f>
        <v>12.8</v>
      </c>
      <c r="BB82" s="638">
        <f>ROUND(CantidadesConsolidadas[[#This Row],[Total]]*CantidadesConsolidadas[[#This Row],[VU]],0)</f>
        <v>5504589</v>
      </c>
    </row>
    <row r="83" spans="1:54" ht="115.8" thickBot="1" x14ac:dyDescent="0.35">
      <c r="A83">
        <v>8001</v>
      </c>
      <c r="B83" s="606" t="str">
        <f>+_xlfn.XLOOKUP(CantidadesConsolidadas[[#This Row],[cod Idu]],APU_IDU[Código],APU_IDU[Nombre],"",0)</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C83" s="609" t="str">
        <f>+_xlfn.XLOOKUP(CantidadesConsolidadas[[#This Row],[cod Idu]],APU_IDU[Código],APU_IDU[UM],"",0)</f>
        <v>ML</v>
      </c>
      <c r="D83" s="743">
        <f>+_xlfn.XLOOKUP(CantidadesConsolidadas[[#This Row],[cod Idu]],APU_IDU[Código],APU_IDU[Valor],"",0)</f>
        <v>1725500</v>
      </c>
      <c r="E83" s="497">
        <f>ROUND(SUMIFS(Cantidades[91013913],Cantidades[cod Idu],'CantidadesConsolidadas'!$A83),2)</f>
        <v>0</v>
      </c>
      <c r="F83" s="497">
        <f>ROUND(SUMIFS(Cantidades[472330],Cantidades[cod Idu],'CantidadesConsolidadas'!$A83),2)</f>
        <v>0</v>
      </c>
      <c r="G83" s="497">
        <f>ROUND(SUMIFS(Cantidades[167810],Cantidades[cod Idu],'CantidadesConsolidadas'!$A83),2)</f>
        <v>0</v>
      </c>
      <c r="H83" s="497">
        <f>ROUND(SUMIFS(Cantidades[166646],Cantidades[cod Idu],'CantidadesConsolidadas'!$A83),2)</f>
        <v>0</v>
      </c>
      <c r="I83" s="497">
        <f>ROUND(SUMIFS(Cantidades[167491],Cantidades[cod Idu],'CantidadesConsolidadas'!$A83),2)</f>
        <v>0</v>
      </c>
      <c r="J83" s="497">
        <f>ROUND(SUMIFS(Cantidades[167266],Cantidades[cod Idu],'CantidadesConsolidadas'!$A83),2)</f>
        <v>0</v>
      </c>
      <c r="K83" s="497">
        <f>ROUND(SUMIFS(Cantidades[170896],Cantidades[cod Idu],'CantidadesConsolidadas'!$A83),2)</f>
        <v>0</v>
      </c>
      <c r="L83" s="497">
        <f>ROUND(SUMIFS(Cantidades[170897],Cantidades[cod Idu],'CantidadesConsolidadas'!$A83),2)</f>
        <v>0</v>
      </c>
      <c r="M83" s="497">
        <f>ROUND(SUMIFS(Cantidades[170898],Cantidades[cod Idu],'CantidadesConsolidadas'!$A83),2)</f>
        <v>0</v>
      </c>
      <c r="N83" s="497">
        <f>ROUND(SUMIFS(Cantidades[91064150],Cantidades[cod Idu],'CantidadesConsolidadas'!$A83),2)</f>
        <v>0</v>
      </c>
      <c r="O83" s="497">
        <f>ROUND(SUMIFS(Cantidades[168919],Cantidades[cod Idu],'CantidadesConsolidadas'!$A83),2)</f>
        <v>0</v>
      </c>
      <c r="P83" s="497">
        <f>ROUND(SUMIFS(Cantidades[168426],Cantidades[cod Idu],'CantidadesConsolidadas'!$A83),2)</f>
        <v>0</v>
      </c>
      <c r="Q83" s="497">
        <f>ROUND(SUMIFS(Cantidades[91020796],Cantidades[cod Idu],'CantidadesConsolidadas'!$A83),2)</f>
        <v>0</v>
      </c>
      <c r="R83" s="497">
        <f>ROUND(SUMIFS(Cantidades[176184],Cantidades[cod Idu],'CantidadesConsolidadas'!$A83),2)</f>
        <v>0</v>
      </c>
      <c r="S83" s="497">
        <f>ROUND(SUMIFS(Cantidades[167636],Cantidades[cod Idu],'CantidadesConsolidadas'!$A83),2)</f>
        <v>0</v>
      </c>
      <c r="T83" s="497">
        <f>ROUND(SUMIFS(Cantidades[176730],Cantidades[cod Idu],'CantidadesConsolidadas'!$A83),2)</f>
        <v>0</v>
      </c>
      <c r="U83" s="497">
        <f>ROUND(SUMIFS(Cantidades[173038],Cantidades[cod Idu],'CantidadesConsolidadas'!$A83),2)</f>
        <v>0</v>
      </c>
      <c r="V83" s="497">
        <f>ROUND(SUMIFS(Cantidades[170222],Cantidades[cod Idu],'CantidadesConsolidadas'!$A83),2)</f>
        <v>0</v>
      </c>
      <c r="W83" s="497">
        <f>ROUND(SUMIFS(Cantidades[170229],Cantidades[cod Idu],'CantidadesConsolidadas'!$A83),2)</f>
        <v>13.15</v>
      </c>
      <c r="X83" s="497">
        <f>ROUND(SUMIFS(Cantidades[170227],Cantidades[cod Idu],'CantidadesConsolidadas'!$A83),2)</f>
        <v>0</v>
      </c>
      <c r="Y83" s="497">
        <f>ROUND(SUMIFS(Cantidades[170226],Cantidades[cod Idu],'CantidadesConsolidadas'!$A83),2)</f>
        <v>0</v>
      </c>
      <c r="Z83" s="497">
        <f>ROUND(SUMIFS(Cantidades[171567],Cantidades[cod Idu],'CantidadesConsolidadas'!$A83),2)</f>
        <v>0</v>
      </c>
      <c r="AA83" s="497">
        <f>ROUND(SUMIFS(Cantidades[166632],Cantidades[cod Idu],'CantidadesConsolidadas'!$A83),2)</f>
        <v>0</v>
      </c>
      <c r="AB83" s="497">
        <f>ROUND(SUMIFS(Cantidades[170228],Cantidades[cod Idu],'CantidadesConsolidadas'!$A83),2)</f>
        <v>0</v>
      </c>
      <c r="AC83" s="497">
        <f>ROUND(SUMIFS(Cantidades[172926],Cantidades[cod Idu],'CantidadesConsolidadas'!$A83),2)</f>
        <v>0</v>
      </c>
      <c r="AD83" s="497">
        <f>ROUND(SUMIFS(Cantidades[171152],Cantidades[cod Idu],'CantidadesConsolidadas'!$A83),2)</f>
        <v>0</v>
      </c>
      <c r="AE83" s="497">
        <f>ROUND(SUMIFS(Cantidades[173058],Cantidades[cod Idu],'CantidadesConsolidadas'!$A83),2)</f>
        <v>0</v>
      </c>
      <c r="AF83" s="726">
        <f>ROUND(SUMIFS(Cantidades[174478],Cantidades[cod Idu],'CantidadesConsolidadas'!$A83),2)</f>
        <v>0</v>
      </c>
      <c r="AG83" s="726">
        <f>ROUND(SUMIFS(Cantidades[91010089],Cantidades[cod Idu],'CantidadesConsolidadas'!$A83),2)</f>
        <v>0</v>
      </c>
      <c r="AH83" s="726">
        <f>ROUND(SUMIFS(Cantidades[176122],Cantidades[cod Idu],'CantidadesConsolidadas'!$A83),2)</f>
        <v>0</v>
      </c>
      <c r="AI83" s="726">
        <f>ROUND(SUMIFS(Cantidades[168536],Cantidades[cod Idu],'CantidadesConsolidadas'!$A83),2)</f>
        <v>0</v>
      </c>
      <c r="AJ83" s="497">
        <f>ROUND(SUMIFS(Cantidades[166934],Cantidades[cod Idu],'CantidadesConsolidadas'!$A83),2)</f>
        <v>0</v>
      </c>
      <c r="AK83" s="497">
        <f>ROUND(SUMIFS(Cantidades[174353],Cantidades[cod Idu],'CantidadesConsolidadas'!$A83),2)</f>
        <v>0</v>
      </c>
      <c r="AL83" s="751">
        <f>ROUND(SUMIFS(Cantidades[52531],Cantidades[cod Idu],'CantidadesConsolidadas'!$A83),2)</f>
        <v>0</v>
      </c>
      <c r="AM83" s="500">
        <f>ROUND(SUMIFS(Cantidades[52456],Cantidades[cod Idu],'CantidadesConsolidadas'!$A83),2)</f>
        <v>0</v>
      </c>
      <c r="AN83" s="500">
        <f>ROUND(SUMIFS(Cantidades[92058103],Cantidades[cod Idu],'CantidadesConsolidadas'!$A83),2)</f>
        <v>0</v>
      </c>
      <c r="AO83" s="500">
        <f>ROUND(SUMIFS(Cantidades[20011114],Cantidades[cod Idu],'CantidadesConsolidadas'!$A83),2)</f>
        <v>0</v>
      </c>
      <c r="AP83" s="500">
        <f>ROUND(SUMIFS(Cantidades[20013540],Cantidades[cod Idu],'CantidadesConsolidadas'!$A83),2)</f>
        <v>0</v>
      </c>
      <c r="AQ83" s="500">
        <f>ROUND(SUMIFS(Cantidades[55337],Cantidades[cod Idu],'CantidadesConsolidadas'!$A83),2)</f>
        <v>0</v>
      </c>
      <c r="AR83" s="500">
        <f>ROUND(SUMIFS(Cantidades[92087422],Cantidades[cod Idu],'CantidadesConsolidadas'!$A83),2)</f>
        <v>0</v>
      </c>
      <c r="AS83" s="500">
        <f>ROUND(SUMIFS(Cantidades[55259],Cantidades[cod Idu],'CantidadesConsolidadas'!$A83),2)</f>
        <v>0</v>
      </c>
      <c r="AT83" s="500">
        <f>ROUND(SUMIFS(Cantidades[466904],Cantidades[cod Idu],'CantidadesConsolidadas'!$A83),2)</f>
        <v>0</v>
      </c>
      <c r="AU83" s="500">
        <f>ROUND(SUMIFS(Cantidades[48591],Cantidades[cod Idu],'CantidadesConsolidadas'!$A83),2)</f>
        <v>0</v>
      </c>
      <c r="AV83" s="500">
        <f>ROUND(SUMIFS(Cantidades[48590],Cantidades[cod Idu],'CantidadesConsolidadas'!$A83),2)</f>
        <v>0</v>
      </c>
      <c r="AW83" s="500">
        <f>ROUND(SUMIFS(Cantidades[48561],Cantidades[cod Idu],'CantidadesConsolidadas'!$A83),2)</f>
        <v>0</v>
      </c>
      <c r="AX83" s="805">
        <f>ROUND(SUMIFS(Cantidades[48560],Cantidades[cod Idu],'CantidadesConsolidadas'!$A83),2)</f>
        <v>0</v>
      </c>
      <c r="AY83" s="805">
        <f>ROUND(SUMIFS(Cantidades[48657],Cantidades[cod Idu],'CantidadesConsolidadas'!$A83),2)</f>
        <v>0</v>
      </c>
      <c r="AZ83" s="752">
        <f>ROUND(SUMIFS(Cantidades[48655],Cantidades[cod Idu],'CantidadesConsolidadas'!$A83),2)</f>
        <v>0</v>
      </c>
      <c r="BA83" s="758">
        <f>SUBTOTAL(9,CantidadesConsolidadas[[#This Row],[91013913]:[48655]])</f>
        <v>13.15</v>
      </c>
      <c r="BB83" s="638">
        <f>ROUND(CantidadesConsolidadas[[#This Row],[Total]]*CantidadesConsolidadas[[#This Row],[VU]],0)</f>
        <v>22690325</v>
      </c>
    </row>
    <row r="84" spans="1:54" ht="115.8" thickBot="1" x14ac:dyDescent="0.35">
      <c r="A84">
        <v>8002</v>
      </c>
      <c r="B84" s="606" t="str">
        <f>+_xlfn.XLOOKUP(CantidadesConsolidadas[[#This Row],[cod Idu]],APU_IDU[Código],APU_IDU[Nombre],"",0)</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C84" s="609" t="str">
        <f>+_xlfn.XLOOKUP(CantidadesConsolidadas[[#This Row],[cod Idu]],APU_IDU[Código],APU_IDU[UM],"",0)</f>
        <v>ML</v>
      </c>
      <c r="D84" s="743">
        <f>+_xlfn.XLOOKUP(CantidadesConsolidadas[[#This Row],[cod Idu]],APU_IDU[Código],APU_IDU[Valor],"",0)</f>
        <v>1892100</v>
      </c>
      <c r="E84" s="497">
        <f>ROUND(SUMIFS(Cantidades[91013913],Cantidades[cod Idu],'CantidadesConsolidadas'!$A84),2)</f>
        <v>0</v>
      </c>
      <c r="F84" s="497">
        <f>ROUND(SUMIFS(Cantidades[472330],Cantidades[cod Idu],'CantidadesConsolidadas'!$A84),2)</f>
        <v>0</v>
      </c>
      <c r="G84" s="497">
        <f>ROUND(SUMIFS(Cantidades[167810],Cantidades[cod Idu],'CantidadesConsolidadas'!$A84),2)</f>
        <v>0</v>
      </c>
      <c r="H84" s="497">
        <f>ROUND(SUMIFS(Cantidades[166646],Cantidades[cod Idu],'CantidadesConsolidadas'!$A84),2)</f>
        <v>0</v>
      </c>
      <c r="I84" s="497">
        <f>ROUND(SUMIFS(Cantidades[167491],Cantidades[cod Idu],'CantidadesConsolidadas'!$A84),2)</f>
        <v>0</v>
      </c>
      <c r="J84" s="497">
        <f>ROUND(SUMIFS(Cantidades[167266],Cantidades[cod Idu],'CantidadesConsolidadas'!$A84),2)</f>
        <v>0</v>
      </c>
      <c r="K84" s="497">
        <f>ROUND(SUMIFS(Cantidades[170896],Cantidades[cod Idu],'CantidadesConsolidadas'!$A84),2)</f>
        <v>0</v>
      </c>
      <c r="L84" s="497">
        <f>ROUND(SUMIFS(Cantidades[170897],Cantidades[cod Idu],'CantidadesConsolidadas'!$A84),2)</f>
        <v>0</v>
      </c>
      <c r="M84" s="497">
        <f>ROUND(SUMIFS(Cantidades[170898],Cantidades[cod Idu],'CantidadesConsolidadas'!$A84),2)</f>
        <v>0</v>
      </c>
      <c r="N84" s="497">
        <f>ROUND(SUMIFS(Cantidades[91064150],Cantidades[cod Idu],'CantidadesConsolidadas'!$A84),2)</f>
        <v>0</v>
      </c>
      <c r="O84" s="497">
        <f>ROUND(SUMIFS(Cantidades[168919],Cantidades[cod Idu],'CantidadesConsolidadas'!$A84),2)</f>
        <v>0</v>
      </c>
      <c r="P84" s="497">
        <f>ROUND(SUMIFS(Cantidades[168426],Cantidades[cod Idu],'CantidadesConsolidadas'!$A84),2)</f>
        <v>0</v>
      </c>
      <c r="Q84" s="497">
        <f>ROUND(SUMIFS(Cantidades[91020796],Cantidades[cod Idu],'CantidadesConsolidadas'!$A84),2)</f>
        <v>0</v>
      </c>
      <c r="R84" s="497">
        <f>ROUND(SUMIFS(Cantidades[176184],Cantidades[cod Idu],'CantidadesConsolidadas'!$A84),2)</f>
        <v>0</v>
      </c>
      <c r="S84" s="497">
        <f>ROUND(SUMIFS(Cantidades[167636],Cantidades[cod Idu],'CantidadesConsolidadas'!$A84),2)</f>
        <v>0</v>
      </c>
      <c r="T84" s="497">
        <f>ROUND(SUMIFS(Cantidades[176730],Cantidades[cod Idu],'CantidadesConsolidadas'!$A84),2)</f>
        <v>0</v>
      </c>
      <c r="U84" s="497">
        <f>ROUND(SUMIFS(Cantidades[173038],Cantidades[cod Idu],'CantidadesConsolidadas'!$A84),2)</f>
        <v>0</v>
      </c>
      <c r="V84" s="497">
        <f>ROUND(SUMIFS(Cantidades[170222],Cantidades[cod Idu],'CantidadesConsolidadas'!$A84),2)</f>
        <v>0</v>
      </c>
      <c r="W84" s="497">
        <f>ROUND(SUMIFS(Cantidades[170229],Cantidades[cod Idu],'CantidadesConsolidadas'!$A84),2)</f>
        <v>0</v>
      </c>
      <c r="X84" s="497">
        <f>ROUND(SUMIFS(Cantidades[170227],Cantidades[cod Idu],'CantidadesConsolidadas'!$A84),2)</f>
        <v>0</v>
      </c>
      <c r="Y84" s="497">
        <f>ROUND(SUMIFS(Cantidades[170226],Cantidades[cod Idu],'CantidadesConsolidadas'!$A84),2)</f>
        <v>20.94</v>
      </c>
      <c r="Z84" s="497">
        <f>ROUND(SUMIFS(Cantidades[171567],Cantidades[cod Idu],'CantidadesConsolidadas'!$A84),2)</f>
        <v>0</v>
      </c>
      <c r="AA84" s="497">
        <f>ROUND(SUMIFS(Cantidades[166632],Cantidades[cod Idu],'CantidadesConsolidadas'!$A84),2)</f>
        <v>0</v>
      </c>
      <c r="AB84" s="497">
        <f>ROUND(SUMIFS(Cantidades[170228],Cantidades[cod Idu],'CantidadesConsolidadas'!$A84),2)</f>
        <v>0</v>
      </c>
      <c r="AC84" s="497">
        <f>ROUND(SUMIFS(Cantidades[172926],Cantidades[cod Idu],'CantidadesConsolidadas'!$A84),2)</f>
        <v>0</v>
      </c>
      <c r="AD84" s="497">
        <f>ROUND(SUMIFS(Cantidades[171152],Cantidades[cod Idu],'CantidadesConsolidadas'!$A84),2)</f>
        <v>0</v>
      </c>
      <c r="AE84" s="497">
        <f>ROUND(SUMIFS(Cantidades[173058],Cantidades[cod Idu],'CantidadesConsolidadas'!$A84),2)</f>
        <v>0</v>
      </c>
      <c r="AF84" s="726">
        <f>ROUND(SUMIFS(Cantidades[174478],Cantidades[cod Idu],'CantidadesConsolidadas'!$A84),2)</f>
        <v>0</v>
      </c>
      <c r="AG84" s="726">
        <f>ROUND(SUMIFS(Cantidades[91010089],Cantidades[cod Idu],'CantidadesConsolidadas'!$A84),2)</f>
        <v>0</v>
      </c>
      <c r="AH84" s="726">
        <f>ROUND(SUMIFS(Cantidades[176122],Cantidades[cod Idu],'CantidadesConsolidadas'!$A84),2)</f>
        <v>0</v>
      </c>
      <c r="AI84" s="726">
        <f>ROUND(SUMIFS(Cantidades[168536],Cantidades[cod Idu],'CantidadesConsolidadas'!$A84),2)</f>
        <v>0</v>
      </c>
      <c r="AJ84" s="497">
        <f>ROUND(SUMIFS(Cantidades[166934],Cantidades[cod Idu],'CantidadesConsolidadas'!$A84),2)</f>
        <v>0</v>
      </c>
      <c r="AK84" s="497">
        <f>ROUND(SUMIFS(Cantidades[174353],Cantidades[cod Idu],'CantidadesConsolidadas'!$A84),2)</f>
        <v>0</v>
      </c>
      <c r="AL84" s="751">
        <f>ROUND(SUMIFS(Cantidades[52531],Cantidades[cod Idu],'CantidadesConsolidadas'!$A84),2)</f>
        <v>0</v>
      </c>
      <c r="AM84" s="500">
        <f>ROUND(SUMIFS(Cantidades[52456],Cantidades[cod Idu],'CantidadesConsolidadas'!$A84),2)</f>
        <v>0</v>
      </c>
      <c r="AN84" s="500">
        <f>ROUND(SUMIFS(Cantidades[92058103],Cantidades[cod Idu],'CantidadesConsolidadas'!$A84),2)</f>
        <v>0</v>
      </c>
      <c r="AO84" s="500">
        <f>ROUND(SUMIFS(Cantidades[20011114],Cantidades[cod Idu],'CantidadesConsolidadas'!$A84),2)</f>
        <v>0</v>
      </c>
      <c r="AP84" s="500">
        <f>ROUND(SUMIFS(Cantidades[20013540],Cantidades[cod Idu],'CantidadesConsolidadas'!$A84),2)</f>
        <v>0</v>
      </c>
      <c r="AQ84" s="500">
        <f>ROUND(SUMIFS(Cantidades[55337],Cantidades[cod Idu],'CantidadesConsolidadas'!$A84),2)</f>
        <v>0</v>
      </c>
      <c r="AR84" s="500">
        <f>ROUND(SUMIFS(Cantidades[92087422],Cantidades[cod Idu],'CantidadesConsolidadas'!$A84),2)</f>
        <v>0</v>
      </c>
      <c r="AS84" s="500">
        <f>ROUND(SUMIFS(Cantidades[55259],Cantidades[cod Idu],'CantidadesConsolidadas'!$A84),2)</f>
        <v>0</v>
      </c>
      <c r="AT84" s="500">
        <f>ROUND(SUMIFS(Cantidades[466904],Cantidades[cod Idu],'CantidadesConsolidadas'!$A84),2)</f>
        <v>0</v>
      </c>
      <c r="AU84" s="500">
        <f>ROUND(SUMIFS(Cantidades[48591],Cantidades[cod Idu],'CantidadesConsolidadas'!$A84),2)</f>
        <v>0</v>
      </c>
      <c r="AV84" s="500">
        <f>ROUND(SUMIFS(Cantidades[48590],Cantidades[cod Idu],'CantidadesConsolidadas'!$A84),2)</f>
        <v>0</v>
      </c>
      <c r="AW84" s="500">
        <f>ROUND(SUMIFS(Cantidades[48561],Cantidades[cod Idu],'CantidadesConsolidadas'!$A84),2)</f>
        <v>0</v>
      </c>
      <c r="AX84" s="805">
        <f>ROUND(SUMIFS(Cantidades[48560],Cantidades[cod Idu],'CantidadesConsolidadas'!$A84),2)</f>
        <v>0</v>
      </c>
      <c r="AY84" s="805">
        <f>ROUND(SUMIFS(Cantidades[48657],Cantidades[cod Idu],'CantidadesConsolidadas'!$A84),2)</f>
        <v>0</v>
      </c>
      <c r="AZ84" s="752">
        <f>ROUND(SUMIFS(Cantidades[48655],Cantidades[cod Idu],'CantidadesConsolidadas'!$A84),2)</f>
        <v>0</v>
      </c>
      <c r="BA84" s="758">
        <f>SUBTOTAL(9,CantidadesConsolidadas[[#This Row],[91013913]:[48655]])</f>
        <v>20.94</v>
      </c>
      <c r="BB84" s="638">
        <f>ROUND(CantidadesConsolidadas[[#This Row],[Total]]*CantidadesConsolidadas[[#This Row],[VU]],0)</f>
        <v>39620574</v>
      </c>
    </row>
    <row r="85" spans="1:54" ht="115.8" thickBot="1" x14ac:dyDescent="0.35">
      <c r="A85">
        <v>8003</v>
      </c>
      <c r="B85" s="606" t="str">
        <f>+_xlfn.XLOOKUP(CantidadesConsolidadas[[#This Row],[cod Idu]],APU_IDU[Código],APU_IDU[Nombre],"",0)</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C85" s="609" t="str">
        <f>+_xlfn.XLOOKUP(CantidadesConsolidadas[[#This Row],[cod Idu]],APU_IDU[Código],APU_IDU[UM],"",0)</f>
        <v>ML</v>
      </c>
      <c r="D85" s="743">
        <f>+_xlfn.XLOOKUP(CantidadesConsolidadas[[#This Row],[cod Idu]],APU_IDU[Código],APU_IDU[Valor],"",0)</f>
        <v>2082500</v>
      </c>
      <c r="E85" s="497">
        <f>ROUND(SUMIFS(Cantidades[91013913],Cantidades[cod Idu],'CantidadesConsolidadas'!$A85),2)</f>
        <v>0</v>
      </c>
      <c r="F85" s="497">
        <f>ROUND(SUMIFS(Cantidades[472330],Cantidades[cod Idu],'CantidadesConsolidadas'!$A85),2)</f>
        <v>0</v>
      </c>
      <c r="G85" s="497">
        <f>ROUND(SUMIFS(Cantidades[167810],Cantidades[cod Idu],'CantidadesConsolidadas'!$A85),2)</f>
        <v>0</v>
      </c>
      <c r="H85" s="497">
        <f>ROUND(SUMIFS(Cantidades[166646],Cantidades[cod Idu],'CantidadesConsolidadas'!$A85),2)</f>
        <v>0</v>
      </c>
      <c r="I85" s="497">
        <f>ROUND(SUMIFS(Cantidades[167491],Cantidades[cod Idu],'CantidadesConsolidadas'!$A85),2)</f>
        <v>0</v>
      </c>
      <c r="J85" s="497">
        <f>ROUND(SUMIFS(Cantidades[167266],Cantidades[cod Idu],'CantidadesConsolidadas'!$A85),2)</f>
        <v>0</v>
      </c>
      <c r="K85" s="497">
        <f>ROUND(SUMIFS(Cantidades[170896],Cantidades[cod Idu],'CantidadesConsolidadas'!$A85),2)</f>
        <v>0</v>
      </c>
      <c r="L85" s="497">
        <f>ROUND(SUMIFS(Cantidades[170897],Cantidades[cod Idu],'CantidadesConsolidadas'!$A85),2)</f>
        <v>0</v>
      </c>
      <c r="M85" s="497">
        <f>ROUND(SUMIFS(Cantidades[170898],Cantidades[cod Idu],'CantidadesConsolidadas'!$A85),2)</f>
        <v>8.64</v>
      </c>
      <c r="N85" s="497">
        <f>ROUND(SUMIFS(Cantidades[91064150],Cantidades[cod Idu],'CantidadesConsolidadas'!$A85),2)</f>
        <v>0</v>
      </c>
      <c r="O85" s="497">
        <f>ROUND(SUMIFS(Cantidades[168919],Cantidades[cod Idu],'CantidadesConsolidadas'!$A85),2)</f>
        <v>0</v>
      </c>
      <c r="P85" s="497">
        <f>ROUND(SUMIFS(Cantidades[168426],Cantidades[cod Idu],'CantidadesConsolidadas'!$A85),2)</f>
        <v>0</v>
      </c>
      <c r="Q85" s="497">
        <f>ROUND(SUMIFS(Cantidades[91020796],Cantidades[cod Idu],'CantidadesConsolidadas'!$A85),2)</f>
        <v>0</v>
      </c>
      <c r="R85" s="497">
        <f>ROUND(SUMIFS(Cantidades[176184],Cantidades[cod Idu],'CantidadesConsolidadas'!$A85),2)</f>
        <v>0</v>
      </c>
      <c r="S85" s="497">
        <f>ROUND(SUMIFS(Cantidades[167636],Cantidades[cod Idu],'CantidadesConsolidadas'!$A85),2)</f>
        <v>0</v>
      </c>
      <c r="T85" s="497">
        <f>ROUND(SUMIFS(Cantidades[176730],Cantidades[cod Idu],'CantidadesConsolidadas'!$A85),2)</f>
        <v>0</v>
      </c>
      <c r="U85" s="497">
        <f>ROUND(SUMIFS(Cantidades[173038],Cantidades[cod Idu],'CantidadesConsolidadas'!$A85),2)</f>
        <v>0</v>
      </c>
      <c r="V85" s="497">
        <f>ROUND(SUMIFS(Cantidades[170222],Cantidades[cod Idu],'CantidadesConsolidadas'!$A85),2)</f>
        <v>0</v>
      </c>
      <c r="W85" s="497">
        <f>ROUND(SUMIFS(Cantidades[170229],Cantidades[cod Idu],'CantidadesConsolidadas'!$A85),2)</f>
        <v>0</v>
      </c>
      <c r="X85" s="497">
        <f>ROUND(SUMIFS(Cantidades[170227],Cantidades[cod Idu],'CantidadesConsolidadas'!$A85),2)</f>
        <v>0</v>
      </c>
      <c r="Y85" s="497">
        <f>ROUND(SUMIFS(Cantidades[170226],Cantidades[cod Idu],'CantidadesConsolidadas'!$A85),2)</f>
        <v>0</v>
      </c>
      <c r="Z85" s="497">
        <f>ROUND(SUMIFS(Cantidades[171567],Cantidades[cod Idu],'CantidadesConsolidadas'!$A85),2)</f>
        <v>0</v>
      </c>
      <c r="AA85" s="497">
        <f>ROUND(SUMIFS(Cantidades[166632],Cantidades[cod Idu],'CantidadesConsolidadas'!$A85),2)</f>
        <v>0</v>
      </c>
      <c r="AB85" s="497">
        <f>ROUND(SUMIFS(Cantidades[170228],Cantidades[cod Idu],'CantidadesConsolidadas'!$A85),2)</f>
        <v>0</v>
      </c>
      <c r="AC85" s="497">
        <f>ROUND(SUMIFS(Cantidades[172926],Cantidades[cod Idu],'CantidadesConsolidadas'!$A85),2)</f>
        <v>0</v>
      </c>
      <c r="AD85" s="497">
        <f>ROUND(SUMIFS(Cantidades[171152],Cantidades[cod Idu],'CantidadesConsolidadas'!$A85),2)</f>
        <v>0</v>
      </c>
      <c r="AE85" s="497">
        <f>ROUND(SUMIFS(Cantidades[173058],Cantidades[cod Idu],'CantidadesConsolidadas'!$A85),2)</f>
        <v>0</v>
      </c>
      <c r="AF85" s="726">
        <f>ROUND(SUMIFS(Cantidades[174478],Cantidades[cod Idu],'CantidadesConsolidadas'!$A85),2)</f>
        <v>0</v>
      </c>
      <c r="AG85" s="726">
        <f>ROUND(SUMIFS(Cantidades[91010089],Cantidades[cod Idu],'CantidadesConsolidadas'!$A85),2)</f>
        <v>0</v>
      </c>
      <c r="AH85" s="726">
        <f>ROUND(SUMIFS(Cantidades[176122],Cantidades[cod Idu],'CantidadesConsolidadas'!$A85),2)</f>
        <v>0</v>
      </c>
      <c r="AI85" s="726">
        <f>ROUND(SUMIFS(Cantidades[168536],Cantidades[cod Idu],'CantidadesConsolidadas'!$A85),2)</f>
        <v>0</v>
      </c>
      <c r="AJ85" s="497">
        <f>ROUND(SUMIFS(Cantidades[166934],Cantidades[cod Idu],'CantidadesConsolidadas'!$A85),2)</f>
        <v>0</v>
      </c>
      <c r="AK85" s="497">
        <f>ROUND(SUMIFS(Cantidades[174353],Cantidades[cod Idu],'CantidadesConsolidadas'!$A85),2)</f>
        <v>0</v>
      </c>
      <c r="AL85" s="751">
        <f>ROUND(SUMIFS(Cantidades[52531],Cantidades[cod Idu],'CantidadesConsolidadas'!$A85),2)</f>
        <v>0</v>
      </c>
      <c r="AM85" s="500">
        <f>ROUND(SUMIFS(Cantidades[52456],Cantidades[cod Idu],'CantidadesConsolidadas'!$A85),2)</f>
        <v>0</v>
      </c>
      <c r="AN85" s="500">
        <f>ROUND(SUMIFS(Cantidades[92058103],Cantidades[cod Idu],'CantidadesConsolidadas'!$A85),2)</f>
        <v>0</v>
      </c>
      <c r="AO85" s="500">
        <f>ROUND(SUMIFS(Cantidades[20011114],Cantidades[cod Idu],'CantidadesConsolidadas'!$A85),2)</f>
        <v>0</v>
      </c>
      <c r="AP85" s="500">
        <f>ROUND(SUMIFS(Cantidades[20013540],Cantidades[cod Idu],'CantidadesConsolidadas'!$A85),2)</f>
        <v>0</v>
      </c>
      <c r="AQ85" s="500">
        <f>ROUND(SUMIFS(Cantidades[55337],Cantidades[cod Idu],'CantidadesConsolidadas'!$A85),2)</f>
        <v>0</v>
      </c>
      <c r="AR85" s="500">
        <f>ROUND(SUMIFS(Cantidades[92087422],Cantidades[cod Idu],'CantidadesConsolidadas'!$A85),2)</f>
        <v>0</v>
      </c>
      <c r="AS85" s="500">
        <f>ROUND(SUMIFS(Cantidades[55259],Cantidades[cod Idu],'CantidadesConsolidadas'!$A85),2)</f>
        <v>0</v>
      </c>
      <c r="AT85" s="500">
        <f>ROUND(SUMIFS(Cantidades[466904],Cantidades[cod Idu],'CantidadesConsolidadas'!$A85),2)</f>
        <v>0</v>
      </c>
      <c r="AU85" s="500">
        <f>ROUND(SUMIFS(Cantidades[48591],Cantidades[cod Idu],'CantidadesConsolidadas'!$A85),2)</f>
        <v>0</v>
      </c>
      <c r="AV85" s="500">
        <f>ROUND(SUMIFS(Cantidades[48590],Cantidades[cod Idu],'CantidadesConsolidadas'!$A85),2)</f>
        <v>0</v>
      </c>
      <c r="AW85" s="500">
        <f>ROUND(SUMIFS(Cantidades[48561],Cantidades[cod Idu],'CantidadesConsolidadas'!$A85),2)</f>
        <v>0</v>
      </c>
      <c r="AX85" s="805">
        <f>ROUND(SUMIFS(Cantidades[48560],Cantidades[cod Idu],'CantidadesConsolidadas'!$A85),2)</f>
        <v>0</v>
      </c>
      <c r="AY85" s="805">
        <f>ROUND(SUMIFS(Cantidades[48657],Cantidades[cod Idu],'CantidadesConsolidadas'!$A85),2)</f>
        <v>0</v>
      </c>
      <c r="AZ85" s="752">
        <f>ROUND(SUMIFS(Cantidades[48655],Cantidades[cod Idu],'CantidadesConsolidadas'!$A85),2)</f>
        <v>0</v>
      </c>
      <c r="BA85" s="758">
        <f>SUBTOTAL(9,CantidadesConsolidadas[[#This Row],[91013913]:[48655]])</f>
        <v>8.64</v>
      </c>
      <c r="BB85" s="638">
        <f>ROUND(CantidadesConsolidadas[[#This Row],[Total]]*CantidadesConsolidadas[[#This Row],[VU]],0)</f>
        <v>17992800</v>
      </c>
    </row>
    <row r="86" spans="1:54" ht="29.4" thickBot="1" x14ac:dyDescent="0.35">
      <c r="A86">
        <v>4553</v>
      </c>
      <c r="B86" s="606" t="str">
        <f>+_xlfn.XLOOKUP(CantidadesConsolidadas[[#This Row],[cod Idu]],APU_IDU[Código],APU_IDU[Nombre],"",0)</f>
        <v>POZO DE INSPECCION D=1.7 M (INCL. SUMINISTRO E INSTALACION). INCLUYE CILINDRO POZO DE INSPECCION EN MAMPOSTERIA, CONO PREFABRICADO, PLACA FONDO.</v>
      </c>
      <c r="C86" s="609" t="str">
        <f>+_xlfn.XLOOKUP(CantidadesConsolidadas[[#This Row],[cod Idu]],APU_IDU[Código],APU_IDU[UM],"",0)</f>
        <v>UN</v>
      </c>
      <c r="D86" s="743">
        <f>+_xlfn.XLOOKUP(CantidadesConsolidadas[[#This Row],[cod Idu]],APU_IDU[Código],APU_IDU[Valor],"",0)</f>
        <v>4518654</v>
      </c>
      <c r="E86" s="497">
        <f>ROUND(SUMIFS(Cantidades[91013913],Cantidades[cod Idu],'CantidadesConsolidadas'!$A86),2)</f>
        <v>0</v>
      </c>
      <c r="F86" s="497">
        <f>ROUND(SUMIFS(Cantidades[472330],Cantidades[cod Idu],'CantidadesConsolidadas'!$A86),2)</f>
        <v>0</v>
      </c>
      <c r="G86" s="497">
        <f>ROUND(SUMIFS(Cantidades[167810],Cantidades[cod Idu],'CantidadesConsolidadas'!$A86),2)</f>
        <v>0</v>
      </c>
      <c r="H86" s="497">
        <f>ROUND(SUMIFS(Cantidades[166646],Cantidades[cod Idu],'CantidadesConsolidadas'!$A86),2)</f>
        <v>0</v>
      </c>
      <c r="I86" s="497">
        <f>ROUND(SUMIFS(Cantidades[167491],Cantidades[cod Idu],'CantidadesConsolidadas'!$A86),2)</f>
        <v>1</v>
      </c>
      <c r="J86" s="497">
        <f>ROUND(SUMIFS(Cantidades[167266],Cantidades[cod Idu],'CantidadesConsolidadas'!$A86),2)</f>
        <v>0</v>
      </c>
      <c r="K86" s="497">
        <f>ROUND(SUMIFS(Cantidades[170896],Cantidades[cod Idu],'CantidadesConsolidadas'!$A86),2)</f>
        <v>0</v>
      </c>
      <c r="L86" s="497">
        <f>ROUND(SUMIFS(Cantidades[170897],Cantidades[cod Idu],'CantidadesConsolidadas'!$A86),2)</f>
        <v>0</v>
      </c>
      <c r="M86" s="497">
        <f>ROUND(SUMIFS(Cantidades[170898],Cantidades[cod Idu],'CantidadesConsolidadas'!$A86),2)</f>
        <v>0</v>
      </c>
      <c r="N86" s="497">
        <f>ROUND(SUMIFS(Cantidades[91064150],Cantidades[cod Idu],'CantidadesConsolidadas'!$A86),2)</f>
        <v>0</v>
      </c>
      <c r="O86" s="497">
        <f>ROUND(SUMIFS(Cantidades[168919],Cantidades[cod Idu],'CantidadesConsolidadas'!$A86),2)</f>
        <v>0</v>
      </c>
      <c r="P86" s="497">
        <f>ROUND(SUMIFS(Cantidades[168426],Cantidades[cod Idu],'CantidadesConsolidadas'!$A86),2)</f>
        <v>0</v>
      </c>
      <c r="Q86" s="497">
        <f>ROUND(SUMIFS(Cantidades[91020796],Cantidades[cod Idu],'CantidadesConsolidadas'!$A86),2)</f>
        <v>0</v>
      </c>
      <c r="R86" s="497">
        <f>ROUND(SUMIFS(Cantidades[176184],Cantidades[cod Idu],'CantidadesConsolidadas'!$A86),2)</f>
        <v>0</v>
      </c>
      <c r="S86" s="497">
        <f>ROUND(SUMIFS(Cantidades[167636],Cantidades[cod Idu],'CantidadesConsolidadas'!$A86),2)</f>
        <v>0</v>
      </c>
      <c r="T86" s="497">
        <f>ROUND(SUMIFS(Cantidades[176730],Cantidades[cod Idu],'CantidadesConsolidadas'!$A86),2)</f>
        <v>0</v>
      </c>
      <c r="U86" s="497">
        <f>ROUND(SUMIFS(Cantidades[173038],Cantidades[cod Idu],'CantidadesConsolidadas'!$A86),2)</f>
        <v>0</v>
      </c>
      <c r="V86" s="497">
        <f>ROUND(SUMIFS(Cantidades[170222],Cantidades[cod Idu],'CantidadesConsolidadas'!$A86),2)</f>
        <v>0</v>
      </c>
      <c r="W86" s="497">
        <f>ROUND(SUMIFS(Cantidades[170229],Cantidades[cod Idu],'CantidadesConsolidadas'!$A86),2)</f>
        <v>0</v>
      </c>
      <c r="X86" s="497">
        <f>ROUND(SUMIFS(Cantidades[170227],Cantidades[cod Idu],'CantidadesConsolidadas'!$A86),2)</f>
        <v>0</v>
      </c>
      <c r="Y86" s="497">
        <f>ROUND(SUMIFS(Cantidades[170226],Cantidades[cod Idu],'CantidadesConsolidadas'!$A86),2)</f>
        <v>0</v>
      </c>
      <c r="Z86" s="497">
        <f>ROUND(SUMIFS(Cantidades[171567],Cantidades[cod Idu],'CantidadesConsolidadas'!$A86),2)</f>
        <v>0</v>
      </c>
      <c r="AA86" s="497">
        <f>ROUND(SUMIFS(Cantidades[166632],Cantidades[cod Idu],'CantidadesConsolidadas'!$A86),2)</f>
        <v>0</v>
      </c>
      <c r="AB86" s="497">
        <f>ROUND(SUMIFS(Cantidades[170228],Cantidades[cod Idu],'CantidadesConsolidadas'!$A86),2)</f>
        <v>0</v>
      </c>
      <c r="AC86" s="497">
        <f>ROUND(SUMIFS(Cantidades[172926],Cantidades[cod Idu],'CantidadesConsolidadas'!$A86),2)</f>
        <v>0</v>
      </c>
      <c r="AD86" s="497">
        <f>ROUND(SUMIFS(Cantidades[171152],Cantidades[cod Idu],'CantidadesConsolidadas'!$A86),2)</f>
        <v>0</v>
      </c>
      <c r="AE86" s="497">
        <f>ROUND(SUMIFS(Cantidades[173058],Cantidades[cod Idu],'CantidadesConsolidadas'!$A86),2)</f>
        <v>0</v>
      </c>
      <c r="AF86" s="726">
        <f>ROUND(SUMIFS(Cantidades[174478],Cantidades[cod Idu],'CantidadesConsolidadas'!$A86),2)</f>
        <v>0</v>
      </c>
      <c r="AG86" s="726">
        <f>ROUND(SUMIFS(Cantidades[91010089],Cantidades[cod Idu],'CantidadesConsolidadas'!$A86),2)</f>
        <v>0</v>
      </c>
      <c r="AH86" s="726">
        <f>ROUND(SUMIFS(Cantidades[176122],Cantidades[cod Idu],'CantidadesConsolidadas'!$A86),2)</f>
        <v>0</v>
      </c>
      <c r="AI86" s="726">
        <f>ROUND(SUMIFS(Cantidades[168536],Cantidades[cod Idu],'CantidadesConsolidadas'!$A86),2)</f>
        <v>0</v>
      </c>
      <c r="AJ86" s="497">
        <f>ROUND(SUMIFS(Cantidades[166934],Cantidades[cod Idu],'CantidadesConsolidadas'!$A86),2)</f>
        <v>0</v>
      </c>
      <c r="AK86" s="497">
        <f>ROUND(SUMIFS(Cantidades[174353],Cantidades[cod Idu],'CantidadesConsolidadas'!$A86),2)</f>
        <v>0</v>
      </c>
      <c r="AL86" s="751">
        <f>ROUND(SUMIFS(Cantidades[52531],Cantidades[cod Idu],'CantidadesConsolidadas'!$A86),2)</f>
        <v>0</v>
      </c>
      <c r="AM86" s="500">
        <f>ROUND(SUMIFS(Cantidades[52456],Cantidades[cod Idu],'CantidadesConsolidadas'!$A86),2)</f>
        <v>0</v>
      </c>
      <c r="AN86" s="500">
        <f>ROUND(SUMIFS(Cantidades[92058103],Cantidades[cod Idu],'CantidadesConsolidadas'!$A86),2)</f>
        <v>0</v>
      </c>
      <c r="AO86" s="500">
        <f>ROUND(SUMIFS(Cantidades[20011114],Cantidades[cod Idu],'CantidadesConsolidadas'!$A86),2)</f>
        <v>0</v>
      </c>
      <c r="AP86" s="500">
        <f>ROUND(SUMIFS(Cantidades[20013540],Cantidades[cod Idu],'CantidadesConsolidadas'!$A86),2)</f>
        <v>0</v>
      </c>
      <c r="AQ86" s="500">
        <f>ROUND(SUMIFS(Cantidades[55337],Cantidades[cod Idu],'CantidadesConsolidadas'!$A86),2)</f>
        <v>0</v>
      </c>
      <c r="AR86" s="500">
        <f>ROUND(SUMIFS(Cantidades[92087422],Cantidades[cod Idu],'CantidadesConsolidadas'!$A86),2)</f>
        <v>0</v>
      </c>
      <c r="AS86" s="500">
        <f>ROUND(SUMIFS(Cantidades[55259],Cantidades[cod Idu],'CantidadesConsolidadas'!$A86),2)</f>
        <v>0</v>
      </c>
      <c r="AT86" s="500">
        <f>ROUND(SUMIFS(Cantidades[466904],Cantidades[cod Idu],'CantidadesConsolidadas'!$A86),2)</f>
        <v>0</v>
      </c>
      <c r="AU86" s="500">
        <f>ROUND(SUMIFS(Cantidades[48591],Cantidades[cod Idu],'CantidadesConsolidadas'!$A86),2)</f>
        <v>0</v>
      </c>
      <c r="AV86" s="500">
        <f>ROUND(SUMIFS(Cantidades[48590],Cantidades[cod Idu],'CantidadesConsolidadas'!$A86),2)</f>
        <v>0</v>
      </c>
      <c r="AW86" s="500">
        <f>ROUND(SUMIFS(Cantidades[48561],Cantidades[cod Idu],'CantidadesConsolidadas'!$A86),2)</f>
        <v>0</v>
      </c>
      <c r="AX86" s="805">
        <f>ROUND(SUMIFS(Cantidades[48560],Cantidades[cod Idu],'CantidadesConsolidadas'!$A86),2)</f>
        <v>0</v>
      </c>
      <c r="AY86" s="805">
        <f>ROUND(SUMIFS(Cantidades[48657],Cantidades[cod Idu],'CantidadesConsolidadas'!$A86),2)</f>
        <v>0</v>
      </c>
      <c r="AZ86" s="752">
        <f>ROUND(SUMIFS(Cantidades[48655],Cantidades[cod Idu],'CantidadesConsolidadas'!$A86),2)</f>
        <v>0</v>
      </c>
      <c r="BA86" s="758">
        <f>SUBTOTAL(9,CantidadesConsolidadas[[#This Row],[91013913]:[48655]])</f>
        <v>1</v>
      </c>
      <c r="BB86" s="638">
        <f>ROUND(CantidadesConsolidadas[[#This Row],[Total]]*CantidadesConsolidadas[[#This Row],[VU]],0)</f>
        <v>4518654</v>
      </c>
    </row>
    <row r="87" spans="1:54" ht="15" thickBot="1" x14ac:dyDescent="0.35">
      <c r="A87">
        <v>3800</v>
      </c>
      <c r="B87" s="606" t="str">
        <f>+_xlfn.XLOOKUP(CantidadesConsolidadas[[#This Row],[cod Idu]],APU_IDU[Código],APU_IDU[Nombre],"",0)</f>
        <v>NIVELACION Y COMPACTACIÓN DE SUBRASANTE</v>
      </c>
      <c r="C87" s="609" t="str">
        <f>+_xlfn.XLOOKUP(CantidadesConsolidadas[[#This Row],[cod Idu]],APU_IDU[Código],APU_IDU[UM],"",0)</f>
        <v>M2</v>
      </c>
      <c r="D87" s="743">
        <f>+_xlfn.XLOOKUP(CantidadesConsolidadas[[#This Row],[cod Idu]],APU_IDU[Código],APU_IDU[Valor],"",0)</f>
        <v>1919</v>
      </c>
      <c r="E87" s="497">
        <f>ROUND(SUMIFS(Cantidades[91013913],Cantidades[cod Idu],'CantidadesConsolidadas'!$A87),2)</f>
        <v>0</v>
      </c>
      <c r="F87" s="497">
        <f>ROUND(SUMIFS(Cantidades[472330],Cantidades[cod Idu],'CantidadesConsolidadas'!$A87),2)</f>
        <v>0</v>
      </c>
      <c r="G87" s="497">
        <f>ROUND(SUMIFS(Cantidades[167810],Cantidades[cod Idu],'CantidadesConsolidadas'!$A87),2)</f>
        <v>0</v>
      </c>
      <c r="H87" s="497">
        <f>ROUND(SUMIFS(Cantidades[166646],Cantidades[cod Idu],'CantidadesConsolidadas'!$A87),2)</f>
        <v>0</v>
      </c>
      <c r="I87" s="497">
        <f>ROUND(SUMIFS(Cantidades[167491],Cantidades[cod Idu],'CantidadesConsolidadas'!$A87),2)</f>
        <v>0</v>
      </c>
      <c r="J87" s="497">
        <f>ROUND(SUMIFS(Cantidades[167266],Cantidades[cod Idu],'CantidadesConsolidadas'!$A87),2)</f>
        <v>0</v>
      </c>
      <c r="K87" s="497">
        <f>ROUND(SUMIFS(Cantidades[170896],Cantidades[cod Idu],'CantidadesConsolidadas'!$A87),2)</f>
        <v>0</v>
      </c>
      <c r="L87" s="497">
        <f>ROUND(SUMIFS(Cantidades[170897],Cantidades[cod Idu],'CantidadesConsolidadas'!$A87),2)</f>
        <v>0</v>
      </c>
      <c r="M87" s="497">
        <f>ROUND(SUMIFS(Cantidades[170898],Cantidades[cod Idu],'CantidadesConsolidadas'!$A87),2)</f>
        <v>0</v>
      </c>
      <c r="N87" s="497">
        <f>ROUND(SUMIFS(Cantidades[91064150],Cantidades[cod Idu],'CantidadesConsolidadas'!$A87),2)</f>
        <v>0</v>
      </c>
      <c r="O87" s="497">
        <f>ROUND(SUMIFS(Cantidades[168919],Cantidades[cod Idu],'CantidadesConsolidadas'!$A87),2)</f>
        <v>0</v>
      </c>
      <c r="P87" s="497">
        <f>ROUND(SUMIFS(Cantidades[168426],Cantidades[cod Idu],'CantidadesConsolidadas'!$A87),2)</f>
        <v>0</v>
      </c>
      <c r="Q87" s="497">
        <f>ROUND(SUMIFS(Cantidades[91020796],Cantidades[cod Idu],'CantidadesConsolidadas'!$A87),2)</f>
        <v>0</v>
      </c>
      <c r="R87" s="497">
        <f>ROUND(SUMIFS(Cantidades[176184],Cantidades[cod Idu],'CantidadesConsolidadas'!$A87),2)</f>
        <v>0</v>
      </c>
      <c r="S87" s="497">
        <f>ROUND(SUMIFS(Cantidades[167636],Cantidades[cod Idu],'CantidadesConsolidadas'!$A87),2)</f>
        <v>0</v>
      </c>
      <c r="T87" s="497">
        <f>ROUND(SUMIFS(Cantidades[176730],Cantidades[cod Idu],'CantidadesConsolidadas'!$A87),2)</f>
        <v>0</v>
      </c>
      <c r="U87" s="497">
        <f>ROUND(SUMIFS(Cantidades[173038],Cantidades[cod Idu],'CantidadesConsolidadas'!$A87),2)</f>
        <v>0</v>
      </c>
      <c r="V87" s="497">
        <f>ROUND(SUMIFS(Cantidades[170222],Cantidades[cod Idu],'CantidadesConsolidadas'!$A87),2)</f>
        <v>0</v>
      </c>
      <c r="W87" s="497">
        <f>ROUND(SUMIFS(Cantidades[170229],Cantidades[cod Idu],'CantidadesConsolidadas'!$A87),2)</f>
        <v>0</v>
      </c>
      <c r="X87" s="497">
        <f>ROUND(SUMIFS(Cantidades[170227],Cantidades[cod Idu],'CantidadesConsolidadas'!$A87),2)</f>
        <v>0</v>
      </c>
      <c r="Y87" s="497">
        <f>ROUND(SUMIFS(Cantidades[170226],Cantidades[cod Idu],'CantidadesConsolidadas'!$A87),2)</f>
        <v>0</v>
      </c>
      <c r="Z87" s="497">
        <f>ROUND(SUMIFS(Cantidades[171567],Cantidades[cod Idu],'CantidadesConsolidadas'!$A87),2)</f>
        <v>0</v>
      </c>
      <c r="AA87" s="497">
        <f>ROUND(SUMIFS(Cantidades[166632],Cantidades[cod Idu],'CantidadesConsolidadas'!$A87),2)</f>
        <v>0</v>
      </c>
      <c r="AB87" s="497">
        <f>ROUND(SUMIFS(Cantidades[170228],Cantidades[cod Idu],'CantidadesConsolidadas'!$A87),2)</f>
        <v>0</v>
      </c>
      <c r="AC87" s="497">
        <f>ROUND(SUMIFS(Cantidades[172926],Cantidades[cod Idu],'CantidadesConsolidadas'!$A87),2)</f>
        <v>0</v>
      </c>
      <c r="AD87" s="497">
        <f>ROUND(SUMIFS(Cantidades[171152],Cantidades[cod Idu],'CantidadesConsolidadas'!$A87),2)</f>
        <v>0</v>
      </c>
      <c r="AE87" s="497">
        <f>ROUND(SUMIFS(Cantidades[173058],Cantidades[cod Idu],'CantidadesConsolidadas'!$A87),2)</f>
        <v>0</v>
      </c>
      <c r="AF87" s="726">
        <f>ROUND(SUMIFS(Cantidades[174478],Cantidades[cod Idu],'CantidadesConsolidadas'!$A87),2)</f>
        <v>0</v>
      </c>
      <c r="AG87" s="726">
        <f>ROUND(SUMIFS(Cantidades[91010089],Cantidades[cod Idu],'CantidadesConsolidadas'!$A87),2)</f>
        <v>0</v>
      </c>
      <c r="AH87" s="726">
        <f>ROUND(SUMIFS(Cantidades[176122],Cantidades[cod Idu],'CantidadesConsolidadas'!$A87),2)</f>
        <v>0</v>
      </c>
      <c r="AI87" s="726">
        <f>ROUND(SUMIFS(Cantidades[168536],Cantidades[cod Idu],'CantidadesConsolidadas'!$A87),2)</f>
        <v>0</v>
      </c>
      <c r="AJ87" s="497">
        <f>ROUND(SUMIFS(Cantidades[166934],Cantidades[cod Idu],'CantidadesConsolidadas'!$A87),2)</f>
        <v>0</v>
      </c>
      <c r="AK87" s="497">
        <f>ROUND(SUMIFS(Cantidades[174353],Cantidades[cod Idu],'CantidadesConsolidadas'!$A87),2)</f>
        <v>0</v>
      </c>
      <c r="AL87" s="751">
        <f>ROUND(SUMIFS(Cantidades[52531],Cantidades[cod Idu],'CantidadesConsolidadas'!$A87),2)</f>
        <v>157.38</v>
      </c>
      <c r="AM87" s="500">
        <f>ROUND(SUMIFS(Cantidades[52456],Cantidades[cod Idu],'CantidadesConsolidadas'!$A87),2)</f>
        <v>110.14</v>
      </c>
      <c r="AN87" s="500">
        <f>ROUND(SUMIFS(Cantidades[92058103],Cantidades[cod Idu],'CantidadesConsolidadas'!$A87),2)</f>
        <v>30.97</v>
      </c>
      <c r="AO87" s="500">
        <f>ROUND(SUMIFS(Cantidades[20011114],Cantidades[cod Idu],'CantidadesConsolidadas'!$A87),2)</f>
        <v>155.35</v>
      </c>
      <c r="AP87" s="500">
        <f>ROUND(SUMIFS(Cantidades[20013540],Cantidades[cod Idu],'CantidadesConsolidadas'!$A87),2)</f>
        <v>67.83</v>
      </c>
      <c r="AQ87" s="500">
        <f>ROUND(SUMIFS(Cantidades[55337],Cantidades[cod Idu],'CantidadesConsolidadas'!$A87),2)</f>
        <v>174.27</v>
      </c>
      <c r="AR87" s="500">
        <f>ROUND(SUMIFS(Cantidades[92087422],Cantidades[cod Idu],'CantidadesConsolidadas'!$A87),2)</f>
        <v>267.25</v>
      </c>
      <c r="AS87" s="500">
        <f>ROUND(SUMIFS(Cantidades[55259],Cantidades[cod Idu],'CantidadesConsolidadas'!$A87),2)</f>
        <v>360.09</v>
      </c>
      <c r="AT87" s="500">
        <f>ROUND(SUMIFS(Cantidades[466904],Cantidades[cod Idu],'CantidadesConsolidadas'!$A87),2)</f>
        <v>19.02</v>
      </c>
      <c r="AU87" s="500">
        <f>ROUND(SUMIFS(Cantidades[48591],Cantidades[cod Idu],'CantidadesConsolidadas'!$A87),2)</f>
        <v>417.55</v>
      </c>
      <c r="AV87" s="500">
        <f>ROUND(SUMIFS(Cantidades[48590],Cantidades[cod Idu],'CantidadesConsolidadas'!$A87),2)</f>
        <v>430.38</v>
      </c>
      <c r="AW87" s="500">
        <f>ROUND(SUMIFS(Cantidades[48561],Cantidades[cod Idu],'CantidadesConsolidadas'!$A87),2)</f>
        <v>441.41</v>
      </c>
      <c r="AX87" s="805">
        <f>ROUND(SUMIFS(Cantidades[48560],Cantidades[cod Idu],'CantidadesConsolidadas'!$A87),2)</f>
        <v>445.04</v>
      </c>
      <c r="AY87" s="805">
        <f>ROUND(SUMIFS(Cantidades[48657],Cantidades[cod Idu],'CantidadesConsolidadas'!$A87),2)</f>
        <v>216.48</v>
      </c>
      <c r="AZ87" s="752">
        <f>ROUND(SUMIFS(Cantidades[48655],Cantidades[cod Idu],'CantidadesConsolidadas'!$A87),2)</f>
        <v>67.69</v>
      </c>
      <c r="BA87" s="758">
        <f>SUBTOTAL(9,CantidadesConsolidadas[[#This Row],[91013913]:[48655]])</f>
        <v>3360.85</v>
      </c>
      <c r="BB87" s="638">
        <f>ROUND(CantidadesConsolidadas[[#This Row],[Total]]*CantidadesConsolidadas[[#This Row],[VU]],0)</f>
        <v>6449471</v>
      </c>
    </row>
    <row r="88" spans="1:54" ht="29.4" thickBot="1" x14ac:dyDescent="0.35">
      <c r="A88">
        <v>4396</v>
      </c>
      <c r="B88" s="606" t="str">
        <f>+_xlfn.XLOOKUP(CantidadesConsolidadas[[#This Row],[cod Idu]],APU_IDU[Código],APU_IDU[Nombre],"",0)</f>
        <v>ADOQUIN DE ARCILLA TR. LIVIANO 20X10X6CM (SUMINISTRO E INSTALACIÓN. INCLUYE BASE 4CM ARENA NIVELACION Y ARENA DE SELLO)</v>
      </c>
      <c r="C88" s="609" t="str">
        <f>+_xlfn.XLOOKUP(CantidadesConsolidadas[[#This Row],[cod Idu]],APU_IDU[Código],APU_IDU[UM],"",0)</f>
        <v>M2</v>
      </c>
      <c r="D88" s="743">
        <f>+_xlfn.XLOOKUP(CantidadesConsolidadas[[#This Row],[cod Idu]],APU_IDU[Código],APU_IDU[Valor],"",0)</f>
        <v>86412</v>
      </c>
      <c r="E88" s="497">
        <f>ROUND(SUMIFS(Cantidades[91013913],Cantidades[cod Idu],'CantidadesConsolidadas'!$A88),2)</f>
        <v>0</v>
      </c>
      <c r="F88" s="497">
        <f>ROUND(SUMIFS(Cantidades[472330],Cantidades[cod Idu],'CantidadesConsolidadas'!$A88),2)</f>
        <v>0</v>
      </c>
      <c r="G88" s="497">
        <f>ROUND(SUMIFS(Cantidades[167810],Cantidades[cod Idu],'CantidadesConsolidadas'!$A88),2)</f>
        <v>0</v>
      </c>
      <c r="H88" s="497">
        <f>ROUND(SUMIFS(Cantidades[166646],Cantidades[cod Idu],'CantidadesConsolidadas'!$A88),2)</f>
        <v>0</v>
      </c>
      <c r="I88" s="497">
        <f>ROUND(SUMIFS(Cantidades[167491],Cantidades[cod Idu],'CantidadesConsolidadas'!$A88),2)</f>
        <v>0</v>
      </c>
      <c r="J88" s="497">
        <f>ROUND(SUMIFS(Cantidades[167266],Cantidades[cod Idu],'CantidadesConsolidadas'!$A88),2)</f>
        <v>0</v>
      </c>
      <c r="K88" s="497">
        <f>ROUND(SUMIFS(Cantidades[170896],Cantidades[cod Idu],'CantidadesConsolidadas'!$A88),2)</f>
        <v>0</v>
      </c>
      <c r="L88" s="497">
        <f>ROUND(SUMIFS(Cantidades[170897],Cantidades[cod Idu],'CantidadesConsolidadas'!$A88),2)</f>
        <v>0</v>
      </c>
      <c r="M88" s="497">
        <f>ROUND(SUMIFS(Cantidades[170898],Cantidades[cod Idu],'CantidadesConsolidadas'!$A88),2)</f>
        <v>0</v>
      </c>
      <c r="N88" s="497">
        <f>ROUND(SUMIFS(Cantidades[91064150],Cantidades[cod Idu],'CantidadesConsolidadas'!$A88),2)</f>
        <v>0</v>
      </c>
      <c r="O88" s="497">
        <f>ROUND(SUMIFS(Cantidades[168919],Cantidades[cod Idu],'CantidadesConsolidadas'!$A88),2)</f>
        <v>0</v>
      </c>
      <c r="P88" s="497">
        <f>ROUND(SUMIFS(Cantidades[168426],Cantidades[cod Idu],'CantidadesConsolidadas'!$A88),2)</f>
        <v>0</v>
      </c>
      <c r="Q88" s="497">
        <f>ROUND(SUMIFS(Cantidades[91020796],Cantidades[cod Idu],'CantidadesConsolidadas'!$A88),2)</f>
        <v>0</v>
      </c>
      <c r="R88" s="497">
        <f>ROUND(SUMIFS(Cantidades[176184],Cantidades[cod Idu],'CantidadesConsolidadas'!$A88),2)</f>
        <v>0</v>
      </c>
      <c r="S88" s="497">
        <f>ROUND(SUMIFS(Cantidades[167636],Cantidades[cod Idu],'CantidadesConsolidadas'!$A88),2)</f>
        <v>0</v>
      </c>
      <c r="T88" s="497">
        <f>ROUND(SUMIFS(Cantidades[176730],Cantidades[cod Idu],'CantidadesConsolidadas'!$A88),2)</f>
        <v>0</v>
      </c>
      <c r="U88" s="497">
        <f>ROUND(SUMIFS(Cantidades[173038],Cantidades[cod Idu],'CantidadesConsolidadas'!$A88),2)</f>
        <v>0</v>
      </c>
      <c r="V88" s="497">
        <f>ROUND(SUMIFS(Cantidades[170222],Cantidades[cod Idu],'CantidadesConsolidadas'!$A88),2)</f>
        <v>0</v>
      </c>
      <c r="W88" s="497">
        <f>ROUND(SUMIFS(Cantidades[170229],Cantidades[cod Idu],'CantidadesConsolidadas'!$A88),2)</f>
        <v>0</v>
      </c>
      <c r="X88" s="497">
        <f>ROUND(SUMIFS(Cantidades[170227],Cantidades[cod Idu],'CantidadesConsolidadas'!$A88),2)</f>
        <v>0</v>
      </c>
      <c r="Y88" s="497">
        <f>ROUND(SUMIFS(Cantidades[170226],Cantidades[cod Idu],'CantidadesConsolidadas'!$A88),2)</f>
        <v>0</v>
      </c>
      <c r="Z88" s="497">
        <f>ROUND(SUMIFS(Cantidades[171567],Cantidades[cod Idu],'CantidadesConsolidadas'!$A88),2)</f>
        <v>0</v>
      </c>
      <c r="AA88" s="497">
        <f>ROUND(SUMIFS(Cantidades[166632],Cantidades[cod Idu],'CantidadesConsolidadas'!$A88),2)</f>
        <v>0</v>
      </c>
      <c r="AB88" s="497">
        <f>ROUND(SUMIFS(Cantidades[170228],Cantidades[cod Idu],'CantidadesConsolidadas'!$A88),2)</f>
        <v>0</v>
      </c>
      <c r="AC88" s="497">
        <f>ROUND(SUMIFS(Cantidades[172926],Cantidades[cod Idu],'CantidadesConsolidadas'!$A88),2)</f>
        <v>0</v>
      </c>
      <c r="AD88" s="497">
        <f>ROUND(SUMIFS(Cantidades[171152],Cantidades[cod Idu],'CantidadesConsolidadas'!$A88),2)</f>
        <v>0</v>
      </c>
      <c r="AE88" s="497">
        <f>ROUND(SUMIFS(Cantidades[173058],Cantidades[cod Idu],'CantidadesConsolidadas'!$A88),2)</f>
        <v>0</v>
      </c>
      <c r="AF88" s="726">
        <f>ROUND(SUMIFS(Cantidades[174478],Cantidades[cod Idu],'CantidadesConsolidadas'!$A88),2)</f>
        <v>0</v>
      </c>
      <c r="AG88" s="726">
        <f>ROUND(SUMIFS(Cantidades[91010089],Cantidades[cod Idu],'CantidadesConsolidadas'!$A88),2)</f>
        <v>0</v>
      </c>
      <c r="AH88" s="726">
        <f>ROUND(SUMIFS(Cantidades[176122],Cantidades[cod Idu],'CantidadesConsolidadas'!$A88),2)</f>
        <v>0</v>
      </c>
      <c r="AI88" s="726">
        <f>ROUND(SUMIFS(Cantidades[168536],Cantidades[cod Idu],'CantidadesConsolidadas'!$A88),2)</f>
        <v>0</v>
      </c>
      <c r="AJ88" s="497">
        <f>ROUND(SUMIFS(Cantidades[166934],Cantidades[cod Idu],'CantidadesConsolidadas'!$A88),2)</f>
        <v>0</v>
      </c>
      <c r="AK88" s="497">
        <f>ROUND(SUMIFS(Cantidades[174353],Cantidades[cod Idu],'CantidadesConsolidadas'!$A88),2)</f>
        <v>0</v>
      </c>
      <c r="AL88" s="751">
        <f>ROUND(SUMIFS(Cantidades[52531],Cantidades[cod Idu],'CantidadesConsolidadas'!$A88),2)</f>
        <v>39.020000000000003</v>
      </c>
      <c r="AM88" s="500">
        <f>ROUND(SUMIFS(Cantidades[52456],Cantidades[cod Idu],'CantidadesConsolidadas'!$A88),2)</f>
        <v>0</v>
      </c>
      <c r="AN88" s="500">
        <f>ROUND(SUMIFS(Cantidades[92058103],Cantidades[cod Idu],'CantidadesConsolidadas'!$A88),2)</f>
        <v>0</v>
      </c>
      <c r="AO88" s="500">
        <f>ROUND(SUMIFS(Cantidades[20011114],Cantidades[cod Idu],'CantidadesConsolidadas'!$A88),2)</f>
        <v>0</v>
      </c>
      <c r="AP88" s="500">
        <f>ROUND(SUMIFS(Cantidades[20013540],Cantidades[cod Idu],'CantidadesConsolidadas'!$A88),2)</f>
        <v>0</v>
      </c>
      <c r="AQ88" s="500">
        <f>ROUND(SUMIFS(Cantidades[55337],Cantidades[cod Idu],'CantidadesConsolidadas'!$A88),2)</f>
        <v>0</v>
      </c>
      <c r="AR88" s="500">
        <f>ROUND(SUMIFS(Cantidades[92087422],Cantidades[cod Idu],'CantidadesConsolidadas'!$A88),2)</f>
        <v>0</v>
      </c>
      <c r="AS88" s="500">
        <f>ROUND(SUMIFS(Cantidades[55259],Cantidades[cod Idu],'CantidadesConsolidadas'!$A88),2)</f>
        <v>0</v>
      </c>
      <c r="AT88" s="500">
        <f>ROUND(SUMIFS(Cantidades[466904],Cantidades[cod Idu],'CantidadesConsolidadas'!$A88),2)</f>
        <v>0</v>
      </c>
      <c r="AU88" s="500">
        <f>ROUND(SUMIFS(Cantidades[48591],Cantidades[cod Idu],'CantidadesConsolidadas'!$A88),2)</f>
        <v>0</v>
      </c>
      <c r="AV88" s="500">
        <f>ROUND(SUMIFS(Cantidades[48590],Cantidades[cod Idu],'CantidadesConsolidadas'!$A88),2)</f>
        <v>0</v>
      </c>
      <c r="AW88" s="500">
        <f>ROUND(SUMIFS(Cantidades[48561],Cantidades[cod Idu],'CantidadesConsolidadas'!$A88),2)</f>
        <v>0</v>
      </c>
      <c r="AX88" s="805">
        <f>ROUND(SUMIFS(Cantidades[48560],Cantidades[cod Idu],'CantidadesConsolidadas'!$A88),2)</f>
        <v>0</v>
      </c>
      <c r="AY88" s="805">
        <f>ROUND(SUMIFS(Cantidades[48657],Cantidades[cod Idu],'CantidadesConsolidadas'!$A88),2)</f>
        <v>0</v>
      </c>
      <c r="AZ88" s="752">
        <f>ROUND(SUMIFS(Cantidades[48655],Cantidades[cod Idu],'CantidadesConsolidadas'!$A88),2)</f>
        <v>0</v>
      </c>
      <c r="BA88" s="758">
        <f>SUBTOTAL(9,CantidadesConsolidadas[[#This Row],[91013913]:[48655]])</f>
        <v>39.020000000000003</v>
      </c>
      <c r="BB88" s="638">
        <f>ROUND(CantidadesConsolidadas[[#This Row],[Total]]*CantidadesConsolidadas[[#This Row],[VU]],0)</f>
        <v>3371796</v>
      </c>
    </row>
    <row r="89" spans="1:54" ht="29.4" thickBot="1" x14ac:dyDescent="0.35">
      <c r="A89">
        <v>4919</v>
      </c>
      <c r="B89" s="606" t="str">
        <f>+_xlfn.XLOOKUP(CantidadesConsolidadas[[#This Row],[cod Idu]],APU_IDU[Código],APU_IDU[Nombre],"",0)</f>
        <v>ADOQUIN EN CONCRETO 200X100X60MM A25 (SUMINISTRO E INSTALACIÓN. INCLUYE BASE 4CM MORTERO 2000 PSI Y ARENA DE SELLO).</v>
      </c>
      <c r="C89" s="609" t="str">
        <f>+_xlfn.XLOOKUP(CantidadesConsolidadas[[#This Row],[cod Idu]],APU_IDU[Código],APU_IDU[UM],"",0)</f>
        <v>M2</v>
      </c>
      <c r="D89" s="743">
        <f>+_xlfn.XLOOKUP(CantidadesConsolidadas[[#This Row],[cod Idu]],APU_IDU[Código],APU_IDU[Valor],"",0)</f>
        <v>147839</v>
      </c>
      <c r="E89" s="497">
        <f>ROUND(SUMIFS(Cantidades[91013913],Cantidades[cod Idu],'CantidadesConsolidadas'!$A89),2)</f>
        <v>0</v>
      </c>
      <c r="F89" s="497">
        <f>ROUND(SUMIFS(Cantidades[472330],Cantidades[cod Idu],'CantidadesConsolidadas'!$A89),2)</f>
        <v>0</v>
      </c>
      <c r="G89" s="497">
        <f>ROUND(SUMIFS(Cantidades[167810],Cantidades[cod Idu],'CantidadesConsolidadas'!$A89),2)</f>
        <v>0</v>
      </c>
      <c r="H89" s="497">
        <f>ROUND(SUMIFS(Cantidades[166646],Cantidades[cod Idu],'CantidadesConsolidadas'!$A89),2)</f>
        <v>0</v>
      </c>
      <c r="I89" s="497">
        <f>ROUND(SUMIFS(Cantidades[167491],Cantidades[cod Idu],'CantidadesConsolidadas'!$A89),2)</f>
        <v>0</v>
      </c>
      <c r="J89" s="497">
        <f>ROUND(SUMIFS(Cantidades[167266],Cantidades[cod Idu],'CantidadesConsolidadas'!$A89),2)</f>
        <v>0</v>
      </c>
      <c r="K89" s="497">
        <f>ROUND(SUMIFS(Cantidades[170896],Cantidades[cod Idu],'CantidadesConsolidadas'!$A89),2)</f>
        <v>0</v>
      </c>
      <c r="L89" s="497">
        <f>ROUND(SUMIFS(Cantidades[170897],Cantidades[cod Idu],'CantidadesConsolidadas'!$A89),2)</f>
        <v>0</v>
      </c>
      <c r="M89" s="497">
        <f>ROUND(SUMIFS(Cantidades[170898],Cantidades[cod Idu],'CantidadesConsolidadas'!$A89),2)</f>
        <v>0</v>
      </c>
      <c r="N89" s="497">
        <f>ROUND(SUMIFS(Cantidades[91064150],Cantidades[cod Idu],'CantidadesConsolidadas'!$A89),2)</f>
        <v>0</v>
      </c>
      <c r="O89" s="497">
        <f>ROUND(SUMIFS(Cantidades[168919],Cantidades[cod Idu],'CantidadesConsolidadas'!$A89),2)</f>
        <v>0</v>
      </c>
      <c r="P89" s="497">
        <f>ROUND(SUMIFS(Cantidades[168426],Cantidades[cod Idu],'CantidadesConsolidadas'!$A89),2)</f>
        <v>0</v>
      </c>
      <c r="Q89" s="497">
        <f>ROUND(SUMIFS(Cantidades[91020796],Cantidades[cod Idu],'CantidadesConsolidadas'!$A89),2)</f>
        <v>0</v>
      </c>
      <c r="R89" s="497">
        <f>ROUND(SUMIFS(Cantidades[176184],Cantidades[cod Idu],'CantidadesConsolidadas'!$A89),2)</f>
        <v>0</v>
      </c>
      <c r="S89" s="497">
        <f>ROUND(SUMIFS(Cantidades[167636],Cantidades[cod Idu],'CantidadesConsolidadas'!$A89),2)</f>
        <v>0</v>
      </c>
      <c r="T89" s="497">
        <f>ROUND(SUMIFS(Cantidades[176730],Cantidades[cod Idu],'CantidadesConsolidadas'!$A89),2)</f>
        <v>0</v>
      </c>
      <c r="U89" s="497">
        <f>ROUND(SUMIFS(Cantidades[173038],Cantidades[cod Idu],'CantidadesConsolidadas'!$A89),2)</f>
        <v>0</v>
      </c>
      <c r="V89" s="497">
        <f>ROUND(SUMIFS(Cantidades[170222],Cantidades[cod Idu],'CantidadesConsolidadas'!$A89),2)</f>
        <v>0</v>
      </c>
      <c r="W89" s="497">
        <f>ROUND(SUMIFS(Cantidades[170229],Cantidades[cod Idu],'CantidadesConsolidadas'!$A89),2)</f>
        <v>0</v>
      </c>
      <c r="X89" s="497">
        <f>ROUND(SUMIFS(Cantidades[170227],Cantidades[cod Idu],'CantidadesConsolidadas'!$A89),2)</f>
        <v>0</v>
      </c>
      <c r="Y89" s="497">
        <f>ROUND(SUMIFS(Cantidades[170226],Cantidades[cod Idu],'CantidadesConsolidadas'!$A89),2)</f>
        <v>0</v>
      </c>
      <c r="Z89" s="497">
        <f>ROUND(SUMIFS(Cantidades[171567],Cantidades[cod Idu],'CantidadesConsolidadas'!$A89),2)</f>
        <v>0</v>
      </c>
      <c r="AA89" s="497">
        <f>ROUND(SUMIFS(Cantidades[166632],Cantidades[cod Idu],'CantidadesConsolidadas'!$A89),2)</f>
        <v>0</v>
      </c>
      <c r="AB89" s="497">
        <f>ROUND(SUMIFS(Cantidades[170228],Cantidades[cod Idu],'CantidadesConsolidadas'!$A89),2)</f>
        <v>0</v>
      </c>
      <c r="AC89" s="497">
        <f>ROUND(SUMIFS(Cantidades[172926],Cantidades[cod Idu],'CantidadesConsolidadas'!$A89),2)</f>
        <v>0</v>
      </c>
      <c r="AD89" s="497">
        <f>ROUND(SUMIFS(Cantidades[171152],Cantidades[cod Idu],'CantidadesConsolidadas'!$A89),2)</f>
        <v>0</v>
      </c>
      <c r="AE89" s="497">
        <f>ROUND(SUMIFS(Cantidades[173058],Cantidades[cod Idu],'CantidadesConsolidadas'!$A89),2)</f>
        <v>0</v>
      </c>
      <c r="AF89" s="726">
        <f>ROUND(SUMIFS(Cantidades[174478],Cantidades[cod Idu],'CantidadesConsolidadas'!$A89),2)</f>
        <v>0</v>
      </c>
      <c r="AG89" s="726">
        <f>ROUND(SUMIFS(Cantidades[91010089],Cantidades[cod Idu],'CantidadesConsolidadas'!$A89),2)</f>
        <v>0</v>
      </c>
      <c r="AH89" s="726">
        <f>ROUND(SUMIFS(Cantidades[176122],Cantidades[cod Idu],'CantidadesConsolidadas'!$A89),2)</f>
        <v>0</v>
      </c>
      <c r="AI89" s="726">
        <f>ROUND(SUMIFS(Cantidades[168536],Cantidades[cod Idu],'CantidadesConsolidadas'!$A89),2)</f>
        <v>0</v>
      </c>
      <c r="AJ89" s="497">
        <f>ROUND(SUMIFS(Cantidades[166934],Cantidades[cod Idu],'CantidadesConsolidadas'!$A89),2)</f>
        <v>0</v>
      </c>
      <c r="AK89" s="497">
        <f>ROUND(SUMIFS(Cantidades[174353],Cantidades[cod Idu],'CantidadesConsolidadas'!$A89),2)</f>
        <v>0</v>
      </c>
      <c r="AL89" s="751">
        <f>ROUND(SUMIFS(Cantidades[52531],Cantidades[cod Idu],'CantidadesConsolidadas'!$A89),2)</f>
        <v>0</v>
      </c>
      <c r="AM89" s="500">
        <f>ROUND(SUMIFS(Cantidades[52456],Cantidades[cod Idu],'CantidadesConsolidadas'!$A89),2)</f>
        <v>64.650000000000006</v>
      </c>
      <c r="AN89" s="500">
        <f>ROUND(SUMIFS(Cantidades[92058103],Cantidades[cod Idu],'CantidadesConsolidadas'!$A89),2)</f>
        <v>0</v>
      </c>
      <c r="AO89" s="500">
        <f>ROUND(SUMIFS(Cantidades[20011114],Cantidades[cod Idu],'CantidadesConsolidadas'!$A89),2)</f>
        <v>0</v>
      </c>
      <c r="AP89" s="500">
        <f>ROUND(SUMIFS(Cantidades[20013540],Cantidades[cod Idu],'CantidadesConsolidadas'!$A89),2)</f>
        <v>0</v>
      </c>
      <c r="AQ89" s="500">
        <f>ROUND(SUMIFS(Cantidades[55337],Cantidades[cod Idu],'CantidadesConsolidadas'!$A89),2)</f>
        <v>0</v>
      </c>
      <c r="AR89" s="500">
        <f>ROUND(SUMIFS(Cantidades[92087422],Cantidades[cod Idu],'CantidadesConsolidadas'!$A89),2)</f>
        <v>0</v>
      </c>
      <c r="AS89" s="500">
        <f>ROUND(SUMIFS(Cantidades[55259],Cantidades[cod Idu],'CantidadesConsolidadas'!$A89),2)</f>
        <v>0</v>
      </c>
      <c r="AT89" s="500">
        <f>ROUND(SUMIFS(Cantidades[466904],Cantidades[cod Idu],'CantidadesConsolidadas'!$A89),2)</f>
        <v>0</v>
      </c>
      <c r="AU89" s="500">
        <f>ROUND(SUMIFS(Cantidades[48591],Cantidades[cod Idu],'CantidadesConsolidadas'!$A89),2)</f>
        <v>0</v>
      </c>
      <c r="AV89" s="500">
        <f>ROUND(SUMIFS(Cantidades[48590],Cantidades[cod Idu],'CantidadesConsolidadas'!$A89),2)</f>
        <v>0</v>
      </c>
      <c r="AW89" s="500">
        <f>ROUND(SUMIFS(Cantidades[48561],Cantidades[cod Idu],'CantidadesConsolidadas'!$A89),2)</f>
        <v>0</v>
      </c>
      <c r="AX89" s="805">
        <f>ROUND(SUMIFS(Cantidades[48560],Cantidades[cod Idu],'CantidadesConsolidadas'!$A89),2)</f>
        <v>0</v>
      </c>
      <c r="AY89" s="805">
        <f>ROUND(SUMIFS(Cantidades[48657],Cantidades[cod Idu],'CantidadesConsolidadas'!$A89),2)</f>
        <v>0</v>
      </c>
      <c r="AZ89" s="752">
        <f>ROUND(SUMIFS(Cantidades[48655],Cantidades[cod Idu],'CantidadesConsolidadas'!$A89),2)</f>
        <v>0</v>
      </c>
      <c r="BA89" s="758">
        <f>SUBTOTAL(9,CantidadesConsolidadas[[#This Row],[91013913]:[48655]])</f>
        <v>64.650000000000006</v>
      </c>
      <c r="BB89" s="638">
        <f>ROUND(CantidadesConsolidadas[[#This Row],[Total]]*CantidadesConsolidadas[[#This Row],[VU]],0)</f>
        <v>9557791</v>
      </c>
    </row>
    <row r="90" spans="1:54" ht="29.4" thickBot="1" x14ac:dyDescent="0.35">
      <c r="A90">
        <v>5047</v>
      </c>
      <c r="B90" s="606" t="str">
        <f>+_xlfn.XLOOKUP(CantidadesConsolidadas[[#This Row],[cod Idu]],APU_IDU[Código],APU_IDU[Nombre],"",0)</f>
        <v>ADOQUIN EN CONCRETO COLOR OCRE A25 (20X10X6cm) (Suministro e instalación. Incluye base 4cm mortero 2000 PSI y arena de sello)</v>
      </c>
      <c r="C90" s="609" t="str">
        <f>+_xlfn.XLOOKUP(CantidadesConsolidadas[[#This Row],[cod Idu]],APU_IDU[Código],APU_IDU[UM],"",0)</f>
        <v>M2</v>
      </c>
      <c r="D90" s="743">
        <f>+_xlfn.XLOOKUP(CantidadesConsolidadas[[#This Row],[cod Idu]],APU_IDU[Código],APU_IDU[Valor],"",0)</f>
        <v>159094</v>
      </c>
      <c r="E90" s="497">
        <f>ROUND(SUMIFS(Cantidades[91013913],Cantidades[cod Idu],'CantidadesConsolidadas'!$A90),2)</f>
        <v>0</v>
      </c>
      <c r="F90" s="497">
        <f>ROUND(SUMIFS(Cantidades[472330],Cantidades[cod Idu],'CantidadesConsolidadas'!$A90),2)</f>
        <v>0</v>
      </c>
      <c r="G90" s="497">
        <f>ROUND(SUMIFS(Cantidades[167810],Cantidades[cod Idu],'CantidadesConsolidadas'!$A90),2)</f>
        <v>0</v>
      </c>
      <c r="H90" s="497">
        <f>ROUND(SUMIFS(Cantidades[166646],Cantidades[cod Idu],'CantidadesConsolidadas'!$A90),2)</f>
        <v>0</v>
      </c>
      <c r="I90" s="497">
        <f>ROUND(SUMIFS(Cantidades[167491],Cantidades[cod Idu],'CantidadesConsolidadas'!$A90),2)</f>
        <v>0</v>
      </c>
      <c r="J90" s="497">
        <f>ROUND(SUMIFS(Cantidades[167266],Cantidades[cod Idu],'CantidadesConsolidadas'!$A90),2)</f>
        <v>0</v>
      </c>
      <c r="K90" s="497">
        <f>ROUND(SUMIFS(Cantidades[170896],Cantidades[cod Idu],'CantidadesConsolidadas'!$A90),2)</f>
        <v>0</v>
      </c>
      <c r="L90" s="497">
        <f>ROUND(SUMIFS(Cantidades[170897],Cantidades[cod Idu],'CantidadesConsolidadas'!$A90),2)</f>
        <v>0</v>
      </c>
      <c r="M90" s="497">
        <f>ROUND(SUMIFS(Cantidades[170898],Cantidades[cod Idu],'CantidadesConsolidadas'!$A90),2)</f>
        <v>0</v>
      </c>
      <c r="N90" s="497">
        <f>ROUND(SUMIFS(Cantidades[91064150],Cantidades[cod Idu],'CantidadesConsolidadas'!$A90),2)</f>
        <v>0</v>
      </c>
      <c r="O90" s="497">
        <f>ROUND(SUMIFS(Cantidades[168919],Cantidades[cod Idu],'CantidadesConsolidadas'!$A90),2)</f>
        <v>0</v>
      </c>
      <c r="P90" s="497">
        <f>ROUND(SUMIFS(Cantidades[168426],Cantidades[cod Idu],'CantidadesConsolidadas'!$A90),2)</f>
        <v>0</v>
      </c>
      <c r="Q90" s="497">
        <f>ROUND(SUMIFS(Cantidades[91020796],Cantidades[cod Idu],'CantidadesConsolidadas'!$A90),2)</f>
        <v>0</v>
      </c>
      <c r="R90" s="497">
        <f>ROUND(SUMIFS(Cantidades[176184],Cantidades[cod Idu],'CantidadesConsolidadas'!$A90),2)</f>
        <v>0</v>
      </c>
      <c r="S90" s="497">
        <f>ROUND(SUMIFS(Cantidades[167636],Cantidades[cod Idu],'CantidadesConsolidadas'!$A90),2)</f>
        <v>0</v>
      </c>
      <c r="T90" s="497">
        <f>ROUND(SUMIFS(Cantidades[176730],Cantidades[cod Idu],'CantidadesConsolidadas'!$A90),2)</f>
        <v>0</v>
      </c>
      <c r="U90" s="497">
        <f>ROUND(SUMIFS(Cantidades[173038],Cantidades[cod Idu],'CantidadesConsolidadas'!$A90),2)</f>
        <v>0</v>
      </c>
      <c r="V90" s="497">
        <f>ROUND(SUMIFS(Cantidades[170222],Cantidades[cod Idu],'CantidadesConsolidadas'!$A90),2)</f>
        <v>0</v>
      </c>
      <c r="W90" s="497">
        <f>ROUND(SUMIFS(Cantidades[170229],Cantidades[cod Idu],'CantidadesConsolidadas'!$A90),2)</f>
        <v>0</v>
      </c>
      <c r="X90" s="497">
        <f>ROUND(SUMIFS(Cantidades[170227],Cantidades[cod Idu],'CantidadesConsolidadas'!$A90),2)</f>
        <v>0</v>
      </c>
      <c r="Y90" s="497">
        <f>ROUND(SUMIFS(Cantidades[170226],Cantidades[cod Idu],'CantidadesConsolidadas'!$A90),2)</f>
        <v>0</v>
      </c>
      <c r="Z90" s="497">
        <f>ROUND(SUMIFS(Cantidades[171567],Cantidades[cod Idu],'CantidadesConsolidadas'!$A90),2)</f>
        <v>0</v>
      </c>
      <c r="AA90" s="497">
        <f>ROUND(SUMIFS(Cantidades[166632],Cantidades[cod Idu],'CantidadesConsolidadas'!$A90),2)</f>
        <v>0</v>
      </c>
      <c r="AB90" s="497">
        <f>ROUND(SUMIFS(Cantidades[170228],Cantidades[cod Idu],'CantidadesConsolidadas'!$A90),2)</f>
        <v>0</v>
      </c>
      <c r="AC90" s="497">
        <f>ROUND(SUMIFS(Cantidades[172926],Cantidades[cod Idu],'CantidadesConsolidadas'!$A90),2)</f>
        <v>0</v>
      </c>
      <c r="AD90" s="497">
        <f>ROUND(SUMIFS(Cantidades[171152],Cantidades[cod Idu],'CantidadesConsolidadas'!$A90),2)</f>
        <v>0</v>
      </c>
      <c r="AE90" s="497">
        <f>ROUND(SUMIFS(Cantidades[173058],Cantidades[cod Idu],'CantidadesConsolidadas'!$A90),2)</f>
        <v>0</v>
      </c>
      <c r="AF90" s="726">
        <f>ROUND(SUMIFS(Cantidades[174478],Cantidades[cod Idu],'CantidadesConsolidadas'!$A90),2)</f>
        <v>0</v>
      </c>
      <c r="AG90" s="726">
        <f>ROUND(SUMIFS(Cantidades[91010089],Cantidades[cod Idu],'CantidadesConsolidadas'!$A90),2)</f>
        <v>0</v>
      </c>
      <c r="AH90" s="726">
        <f>ROUND(SUMIFS(Cantidades[176122],Cantidades[cod Idu],'CantidadesConsolidadas'!$A90),2)</f>
        <v>0</v>
      </c>
      <c r="AI90" s="726">
        <f>ROUND(SUMIFS(Cantidades[168536],Cantidades[cod Idu],'CantidadesConsolidadas'!$A90),2)</f>
        <v>0</v>
      </c>
      <c r="AJ90" s="497">
        <f>ROUND(SUMIFS(Cantidades[166934],Cantidades[cod Idu],'CantidadesConsolidadas'!$A90),2)</f>
        <v>0</v>
      </c>
      <c r="AK90" s="497">
        <f>ROUND(SUMIFS(Cantidades[174353],Cantidades[cod Idu],'CantidadesConsolidadas'!$A90),2)</f>
        <v>0</v>
      </c>
      <c r="AL90" s="751">
        <f>ROUND(SUMIFS(Cantidades[52531],Cantidades[cod Idu],'CantidadesConsolidadas'!$A90),2)</f>
        <v>39.020000000000003</v>
      </c>
      <c r="AM90" s="500">
        <f>ROUND(SUMIFS(Cantidades[52456],Cantidades[cod Idu],'CantidadesConsolidadas'!$A90),2)</f>
        <v>0</v>
      </c>
      <c r="AN90" s="500">
        <f>ROUND(SUMIFS(Cantidades[92058103],Cantidades[cod Idu],'CantidadesConsolidadas'!$A90),2)</f>
        <v>0</v>
      </c>
      <c r="AO90" s="500">
        <f>ROUND(SUMIFS(Cantidades[20011114],Cantidades[cod Idu],'CantidadesConsolidadas'!$A90),2)</f>
        <v>0</v>
      </c>
      <c r="AP90" s="500">
        <f>ROUND(SUMIFS(Cantidades[20013540],Cantidades[cod Idu],'CantidadesConsolidadas'!$A90),2)</f>
        <v>0</v>
      </c>
      <c r="AQ90" s="500">
        <f>ROUND(SUMIFS(Cantidades[55337],Cantidades[cod Idu],'CantidadesConsolidadas'!$A90),2)</f>
        <v>0</v>
      </c>
      <c r="AR90" s="500">
        <f>ROUND(SUMIFS(Cantidades[92087422],Cantidades[cod Idu],'CantidadesConsolidadas'!$A90),2)</f>
        <v>0</v>
      </c>
      <c r="AS90" s="500">
        <f>ROUND(SUMIFS(Cantidades[55259],Cantidades[cod Idu],'CantidadesConsolidadas'!$A90),2)</f>
        <v>0</v>
      </c>
      <c r="AT90" s="500">
        <f>ROUND(SUMIFS(Cantidades[466904],Cantidades[cod Idu],'CantidadesConsolidadas'!$A90),2)</f>
        <v>0</v>
      </c>
      <c r="AU90" s="500">
        <f>ROUND(SUMIFS(Cantidades[48591],Cantidades[cod Idu],'CantidadesConsolidadas'!$A90),2)</f>
        <v>0</v>
      </c>
      <c r="AV90" s="500">
        <f>ROUND(SUMIFS(Cantidades[48590],Cantidades[cod Idu],'CantidadesConsolidadas'!$A90),2)</f>
        <v>0</v>
      </c>
      <c r="AW90" s="500">
        <f>ROUND(SUMIFS(Cantidades[48561],Cantidades[cod Idu],'CantidadesConsolidadas'!$A90),2)</f>
        <v>0</v>
      </c>
      <c r="AX90" s="805">
        <f>ROUND(SUMIFS(Cantidades[48560],Cantidades[cod Idu],'CantidadesConsolidadas'!$A90),2)</f>
        <v>0</v>
      </c>
      <c r="AY90" s="805">
        <f>ROUND(SUMIFS(Cantidades[48657],Cantidades[cod Idu],'CantidadesConsolidadas'!$A90),2)</f>
        <v>0</v>
      </c>
      <c r="AZ90" s="752">
        <f>ROUND(SUMIFS(Cantidades[48655],Cantidades[cod Idu],'CantidadesConsolidadas'!$A90),2)</f>
        <v>0</v>
      </c>
      <c r="BA90" s="758">
        <f>SUBTOTAL(9,CantidadesConsolidadas[[#This Row],[91013913]:[48655]])</f>
        <v>39.020000000000003</v>
      </c>
      <c r="BB90" s="638">
        <f>ROUND(CantidadesConsolidadas[[#This Row],[Total]]*CantidadesConsolidadas[[#This Row],[VU]],0)</f>
        <v>6207848</v>
      </c>
    </row>
    <row r="91" spans="1:54" ht="43.8" thickBot="1" x14ac:dyDescent="0.35">
      <c r="A91">
        <v>6021</v>
      </c>
      <c r="B91" s="606" t="str">
        <f>+_xlfn.XLOOKUP(CantidadesConsolidadas[[#This Row],[cod Idu]],APU_IDU[Código],APU_IDU[Nombre],"",0)</f>
        <v>CONCRETO DE NIVELACIÓN 2000 PSI GRAVA COMÚN (140 KG/CM2) (PREMEZCLADO. INCLUYE SUMINISTRO, FUNDIDA Y NIVELACIÓN Y COLOCACIÓN. NO INCLUYE REFUERZO, CURADO) PARA MEJORAMIENTO, ADECUACIÓN Y REHABILITACIÓN DE ESPACIO PÚBLICO.</v>
      </c>
      <c r="C91" s="609" t="str">
        <f>+_xlfn.XLOOKUP(CantidadesConsolidadas[[#This Row],[cod Idu]],APU_IDU[Código],APU_IDU[UM],"",0)</f>
        <v>M3</v>
      </c>
      <c r="D91" s="743">
        <f>+_xlfn.XLOOKUP(CantidadesConsolidadas[[#This Row],[cod Idu]],APU_IDU[Código],APU_IDU[Valor],"",0)</f>
        <v>840181</v>
      </c>
      <c r="E91" s="497">
        <f>ROUND(SUMIFS(Cantidades[91013913],Cantidades[cod Idu],'CantidadesConsolidadas'!$A91),2)</f>
        <v>0</v>
      </c>
      <c r="F91" s="497">
        <f>ROUND(SUMIFS(Cantidades[472330],Cantidades[cod Idu],'CantidadesConsolidadas'!$A91),2)</f>
        <v>0</v>
      </c>
      <c r="G91" s="497">
        <f>ROUND(SUMIFS(Cantidades[167810],Cantidades[cod Idu],'CantidadesConsolidadas'!$A91),2)</f>
        <v>0</v>
      </c>
      <c r="H91" s="497">
        <f>ROUND(SUMIFS(Cantidades[166646],Cantidades[cod Idu],'CantidadesConsolidadas'!$A91),2)</f>
        <v>0</v>
      </c>
      <c r="I91" s="497">
        <f>ROUND(SUMIFS(Cantidades[167491],Cantidades[cod Idu],'CantidadesConsolidadas'!$A91),2)</f>
        <v>0</v>
      </c>
      <c r="J91" s="497">
        <f>ROUND(SUMIFS(Cantidades[167266],Cantidades[cod Idu],'CantidadesConsolidadas'!$A91),2)</f>
        <v>0</v>
      </c>
      <c r="K91" s="497">
        <f>ROUND(SUMIFS(Cantidades[170896],Cantidades[cod Idu],'CantidadesConsolidadas'!$A91),2)</f>
        <v>0</v>
      </c>
      <c r="L91" s="497">
        <f>ROUND(SUMIFS(Cantidades[170897],Cantidades[cod Idu],'CantidadesConsolidadas'!$A91),2)</f>
        <v>0</v>
      </c>
      <c r="M91" s="497">
        <f>ROUND(SUMIFS(Cantidades[170898],Cantidades[cod Idu],'CantidadesConsolidadas'!$A91),2)</f>
        <v>0</v>
      </c>
      <c r="N91" s="497">
        <f>ROUND(SUMIFS(Cantidades[91064150],Cantidades[cod Idu],'CantidadesConsolidadas'!$A91),2)</f>
        <v>0</v>
      </c>
      <c r="O91" s="497">
        <f>ROUND(SUMIFS(Cantidades[168919],Cantidades[cod Idu],'CantidadesConsolidadas'!$A91),2)</f>
        <v>0</v>
      </c>
      <c r="P91" s="497">
        <f>ROUND(SUMIFS(Cantidades[168426],Cantidades[cod Idu],'CantidadesConsolidadas'!$A91),2)</f>
        <v>0</v>
      </c>
      <c r="Q91" s="497">
        <f>ROUND(SUMIFS(Cantidades[91020796],Cantidades[cod Idu],'CantidadesConsolidadas'!$A91),2)</f>
        <v>0</v>
      </c>
      <c r="R91" s="497">
        <f>ROUND(SUMIFS(Cantidades[176184],Cantidades[cod Idu],'CantidadesConsolidadas'!$A91),2)</f>
        <v>0</v>
      </c>
      <c r="S91" s="497">
        <f>ROUND(SUMIFS(Cantidades[167636],Cantidades[cod Idu],'CantidadesConsolidadas'!$A91),2)</f>
        <v>0</v>
      </c>
      <c r="T91" s="497">
        <f>ROUND(SUMIFS(Cantidades[176730],Cantidades[cod Idu],'CantidadesConsolidadas'!$A91),2)</f>
        <v>0</v>
      </c>
      <c r="U91" s="497">
        <f>ROUND(SUMIFS(Cantidades[173038],Cantidades[cod Idu],'CantidadesConsolidadas'!$A91),2)</f>
        <v>0</v>
      </c>
      <c r="V91" s="497">
        <f>ROUND(SUMIFS(Cantidades[170222],Cantidades[cod Idu],'CantidadesConsolidadas'!$A91),2)</f>
        <v>0</v>
      </c>
      <c r="W91" s="497">
        <f>ROUND(SUMIFS(Cantidades[170229],Cantidades[cod Idu],'CantidadesConsolidadas'!$A91),2)</f>
        <v>0</v>
      </c>
      <c r="X91" s="497">
        <f>ROUND(SUMIFS(Cantidades[170227],Cantidades[cod Idu],'CantidadesConsolidadas'!$A91),2)</f>
        <v>0</v>
      </c>
      <c r="Y91" s="497">
        <f>ROUND(SUMIFS(Cantidades[170226],Cantidades[cod Idu],'CantidadesConsolidadas'!$A91),2)</f>
        <v>0</v>
      </c>
      <c r="Z91" s="497">
        <f>ROUND(SUMIFS(Cantidades[171567],Cantidades[cod Idu],'CantidadesConsolidadas'!$A91),2)</f>
        <v>0</v>
      </c>
      <c r="AA91" s="497">
        <f>ROUND(SUMIFS(Cantidades[166632],Cantidades[cod Idu],'CantidadesConsolidadas'!$A91),2)</f>
        <v>0</v>
      </c>
      <c r="AB91" s="497">
        <f>ROUND(SUMIFS(Cantidades[170228],Cantidades[cod Idu],'CantidadesConsolidadas'!$A91),2)</f>
        <v>0</v>
      </c>
      <c r="AC91" s="497">
        <f>ROUND(SUMIFS(Cantidades[172926],Cantidades[cod Idu],'CantidadesConsolidadas'!$A91),2)</f>
        <v>0</v>
      </c>
      <c r="AD91" s="497">
        <f>ROUND(SUMIFS(Cantidades[171152],Cantidades[cod Idu],'CantidadesConsolidadas'!$A91),2)</f>
        <v>0</v>
      </c>
      <c r="AE91" s="497">
        <f>ROUND(SUMIFS(Cantidades[173058],Cantidades[cod Idu],'CantidadesConsolidadas'!$A91),2)</f>
        <v>0</v>
      </c>
      <c r="AF91" s="726">
        <f>ROUND(SUMIFS(Cantidades[174478],Cantidades[cod Idu],'CantidadesConsolidadas'!$A91),2)</f>
        <v>0</v>
      </c>
      <c r="AG91" s="726">
        <f>ROUND(SUMIFS(Cantidades[91010089],Cantidades[cod Idu],'CantidadesConsolidadas'!$A91),2)</f>
        <v>0</v>
      </c>
      <c r="AH91" s="726">
        <f>ROUND(SUMIFS(Cantidades[176122],Cantidades[cod Idu],'CantidadesConsolidadas'!$A91),2)</f>
        <v>0</v>
      </c>
      <c r="AI91" s="726">
        <f>ROUND(SUMIFS(Cantidades[168536],Cantidades[cod Idu],'CantidadesConsolidadas'!$A91),2)</f>
        <v>0</v>
      </c>
      <c r="AJ91" s="497">
        <f>ROUND(SUMIFS(Cantidades[166934],Cantidades[cod Idu],'CantidadesConsolidadas'!$A91),2)</f>
        <v>0</v>
      </c>
      <c r="AK91" s="497">
        <f>ROUND(SUMIFS(Cantidades[174353],Cantidades[cod Idu],'CantidadesConsolidadas'!$A91),2)</f>
        <v>0</v>
      </c>
      <c r="AL91" s="751">
        <f>ROUND(SUMIFS(Cantidades[52531],Cantidades[cod Idu],'CantidadesConsolidadas'!$A91),2)</f>
        <v>0</v>
      </c>
      <c r="AM91" s="500">
        <f>ROUND(SUMIFS(Cantidades[52456],Cantidades[cod Idu],'CantidadesConsolidadas'!$A91),2)</f>
        <v>0</v>
      </c>
      <c r="AN91" s="500">
        <f>ROUND(SUMIFS(Cantidades[92058103],Cantidades[cod Idu],'CantidadesConsolidadas'!$A91),2)</f>
        <v>3.1</v>
      </c>
      <c r="AO91" s="500">
        <f>ROUND(SUMIFS(Cantidades[20011114],Cantidades[cod Idu],'CantidadesConsolidadas'!$A91),2)</f>
        <v>0</v>
      </c>
      <c r="AP91" s="500">
        <f>ROUND(SUMIFS(Cantidades[20013540],Cantidades[cod Idu],'CantidadesConsolidadas'!$A91),2)</f>
        <v>0</v>
      </c>
      <c r="AQ91" s="500">
        <f>ROUND(SUMIFS(Cantidades[55337],Cantidades[cod Idu],'CantidadesConsolidadas'!$A91),2)</f>
        <v>0</v>
      </c>
      <c r="AR91" s="500">
        <f>ROUND(SUMIFS(Cantidades[92087422],Cantidades[cod Idu],'CantidadesConsolidadas'!$A91),2)</f>
        <v>0</v>
      </c>
      <c r="AS91" s="500">
        <f>ROUND(SUMIFS(Cantidades[55259],Cantidades[cod Idu],'CantidadesConsolidadas'!$A91),2)</f>
        <v>0</v>
      </c>
      <c r="AT91" s="500">
        <f>ROUND(SUMIFS(Cantidades[466904],Cantidades[cod Idu],'CantidadesConsolidadas'!$A91),2)</f>
        <v>1.9</v>
      </c>
      <c r="AU91" s="500">
        <f>ROUND(SUMIFS(Cantidades[48591],Cantidades[cod Idu],'CantidadesConsolidadas'!$A91),2)</f>
        <v>0</v>
      </c>
      <c r="AV91" s="500">
        <f>ROUND(SUMIFS(Cantidades[48590],Cantidades[cod Idu],'CantidadesConsolidadas'!$A91),2)</f>
        <v>0</v>
      </c>
      <c r="AW91" s="500">
        <f>ROUND(SUMIFS(Cantidades[48561],Cantidades[cod Idu],'CantidadesConsolidadas'!$A91),2)</f>
        <v>0</v>
      </c>
      <c r="AX91" s="805">
        <f>ROUND(SUMIFS(Cantidades[48560],Cantidades[cod Idu],'CantidadesConsolidadas'!$A91),2)</f>
        <v>0</v>
      </c>
      <c r="AY91" s="805">
        <f>ROUND(SUMIFS(Cantidades[48657],Cantidades[cod Idu],'CantidadesConsolidadas'!$A91),2)</f>
        <v>0</v>
      </c>
      <c r="AZ91" s="752">
        <f>ROUND(SUMIFS(Cantidades[48655],Cantidades[cod Idu],'CantidadesConsolidadas'!$A91),2)</f>
        <v>0</v>
      </c>
      <c r="BA91" s="758">
        <f>SUBTOTAL(9,CantidadesConsolidadas[[#This Row],[91013913]:[48655]])</f>
        <v>5</v>
      </c>
      <c r="BB91" s="638">
        <f>ROUND(CantidadesConsolidadas[[#This Row],[Total]]*CantidadesConsolidadas[[#This Row],[VU]],0)</f>
        <v>4200905</v>
      </c>
    </row>
    <row r="92" spans="1:54" ht="29.4" thickBot="1" x14ac:dyDescent="0.35">
      <c r="A92">
        <v>4908</v>
      </c>
      <c r="B92" s="606" t="str">
        <f>+_xlfn.XLOOKUP(CantidadesConsolidadas[[#This Row],[cod Idu]],APU_IDU[Código],APU_IDU[Nombre],"",0)</f>
        <v>MATERIAL SELECCIONADO. (INCLUYE SUMINISTRO, EXTENDIDO MANUAL, NIVELACIÓN, HUMEDECIMIENTO, COMPACTACIÓN Y TRANSPORTE A 21Km).</v>
      </c>
      <c r="C92" s="609" t="str">
        <f>+_xlfn.XLOOKUP(CantidadesConsolidadas[[#This Row],[cod Idu]],APU_IDU[Código],APU_IDU[UM],"",0)</f>
        <v>M3</v>
      </c>
      <c r="D92" s="743">
        <f>+_xlfn.XLOOKUP(CantidadesConsolidadas[[#This Row],[cod Idu]],APU_IDU[Código],APU_IDU[Valor],"",0)</f>
        <v>133633</v>
      </c>
      <c r="E92" s="497">
        <f>ROUND(SUMIFS(Cantidades[91013913],Cantidades[cod Idu],'CantidadesConsolidadas'!$A92),2)</f>
        <v>0</v>
      </c>
      <c r="F92" s="497">
        <f>ROUND(SUMIFS(Cantidades[472330],Cantidades[cod Idu],'CantidadesConsolidadas'!$A92),2)</f>
        <v>0</v>
      </c>
      <c r="G92" s="497">
        <f>ROUND(SUMIFS(Cantidades[167810],Cantidades[cod Idu],'CantidadesConsolidadas'!$A92),2)</f>
        <v>0</v>
      </c>
      <c r="H92" s="497">
        <f>ROUND(SUMIFS(Cantidades[166646],Cantidades[cod Idu],'CantidadesConsolidadas'!$A92),2)</f>
        <v>0</v>
      </c>
      <c r="I92" s="497">
        <f>ROUND(SUMIFS(Cantidades[167491],Cantidades[cod Idu],'CantidadesConsolidadas'!$A92),2)</f>
        <v>0</v>
      </c>
      <c r="J92" s="497">
        <f>ROUND(SUMIFS(Cantidades[167266],Cantidades[cod Idu],'CantidadesConsolidadas'!$A92),2)</f>
        <v>0</v>
      </c>
      <c r="K92" s="497">
        <f>ROUND(SUMIFS(Cantidades[170896],Cantidades[cod Idu],'CantidadesConsolidadas'!$A92),2)</f>
        <v>0</v>
      </c>
      <c r="L92" s="497">
        <f>ROUND(SUMIFS(Cantidades[170897],Cantidades[cod Idu],'CantidadesConsolidadas'!$A92),2)</f>
        <v>0</v>
      </c>
      <c r="M92" s="497">
        <f>ROUND(SUMIFS(Cantidades[170898],Cantidades[cod Idu],'CantidadesConsolidadas'!$A92),2)</f>
        <v>0</v>
      </c>
      <c r="N92" s="497">
        <f>ROUND(SUMIFS(Cantidades[91064150],Cantidades[cod Idu],'CantidadesConsolidadas'!$A92),2)</f>
        <v>0</v>
      </c>
      <c r="O92" s="497">
        <f>ROUND(SUMIFS(Cantidades[168919],Cantidades[cod Idu],'CantidadesConsolidadas'!$A92),2)</f>
        <v>0</v>
      </c>
      <c r="P92" s="497">
        <f>ROUND(SUMIFS(Cantidades[168426],Cantidades[cod Idu],'CantidadesConsolidadas'!$A92),2)</f>
        <v>0</v>
      </c>
      <c r="Q92" s="497">
        <f>ROUND(SUMIFS(Cantidades[91020796],Cantidades[cod Idu],'CantidadesConsolidadas'!$A92),2)</f>
        <v>0</v>
      </c>
      <c r="R92" s="497">
        <f>ROUND(SUMIFS(Cantidades[176184],Cantidades[cod Idu],'CantidadesConsolidadas'!$A92),2)</f>
        <v>0</v>
      </c>
      <c r="S92" s="497">
        <f>ROUND(SUMIFS(Cantidades[167636],Cantidades[cod Idu],'CantidadesConsolidadas'!$A92),2)</f>
        <v>0</v>
      </c>
      <c r="T92" s="497">
        <f>ROUND(SUMIFS(Cantidades[176730],Cantidades[cod Idu],'CantidadesConsolidadas'!$A92),2)</f>
        <v>0</v>
      </c>
      <c r="U92" s="497">
        <f>ROUND(SUMIFS(Cantidades[173038],Cantidades[cod Idu],'CantidadesConsolidadas'!$A92),2)</f>
        <v>0</v>
      </c>
      <c r="V92" s="497">
        <f>ROUND(SUMIFS(Cantidades[170222],Cantidades[cod Idu],'CantidadesConsolidadas'!$A92),2)</f>
        <v>0</v>
      </c>
      <c r="W92" s="497">
        <f>ROUND(SUMIFS(Cantidades[170229],Cantidades[cod Idu],'CantidadesConsolidadas'!$A92),2)</f>
        <v>0</v>
      </c>
      <c r="X92" s="497">
        <f>ROUND(SUMIFS(Cantidades[170227],Cantidades[cod Idu],'CantidadesConsolidadas'!$A92),2)</f>
        <v>0</v>
      </c>
      <c r="Y92" s="497">
        <f>ROUND(SUMIFS(Cantidades[170226],Cantidades[cod Idu],'CantidadesConsolidadas'!$A92),2)</f>
        <v>0</v>
      </c>
      <c r="Z92" s="497">
        <f>ROUND(SUMIFS(Cantidades[171567],Cantidades[cod Idu],'CantidadesConsolidadas'!$A92),2)</f>
        <v>0</v>
      </c>
      <c r="AA92" s="497">
        <f>ROUND(SUMIFS(Cantidades[166632],Cantidades[cod Idu],'CantidadesConsolidadas'!$A92),2)</f>
        <v>0</v>
      </c>
      <c r="AB92" s="497">
        <f>ROUND(SUMIFS(Cantidades[170228],Cantidades[cod Idu],'CantidadesConsolidadas'!$A92),2)</f>
        <v>0</v>
      </c>
      <c r="AC92" s="497">
        <f>ROUND(SUMIFS(Cantidades[172926],Cantidades[cod Idu],'CantidadesConsolidadas'!$A92),2)</f>
        <v>0</v>
      </c>
      <c r="AD92" s="497">
        <f>ROUND(SUMIFS(Cantidades[171152],Cantidades[cod Idu],'CantidadesConsolidadas'!$A92),2)</f>
        <v>0</v>
      </c>
      <c r="AE92" s="497">
        <f>ROUND(SUMIFS(Cantidades[173058],Cantidades[cod Idu],'CantidadesConsolidadas'!$A92),2)</f>
        <v>0</v>
      </c>
      <c r="AF92" s="726">
        <f>ROUND(SUMIFS(Cantidades[174478],Cantidades[cod Idu],'CantidadesConsolidadas'!$A92),2)</f>
        <v>0</v>
      </c>
      <c r="AG92" s="726">
        <f>ROUND(SUMIFS(Cantidades[91010089],Cantidades[cod Idu],'CantidadesConsolidadas'!$A92),2)</f>
        <v>0</v>
      </c>
      <c r="AH92" s="726">
        <f>ROUND(SUMIFS(Cantidades[176122],Cantidades[cod Idu],'CantidadesConsolidadas'!$A92),2)</f>
        <v>0</v>
      </c>
      <c r="AI92" s="726">
        <f>ROUND(SUMIFS(Cantidades[168536],Cantidades[cod Idu],'CantidadesConsolidadas'!$A92),2)</f>
        <v>0</v>
      </c>
      <c r="AJ92" s="497">
        <f>ROUND(SUMIFS(Cantidades[166934],Cantidades[cod Idu],'CantidadesConsolidadas'!$A92),2)</f>
        <v>0</v>
      </c>
      <c r="AK92" s="497">
        <f>ROUND(SUMIFS(Cantidades[174353],Cantidades[cod Idu],'CantidadesConsolidadas'!$A92),2)</f>
        <v>0</v>
      </c>
      <c r="AL92" s="751">
        <f>ROUND(SUMIFS(Cantidades[52531],Cantidades[cod Idu],'CantidadesConsolidadas'!$A92),2)</f>
        <v>0</v>
      </c>
      <c r="AM92" s="500">
        <f>ROUND(SUMIFS(Cantidades[52456],Cantidades[cod Idu],'CantidadesConsolidadas'!$A92),2)</f>
        <v>16.52</v>
      </c>
      <c r="AN92" s="500">
        <f>ROUND(SUMIFS(Cantidades[92058103],Cantidades[cod Idu],'CantidadesConsolidadas'!$A92),2)</f>
        <v>0</v>
      </c>
      <c r="AO92" s="500">
        <f>ROUND(SUMIFS(Cantidades[20011114],Cantidades[cod Idu],'CantidadesConsolidadas'!$A92),2)</f>
        <v>0</v>
      </c>
      <c r="AP92" s="500">
        <f>ROUND(SUMIFS(Cantidades[20013540],Cantidades[cod Idu],'CantidadesConsolidadas'!$A92),2)</f>
        <v>10.17</v>
      </c>
      <c r="AQ92" s="500">
        <f>ROUND(SUMIFS(Cantidades[55337],Cantidades[cod Idu],'CantidadesConsolidadas'!$A92),2)</f>
        <v>0</v>
      </c>
      <c r="AR92" s="500">
        <f>ROUND(SUMIFS(Cantidades[92087422],Cantidades[cod Idu],'CantidadesConsolidadas'!$A92),2)</f>
        <v>0</v>
      </c>
      <c r="AS92" s="500">
        <f>ROUND(SUMIFS(Cantidades[55259],Cantidades[cod Idu],'CantidadesConsolidadas'!$A92),2)</f>
        <v>0</v>
      </c>
      <c r="AT92" s="500">
        <f>ROUND(SUMIFS(Cantidades[466904],Cantidades[cod Idu],'CantidadesConsolidadas'!$A92),2)</f>
        <v>0</v>
      </c>
      <c r="AU92" s="500">
        <f>ROUND(SUMIFS(Cantidades[48591],Cantidades[cod Idu],'CantidadesConsolidadas'!$A92),2)</f>
        <v>0</v>
      </c>
      <c r="AV92" s="500">
        <f>ROUND(SUMIFS(Cantidades[48590],Cantidades[cod Idu],'CantidadesConsolidadas'!$A92),2)</f>
        <v>0</v>
      </c>
      <c r="AW92" s="500">
        <f>ROUND(SUMIFS(Cantidades[48561],Cantidades[cod Idu],'CantidadesConsolidadas'!$A92),2)</f>
        <v>0</v>
      </c>
      <c r="AX92" s="805">
        <f>ROUND(SUMIFS(Cantidades[48560],Cantidades[cod Idu],'CantidadesConsolidadas'!$A92),2)</f>
        <v>0</v>
      </c>
      <c r="AY92" s="805">
        <f>ROUND(SUMIFS(Cantidades[48657],Cantidades[cod Idu],'CantidadesConsolidadas'!$A92),2)</f>
        <v>0</v>
      </c>
      <c r="AZ92" s="752">
        <f>ROUND(SUMIFS(Cantidades[48655],Cantidades[cod Idu],'CantidadesConsolidadas'!$A92),2)</f>
        <v>0</v>
      </c>
      <c r="BA92" s="758">
        <f>SUBTOTAL(9,CantidadesConsolidadas[[#This Row],[91013913]:[48655]])</f>
        <v>26.689999999999998</v>
      </c>
      <c r="BB92" s="638">
        <f>ROUND(CantidadesConsolidadas[[#This Row],[Total]]*CantidadesConsolidadas[[#This Row],[VU]],0)</f>
        <v>3566665</v>
      </c>
    </row>
    <row r="93" spans="1:54" ht="29.4" thickBot="1" x14ac:dyDescent="0.35">
      <c r="A93">
        <v>3011</v>
      </c>
      <c r="B93" s="606" t="str">
        <f>+_xlfn.XLOOKUP(CantidadesConsolidadas[[#This Row],[cod Idu]],APU_IDU[Código],APU_IDU[Nombre],"",0)</f>
        <v>DEMOLICION MANUAL SARDINEL EXISTENTE (INCLUYE CARGUE). NO INCLUYE TRANSPORTE Y DISPOSICIÓN FINAL DE SOBRANTES.</v>
      </c>
      <c r="C93" s="609" t="str">
        <f>+_xlfn.XLOOKUP(CantidadesConsolidadas[[#This Row],[cod Idu]],APU_IDU[Código],APU_IDU[UM],"",0)</f>
        <v>ML</v>
      </c>
      <c r="D93" s="743">
        <f>+_xlfn.XLOOKUP(CantidadesConsolidadas[[#This Row],[cod Idu]],APU_IDU[Código],APU_IDU[Valor],"",0)</f>
        <v>8176</v>
      </c>
      <c r="E93" s="497">
        <f>ROUND(SUMIFS(Cantidades[91013913],Cantidades[cod Idu],'CantidadesConsolidadas'!$A93),2)</f>
        <v>0</v>
      </c>
      <c r="F93" s="497">
        <f>ROUND(SUMIFS(Cantidades[472330],Cantidades[cod Idu],'CantidadesConsolidadas'!$A93),2)</f>
        <v>0</v>
      </c>
      <c r="G93" s="497">
        <f>ROUND(SUMIFS(Cantidades[167810],Cantidades[cod Idu],'CantidadesConsolidadas'!$A93),2)</f>
        <v>0</v>
      </c>
      <c r="H93" s="497">
        <f>ROUND(SUMIFS(Cantidades[166646],Cantidades[cod Idu],'CantidadesConsolidadas'!$A93),2)</f>
        <v>0</v>
      </c>
      <c r="I93" s="497">
        <f>ROUND(SUMIFS(Cantidades[167491],Cantidades[cod Idu],'CantidadesConsolidadas'!$A93),2)</f>
        <v>0</v>
      </c>
      <c r="J93" s="497">
        <f>ROUND(SUMIFS(Cantidades[167266],Cantidades[cod Idu],'CantidadesConsolidadas'!$A93),2)</f>
        <v>0</v>
      </c>
      <c r="K93" s="497">
        <f>ROUND(SUMIFS(Cantidades[170896],Cantidades[cod Idu],'CantidadesConsolidadas'!$A93),2)</f>
        <v>0</v>
      </c>
      <c r="L93" s="497">
        <f>ROUND(SUMIFS(Cantidades[170897],Cantidades[cod Idu],'CantidadesConsolidadas'!$A93),2)</f>
        <v>0</v>
      </c>
      <c r="M93" s="497">
        <f>ROUND(SUMIFS(Cantidades[170898],Cantidades[cod Idu],'CantidadesConsolidadas'!$A93),2)</f>
        <v>0</v>
      </c>
      <c r="N93" s="497">
        <f>ROUND(SUMIFS(Cantidades[91064150],Cantidades[cod Idu],'CantidadesConsolidadas'!$A93),2)</f>
        <v>0</v>
      </c>
      <c r="O93" s="497">
        <f>ROUND(SUMIFS(Cantidades[168919],Cantidades[cod Idu],'CantidadesConsolidadas'!$A93),2)</f>
        <v>0</v>
      </c>
      <c r="P93" s="497">
        <f>ROUND(SUMIFS(Cantidades[168426],Cantidades[cod Idu],'CantidadesConsolidadas'!$A93),2)</f>
        <v>0</v>
      </c>
      <c r="Q93" s="497">
        <f>ROUND(SUMIFS(Cantidades[91020796],Cantidades[cod Idu],'CantidadesConsolidadas'!$A93),2)</f>
        <v>0</v>
      </c>
      <c r="R93" s="497">
        <f>ROUND(SUMIFS(Cantidades[176184],Cantidades[cod Idu],'CantidadesConsolidadas'!$A93),2)</f>
        <v>0</v>
      </c>
      <c r="S93" s="497">
        <f>ROUND(SUMIFS(Cantidades[167636],Cantidades[cod Idu],'CantidadesConsolidadas'!$A93),2)</f>
        <v>0</v>
      </c>
      <c r="T93" s="497">
        <f>ROUND(SUMIFS(Cantidades[176730],Cantidades[cod Idu],'CantidadesConsolidadas'!$A93),2)</f>
        <v>0</v>
      </c>
      <c r="U93" s="497">
        <f>ROUND(SUMIFS(Cantidades[173038],Cantidades[cod Idu],'CantidadesConsolidadas'!$A93),2)</f>
        <v>0</v>
      </c>
      <c r="V93" s="497">
        <f>ROUND(SUMIFS(Cantidades[170222],Cantidades[cod Idu],'CantidadesConsolidadas'!$A93),2)</f>
        <v>0</v>
      </c>
      <c r="W93" s="497">
        <f>ROUND(SUMIFS(Cantidades[170229],Cantidades[cod Idu],'CantidadesConsolidadas'!$A93),2)</f>
        <v>0</v>
      </c>
      <c r="X93" s="497">
        <f>ROUND(SUMIFS(Cantidades[170227],Cantidades[cod Idu],'CantidadesConsolidadas'!$A93),2)</f>
        <v>0</v>
      </c>
      <c r="Y93" s="497">
        <f>ROUND(SUMIFS(Cantidades[170226],Cantidades[cod Idu],'CantidadesConsolidadas'!$A93),2)</f>
        <v>0</v>
      </c>
      <c r="Z93" s="497">
        <f>ROUND(SUMIFS(Cantidades[171567],Cantidades[cod Idu],'CantidadesConsolidadas'!$A93),2)</f>
        <v>0</v>
      </c>
      <c r="AA93" s="497">
        <f>ROUND(SUMIFS(Cantidades[166632],Cantidades[cod Idu],'CantidadesConsolidadas'!$A93),2)</f>
        <v>0</v>
      </c>
      <c r="AB93" s="497">
        <f>ROUND(SUMIFS(Cantidades[170228],Cantidades[cod Idu],'CantidadesConsolidadas'!$A93),2)</f>
        <v>0</v>
      </c>
      <c r="AC93" s="497">
        <f>ROUND(SUMIFS(Cantidades[172926],Cantidades[cod Idu],'CantidadesConsolidadas'!$A93),2)</f>
        <v>0</v>
      </c>
      <c r="AD93" s="497">
        <f>ROUND(SUMIFS(Cantidades[171152],Cantidades[cod Idu],'CantidadesConsolidadas'!$A93),2)</f>
        <v>0</v>
      </c>
      <c r="AE93" s="497">
        <f>ROUND(SUMIFS(Cantidades[173058],Cantidades[cod Idu],'CantidadesConsolidadas'!$A93),2)</f>
        <v>0</v>
      </c>
      <c r="AF93" s="726">
        <f>ROUND(SUMIFS(Cantidades[174478],Cantidades[cod Idu],'CantidadesConsolidadas'!$A93),2)</f>
        <v>0</v>
      </c>
      <c r="AG93" s="726">
        <f>ROUND(SUMIFS(Cantidades[91010089],Cantidades[cod Idu],'CantidadesConsolidadas'!$A93),2)</f>
        <v>0</v>
      </c>
      <c r="AH93" s="726">
        <f>ROUND(SUMIFS(Cantidades[176122],Cantidades[cod Idu],'CantidadesConsolidadas'!$A93),2)</f>
        <v>0</v>
      </c>
      <c r="AI93" s="726">
        <f>ROUND(SUMIFS(Cantidades[168536],Cantidades[cod Idu],'CantidadesConsolidadas'!$A93),2)</f>
        <v>0</v>
      </c>
      <c r="AJ93" s="497">
        <f>ROUND(SUMIFS(Cantidades[166934],Cantidades[cod Idu],'CantidadesConsolidadas'!$A93),2)</f>
        <v>0</v>
      </c>
      <c r="AK93" s="497">
        <f>ROUND(SUMIFS(Cantidades[174353],Cantidades[cod Idu],'CantidadesConsolidadas'!$A93),2)</f>
        <v>0</v>
      </c>
      <c r="AL93" s="751">
        <f>ROUND(SUMIFS(Cantidades[52531],Cantidades[cod Idu],'CantidadesConsolidadas'!$A93),2)</f>
        <v>78.040000000000006</v>
      </c>
      <c r="AM93" s="500">
        <f>ROUND(SUMIFS(Cantidades[52456],Cantidades[cod Idu],'CantidadesConsolidadas'!$A93),2)</f>
        <v>64.650000000000006</v>
      </c>
      <c r="AN93" s="500">
        <f>ROUND(SUMIFS(Cantidades[92058103],Cantidades[cod Idu],'CantidadesConsolidadas'!$A93),2)</f>
        <v>20.010000000000002</v>
      </c>
      <c r="AO93" s="500">
        <f>ROUND(SUMIFS(Cantidades[20011114],Cantidades[cod Idu],'CantidadesConsolidadas'!$A93),2)</f>
        <v>27.67</v>
      </c>
      <c r="AP93" s="500">
        <f>ROUND(SUMIFS(Cantidades[20013540],Cantidades[cod Idu],'CantidadesConsolidadas'!$A93),2)</f>
        <v>12.7</v>
      </c>
      <c r="AQ93" s="500">
        <f>ROUND(SUMIFS(Cantidades[55337],Cantidades[cod Idu],'CantidadesConsolidadas'!$A93),2)</f>
        <v>41.85</v>
      </c>
      <c r="AR93" s="500">
        <f>ROUND(SUMIFS(Cantidades[92087422],Cantidades[cod Idu],'CantidadesConsolidadas'!$A93),2)</f>
        <v>86.68</v>
      </c>
      <c r="AS93" s="500">
        <f>ROUND(SUMIFS(Cantidades[55259],Cantidades[cod Idu],'CantidadesConsolidadas'!$A93),2)</f>
        <v>78.11</v>
      </c>
      <c r="AT93" s="500">
        <f>ROUND(SUMIFS(Cantidades[466904],Cantidades[cod Idu],'CantidadesConsolidadas'!$A93),2)</f>
        <v>8</v>
      </c>
      <c r="AU93" s="500">
        <f>ROUND(SUMIFS(Cantidades[48591],Cantidades[cod Idu],'CantidadesConsolidadas'!$A93),2)</f>
        <v>172.21</v>
      </c>
      <c r="AV93" s="500">
        <f>ROUND(SUMIFS(Cantidades[48590],Cantidades[cod Idu],'CantidadesConsolidadas'!$A93),2)</f>
        <v>171.88</v>
      </c>
      <c r="AW93" s="500">
        <f>ROUND(SUMIFS(Cantidades[48561],Cantidades[cod Idu],'CantidadesConsolidadas'!$A93),2)</f>
        <v>176.66</v>
      </c>
      <c r="AX93" s="805">
        <f>ROUND(SUMIFS(Cantidades[48560],Cantidades[cod Idu],'CantidadesConsolidadas'!$A93),2)</f>
        <v>177.87</v>
      </c>
      <c r="AY93" s="805">
        <f>ROUND(SUMIFS(Cantidades[48657],Cantidades[cod Idu],'CantidadesConsolidadas'!$A93),2)</f>
        <v>35.14</v>
      </c>
      <c r="AZ93" s="752">
        <f>ROUND(SUMIFS(Cantidades[48655],Cantidades[cod Idu],'CantidadesConsolidadas'!$A93),2)</f>
        <v>39.770000000000003</v>
      </c>
      <c r="BA93" s="758">
        <f>SUBTOTAL(9,CantidadesConsolidadas[[#This Row],[91013913]:[48655]])</f>
        <v>1191.24</v>
      </c>
      <c r="BB93" s="638">
        <f>ROUND(CantidadesConsolidadas[[#This Row],[Total]]*CantidadesConsolidadas[[#This Row],[VU]],0)</f>
        <v>9739578</v>
      </c>
    </row>
    <row r="94" spans="1:54" ht="15" thickBot="1" x14ac:dyDescent="0.35">
      <c r="A94">
        <v>3464</v>
      </c>
      <c r="B94" s="606" t="str">
        <f>+_xlfn.XLOOKUP(CantidadesConsolidadas[[#This Row],[cod Idu]],APU_IDU[Código],APU_IDU[Nombre],"",0)</f>
        <v>EXCAVACION MANUAL EN MATERIAL COMUN. INCLUYE CARGUE.</v>
      </c>
      <c r="C94" s="609" t="str">
        <f>+_xlfn.XLOOKUP(CantidadesConsolidadas[[#This Row],[cod Idu]],APU_IDU[Código],APU_IDU[UM],"",0)</f>
        <v>M3</v>
      </c>
      <c r="D94" s="743">
        <f>+_xlfn.XLOOKUP(CantidadesConsolidadas[[#This Row],[cod Idu]],APU_IDU[Código],APU_IDU[Valor],"",0)</f>
        <v>58471</v>
      </c>
      <c r="E94" s="497">
        <f>ROUND(SUMIFS(Cantidades[91013913],Cantidades[cod Idu],'CantidadesConsolidadas'!$A94),2)</f>
        <v>0</v>
      </c>
      <c r="F94" s="497">
        <f>ROUND(SUMIFS(Cantidades[472330],Cantidades[cod Idu],'CantidadesConsolidadas'!$A94),2)</f>
        <v>0</v>
      </c>
      <c r="G94" s="497">
        <f>ROUND(SUMIFS(Cantidades[167810],Cantidades[cod Idu],'CantidadesConsolidadas'!$A94),2)</f>
        <v>0</v>
      </c>
      <c r="H94" s="497">
        <f>ROUND(SUMIFS(Cantidades[166646],Cantidades[cod Idu],'CantidadesConsolidadas'!$A94),2)</f>
        <v>0</v>
      </c>
      <c r="I94" s="497">
        <f>ROUND(SUMIFS(Cantidades[167491],Cantidades[cod Idu],'CantidadesConsolidadas'!$A94),2)</f>
        <v>0</v>
      </c>
      <c r="J94" s="497">
        <f>ROUND(SUMIFS(Cantidades[167266],Cantidades[cod Idu],'CantidadesConsolidadas'!$A94),2)</f>
        <v>0</v>
      </c>
      <c r="K94" s="497">
        <f>ROUND(SUMIFS(Cantidades[170896],Cantidades[cod Idu],'CantidadesConsolidadas'!$A94),2)</f>
        <v>0</v>
      </c>
      <c r="L94" s="497">
        <f>ROUND(SUMIFS(Cantidades[170897],Cantidades[cod Idu],'CantidadesConsolidadas'!$A94),2)</f>
        <v>0</v>
      </c>
      <c r="M94" s="497">
        <f>ROUND(SUMIFS(Cantidades[170898],Cantidades[cod Idu],'CantidadesConsolidadas'!$A94),2)</f>
        <v>0</v>
      </c>
      <c r="N94" s="497">
        <f>ROUND(SUMIFS(Cantidades[91064150],Cantidades[cod Idu],'CantidadesConsolidadas'!$A94),2)</f>
        <v>0</v>
      </c>
      <c r="O94" s="497">
        <f>ROUND(SUMIFS(Cantidades[168919],Cantidades[cod Idu],'CantidadesConsolidadas'!$A94),2)</f>
        <v>0</v>
      </c>
      <c r="P94" s="497">
        <f>ROUND(SUMIFS(Cantidades[168426],Cantidades[cod Idu],'CantidadesConsolidadas'!$A94),2)</f>
        <v>0</v>
      </c>
      <c r="Q94" s="497">
        <f>ROUND(SUMIFS(Cantidades[91020796],Cantidades[cod Idu],'CantidadesConsolidadas'!$A94),2)</f>
        <v>0</v>
      </c>
      <c r="R94" s="497">
        <f>ROUND(SUMIFS(Cantidades[176184],Cantidades[cod Idu],'CantidadesConsolidadas'!$A94),2)</f>
        <v>0</v>
      </c>
      <c r="S94" s="497">
        <f>ROUND(SUMIFS(Cantidades[167636],Cantidades[cod Idu],'CantidadesConsolidadas'!$A94),2)</f>
        <v>0</v>
      </c>
      <c r="T94" s="497">
        <f>ROUND(SUMIFS(Cantidades[176730],Cantidades[cod Idu],'CantidadesConsolidadas'!$A94),2)</f>
        <v>0</v>
      </c>
      <c r="U94" s="497">
        <f>ROUND(SUMIFS(Cantidades[173038],Cantidades[cod Idu],'CantidadesConsolidadas'!$A94),2)</f>
        <v>0</v>
      </c>
      <c r="V94" s="497">
        <f>ROUND(SUMIFS(Cantidades[170222],Cantidades[cod Idu],'CantidadesConsolidadas'!$A94),2)</f>
        <v>0</v>
      </c>
      <c r="W94" s="497">
        <f>ROUND(SUMIFS(Cantidades[170229],Cantidades[cod Idu],'CantidadesConsolidadas'!$A94),2)</f>
        <v>0</v>
      </c>
      <c r="X94" s="497">
        <f>ROUND(SUMIFS(Cantidades[170227],Cantidades[cod Idu],'CantidadesConsolidadas'!$A94),2)</f>
        <v>0</v>
      </c>
      <c r="Y94" s="497">
        <f>ROUND(SUMIFS(Cantidades[170226],Cantidades[cod Idu],'CantidadesConsolidadas'!$A94),2)</f>
        <v>0</v>
      </c>
      <c r="Z94" s="497">
        <f>ROUND(SUMIFS(Cantidades[171567],Cantidades[cod Idu],'CantidadesConsolidadas'!$A94),2)</f>
        <v>0</v>
      </c>
      <c r="AA94" s="497">
        <f>ROUND(SUMIFS(Cantidades[166632],Cantidades[cod Idu],'CantidadesConsolidadas'!$A94),2)</f>
        <v>0</v>
      </c>
      <c r="AB94" s="497">
        <f>ROUND(SUMIFS(Cantidades[170228],Cantidades[cod Idu],'CantidadesConsolidadas'!$A94),2)</f>
        <v>0</v>
      </c>
      <c r="AC94" s="497">
        <f>ROUND(SUMIFS(Cantidades[172926],Cantidades[cod Idu],'CantidadesConsolidadas'!$A94),2)</f>
        <v>0</v>
      </c>
      <c r="AD94" s="497">
        <f>ROUND(SUMIFS(Cantidades[171152],Cantidades[cod Idu],'CantidadesConsolidadas'!$A94),2)</f>
        <v>0</v>
      </c>
      <c r="AE94" s="497">
        <f>ROUND(SUMIFS(Cantidades[173058],Cantidades[cod Idu],'CantidadesConsolidadas'!$A94),2)</f>
        <v>0</v>
      </c>
      <c r="AF94" s="726">
        <f>ROUND(SUMIFS(Cantidades[174478],Cantidades[cod Idu],'CantidadesConsolidadas'!$A94),2)</f>
        <v>0</v>
      </c>
      <c r="AG94" s="726">
        <f>ROUND(SUMIFS(Cantidades[91010089],Cantidades[cod Idu],'CantidadesConsolidadas'!$A94),2)</f>
        <v>0</v>
      </c>
      <c r="AH94" s="726">
        <f>ROUND(SUMIFS(Cantidades[176122],Cantidades[cod Idu],'CantidadesConsolidadas'!$A94),2)</f>
        <v>0</v>
      </c>
      <c r="AI94" s="726">
        <f>ROUND(SUMIFS(Cantidades[168536],Cantidades[cod Idu],'CantidadesConsolidadas'!$A94),2)</f>
        <v>0</v>
      </c>
      <c r="AJ94" s="497">
        <f>ROUND(SUMIFS(Cantidades[166934],Cantidades[cod Idu],'CantidadesConsolidadas'!$A94),2)</f>
        <v>0</v>
      </c>
      <c r="AK94" s="497">
        <f>ROUND(SUMIFS(Cantidades[174353],Cantidades[cod Idu],'CantidadesConsolidadas'!$A94),2)</f>
        <v>0</v>
      </c>
      <c r="AL94" s="751">
        <f>ROUND(SUMIFS(Cantidades[52531],Cantidades[cod Idu],'CantidadesConsolidadas'!$A94),2)</f>
        <v>23.61</v>
      </c>
      <c r="AM94" s="500">
        <f>ROUND(SUMIFS(Cantidades[52456],Cantidades[cod Idu],'CantidadesConsolidadas'!$A94),2)</f>
        <v>16.52</v>
      </c>
      <c r="AN94" s="500">
        <f>ROUND(SUMIFS(Cantidades[92058103],Cantidades[cod Idu],'CantidadesConsolidadas'!$A94),2)</f>
        <v>4.6500000000000004</v>
      </c>
      <c r="AO94" s="500">
        <f>ROUND(SUMIFS(Cantidades[20011114],Cantidades[cod Idu],'CantidadesConsolidadas'!$A94),2)</f>
        <v>23.3</v>
      </c>
      <c r="AP94" s="500">
        <f>ROUND(SUMIFS(Cantidades[20013540],Cantidades[cod Idu],'CantidadesConsolidadas'!$A94),2)</f>
        <v>10.17</v>
      </c>
      <c r="AQ94" s="500">
        <f>ROUND(SUMIFS(Cantidades[55337],Cantidades[cod Idu],'CantidadesConsolidadas'!$A94),2)</f>
        <v>26.14</v>
      </c>
      <c r="AR94" s="500">
        <f>ROUND(SUMIFS(Cantidades[92087422],Cantidades[cod Idu],'CantidadesConsolidadas'!$A94),2)</f>
        <v>40.090000000000003</v>
      </c>
      <c r="AS94" s="500">
        <f>ROUND(SUMIFS(Cantidades[55259],Cantidades[cod Idu],'CantidadesConsolidadas'!$A94),2)</f>
        <v>54.01</v>
      </c>
      <c r="AT94" s="500">
        <f>ROUND(SUMIFS(Cantidades[466904],Cantidades[cod Idu],'CantidadesConsolidadas'!$A94),2)</f>
        <v>2.85</v>
      </c>
      <c r="AU94" s="500">
        <f>ROUND(SUMIFS(Cantidades[48591],Cantidades[cod Idu],'CantidadesConsolidadas'!$A94),2)</f>
        <v>62.63</v>
      </c>
      <c r="AV94" s="500">
        <f>ROUND(SUMIFS(Cantidades[48590],Cantidades[cod Idu],'CantidadesConsolidadas'!$A94),2)</f>
        <v>64.56</v>
      </c>
      <c r="AW94" s="500">
        <f>ROUND(SUMIFS(Cantidades[48561],Cantidades[cod Idu],'CantidadesConsolidadas'!$A94),2)</f>
        <v>66.209999999999994</v>
      </c>
      <c r="AX94" s="805">
        <f>ROUND(SUMIFS(Cantidades[48560],Cantidades[cod Idu],'CantidadesConsolidadas'!$A94),2)</f>
        <v>66.760000000000005</v>
      </c>
      <c r="AY94" s="805">
        <f>ROUND(SUMIFS(Cantidades[48657],Cantidades[cod Idu],'CantidadesConsolidadas'!$A94),2)</f>
        <v>32.47</v>
      </c>
      <c r="AZ94" s="752">
        <f>ROUND(SUMIFS(Cantidades[48655],Cantidades[cod Idu],'CantidadesConsolidadas'!$A94),2)</f>
        <v>10.15</v>
      </c>
      <c r="BA94" s="758">
        <f>SUBTOTAL(9,CantidadesConsolidadas[[#This Row],[91013913]:[48655]])</f>
        <v>504.12</v>
      </c>
      <c r="BB94" s="638">
        <f>ROUND(CantidadesConsolidadas[[#This Row],[Total]]*CantidadesConsolidadas[[#This Row],[VU]],0)</f>
        <v>29476401</v>
      </c>
    </row>
    <row r="95" spans="1:54" ht="43.8" thickBot="1" x14ac:dyDescent="0.35">
      <c r="A95">
        <v>4032</v>
      </c>
      <c r="B95" s="606" t="str">
        <f>+_xlfn.XLOOKUP(CantidadesConsolidadas[[#This Row],[cod Idu]],APU_IDU[Código],APU_IDU[Nombre],"",0)</f>
        <v>GEOTEXTIL TEJIDO CON RESISTENCIA A LA TENSION METODO TIRA ANCHA SENTIDO LONGITUDINAL: ENTRE 40 KN/M Y 43 KN/M. PARA SEPARACION SUBRASANTE/CAPAS GRANULARES. (INCLUYE SUMINISTRO E INSTALACION).</v>
      </c>
      <c r="C95" s="609" t="str">
        <f>+_xlfn.XLOOKUP(CantidadesConsolidadas[[#This Row],[cod Idu]],APU_IDU[Código],APU_IDU[UM],"",0)</f>
        <v>M2</v>
      </c>
      <c r="D95" s="743">
        <f>+_xlfn.XLOOKUP(CantidadesConsolidadas[[#This Row],[cod Idu]],APU_IDU[Código],APU_IDU[Valor],"",0)</f>
        <v>15400</v>
      </c>
      <c r="E95" s="497">
        <f>ROUND(SUMIFS(Cantidades[91013913],Cantidades[cod Idu],'CantidadesConsolidadas'!$A95),2)</f>
        <v>0</v>
      </c>
      <c r="F95" s="497">
        <f>ROUND(SUMIFS(Cantidades[472330],Cantidades[cod Idu],'CantidadesConsolidadas'!$A95),2)</f>
        <v>0</v>
      </c>
      <c r="G95" s="497">
        <f>ROUND(SUMIFS(Cantidades[167810],Cantidades[cod Idu],'CantidadesConsolidadas'!$A95),2)</f>
        <v>0</v>
      </c>
      <c r="H95" s="497">
        <f>ROUND(SUMIFS(Cantidades[166646],Cantidades[cod Idu],'CantidadesConsolidadas'!$A95),2)</f>
        <v>0</v>
      </c>
      <c r="I95" s="497">
        <f>ROUND(SUMIFS(Cantidades[167491],Cantidades[cod Idu],'CantidadesConsolidadas'!$A95),2)</f>
        <v>0</v>
      </c>
      <c r="J95" s="497">
        <f>ROUND(SUMIFS(Cantidades[167266],Cantidades[cod Idu],'CantidadesConsolidadas'!$A95),2)</f>
        <v>0</v>
      </c>
      <c r="K95" s="497">
        <f>ROUND(SUMIFS(Cantidades[170896],Cantidades[cod Idu],'CantidadesConsolidadas'!$A95),2)</f>
        <v>0</v>
      </c>
      <c r="L95" s="497">
        <f>ROUND(SUMIFS(Cantidades[170897],Cantidades[cod Idu],'CantidadesConsolidadas'!$A95),2)</f>
        <v>0</v>
      </c>
      <c r="M95" s="497">
        <f>ROUND(SUMIFS(Cantidades[170898],Cantidades[cod Idu],'CantidadesConsolidadas'!$A95),2)</f>
        <v>0</v>
      </c>
      <c r="N95" s="497">
        <f>ROUND(SUMIFS(Cantidades[91064150],Cantidades[cod Idu],'CantidadesConsolidadas'!$A95),2)</f>
        <v>0</v>
      </c>
      <c r="O95" s="497">
        <f>ROUND(SUMIFS(Cantidades[168919],Cantidades[cod Idu],'CantidadesConsolidadas'!$A95),2)</f>
        <v>0</v>
      </c>
      <c r="P95" s="497">
        <f>ROUND(SUMIFS(Cantidades[168426],Cantidades[cod Idu],'CantidadesConsolidadas'!$A95),2)</f>
        <v>0</v>
      </c>
      <c r="Q95" s="497">
        <f>ROUND(SUMIFS(Cantidades[91020796],Cantidades[cod Idu],'CantidadesConsolidadas'!$A95),2)</f>
        <v>0</v>
      </c>
      <c r="R95" s="497">
        <f>ROUND(SUMIFS(Cantidades[176184],Cantidades[cod Idu],'CantidadesConsolidadas'!$A95),2)</f>
        <v>0</v>
      </c>
      <c r="S95" s="497">
        <f>ROUND(SUMIFS(Cantidades[167636],Cantidades[cod Idu],'CantidadesConsolidadas'!$A95),2)</f>
        <v>0</v>
      </c>
      <c r="T95" s="497">
        <f>ROUND(SUMIFS(Cantidades[176730],Cantidades[cod Idu],'CantidadesConsolidadas'!$A95),2)</f>
        <v>0</v>
      </c>
      <c r="U95" s="497">
        <f>ROUND(SUMIFS(Cantidades[173038],Cantidades[cod Idu],'CantidadesConsolidadas'!$A95),2)</f>
        <v>0</v>
      </c>
      <c r="V95" s="497">
        <f>ROUND(SUMIFS(Cantidades[170222],Cantidades[cod Idu],'CantidadesConsolidadas'!$A95),2)</f>
        <v>0</v>
      </c>
      <c r="W95" s="497">
        <f>ROUND(SUMIFS(Cantidades[170229],Cantidades[cod Idu],'CantidadesConsolidadas'!$A95),2)</f>
        <v>0</v>
      </c>
      <c r="X95" s="497">
        <f>ROUND(SUMIFS(Cantidades[170227],Cantidades[cod Idu],'CantidadesConsolidadas'!$A95),2)</f>
        <v>0</v>
      </c>
      <c r="Y95" s="497">
        <f>ROUND(SUMIFS(Cantidades[170226],Cantidades[cod Idu],'CantidadesConsolidadas'!$A95),2)</f>
        <v>0</v>
      </c>
      <c r="Z95" s="497">
        <f>ROUND(SUMIFS(Cantidades[171567],Cantidades[cod Idu],'CantidadesConsolidadas'!$A95),2)</f>
        <v>0</v>
      </c>
      <c r="AA95" s="497">
        <f>ROUND(SUMIFS(Cantidades[166632],Cantidades[cod Idu],'CantidadesConsolidadas'!$A95),2)</f>
        <v>0</v>
      </c>
      <c r="AB95" s="497">
        <f>ROUND(SUMIFS(Cantidades[170228],Cantidades[cod Idu],'CantidadesConsolidadas'!$A95),2)</f>
        <v>0</v>
      </c>
      <c r="AC95" s="497">
        <f>ROUND(SUMIFS(Cantidades[172926],Cantidades[cod Idu],'CantidadesConsolidadas'!$A95),2)</f>
        <v>0</v>
      </c>
      <c r="AD95" s="497">
        <f>ROUND(SUMIFS(Cantidades[171152],Cantidades[cod Idu],'CantidadesConsolidadas'!$A95),2)</f>
        <v>0</v>
      </c>
      <c r="AE95" s="497">
        <f>ROUND(SUMIFS(Cantidades[173058],Cantidades[cod Idu],'CantidadesConsolidadas'!$A95),2)</f>
        <v>0</v>
      </c>
      <c r="AF95" s="726">
        <f>ROUND(SUMIFS(Cantidades[174478],Cantidades[cod Idu],'CantidadesConsolidadas'!$A95),2)</f>
        <v>0</v>
      </c>
      <c r="AG95" s="726">
        <f>ROUND(SUMIFS(Cantidades[91010089],Cantidades[cod Idu],'CantidadesConsolidadas'!$A95),2)</f>
        <v>0</v>
      </c>
      <c r="AH95" s="726">
        <f>ROUND(SUMIFS(Cantidades[176122],Cantidades[cod Idu],'CantidadesConsolidadas'!$A95),2)</f>
        <v>0</v>
      </c>
      <c r="AI95" s="726">
        <f>ROUND(SUMIFS(Cantidades[168536],Cantidades[cod Idu],'CantidadesConsolidadas'!$A95),2)</f>
        <v>0</v>
      </c>
      <c r="AJ95" s="497">
        <f>ROUND(SUMIFS(Cantidades[166934],Cantidades[cod Idu],'CantidadesConsolidadas'!$A95),2)</f>
        <v>0</v>
      </c>
      <c r="AK95" s="497">
        <f>ROUND(SUMIFS(Cantidades[174353],Cantidades[cod Idu],'CantidadesConsolidadas'!$A95),2)</f>
        <v>0</v>
      </c>
      <c r="AL95" s="751">
        <f>ROUND(SUMIFS(Cantidades[52531],Cantidades[cod Idu],'CantidadesConsolidadas'!$A95),2)</f>
        <v>0</v>
      </c>
      <c r="AM95" s="500">
        <f>ROUND(SUMIFS(Cantidades[52456],Cantidades[cod Idu],'CantidadesConsolidadas'!$A95),2)</f>
        <v>110.14</v>
      </c>
      <c r="AN95" s="500">
        <f>ROUND(SUMIFS(Cantidades[92058103],Cantidades[cod Idu],'CantidadesConsolidadas'!$A95),2)</f>
        <v>30.97</v>
      </c>
      <c r="AO95" s="500">
        <f>ROUND(SUMIFS(Cantidades[20011114],Cantidades[cod Idu],'CantidadesConsolidadas'!$A95),2)</f>
        <v>0</v>
      </c>
      <c r="AP95" s="500">
        <f>ROUND(SUMIFS(Cantidades[20013540],Cantidades[cod Idu],'CantidadesConsolidadas'!$A95),2)</f>
        <v>0</v>
      </c>
      <c r="AQ95" s="500">
        <f>ROUND(SUMIFS(Cantidades[55337],Cantidades[cod Idu],'CantidadesConsolidadas'!$A95),2)</f>
        <v>0</v>
      </c>
      <c r="AR95" s="500">
        <f>ROUND(SUMIFS(Cantidades[92087422],Cantidades[cod Idu],'CantidadesConsolidadas'!$A95),2)</f>
        <v>0</v>
      </c>
      <c r="AS95" s="500">
        <f>ROUND(SUMIFS(Cantidades[55259],Cantidades[cod Idu],'CantidadesConsolidadas'!$A95),2)</f>
        <v>0</v>
      </c>
      <c r="AT95" s="500">
        <f>ROUND(SUMIFS(Cantidades[466904],Cantidades[cod Idu],'CantidadesConsolidadas'!$A95),2)</f>
        <v>0</v>
      </c>
      <c r="AU95" s="500">
        <f>ROUND(SUMIFS(Cantidades[48591],Cantidades[cod Idu],'CantidadesConsolidadas'!$A95),2)</f>
        <v>0</v>
      </c>
      <c r="AV95" s="500">
        <f>ROUND(SUMIFS(Cantidades[48590],Cantidades[cod Idu],'CantidadesConsolidadas'!$A95),2)</f>
        <v>0</v>
      </c>
      <c r="AW95" s="500">
        <f>ROUND(SUMIFS(Cantidades[48561],Cantidades[cod Idu],'CantidadesConsolidadas'!$A95),2)</f>
        <v>0</v>
      </c>
      <c r="AX95" s="805">
        <f>ROUND(SUMIFS(Cantidades[48560],Cantidades[cod Idu],'CantidadesConsolidadas'!$A95),2)</f>
        <v>0</v>
      </c>
      <c r="AY95" s="805">
        <f>ROUND(SUMIFS(Cantidades[48657],Cantidades[cod Idu],'CantidadesConsolidadas'!$A95),2)</f>
        <v>0</v>
      </c>
      <c r="AZ95" s="752">
        <f>ROUND(SUMIFS(Cantidades[48655],Cantidades[cod Idu],'CantidadesConsolidadas'!$A95),2)</f>
        <v>0</v>
      </c>
      <c r="BA95" s="758">
        <f>SUBTOTAL(9,CantidadesConsolidadas[[#This Row],[91013913]:[48655]])</f>
        <v>141.11000000000001</v>
      </c>
      <c r="BB95" s="638">
        <f>ROUND(CantidadesConsolidadas[[#This Row],[Total]]*CantidadesConsolidadas[[#This Row],[VU]],0)</f>
        <v>2173094</v>
      </c>
    </row>
    <row r="96" spans="1:54" ht="43.8" thickBot="1" x14ac:dyDescent="0.35">
      <c r="A96">
        <v>6471</v>
      </c>
      <c r="B96" s="606" t="str">
        <f>+_xlfn.XLOOKUP(CantidadesConsolidadas[[#This Row],[cod Idu]],APU_IDU[Código],APU_IDU[Nombre],"",0)</f>
        <v>SUBBASE GRANULAR PEATONAL SBG_PEA. (SUMINISTRO, EXTENDIDO  Y NIVELACIÓN MANUAL, HUMEDECIMIENTO MECÁNICO Y COMPACTACIÓN MECÁNICA CON VIBROCOMPACTADOR TÁNDEM PEQUEÑO, INCLUYE OPERARIO Y COMBUSTIBLE).</v>
      </c>
      <c r="C96" s="609" t="str">
        <f>+_xlfn.XLOOKUP(CantidadesConsolidadas[[#This Row],[cod Idu]],APU_IDU[Código],APU_IDU[UM],"",0)</f>
        <v>M3</v>
      </c>
      <c r="D96" s="743">
        <f>+_xlfn.XLOOKUP(CantidadesConsolidadas[[#This Row],[cod Idu]],APU_IDU[Código],APU_IDU[Valor],"",0)</f>
        <v>199033</v>
      </c>
      <c r="E96" s="497">
        <f>ROUND(SUMIFS(Cantidades[91013913],Cantidades[cod Idu],'CantidadesConsolidadas'!$A96),2)</f>
        <v>0</v>
      </c>
      <c r="F96" s="497">
        <f>ROUND(SUMIFS(Cantidades[472330],Cantidades[cod Idu],'CantidadesConsolidadas'!$A96),2)</f>
        <v>0</v>
      </c>
      <c r="G96" s="497">
        <f>ROUND(SUMIFS(Cantidades[167810],Cantidades[cod Idu],'CantidadesConsolidadas'!$A96),2)</f>
        <v>0</v>
      </c>
      <c r="H96" s="497">
        <f>ROUND(SUMIFS(Cantidades[166646],Cantidades[cod Idu],'CantidadesConsolidadas'!$A96),2)</f>
        <v>0</v>
      </c>
      <c r="I96" s="497">
        <f>ROUND(SUMIFS(Cantidades[167491],Cantidades[cod Idu],'CantidadesConsolidadas'!$A96),2)</f>
        <v>0</v>
      </c>
      <c r="J96" s="497">
        <f>ROUND(SUMIFS(Cantidades[167266],Cantidades[cod Idu],'CantidadesConsolidadas'!$A96),2)</f>
        <v>0</v>
      </c>
      <c r="K96" s="497">
        <f>ROUND(SUMIFS(Cantidades[170896],Cantidades[cod Idu],'CantidadesConsolidadas'!$A96),2)</f>
        <v>0</v>
      </c>
      <c r="L96" s="497">
        <f>ROUND(SUMIFS(Cantidades[170897],Cantidades[cod Idu],'CantidadesConsolidadas'!$A96),2)</f>
        <v>0</v>
      </c>
      <c r="M96" s="497">
        <f>ROUND(SUMIFS(Cantidades[170898],Cantidades[cod Idu],'CantidadesConsolidadas'!$A96),2)</f>
        <v>0</v>
      </c>
      <c r="N96" s="497">
        <f>ROUND(SUMIFS(Cantidades[91064150],Cantidades[cod Idu],'CantidadesConsolidadas'!$A96),2)</f>
        <v>0</v>
      </c>
      <c r="O96" s="497">
        <f>ROUND(SUMIFS(Cantidades[168919],Cantidades[cod Idu],'CantidadesConsolidadas'!$A96),2)</f>
        <v>0</v>
      </c>
      <c r="P96" s="497">
        <f>ROUND(SUMIFS(Cantidades[168426],Cantidades[cod Idu],'CantidadesConsolidadas'!$A96),2)</f>
        <v>0</v>
      </c>
      <c r="Q96" s="497">
        <f>ROUND(SUMIFS(Cantidades[91020796],Cantidades[cod Idu],'CantidadesConsolidadas'!$A96),2)</f>
        <v>0</v>
      </c>
      <c r="R96" s="497">
        <f>ROUND(SUMIFS(Cantidades[176184],Cantidades[cod Idu],'CantidadesConsolidadas'!$A96),2)</f>
        <v>0</v>
      </c>
      <c r="S96" s="497">
        <f>ROUND(SUMIFS(Cantidades[167636],Cantidades[cod Idu],'CantidadesConsolidadas'!$A96),2)</f>
        <v>0</v>
      </c>
      <c r="T96" s="497">
        <f>ROUND(SUMIFS(Cantidades[176730],Cantidades[cod Idu],'CantidadesConsolidadas'!$A96),2)</f>
        <v>0</v>
      </c>
      <c r="U96" s="497">
        <f>ROUND(SUMIFS(Cantidades[173038],Cantidades[cod Idu],'CantidadesConsolidadas'!$A96),2)</f>
        <v>0</v>
      </c>
      <c r="V96" s="497">
        <f>ROUND(SUMIFS(Cantidades[170222],Cantidades[cod Idu],'CantidadesConsolidadas'!$A96),2)</f>
        <v>0</v>
      </c>
      <c r="W96" s="497">
        <f>ROUND(SUMIFS(Cantidades[170229],Cantidades[cod Idu],'CantidadesConsolidadas'!$A96),2)</f>
        <v>0</v>
      </c>
      <c r="X96" s="497">
        <f>ROUND(SUMIFS(Cantidades[170227],Cantidades[cod Idu],'CantidadesConsolidadas'!$A96),2)</f>
        <v>0</v>
      </c>
      <c r="Y96" s="497">
        <f>ROUND(SUMIFS(Cantidades[170226],Cantidades[cod Idu],'CantidadesConsolidadas'!$A96),2)</f>
        <v>0</v>
      </c>
      <c r="Z96" s="497">
        <f>ROUND(SUMIFS(Cantidades[171567],Cantidades[cod Idu],'CantidadesConsolidadas'!$A96),2)</f>
        <v>0</v>
      </c>
      <c r="AA96" s="497">
        <f>ROUND(SUMIFS(Cantidades[166632],Cantidades[cod Idu],'CantidadesConsolidadas'!$A96),2)</f>
        <v>0</v>
      </c>
      <c r="AB96" s="497">
        <f>ROUND(SUMIFS(Cantidades[170228],Cantidades[cod Idu],'CantidadesConsolidadas'!$A96),2)</f>
        <v>0</v>
      </c>
      <c r="AC96" s="497">
        <f>ROUND(SUMIFS(Cantidades[172926],Cantidades[cod Idu],'CantidadesConsolidadas'!$A96),2)</f>
        <v>0</v>
      </c>
      <c r="AD96" s="497">
        <f>ROUND(SUMIFS(Cantidades[171152],Cantidades[cod Idu],'CantidadesConsolidadas'!$A96),2)</f>
        <v>0</v>
      </c>
      <c r="AE96" s="497">
        <f>ROUND(SUMIFS(Cantidades[173058],Cantidades[cod Idu],'CantidadesConsolidadas'!$A96),2)</f>
        <v>0</v>
      </c>
      <c r="AF96" s="726">
        <f>ROUND(SUMIFS(Cantidades[174478],Cantidades[cod Idu],'CantidadesConsolidadas'!$A96),2)</f>
        <v>0</v>
      </c>
      <c r="AG96" s="726">
        <f>ROUND(SUMIFS(Cantidades[91010089],Cantidades[cod Idu],'CantidadesConsolidadas'!$A96),2)</f>
        <v>0</v>
      </c>
      <c r="AH96" s="726">
        <f>ROUND(SUMIFS(Cantidades[176122],Cantidades[cod Idu],'CantidadesConsolidadas'!$A96),2)</f>
        <v>0</v>
      </c>
      <c r="AI96" s="726">
        <f>ROUND(SUMIFS(Cantidades[168536],Cantidades[cod Idu],'CantidadesConsolidadas'!$A96),2)</f>
        <v>0</v>
      </c>
      <c r="AJ96" s="497">
        <f>ROUND(SUMIFS(Cantidades[166934],Cantidades[cod Idu],'CantidadesConsolidadas'!$A96),2)</f>
        <v>0</v>
      </c>
      <c r="AK96" s="497">
        <f>ROUND(SUMIFS(Cantidades[174353],Cantidades[cod Idu],'CantidadesConsolidadas'!$A96),2)</f>
        <v>0</v>
      </c>
      <c r="AL96" s="751">
        <f>ROUND(SUMIFS(Cantidades[52531],Cantidades[cod Idu],'CantidadesConsolidadas'!$A96),2)</f>
        <v>23.61</v>
      </c>
      <c r="AM96" s="500">
        <f>ROUND(SUMIFS(Cantidades[52456],Cantidades[cod Idu],'CantidadesConsolidadas'!$A96),2)</f>
        <v>0</v>
      </c>
      <c r="AN96" s="500">
        <f>ROUND(SUMIFS(Cantidades[92058103],Cantidades[cod Idu],'CantidadesConsolidadas'!$A96),2)</f>
        <v>4.6500000000000004</v>
      </c>
      <c r="AO96" s="500">
        <f>ROUND(SUMIFS(Cantidades[20011114],Cantidades[cod Idu],'CantidadesConsolidadas'!$A96),2)</f>
        <v>23.3</v>
      </c>
      <c r="AP96" s="500">
        <f>ROUND(SUMIFS(Cantidades[20013540],Cantidades[cod Idu],'CantidadesConsolidadas'!$A96),2)</f>
        <v>0</v>
      </c>
      <c r="AQ96" s="500">
        <f>ROUND(SUMIFS(Cantidades[55337],Cantidades[cod Idu],'CantidadesConsolidadas'!$A96),2)</f>
        <v>26.14</v>
      </c>
      <c r="AR96" s="500">
        <f>ROUND(SUMIFS(Cantidades[92087422],Cantidades[cod Idu],'CantidadesConsolidadas'!$A96),2)</f>
        <v>40.090000000000003</v>
      </c>
      <c r="AS96" s="500">
        <f>ROUND(SUMIFS(Cantidades[55259],Cantidades[cod Idu],'CantidadesConsolidadas'!$A96),2)</f>
        <v>54.01</v>
      </c>
      <c r="AT96" s="500">
        <f>ROUND(SUMIFS(Cantidades[466904],Cantidades[cod Idu],'CantidadesConsolidadas'!$A96),2)</f>
        <v>2.85</v>
      </c>
      <c r="AU96" s="500">
        <f>ROUND(SUMIFS(Cantidades[48591],Cantidades[cod Idu],'CantidadesConsolidadas'!$A96),2)</f>
        <v>62.63</v>
      </c>
      <c r="AV96" s="500">
        <f>ROUND(SUMIFS(Cantidades[48590],Cantidades[cod Idu],'CantidadesConsolidadas'!$A96),2)</f>
        <v>64.56</v>
      </c>
      <c r="AW96" s="500">
        <f>ROUND(SUMIFS(Cantidades[48561],Cantidades[cod Idu],'CantidadesConsolidadas'!$A96),2)</f>
        <v>66.209999999999994</v>
      </c>
      <c r="AX96" s="805">
        <f>ROUND(SUMIFS(Cantidades[48560],Cantidades[cod Idu],'CantidadesConsolidadas'!$A96),2)</f>
        <v>66.760000000000005</v>
      </c>
      <c r="AY96" s="805">
        <f>ROUND(SUMIFS(Cantidades[48657],Cantidades[cod Idu],'CantidadesConsolidadas'!$A96),2)</f>
        <v>32.47</v>
      </c>
      <c r="AZ96" s="752">
        <f>ROUND(SUMIFS(Cantidades[48655],Cantidades[cod Idu],'CantidadesConsolidadas'!$A96),2)</f>
        <v>10.15</v>
      </c>
      <c r="BA96" s="758">
        <f>SUBTOTAL(9,CantidadesConsolidadas[[#This Row],[91013913]:[48655]])</f>
        <v>477.42999999999995</v>
      </c>
      <c r="BB96" s="638">
        <f>ROUND(CantidadesConsolidadas[[#This Row],[Total]]*CantidadesConsolidadas[[#This Row],[VU]],0)</f>
        <v>95024325</v>
      </c>
    </row>
    <row r="97" spans="1:54" ht="43.8" thickBot="1" x14ac:dyDescent="0.35">
      <c r="A97">
        <v>8228</v>
      </c>
      <c r="B97" s="606" t="str">
        <f>+_xlfn.XLOOKUP(CantidadesConsolidadas[[#This Row],[cod Idu]],APU_IDU[Código],APU_IDU[Nombre],"",0)</f>
        <v>CENEFA LINEAL EN LOSETA PREFABRICADA TÁCTIL ALERTA A57 / A58 ANCHO 0.20M COLOR AMARILLO. (SUMINISTRO E INSTALACIÓN. INCLUYE BASE EN ARENA DE NIVELACIÓN E= 4CM Y ARENA DE SELLO).</v>
      </c>
      <c r="C97" s="609" t="str">
        <f>+_xlfn.XLOOKUP(CantidadesConsolidadas[[#This Row],[cod Idu]],APU_IDU[Código],APU_IDU[UM],"",0)</f>
        <v>ML</v>
      </c>
      <c r="D97" s="743">
        <f>+_xlfn.XLOOKUP(CantidadesConsolidadas[[#This Row],[cod Idu]],APU_IDU[Código],APU_IDU[Valor],"",0)</f>
        <v>34645</v>
      </c>
      <c r="E97" s="497">
        <f>ROUND(SUMIFS(Cantidades[91013913],Cantidades[cod Idu],'CantidadesConsolidadas'!$A97),2)</f>
        <v>0</v>
      </c>
      <c r="F97" s="497">
        <f>ROUND(SUMIFS(Cantidades[472330],Cantidades[cod Idu],'CantidadesConsolidadas'!$A97),2)</f>
        <v>0</v>
      </c>
      <c r="G97" s="497">
        <f>ROUND(SUMIFS(Cantidades[167810],Cantidades[cod Idu],'CantidadesConsolidadas'!$A97),2)</f>
        <v>0</v>
      </c>
      <c r="H97" s="497">
        <f>ROUND(SUMIFS(Cantidades[166646],Cantidades[cod Idu],'CantidadesConsolidadas'!$A97),2)</f>
        <v>0</v>
      </c>
      <c r="I97" s="497">
        <f>ROUND(SUMIFS(Cantidades[167491],Cantidades[cod Idu],'CantidadesConsolidadas'!$A97),2)</f>
        <v>0</v>
      </c>
      <c r="J97" s="497">
        <f>ROUND(SUMIFS(Cantidades[167266],Cantidades[cod Idu],'CantidadesConsolidadas'!$A97),2)</f>
        <v>0</v>
      </c>
      <c r="K97" s="497">
        <f>ROUND(SUMIFS(Cantidades[170896],Cantidades[cod Idu],'CantidadesConsolidadas'!$A97),2)</f>
        <v>0</v>
      </c>
      <c r="L97" s="497">
        <f>ROUND(SUMIFS(Cantidades[170897],Cantidades[cod Idu],'CantidadesConsolidadas'!$A97),2)</f>
        <v>0</v>
      </c>
      <c r="M97" s="497">
        <f>ROUND(SUMIFS(Cantidades[170898],Cantidades[cod Idu],'CantidadesConsolidadas'!$A97),2)</f>
        <v>0</v>
      </c>
      <c r="N97" s="497">
        <f>ROUND(SUMIFS(Cantidades[91064150],Cantidades[cod Idu],'CantidadesConsolidadas'!$A97),2)</f>
        <v>0</v>
      </c>
      <c r="O97" s="497">
        <f>ROUND(SUMIFS(Cantidades[168919],Cantidades[cod Idu],'CantidadesConsolidadas'!$A97),2)</f>
        <v>0</v>
      </c>
      <c r="P97" s="497">
        <f>ROUND(SUMIFS(Cantidades[168426],Cantidades[cod Idu],'CantidadesConsolidadas'!$A97),2)</f>
        <v>0</v>
      </c>
      <c r="Q97" s="497">
        <f>ROUND(SUMIFS(Cantidades[91020796],Cantidades[cod Idu],'CantidadesConsolidadas'!$A97),2)</f>
        <v>0</v>
      </c>
      <c r="R97" s="497">
        <f>ROUND(SUMIFS(Cantidades[176184],Cantidades[cod Idu],'CantidadesConsolidadas'!$A97),2)</f>
        <v>0</v>
      </c>
      <c r="S97" s="497">
        <f>ROUND(SUMIFS(Cantidades[167636],Cantidades[cod Idu],'CantidadesConsolidadas'!$A97),2)</f>
        <v>0</v>
      </c>
      <c r="T97" s="497">
        <f>ROUND(SUMIFS(Cantidades[176730],Cantidades[cod Idu],'CantidadesConsolidadas'!$A97),2)</f>
        <v>0</v>
      </c>
      <c r="U97" s="497">
        <f>ROUND(SUMIFS(Cantidades[173038],Cantidades[cod Idu],'CantidadesConsolidadas'!$A97),2)</f>
        <v>0</v>
      </c>
      <c r="V97" s="497">
        <f>ROUND(SUMIFS(Cantidades[170222],Cantidades[cod Idu],'CantidadesConsolidadas'!$A97),2)</f>
        <v>0</v>
      </c>
      <c r="W97" s="497">
        <f>ROUND(SUMIFS(Cantidades[170229],Cantidades[cod Idu],'CantidadesConsolidadas'!$A97),2)</f>
        <v>0</v>
      </c>
      <c r="X97" s="497">
        <f>ROUND(SUMIFS(Cantidades[170227],Cantidades[cod Idu],'CantidadesConsolidadas'!$A97),2)</f>
        <v>0</v>
      </c>
      <c r="Y97" s="497">
        <f>ROUND(SUMIFS(Cantidades[170226],Cantidades[cod Idu],'CantidadesConsolidadas'!$A97),2)</f>
        <v>0</v>
      </c>
      <c r="Z97" s="497">
        <f>ROUND(SUMIFS(Cantidades[171567],Cantidades[cod Idu],'CantidadesConsolidadas'!$A97),2)</f>
        <v>0</v>
      </c>
      <c r="AA97" s="497">
        <f>ROUND(SUMIFS(Cantidades[166632],Cantidades[cod Idu],'CantidadesConsolidadas'!$A97),2)</f>
        <v>0</v>
      </c>
      <c r="AB97" s="497">
        <f>ROUND(SUMIFS(Cantidades[170228],Cantidades[cod Idu],'CantidadesConsolidadas'!$A97),2)</f>
        <v>0</v>
      </c>
      <c r="AC97" s="497">
        <f>ROUND(SUMIFS(Cantidades[172926],Cantidades[cod Idu],'CantidadesConsolidadas'!$A97),2)</f>
        <v>0</v>
      </c>
      <c r="AD97" s="497">
        <f>ROUND(SUMIFS(Cantidades[171152],Cantidades[cod Idu],'CantidadesConsolidadas'!$A97),2)</f>
        <v>0</v>
      </c>
      <c r="AE97" s="497">
        <f>ROUND(SUMIFS(Cantidades[173058],Cantidades[cod Idu],'CantidadesConsolidadas'!$A97),2)</f>
        <v>0</v>
      </c>
      <c r="AF97" s="726">
        <f>ROUND(SUMIFS(Cantidades[174478],Cantidades[cod Idu],'CantidadesConsolidadas'!$A97),2)</f>
        <v>0</v>
      </c>
      <c r="AG97" s="726">
        <f>ROUND(SUMIFS(Cantidades[91010089],Cantidades[cod Idu],'CantidadesConsolidadas'!$A97),2)</f>
        <v>0</v>
      </c>
      <c r="AH97" s="726">
        <f>ROUND(SUMIFS(Cantidades[176122],Cantidades[cod Idu],'CantidadesConsolidadas'!$A97),2)</f>
        <v>0</v>
      </c>
      <c r="AI97" s="726">
        <f>ROUND(SUMIFS(Cantidades[168536],Cantidades[cod Idu],'CantidadesConsolidadas'!$A97),2)</f>
        <v>0</v>
      </c>
      <c r="AJ97" s="497">
        <f>ROUND(SUMIFS(Cantidades[166934],Cantidades[cod Idu],'CantidadesConsolidadas'!$A97),2)</f>
        <v>0</v>
      </c>
      <c r="AK97" s="497">
        <f>ROUND(SUMIFS(Cantidades[174353],Cantidades[cod Idu],'CantidadesConsolidadas'!$A97),2)</f>
        <v>0</v>
      </c>
      <c r="AL97" s="751">
        <f>ROUND(SUMIFS(Cantidades[52531],Cantidades[cod Idu],'CantidadesConsolidadas'!$A97),2)</f>
        <v>0</v>
      </c>
      <c r="AM97" s="500">
        <f>ROUND(SUMIFS(Cantidades[52456],Cantidades[cod Idu],'CantidadesConsolidadas'!$A97),2)</f>
        <v>0</v>
      </c>
      <c r="AN97" s="500">
        <f>ROUND(SUMIFS(Cantidades[92058103],Cantidades[cod Idu],'CantidadesConsolidadas'!$A97),2)</f>
        <v>20.010000000000002</v>
      </c>
      <c r="AO97" s="500">
        <f>ROUND(SUMIFS(Cantidades[20011114],Cantidades[cod Idu],'CantidadesConsolidadas'!$A97),2)</f>
        <v>27.67</v>
      </c>
      <c r="AP97" s="500">
        <f>ROUND(SUMIFS(Cantidades[20013540],Cantidades[cod Idu],'CantidadesConsolidadas'!$A97),2)</f>
        <v>12.7</v>
      </c>
      <c r="AQ97" s="500">
        <f>ROUND(SUMIFS(Cantidades[55337],Cantidades[cod Idu],'CantidadesConsolidadas'!$A97),2)</f>
        <v>41.85</v>
      </c>
      <c r="AR97" s="500">
        <f>ROUND(SUMIFS(Cantidades[92087422],Cantidades[cod Idu],'CantidadesConsolidadas'!$A97),2)</f>
        <v>86.68</v>
      </c>
      <c r="AS97" s="500">
        <f>ROUND(SUMIFS(Cantidades[55259],Cantidades[cod Idu],'CantidadesConsolidadas'!$A97),2)</f>
        <v>78.11</v>
      </c>
      <c r="AT97" s="500">
        <f>ROUND(SUMIFS(Cantidades[466904],Cantidades[cod Idu],'CantidadesConsolidadas'!$A97),2)</f>
        <v>8</v>
      </c>
      <c r="AU97" s="500">
        <f>ROUND(SUMIFS(Cantidades[48591],Cantidades[cod Idu],'CantidadesConsolidadas'!$A97),2)</f>
        <v>172.21</v>
      </c>
      <c r="AV97" s="500">
        <f>ROUND(SUMIFS(Cantidades[48590],Cantidades[cod Idu],'CantidadesConsolidadas'!$A97),2)</f>
        <v>0</v>
      </c>
      <c r="AW97" s="500">
        <f>ROUND(SUMIFS(Cantidades[48561],Cantidades[cod Idu],'CantidadesConsolidadas'!$A97),2)</f>
        <v>0</v>
      </c>
      <c r="AX97" s="805">
        <f>ROUND(SUMIFS(Cantidades[48560],Cantidades[cod Idu],'CantidadesConsolidadas'!$A97),2)</f>
        <v>0</v>
      </c>
      <c r="AY97" s="805">
        <f>ROUND(SUMIFS(Cantidades[48657],Cantidades[cod Idu],'CantidadesConsolidadas'!$A97),2)</f>
        <v>0</v>
      </c>
      <c r="AZ97" s="752">
        <f>ROUND(SUMIFS(Cantidades[48655],Cantidades[cod Idu],'CantidadesConsolidadas'!$A97),2)</f>
        <v>0</v>
      </c>
      <c r="BA97" s="758">
        <f>SUBTOTAL(9,CantidadesConsolidadas[[#This Row],[91013913]:[48655]])</f>
        <v>447.23</v>
      </c>
      <c r="BB97" s="638">
        <f>ROUND(CantidadesConsolidadas[[#This Row],[Total]]*CantidadesConsolidadas[[#This Row],[VU]],0)</f>
        <v>15494283</v>
      </c>
    </row>
    <row r="98" spans="1:54" ht="43.8" thickBot="1" x14ac:dyDescent="0.35">
      <c r="A98">
        <v>6102</v>
      </c>
      <c r="B98" s="606" t="str">
        <f>+_xlfn.XLOOKUP(CantidadesConsolidadas[[#This Row],[cod Idu]],APU_IDU[Código],APU_IDU[Nombre],"",0)</f>
        <v>CENEFA LINEAL EN LOSETA PREFABRICADA TÁCTIL ALERTA Y GUÍA A55 / A56 ANCHO 0.40m (SUMINISTRO E INSTALACIÓN. INCLUYE BASE EN ARENA DE NIVELACIÓN e= 4cm Y ARENA DE SELLO).</v>
      </c>
      <c r="C98" s="609" t="str">
        <f>+_xlfn.XLOOKUP(CantidadesConsolidadas[[#This Row],[cod Idu]],APU_IDU[Código],APU_IDU[UM],"",0)</f>
        <v>ML</v>
      </c>
      <c r="D98" s="743">
        <f>+_xlfn.XLOOKUP(CantidadesConsolidadas[[#This Row],[cod Idu]],APU_IDU[Código],APU_IDU[Valor],"",0)</f>
        <v>49918</v>
      </c>
      <c r="E98" s="497">
        <f>ROUND(SUMIFS(Cantidades[91013913],Cantidades[cod Idu],'CantidadesConsolidadas'!$A98),2)</f>
        <v>0</v>
      </c>
      <c r="F98" s="497">
        <f>ROUND(SUMIFS(Cantidades[472330],Cantidades[cod Idu],'CantidadesConsolidadas'!$A98),2)</f>
        <v>0</v>
      </c>
      <c r="G98" s="497">
        <f>ROUND(SUMIFS(Cantidades[167810],Cantidades[cod Idu],'CantidadesConsolidadas'!$A98),2)</f>
        <v>0</v>
      </c>
      <c r="H98" s="497">
        <f>ROUND(SUMIFS(Cantidades[166646],Cantidades[cod Idu],'CantidadesConsolidadas'!$A98),2)</f>
        <v>0</v>
      </c>
      <c r="I98" s="497">
        <f>ROUND(SUMIFS(Cantidades[167491],Cantidades[cod Idu],'CantidadesConsolidadas'!$A98),2)</f>
        <v>0</v>
      </c>
      <c r="J98" s="497">
        <f>ROUND(SUMIFS(Cantidades[167266],Cantidades[cod Idu],'CantidadesConsolidadas'!$A98),2)</f>
        <v>0</v>
      </c>
      <c r="K98" s="497">
        <f>ROUND(SUMIFS(Cantidades[170896],Cantidades[cod Idu],'CantidadesConsolidadas'!$A98),2)</f>
        <v>0</v>
      </c>
      <c r="L98" s="497">
        <f>ROUND(SUMIFS(Cantidades[170897],Cantidades[cod Idu],'CantidadesConsolidadas'!$A98),2)</f>
        <v>0</v>
      </c>
      <c r="M98" s="497">
        <f>ROUND(SUMIFS(Cantidades[170898],Cantidades[cod Idu],'CantidadesConsolidadas'!$A98),2)</f>
        <v>0</v>
      </c>
      <c r="N98" s="497">
        <f>ROUND(SUMIFS(Cantidades[91064150],Cantidades[cod Idu],'CantidadesConsolidadas'!$A98),2)</f>
        <v>0</v>
      </c>
      <c r="O98" s="497">
        <f>ROUND(SUMIFS(Cantidades[168919],Cantidades[cod Idu],'CantidadesConsolidadas'!$A98),2)</f>
        <v>0</v>
      </c>
      <c r="P98" s="497">
        <f>ROUND(SUMIFS(Cantidades[168426],Cantidades[cod Idu],'CantidadesConsolidadas'!$A98),2)</f>
        <v>0</v>
      </c>
      <c r="Q98" s="497">
        <f>ROUND(SUMIFS(Cantidades[91020796],Cantidades[cod Idu],'CantidadesConsolidadas'!$A98),2)</f>
        <v>0</v>
      </c>
      <c r="R98" s="497">
        <f>ROUND(SUMIFS(Cantidades[176184],Cantidades[cod Idu],'CantidadesConsolidadas'!$A98),2)</f>
        <v>0</v>
      </c>
      <c r="S98" s="497">
        <f>ROUND(SUMIFS(Cantidades[167636],Cantidades[cod Idu],'CantidadesConsolidadas'!$A98),2)</f>
        <v>0</v>
      </c>
      <c r="T98" s="497">
        <f>ROUND(SUMIFS(Cantidades[176730],Cantidades[cod Idu],'CantidadesConsolidadas'!$A98),2)</f>
        <v>0</v>
      </c>
      <c r="U98" s="497">
        <f>ROUND(SUMIFS(Cantidades[173038],Cantidades[cod Idu],'CantidadesConsolidadas'!$A98),2)</f>
        <v>0</v>
      </c>
      <c r="V98" s="497">
        <f>ROUND(SUMIFS(Cantidades[170222],Cantidades[cod Idu],'CantidadesConsolidadas'!$A98),2)</f>
        <v>0</v>
      </c>
      <c r="W98" s="497">
        <f>ROUND(SUMIFS(Cantidades[170229],Cantidades[cod Idu],'CantidadesConsolidadas'!$A98),2)</f>
        <v>0</v>
      </c>
      <c r="X98" s="497">
        <f>ROUND(SUMIFS(Cantidades[170227],Cantidades[cod Idu],'CantidadesConsolidadas'!$A98),2)</f>
        <v>0</v>
      </c>
      <c r="Y98" s="497">
        <f>ROUND(SUMIFS(Cantidades[170226],Cantidades[cod Idu],'CantidadesConsolidadas'!$A98),2)</f>
        <v>0</v>
      </c>
      <c r="Z98" s="497">
        <f>ROUND(SUMIFS(Cantidades[171567],Cantidades[cod Idu],'CantidadesConsolidadas'!$A98),2)</f>
        <v>0</v>
      </c>
      <c r="AA98" s="497">
        <f>ROUND(SUMIFS(Cantidades[166632],Cantidades[cod Idu],'CantidadesConsolidadas'!$A98),2)</f>
        <v>0</v>
      </c>
      <c r="AB98" s="497">
        <f>ROUND(SUMIFS(Cantidades[170228],Cantidades[cod Idu],'CantidadesConsolidadas'!$A98),2)</f>
        <v>0</v>
      </c>
      <c r="AC98" s="497">
        <f>ROUND(SUMIFS(Cantidades[172926],Cantidades[cod Idu],'CantidadesConsolidadas'!$A98),2)</f>
        <v>0</v>
      </c>
      <c r="AD98" s="497">
        <f>ROUND(SUMIFS(Cantidades[171152],Cantidades[cod Idu],'CantidadesConsolidadas'!$A98),2)</f>
        <v>0</v>
      </c>
      <c r="AE98" s="497">
        <f>ROUND(SUMIFS(Cantidades[173058],Cantidades[cod Idu],'CantidadesConsolidadas'!$A98),2)</f>
        <v>0</v>
      </c>
      <c r="AF98" s="726">
        <f>ROUND(SUMIFS(Cantidades[174478],Cantidades[cod Idu],'CantidadesConsolidadas'!$A98),2)</f>
        <v>0</v>
      </c>
      <c r="AG98" s="726">
        <f>ROUND(SUMIFS(Cantidades[91010089],Cantidades[cod Idu],'CantidadesConsolidadas'!$A98),2)</f>
        <v>0</v>
      </c>
      <c r="AH98" s="726">
        <f>ROUND(SUMIFS(Cantidades[176122],Cantidades[cod Idu],'CantidadesConsolidadas'!$A98),2)</f>
        <v>0</v>
      </c>
      <c r="AI98" s="726">
        <f>ROUND(SUMIFS(Cantidades[168536],Cantidades[cod Idu],'CantidadesConsolidadas'!$A98),2)</f>
        <v>0</v>
      </c>
      <c r="AJ98" s="497">
        <f>ROUND(SUMIFS(Cantidades[166934],Cantidades[cod Idu],'CantidadesConsolidadas'!$A98),2)</f>
        <v>0</v>
      </c>
      <c r="AK98" s="497">
        <f>ROUND(SUMIFS(Cantidades[174353],Cantidades[cod Idu],'CantidadesConsolidadas'!$A98),2)</f>
        <v>0</v>
      </c>
      <c r="AL98" s="751">
        <f>ROUND(SUMIFS(Cantidades[52531],Cantidades[cod Idu],'CantidadesConsolidadas'!$A98),2)</f>
        <v>0</v>
      </c>
      <c r="AM98" s="500">
        <f>ROUND(SUMIFS(Cantidades[52456],Cantidades[cod Idu],'CantidadesConsolidadas'!$A98),2)</f>
        <v>0</v>
      </c>
      <c r="AN98" s="500">
        <f>ROUND(SUMIFS(Cantidades[92058103],Cantidades[cod Idu],'CantidadesConsolidadas'!$A98),2)</f>
        <v>0</v>
      </c>
      <c r="AO98" s="500">
        <f>ROUND(SUMIFS(Cantidades[20011114],Cantidades[cod Idu],'CantidadesConsolidadas'!$A98),2)</f>
        <v>0</v>
      </c>
      <c r="AP98" s="500">
        <f>ROUND(SUMIFS(Cantidades[20013540],Cantidades[cod Idu],'CantidadesConsolidadas'!$A98),2)</f>
        <v>0</v>
      </c>
      <c r="AQ98" s="500">
        <f>ROUND(SUMIFS(Cantidades[55337],Cantidades[cod Idu],'CantidadesConsolidadas'!$A98),2)</f>
        <v>0</v>
      </c>
      <c r="AR98" s="500">
        <f>ROUND(SUMIFS(Cantidades[92087422],Cantidades[cod Idu],'CantidadesConsolidadas'!$A98),2)</f>
        <v>0</v>
      </c>
      <c r="AS98" s="500">
        <f>ROUND(SUMIFS(Cantidades[55259],Cantidades[cod Idu],'CantidadesConsolidadas'!$A98),2)</f>
        <v>0</v>
      </c>
      <c r="AT98" s="500">
        <f>ROUND(SUMIFS(Cantidades[466904],Cantidades[cod Idu],'CantidadesConsolidadas'!$A98),2)</f>
        <v>0</v>
      </c>
      <c r="AU98" s="500">
        <f>ROUND(SUMIFS(Cantidades[48591],Cantidades[cod Idu],'CantidadesConsolidadas'!$A98),2)</f>
        <v>0</v>
      </c>
      <c r="AV98" s="500">
        <f>ROUND(SUMIFS(Cantidades[48590],Cantidades[cod Idu],'CantidadesConsolidadas'!$A98),2)</f>
        <v>171.88</v>
      </c>
      <c r="AW98" s="500">
        <f>ROUND(SUMIFS(Cantidades[48561],Cantidades[cod Idu],'CantidadesConsolidadas'!$A98),2)</f>
        <v>176.66</v>
      </c>
      <c r="AX98" s="805">
        <f>ROUND(SUMIFS(Cantidades[48560],Cantidades[cod Idu],'CantidadesConsolidadas'!$A98),2)</f>
        <v>177.87</v>
      </c>
      <c r="AY98" s="805">
        <f>ROUND(SUMIFS(Cantidades[48657],Cantidades[cod Idu],'CantidadesConsolidadas'!$A98),2)</f>
        <v>35.14</v>
      </c>
      <c r="AZ98" s="752">
        <f>ROUND(SUMIFS(Cantidades[48655],Cantidades[cod Idu],'CantidadesConsolidadas'!$A98),2)</f>
        <v>39.770000000000003</v>
      </c>
      <c r="BA98" s="758">
        <f>SUBTOTAL(9,CantidadesConsolidadas[[#This Row],[91013913]:[48655]])</f>
        <v>601.31999999999994</v>
      </c>
      <c r="BB98" s="638">
        <f>ROUND(CantidadesConsolidadas[[#This Row],[Total]]*CantidadesConsolidadas[[#This Row],[VU]],0)</f>
        <v>30016692</v>
      </c>
    </row>
    <row r="99" spans="1:54" ht="29.4" thickBot="1" x14ac:dyDescent="0.35">
      <c r="A99">
        <v>6422</v>
      </c>
      <c r="B99" s="606" t="str">
        <f>+_xlfn.XLOOKUP(CantidadesConsolidadas[[#This Row],[cod Idu]],APU_IDU[Código],APU_IDU[Nombre],"",0)</f>
        <v>REJILLA PREFABRICADA EN CONCRETO 0,4M X 0,4M. (INCLUYE SUMINISTRO Y COLOCACIÓN, MORTERO DE 2000 PSI Y MANO DE OBRA)</v>
      </c>
      <c r="C99" s="609" t="str">
        <f>+_xlfn.XLOOKUP(CantidadesConsolidadas[[#This Row],[cod Idu]],APU_IDU[Código],APU_IDU[UM],"",0)</f>
        <v>UN</v>
      </c>
      <c r="D99" s="743">
        <f>+_xlfn.XLOOKUP(CantidadesConsolidadas[[#This Row],[cod Idu]],APU_IDU[Código],APU_IDU[Valor],"",0)</f>
        <v>96916</v>
      </c>
      <c r="E99" s="497">
        <f>ROUND(SUMIFS(Cantidades[91013913],Cantidades[cod Idu],'CantidadesConsolidadas'!$A99),2)</f>
        <v>0</v>
      </c>
      <c r="F99" s="497">
        <f>ROUND(SUMIFS(Cantidades[472330],Cantidades[cod Idu],'CantidadesConsolidadas'!$A99),2)</f>
        <v>0</v>
      </c>
      <c r="G99" s="497">
        <f>ROUND(SUMIFS(Cantidades[167810],Cantidades[cod Idu],'CantidadesConsolidadas'!$A99),2)</f>
        <v>0</v>
      </c>
      <c r="H99" s="497">
        <f>ROUND(SUMIFS(Cantidades[166646],Cantidades[cod Idu],'CantidadesConsolidadas'!$A99),2)</f>
        <v>0</v>
      </c>
      <c r="I99" s="497">
        <f>ROUND(SUMIFS(Cantidades[167491],Cantidades[cod Idu],'CantidadesConsolidadas'!$A99),2)</f>
        <v>0</v>
      </c>
      <c r="J99" s="497">
        <f>ROUND(SUMIFS(Cantidades[167266],Cantidades[cod Idu],'CantidadesConsolidadas'!$A99),2)</f>
        <v>0</v>
      </c>
      <c r="K99" s="497">
        <f>ROUND(SUMIFS(Cantidades[170896],Cantidades[cod Idu],'CantidadesConsolidadas'!$A99),2)</f>
        <v>0</v>
      </c>
      <c r="L99" s="497">
        <f>ROUND(SUMIFS(Cantidades[170897],Cantidades[cod Idu],'CantidadesConsolidadas'!$A99),2)</f>
        <v>0</v>
      </c>
      <c r="M99" s="497">
        <f>ROUND(SUMIFS(Cantidades[170898],Cantidades[cod Idu],'CantidadesConsolidadas'!$A99),2)</f>
        <v>0</v>
      </c>
      <c r="N99" s="497">
        <f>ROUND(SUMIFS(Cantidades[91064150],Cantidades[cod Idu],'CantidadesConsolidadas'!$A99),2)</f>
        <v>0</v>
      </c>
      <c r="O99" s="497">
        <f>ROUND(SUMIFS(Cantidades[168919],Cantidades[cod Idu],'CantidadesConsolidadas'!$A99),2)</f>
        <v>0</v>
      </c>
      <c r="P99" s="497">
        <f>ROUND(SUMIFS(Cantidades[168426],Cantidades[cod Idu],'CantidadesConsolidadas'!$A99),2)</f>
        <v>0</v>
      </c>
      <c r="Q99" s="497">
        <f>ROUND(SUMIFS(Cantidades[91020796],Cantidades[cod Idu],'CantidadesConsolidadas'!$A99),2)</f>
        <v>0</v>
      </c>
      <c r="R99" s="497">
        <f>ROUND(SUMIFS(Cantidades[176184],Cantidades[cod Idu],'CantidadesConsolidadas'!$A99),2)</f>
        <v>0</v>
      </c>
      <c r="S99" s="497">
        <f>ROUND(SUMIFS(Cantidades[167636],Cantidades[cod Idu],'CantidadesConsolidadas'!$A99),2)</f>
        <v>0</v>
      </c>
      <c r="T99" s="497">
        <f>ROUND(SUMIFS(Cantidades[176730],Cantidades[cod Idu],'CantidadesConsolidadas'!$A99),2)</f>
        <v>0</v>
      </c>
      <c r="U99" s="497">
        <f>ROUND(SUMIFS(Cantidades[173038],Cantidades[cod Idu],'CantidadesConsolidadas'!$A99),2)</f>
        <v>0</v>
      </c>
      <c r="V99" s="497">
        <f>ROUND(SUMIFS(Cantidades[170222],Cantidades[cod Idu],'CantidadesConsolidadas'!$A99),2)</f>
        <v>0</v>
      </c>
      <c r="W99" s="497">
        <f>ROUND(SUMIFS(Cantidades[170229],Cantidades[cod Idu],'CantidadesConsolidadas'!$A99),2)</f>
        <v>0</v>
      </c>
      <c r="X99" s="497">
        <f>ROUND(SUMIFS(Cantidades[170227],Cantidades[cod Idu],'CantidadesConsolidadas'!$A99),2)</f>
        <v>0</v>
      </c>
      <c r="Y99" s="497">
        <f>ROUND(SUMIFS(Cantidades[170226],Cantidades[cod Idu],'CantidadesConsolidadas'!$A99),2)</f>
        <v>0</v>
      </c>
      <c r="Z99" s="497">
        <f>ROUND(SUMIFS(Cantidades[171567],Cantidades[cod Idu],'CantidadesConsolidadas'!$A99),2)</f>
        <v>0</v>
      </c>
      <c r="AA99" s="497">
        <f>ROUND(SUMIFS(Cantidades[166632],Cantidades[cod Idu],'CantidadesConsolidadas'!$A99),2)</f>
        <v>0</v>
      </c>
      <c r="AB99" s="497">
        <f>ROUND(SUMIFS(Cantidades[170228],Cantidades[cod Idu],'CantidadesConsolidadas'!$A99),2)</f>
        <v>0</v>
      </c>
      <c r="AC99" s="497">
        <f>ROUND(SUMIFS(Cantidades[172926],Cantidades[cod Idu],'CantidadesConsolidadas'!$A99),2)</f>
        <v>0</v>
      </c>
      <c r="AD99" s="497">
        <f>ROUND(SUMIFS(Cantidades[171152],Cantidades[cod Idu],'CantidadesConsolidadas'!$A99),2)</f>
        <v>0</v>
      </c>
      <c r="AE99" s="497">
        <f>ROUND(SUMIFS(Cantidades[173058],Cantidades[cod Idu],'CantidadesConsolidadas'!$A99),2)</f>
        <v>0</v>
      </c>
      <c r="AF99" s="726">
        <f>ROUND(SUMIFS(Cantidades[174478],Cantidades[cod Idu],'CantidadesConsolidadas'!$A99),2)</f>
        <v>0</v>
      </c>
      <c r="AG99" s="726">
        <f>ROUND(SUMIFS(Cantidades[91010089],Cantidades[cod Idu],'CantidadesConsolidadas'!$A99),2)</f>
        <v>0</v>
      </c>
      <c r="AH99" s="726">
        <f>ROUND(SUMIFS(Cantidades[176122],Cantidades[cod Idu],'CantidadesConsolidadas'!$A99),2)</f>
        <v>0</v>
      </c>
      <c r="AI99" s="726">
        <f>ROUND(SUMIFS(Cantidades[168536],Cantidades[cod Idu],'CantidadesConsolidadas'!$A99),2)</f>
        <v>0</v>
      </c>
      <c r="AJ99" s="497">
        <f>ROUND(SUMIFS(Cantidades[166934],Cantidades[cod Idu],'CantidadesConsolidadas'!$A99),2)</f>
        <v>0</v>
      </c>
      <c r="AK99" s="497">
        <f>ROUND(SUMIFS(Cantidades[174353],Cantidades[cod Idu],'CantidadesConsolidadas'!$A99),2)</f>
        <v>0</v>
      </c>
      <c r="AL99" s="751">
        <f>ROUND(SUMIFS(Cantidades[52531],Cantidades[cod Idu],'CantidadesConsolidadas'!$A99),2)</f>
        <v>0</v>
      </c>
      <c r="AM99" s="500">
        <f>ROUND(SUMIFS(Cantidades[52456],Cantidades[cod Idu],'CantidadesConsolidadas'!$A99),2)</f>
        <v>0</v>
      </c>
      <c r="AN99" s="500">
        <f>ROUND(SUMIFS(Cantidades[92058103],Cantidades[cod Idu],'CantidadesConsolidadas'!$A99),2)</f>
        <v>1</v>
      </c>
      <c r="AO99" s="500">
        <f>ROUND(SUMIFS(Cantidades[20011114],Cantidades[cod Idu],'CantidadesConsolidadas'!$A99),2)</f>
        <v>1</v>
      </c>
      <c r="AP99" s="500">
        <f>ROUND(SUMIFS(Cantidades[20013540],Cantidades[cod Idu],'CantidadesConsolidadas'!$A99),2)</f>
        <v>1</v>
      </c>
      <c r="AQ99" s="500">
        <f>ROUND(SUMIFS(Cantidades[55337],Cantidades[cod Idu],'CantidadesConsolidadas'!$A99),2)</f>
        <v>1</v>
      </c>
      <c r="AR99" s="500">
        <f>ROUND(SUMIFS(Cantidades[92087422],Cantidades[cod Idu],'CantidadesConsolidadas'!$A99),2)</f>
        <v>1</v>
      </c>
      <c r="AS99" s="500">
        <f>ROUND(SUMIFS(Cantidades[55259],Cantidades[cod Idu],'CantidadesConsolidadas'!$A99),2)</f>
        <v>1</v>
      </c>
      <c r="AT99" s="500">
        <f>ROUND(SUMIFS(Cantidades[466904],Cantidades[cod Idu],'CantidadesConsolidadas'!$A99),2)</f>
        <v>1</v>
      </c>
      <c r="AU99" s="500">
        <f>ROUND(SUMIFS(Cantidades[48591],Cantidades[cod Idu],'CantidadesConsolidadas'!$A99),2)</f>
        <v>1</v>
      </c>
      <c r="AV99" s="500">
        <f>ROUND(SUMIFS(Cantidades[48590],Cantidades[cod Idu],'CantidadesConsolidadas'!$A99),2)</f>
        <v>1</v>
      </c>
      <c r="AW99" s="500">
        <f>ROUND(SUMIFS(Cantidades[48561],Cantidades[cod Idu],'CantidadesConsolidadas'!$A99),2)</f>
        <v>1</v>
      </c>
      <c r="AX99" s="805">
        <f>ROUND(SUMIFS(Cantidades[48560],Cantidades[cod Idu],'CantidadesConsolidadas'!$A99),2)</f>
        <v>1</v>
      </c>
      <c r="AY99" s="805">
        <f>ROUND(SUMIFS(Cantidades[48657],Cantidades[cod Idu],'CantidadesConsolidadas'!$A99),2)</f>
        <v>0</v>
      </c>
      <c r="AZ99" s="752">
        <f>ROUND(SUMIFS(Cantidades[48655],Cantidades[cod Idu],'CantidadesConsolidadas'!$A99),2)</f>
        <v>0</v>
      </c>
      <c r="BA99" s="758">
        <f>SUBTOTAL(9,CantidadesConsolidadas[[#This Row],[91013913]:[48655]])</f>
        <v>11</v>
      </c>
      <c r="BB99" s="638">
        <f>ROUND(CantidadesConsolidadas[[#This Row],[Total]]*CantidadesConsolidadas[[#This Row],[VU]],0)</f>
        <v>1066076</v>
      </c>
    </row>
    <row r="100" spans="1:54" ht="15" thickBot="1" x14ac:dyDescent="0.35">
      <c r="A100">
        <v>4751</v>
      </c>
      <c r="B100" s="606" t="str">
        <f>+_xlfn.XLOOKUP(CantidadesConsolidadas[[#This Row],[cod Idu]],APU_IDU[Código],APU_IDU[Nombre],"",0)</f>
        <v>FRANJA DE AJUSTE EN CONCRETO 3000 PSI E= 10 CM ANCHO ENTRE 12-20CM</v>
      </c>
      <c r="C100" s="609" t="str">
        <f>+_xlfn.XLOOKUP(CantidadesConsolidadas[[#This Row],[cod Idu]],APU_IDU[Código],APU_IDU[UM],"",0)</f>
        <v>ML</v>
      </c>
      <c r="D100" s="743">
        <f>+_xlfn.XLOOKUP(CantidadesConsolidadas[[#This Row],[cod Idu]],APU_IDU[Código],APU_IDU[Valor],"",0)</f>
        <v>16528</v>
      </c>
      <c r="E100" s="497">
        <f>ROUND(SUMIFS(Cantidades[91013913],Cantidades[cod Idu],'CantidadesConsolidadas'!$A100),2)</f>
        <v>0</v>
      </c>
      <c r="F100" s="497">
        <f>ROUND(SUMIFS(Cantidades[472330],Cantidades[cod Idu],'CantidadesConsolidadas'!$A100),2)</f>
        <v>0</v>
      </c>
      <c r="G100" s="497">
        <f>ROUND(SUMIFS(Cantidades[167810],Cantidades[cod Idu],'CantidadesConsolidadas'!$A100),2)</f>
        <v>0</v>
      </c>
      <c r="H100" s="497">
        <f>ROUND(SUMIFS(Cantidades[166646],Cantidades[cod Idu],'CantidadesConsolidadas'!$A100),2)</f>
        <v>0</v>
      </c>
      <c r="I100" s="497">
        <f>ROUND(SUMIFS(Cantidades[167491],Cantidades[cod Idu],'CantidadesConsolidadas'!$A100),2)</f>
        <v>0</v>
      </c>
      <c r="J100" s="497">
        <f>ROUND(SUMIFS(Cantidades[167266],Cantidades[cod Idu],'CantidadesConsolidadas'!$A100),2)</f>
        <v>0</v>
      </c>
      <c r="K100" s="497">
        <f>ROUND(SUMIFS(Cantidades[170896],Cantidades[cod Idu],'CantidadesConsolidadas'!$A100),2)</f>
        <v>0</v>
      </c>
      <c r="L100" s="497">
        <f>ROUND(SUMIFS(Cantidades[170897],Cantidades[cod Idu],'CantidadesConsolidadas'!$A100),2)</f>
        <v>0</v>
      </c>
      <c r="M100" s="497">
        <f>ROUND(SUMIFS(Cantidades[170898],Cantidades[cod Idu],'CantidadesConsolidadas'!$A100),2)</f>
        <v>0</v>
      </c>
      <c r="N100" s="497">
        <f>ROUND(SUMIFS(Cantidades[91064150],Cantidades[cod Idu],'CantidadesConsolidadas'!$A100),2)</f>
        <v>0</v>
      </c>
      <c r="O100" s="497">
        <f>ROUND(SUMIFS(Cantidades[168919],Cantidades[cod Idu],'CantidadesConsolidadas'!$A100),2)</f>
        <v>0</v>
      </c>
      <c r="P100" s="497">
        <f>ROUND(SUMIFS(Cantidades[168426],Cantidades[cod Idu],'CantidadesConsolidadas'!$A100),2)</f>
        <v>0</v>
      </c>
      <c r="Q100" s="497">
        <f>ROUND(SUMIFS(Cantidades[91020796],Cantidades[cod Idu],'CantidadesConsolidadas'!$A100),2)</f>
        <v>0</v>
      </c>
      <c r="R100" s="497">
        <f>ROUND(SUMIFS(Cantidades[176184],Cantidades[cod Idu],'CantidadesConsolidadas'!$A100),2)</f>
        <v>0</v>
      </c>
      <c r="S100" s="497">
        <f>ROUND(SUMIFS(Cantidades[167636],Cantidades[cod Idu],'CantidadesConsolidadas'!$A100),2)</f>
        <v>0</v>
      </c>
      <c r="T100" s="497">
        <f>ROUND(SUMIFS(Cantidades[176730],Cantidades[cod Idu],'CantidadesConsolidadas'!$A100),2)</f>
        <v>0</v>
      </c>
      <c r="U100" s="497">
        <f>ROUND(SUMIFS(Cantidades[173038],Cantidades[cod Idu],'CantidadesConsolidadas'!$A100),2)</f>
        <v>0</v>
      </c>
      <c r="V100" s="497">
        <f>ROUND(SUMIFS(Cantidades[170222],Cantidades[cod Idu],'CantidadesConsolidadas'!$A100),2)</f>
        <v>0</v>
      </c>
      <c r="W100" s="497">
        <f>ROUND(SUMIFS(Cantidades[170229],Cantidades[cod Idu],'CantidadesConsolidadas'!$A100),2)</f>
        <v>0</v>
      </c>
      <c r="X100" s="497">
        <f>ROUND(SUMIFS(Cantidades[170227],Cantidades[cod Idu],'CantidadesConsolidadas'!$A100),2)</f>
        <v>0</v>
      </c>
      <c r="Y100" s="497">
        <f>ROUND(SUMIFS(Cantidades[170226],Cantidades[cod Idu],'CantidadesConsolidadas'!$A100),2)</f>
        <v>0</v>
      </c>
      <c r="Z100" s="497">
        <f>ROUND(SUMIFS(Cantidades[171567],Cantidades[cod Idu],'CantidadesConsolidadas'!$A100),2)</f>
        <v>0</v>
      </c>
      <c r="AA100" s="497">
        <f>ROUND(SUMIFS(Cantidades[166632],Cantidades[cod Idu],'CantidadesConsolidadas'!$A100),2)</f>
        <v>0</v>
      </c>
      <c r="AB100" s="497">
        <f>ROUND(SUMIFS(Cantidades[170228],Cantidades[cod Idu],'CantidadesConsolidadas'!$A100),2)</f>
        <v>0</v>
      </c>
      <c r="AC100" s="497">
        <f>ROUND(SUMIFS(Cantidades[172926],Cantidades[cod Idu],'CantidadesConsolidadas'!$A100),2)</f>
        <v>0</v>
      </c>
      <c r="AD100" s="497">
        <f>ROUND(SUMIFS(Cantidades[171152],Cantidades[cod Idu],'CantidadesConsolidadas'!$A100),2)</f>
        <v>0</v>
      </c>
      <c r="AE100" s="497">
        <f>ROUND(SUMIFS(Cantidades[173058],Cantidades[cod Idu],'CantidadesConsolidadas'!$A100),2)</f>
        <v>0</v>
      </c>
      <c r="AF100" s="726">
        <f>ROUND(SUMIFS(Cantidades[174478],Cantidades[cod Idu],'CantidadesConsolidadas'!$A100),2)</f>
        <v>0</v>
      </c>
      <c r="AG100" s="726">
        <f>ROUND(SUMIFS(Cantidades[91010089],Cantidades[cod Idu],'CantidadesConsolidadas'!$A100),2)</f>
        <v>0</v>
      </c>
      <c r="AH100" s="726">
        <f>ROUND(SUMIFS(Cantidades[176122],Cantidades[cod Idu],'CantidadesConsolidadas'!$A100),2)</f>
        <v>0</v>
      </c>
      <c r="AI100" s="726">
        <f>ROUND(SUMIFS(Cantidades[168536],Cantidades[cod Idu],'CantidadesConsolidadas'!$A100),2)</f>
        <v>0</v>
      </c>
      <c r="AJ100" s="497">
        <f>ROUND(SUMIFS(Cantidades[166934],Cantidades[cod Idu],'CantidadesConsolidadas'!$A100),2)</f>
        <v>0</v>
      </c>
      <c r="AK100" s="497">
        <f>ROUND(SUMIFS(Cantidades[174353],Cantidades[cod Idu],'CantidadesConsolidadas'!$A100),2)</f>
        <v>0</v>
      </c>
      <c r="AL100" s="751">
        <f>ROUND(SUMIFS(Cantidades[52531],Cantidades[cod Idu],'CantidadesConsolidadas'!$A100),2)</f>
        <v>0</v>
      </c>
      <c r="AM100" s="500">
        <f>ROUND(SUMIFS(Cantidades[52456],Cantidades[cod Idu],'CantidadesConsolidadas'!$A100),2)</f>
        <v>0</v>
      </c>
      <c r="AN100" s="500">
        <f>ROUND(SUMIFS(Cantidades[92058103],Cantidades[cod Idu],'CantidadesConsolidadas'!$A100),2)</f>
        <v>0</v>
      </c>
      <c r="AO100" s="500">
        <f>ROUND(SUMIFS(Cantidades[20011114],Cantidades[cod Idu],'CantidadesConsolidadas'!$A100),2)</f>
        <v>27.67</v>
      </c>
      <c r="AP100" s="500">
        <f>ROUND(SUMIFS(Cantidades[20013540],Cantidades[cod Idu],'CantidadesConsolidadas'!$A100),2)</f>
        <v>0</v>
      </c>
      <c r="AQ100" s="500">
        <f>ROUND(SUMIFS(Cantidades[55337],Cantidades[cod Idu],'CantidadesConsolidadas'!$A100),2)</f>
        <v>0</v>
      </c>
      <c r="AR100" s="500">
        <f>ROUND(SUMIFS(Cantidades[92087422],Cantidades[cod Idu],'CantidadesConsolidadas'!$A100),2)</f>
        <v>0</v>
      </c>
      <c r="AS100" s="500">
        <f>ROUND(SUMIFS(Cantidades[55259],Cantidades[cod Idu],'CantidadesConsolidadas'!$A100),2)</f>
        <v>0</v>
      </c>
      <c r="AT100" s="500">
        <f>ROUND(SUMIFS(Cantidades[466904],Cantidades[cod Idu],'CantidadesConsolidadas'!$A100),2)</f>
        <v>0</v>
      </c>
      <c r="AU100" s="500">
        <f>ROUND(SUMIFS(Cantidades[48591],Cantidades[cod Idu],'CantidadesConsolidadas'!$A100),2)</f>
        <v>0</v>
      </c>
      <c r="AV100" s="500">
        <f>ROUND(SUMIFS(Cantidades[48590],Cantidades[cod Idu],'CantidadesConsolidadas'!$A100),2)</f>
        <v>0</v>
      </c>
      <c r="AW100" s="500">
        <f>ROUND(SUMIFS(Cantidades[48561],Cantidades[cod Idu],'CantidadesConsolidadas'!$A100),2)</f>
        <v>0</v>
      </c>
      <c r="AX100" s="805">
        <f>ROUND(SUMIFS(Cantidades[48560],Cantidades[cod Idu],'CantidadesConsolidadas'!$A100),2)</f>
        <v>0</v>
      </c>
      <c r="AY100" s="805">
        <f>ROUND(SUMIFS(Cantidades[48657],Cantidades[cod Idu],'CantidadesConsolidadas'!$A100),2)</f>
        <v>0</v>
      </c>
      <c r="AZ100" s="752">
        <f>ROUND(SUMIFS(Cantidades[48655],Cantidades[cod Idu],'CantidadesConsolidadas'!$A100),2)</f>
        <v>0</v>
      </c>
      <c r="BA100" s="758">
        <f>SUBTOTAL(9,CantidadesConsolidadas[[#This Row],[91013913]:[48655]])</f>
        <v>27.67</v>
      </c>
      <c r="BB100" s="638">
        <f>ROUND(CantidadesConsolidadas[[#This Row],[Total]]*CantidadesConsolidadas[[#This Row],[VU]],0)</f>
        <v>457330</v>
      </c>
    </row>
    <row r="101" spans="1:54" ht="29.4" thickBot="1" x14ac:dyDescent="0.35">
      <c r="A101">
        <v>3210</v>
      </c>
      <c r="B101" s="606" t="str">
        <f>+_xlfn.XLOOKUP(CantidadesConsolidadas[[#This Row],[cod Idu]],APU_IDU[Código],APU_IDU[Nombre],"",0)</f>
        <v>BORDILLO PREFABRICADO A80 (SUMINISTRO E INSTALACIÓN. INCLUYE 3CM MORTERO DE NIVELACIÓN 2000 PSI)</v>
      </c>
      <c r="C101" s="609" t="str">
        <f>+_xlfn.XLOOKUP(CantidadesConsolidadas[[#This Row],[cod Idu]],APU_IDU[Código],APU_IDU[UM],"",0)</f>
        <v>ML</v>
      </c>
      <c r="D101" s="743">
        <f>+_xlfn.XLOOKUP(CantidadesConsolidadas[[#This Row],[cod Idu]],APU_IDU[Código],APU_IDU[Valor],"",0)</f>
        <v>82582</v>
      </c>
      <c r="E101" s="497">
        <f>ROUND(SUMIFS(Cantidades[91013913],Cantidades[cod Idu],'CantidadesConsolidadas'!$A101),2)</f>
        <v>0</v>
      </c>
      <c r="F101" s="497">
        <f>ROUND(SUMIFS(Cantidades[472330],Cantidades[cod Idu],'CantidadesConsolidadas'!$A101),2)</f>
        <v>0</v>
      </c>
      <c r="G101" s="497">
        <f>ROUND(SUMIFS(Cantidades[167810],Cantidades[cod Idu],'CantidadesConsolidadas'!$A101),2)</f>
        <v>0</v>
      </c>
      <c r="H101" s="497">
        <f>ROUND(SUMIFS(Cantidades[166646],Cantidades[cod Idu],'CantidadesConsolidadas'!$A101),2)</f>
        <v>0</v>
      </c>
      <c r="I101" s="497">
        <f>ROUND(SUMIFS(Cantidades[167491],Cantidades[cod Idu],'CantidadesConsolidadas'!$A101),2)</f>
        <v>0</v>
      </c>
      <c r="J101" s="497">
        <f>ROUND(SUMIFS(Cantidades[167266],Cantidades[cod Idu],'CantidadesConsolidadas'!$A101),2)</f>
        <v>0</v>
      </c>
      <c r="K101" s="497">
        <f>ROUND(SUMIFS(Cantidades[170896],Cantidades[cod Idu],'CantidadesConsolidadas'!$A101),2)</f>
        <v>0</v>
      </c>
      <c r="L101" s="497">
        <f>ROUND(SUMIFS(Cantidades[170897],Cantidades[cod Idu],'CantidadesConsolidadas'!$A101),2)</f>
        <v>0</v>
      </c>
      <c r="M101" s="497">
        <f>ROUND(SUMIFS(Cantidades[170898],Cantidades[cod Idu],'CantidadesConsolidadas'!$A101),2)</f>
        <v>0</v>
      </c>
      <c r="N101" s="497">
        <f>ROUND(SUMIFS(Cantidades[91064150],Cantidades[cod Idu],'CantidadesConsolidadas'!$A101),2)</f>
        <v>0</v>
      </c>
      <c r="O101" s="497">
        <f>ROUND(SUMIFS(Cantidades[168919],Cantidades[cod Idu],'CantidadesConsolidadas'!$A101),2)</f>
        <v>0</v>
      </c>
      <c r="P101" s="497">
        <f>ROUND(SUMIFS(Cantidades[168426],Cantidades[cod Idu],'CantidadesConsolidadas'!$A101),2)</f>
        <v>0</v>
      </c>
      <c r="Q101" s="497">
        <f>ROUND(SUMIFS(Cantidades[91020796],Cantidades[cod Idu],'CantidadesConsolidadas'!$A101),2)</f>
        <v>0</v>
      </c>
      <c r="R101" s="497">
        <f>ROUND(SUMIFS(Cantidades[176184],Cantidades[cod Idu],'CantidadesConsolidadas'!$A101),2)</f>
        <v>0</v>
      </c>
      <c r="S101" s="497">
        <f>ROUND(SUMIFS(Cantidades[167636],Cantidades[cod Idu],'CantidadesConsolidadas'!$A101),2)</f>
        <v>0</v>
      </c>
      <c r="T101" s="497">
        <f>ROUND(SUMIFS(Cantidades[176730],Cantidades[cod Idu],'CantidadesConsolidadas'!$A101),2)</f>
        <v>0</v>
      </c>
      <c r="U101" s="497">
        <f>ROUND(SUMIFS(Cantidades[173038],Cantidades[cod Idu],'CantidadesConsolidadas'!$A101),2)</f>
        <v>0</v>
      </c>
      <c r="V101" s="497">
        <f>ROUND(SUMIFS(Cantidades[170222],Cantidades[cod Idu],'CantidadesConsolidadas'!$A101),2)</f>
        <v>0</v>
      </c>
      <c r="W101" s="497">
        <f>ROUND(SUMIFS(Cantidades[170229],Cantidades[cod Idu],'CantidadesConsolidadas'!$A101),2)</f>
        <v>0</v>
      </c>
      <c r="X101" s="497">
        <f>ROUND(SUMIFS(Cantidades[170227],Cantidades[cod Idu],'CantidadesConsolidadas'!$A101),2)</f>
        <v>0</v>
      </c>
      <c r="Y101" s="497">
        <f>ROUND(SUMIFS(Cantidades[170226],Cantidades[cod Idu],'CantidadesConsolidadas'!$A101),2)</f>
        <v>0</v>
      </c>
      <c r="Z101" s="497">
        <f>ROUND(SUMIFS(Cantidades[171567],Cantidades[cod Idu],'CantidadesConsolidadas'!$A101),2)</f>
        <v>0</v>
      </c>
      <c r="AA101" s="497">
        <f>ROUND(SUMIFS(Cantidades[166632],Cantidades[cod Idu],'CantidadesConsolidadas'!$A101),2)</f>
        <v>0</v>
      </c>
      <c r="AB101" s="497">
        <f>ROUND(SUMIFS(Cantidades[170228],Cantidades[cod Idu],'CantidadesConsolidadas'!$A101),2)</f>
        <v>0</v>
      </c>
      <c r="AC101" s="497">
        <f>ROUND(SUMIFS(Cantidades[172926],Cantidades[cod Idu],'CantidadesConsolidadas'!$A101),2)</f>
        <v>0</v>
      </c>
      <c r="AD101" s="497">
        <f>ROUND(SUMIFS(Cantidades[171152],Cantidades[cod Idu],'CantidadesConsolidadas'!$A101),2)</f>
        <v>0</v>
      </c>
      <c r="AE101" s="497">
        <f>ROUND(SUMIFS(Cantidades[173058],Cantidades[cod Idu],'CantidadesConsolidadas'!$A101),2)</f>
        <v>0</v>
      </c>
      <c r="AF101" s="726">
        <f>ROUND(SUMIFS(Cantidades[174478],Cantidades[cod Idu],'CantidadesConsolidadas'!$A101),2)</f>
        <v>0</v>
      </c>
      <c r="AG101" s="726">
        <f>ROUND(SUMIFS(Cantidades[91010089],Cantidades[cod Idu],'CantidadesConsolidadas'!$A101),2)</f>
        <v>0</v>
      </c>
      <c r="AH101" s="726">
        <f>ROUND(SUMIFS(Cantidades[176122],Cantidades[cod Idu],'CantidadesConsolidadas'!$A101),2)</f>
        <v>0</v>
      </c>
      <c r="AI101" s="726">
        <f>ROUND(SUMIFS(Cantidades[168536],Cantidades[cod Idu],'CantidadesConsolidadas'!$A101),2)</f>
        <v>0</v>
      </c>
      <c r="AJ101" s="497">
        <f>ROUND(SUMIFS(Cantidades[166934],Cantidades[cod Idu],'CantidadesConsolidadas'!$A101),2)</f>
        <v>0</v>
      </c>
      <c r="AK101" s="497">
        <f>ROUND(SUMIFS(Cantidades[174353],Cantidades[cod Idu],'CantidadesConsolidadas'!$A101),2)</f>
        <v>0</v>
      </c>
      <c r="AL101" s="751">
        <f>ROUND(SUMIFS(Cantidades[52531],Cantidades[cod Idu],'CantidadesConsolidadas'!$A101),2)</f>
        <v>0</v>
      </c>
      <c r="AM101" s="500">
        <f>ROUND(SUMIFS(Cantidades[52456],Cantidades[cod Idu],'CantidadesConsolidadas'!$A101),2)</f>
        <v>0</v>
      </c>
      <c r="AN101" s="500">
        <f>ROUND(SUMIFS(Cantidades[92058103],Cantidades[cod Idu],'CantidadesConsolidadas'!$A101),2)</f>
        <v>20.010000000000002</v>
      </c>
      <c r="AO101" s="500">
        <f>ROUND(SUMIFS(Cantidades[20011114],Cantidades[cod Idu],'CantidadesConsolidadas'!$A101),2)</f>
        <v>0</v>
      </c>
      <c r="AP101" s="500">
        <f>ROUND(SUMIFS(Cantidades[20013540],Cantidades[cod Idu],'CantidadesConsolidadas'!$A101),2)</f>
        <v>0</v>
      </c>
      <c r="AQ101" s="500">
        <f>ROUND(SUMIFS(Cantidades[55337],Cantidades[cod Idu],'CantidadesConsolidadas'!$A101),2)</f>
        <v>0</v>
      </c>
      <c r="AR101" s="500">
        <f>ROUND(SUMIFS(Cantidades[92087422],Cantidades[cod Idu],'CantidadesConsolidadas'!$A101),2)</f>
        <v>0</v>
      </c>
      <c r="AS101" s="500">
        <f>ROUND(SUMIFS(Cantidades[55259],Cantidades[cod Idu],'CantidadesConsolidadas'!$A101),2)</f>
        <v>0</v>
      </c>
      <c r="AT101" s="500">
        <f>ROUND(SUMIFS(Cantidades[466904],Cantidades[cod Idu],'CantidadesConsolidadas'!$A101),2)</f>
        <v>0</v>
      </c>
      <c r="AU101" s="500">
        <f>ROUND(SUMIFS(Cantidades[48591],Cantidades[cod Idu],'CantidadesConsolidadas'!$A101),2)</f>
        <v>172.21</v>
      </c>
      <c r="AV101" s="500">
        <f>ROUND(SUMIFS(Cantidades[48590],Cantidades[cod Idu],'CantidadesConsolidadas'!$A101),2)</f>
        <v>171.88</v>
      </c>
      <c r="AW101" s="500">
        <f>ROUND(SUMIFS(Cantidades[48561],Cantidades[cod Idu],'CantidadesConsolidadas'!$A101),2)</f>
        <v>176.66</v>
      </c>
      <c r="AX101" s="805">
        <f>ROUND(SUMIFS(Cantidades[48560],Cantidades[cod Idu],'CantidadesConsolidadas'!$A101),2)</f>
        <v>177.87</v>
      </c>
      <c r="AY101" s="805">
        <f>ROUND(SUMIFS(Cantidades[48657],Cantidades[cod Idu],'CantidadesConsolidadas'!$A101),2)</f>
        <v>35.14</v>
      </c>
      <c r="AZ101" s="752">
        <f>ROUND(SUMIFS(Cantidades[48655],Cantidades[cod Idu],'CantidadesConsolidadas'!$A101),2)</f>
        <v>39.770000000000003</v>
      </c>
      <c r="BA101" s="758">
        <f>SUBTOTAL(9,CantidadesConsolidadas[[#This Row],[91013913]:[48655]])</f>
        <v>793.54</v>
      </c>
      <c r="BB101" s="638">
        <f>ROUND(CantidadesConsolidadas[[#This Row],[Total]]*CantidadesConsolidadas[[#This Row],[VU]],0)</f>
        <v>65532120</v>
      </c>
    </row>
    <row r="102" spans="1:54" ht="43.8" thickBot="1" x14ac:dyDescent="0.35">
      <c r="A102">
        <v>6475</v>
      </c>
      <c r="B102" s="606" t="str">
        <f>+_xlfn.XLOOKUP(CantidadesConsolidadas[[#This Row],[cod Idu]],APU_IDU[Código],APU_IDU[Nombre],"",0)</f>
        <v>BORDILLO PREFABRICADO A80 (SUMINISTRO E INSTALACIÓN. INCLUYE 3CM MORTERO DE PEGA 2000 PSI Y NIVELACIÓN DEL TERRENO CON RELLENO EN MATERIAL SELECCIONADO PROVENIENTE DE EXCAVACIÓN).</v>
      </c>
      <c r="C102" s="609" t="str">
        <f>+_xlfn.XLOOKUP(CantidadesConsolidadas[[#This Row],[cod Idu]],APU_IDU[Código],APU_IDU[UM],"",0)</f>
        <v>ML</v>
      </c>
      <c r="D102" s="743">
        <f>+_xlfn.XLOOKUP(CantidadesConsolidadas[[#This Row],[cod Idu]],APU_IDU[Código],APU_IDU[Valor],"",0)</f>
        <v>89764</v>
      </c>
      <c r="E102" s="497">
        <f>ROUND(SUMIFS(Cantidades[91013913],Cantidades[cod Idu],'CantidadesConsolidadas'!$A102),2)</f>
        <v>0</v>
      </c>
      <c r="F102" s="497">
        <f>ROUND(SUMIFS(Cantidades[472330],Cantidades[cod Idu],'CantidadesConsolidadas'!$A102),2)</f>
        <v>0</v>
      </c>
      <c r="G102" s="497">
        <f>ROUND(SUMIFS(Cantidades[167810],Cantidades[cod Idu],'CantidadesConsolidadas'!$A102),2)</f>
        <v>0</v>
      </c>
      <c r="H102" s="497">
        <f>ROUND(SUMIFS(Cantidades[166646],Cantidades[cod Idu],'CantidadesConsolidadas'!$A102),2)</f>
        <v>0</v>
      </c>
      <c r="I102" s="497">
        <f>ROUND(SUMIFS(Cantidades[167491],Cantidades[cod Idu],'CantidadesConsolidadas'!$A102),2)</f>
        <v>0</v>
      </c>
      <c r="J102" s="497">
        <f>ROUND(SUMIFS(Cantidades[167266],Cantidades[cod Idu],'CantidadesConsolidadas'!$A102),2)</f>
        <v>0</v>
      </c>
      <c r="K102" s="497">
        <f>ROUND(SUMIFS(Cantidades[170896],Cantidades[cod Idu],'CantidadesConsolidadas'!$A102),2)</f>
        <v>0</v>
      </c>
      <c r="L102" s="497">
        <f>ROUND(SUMIFS(Cantidades[170897],Cantidades[cod Idu],'CantidadesConsolidadas'!$A102),2)</f>
        <v>0</v>
      </c>
      <c r="M102" s="497">
        <f>ROUND(SUMIFS(Cantidades[170898],Cantidades[cod Idu],'CantidadesConsolidadas'!$A102),2)</f>
        <v>0</v>
      </c>
      <c r="N102" s="497">
        <f>ROUND(SUMIFS(Cantidades[91064150],Cantidades[cod Idu],'CantidadesConsolidadas'!$A102),2)</f>
        <v>0</v>
      </c>
      <c r="O102" s="497">
        <f>ROUND(SUMIFS(Cantidades[168919],Cantidades[cod Idu],'CantidadesConsolidadas'!$A102),2)</f>
        <v>0</v>
      </c>
      <c r="P102" s="497">
        <f>ROUND(SUMIFS(Cantidades[168426],Cantidades[cod Idu],'CantidadesConsolidadas'!$A102),2)</f>
        <v>0</v>
      </c>
      <c r="Q102" s="497">
        <f>ROUND(SUMIFS(Cantidades[91020796],Cantidades[cod Idu],'CantidadesConsolidadas'!$A102),2)</f>
        <v>0</v>
      </c>
      <c r="R102" s="497">
        <f>ROUND(SUMIFS(Cantidades[176184],Cantidades[cod Idu],'CantidadesConsolidadas'!$A102),2)</f>
        <v>0</v>
      </c>
      <c r="S102" s="497">
        <f>ROUND(SUMIFS(Cantidades[167636],Cantidades[cod Idu],'CantidadesConsolidadas'!$A102),2)</f>
        <v>0</v>
      </c>
      <c r="T102" s="497">
        <f>ROUND(SUMIFS(Cantidades[176730],Cantidades[cod Idu],'CantidadesConsolidadas'!$A102),2)</f>
        <v>0</v>
      </c>
      <c r="U102" s="497">
        <f>ROUND(SUMIFS(Cantidades[173038],Cantidades[cod Idu],'CantidadesConsolidadas'!$A102),2)</f>
        <v>0</v>
      </c>
      <c r="V102" s="497">
        <f>ROUND(SUMIFS(Cantidades[170222],Cantidades[cod Idu],'CantidadesConsolidadas'!$A102),2)</f>
        <v>0</v>
      </c>
      <c r="W102" s="497">
        <f>ROUND(SUMIFS(Cantidades[170229],Cantidades[cod Idu],'CantidadesConsolidadas'!$A102),2)</f>
        <v>0</v>
      </c>
      <c r="X102" s="497">
        <f>ROUND(SUMIFS(Cantidades[170227],Cantidades[cod Idu],'CantidadesConsolidadas'!$A102),2)</f>
        <v>0</v>
      </c>
      <c r="Y102" s="497">
        <f>ROUND(SUMIFS(Cantidades[170226],Cantidades[cod Idu],'CantidadesConsolidadas'!$A102),2)</f>
        <v>0</v>
      </c>
      <c r="Z102" s="497">
        <f>ROUND(SUMIFS(Cantidades[171567],Cantidades[cod Idu],'CantidadesConsolidadas'!$A102),2)</f>
        <v>0</v>
      </c>
      <c r="AA102" s="497">
        <f>ROUND(SUMIFS(Cantidades[166632],Cantidades[cod Idu],'CantidadesConsolidadas'!$A102),2)</f>
        <v>0</v>
      </c>
      <c r="AB102" s="497">
        <f>ROUND(SUMIFS(Cantidades[170228],Cantidades[cod Idu],'CantidadesConsolidadas'!$A102),2)</f>
        <v>0</v>
      </c>
      <c r="AC102" s="497">
        <f>ROUND(SUMIFS(Cantidades[172926],Cantidades[cod Idu],'CantidadesConsolidadas'!$A102),2)</f>
        <v>0</v>
      </c>
      <c r="AD102" s="497">
        <f>ROUND(SUMIFS(Cantidades[171152],Cantidades[cod Idu],'CantidadesConsolidadas'!$A102),2)</f>
        <v>0</v>
      </c>
      <c r="AE102" s="497">
        <f>ROUND(SUMIFS(Cantidades[173058],Cantidades[cod Idu],'CantidadesConsolidadas'!$A102),2)</f>
        <v>0</v>
      </c>
      <c r="AF102" s="726">
        <f>ROUND(SUMIFS(Cantidades[174478],Cantidades[cod Idu],'CantidadesConsolidadas'!$A102),2)</f>
        <v>0</v>
      </c>
      <c r="AG102" s="726">
        <f>ROUND(SUMIFS(Cantidades[91010089],Cantidades[cod Idu],'CantidadesConsolidadas'!$A102),2)</f>
        <v>0</v>
      </c>
      <c r="AH102" s="726">
        <f>ROUND(SUMIFS(Cantidades[176122],Cantidades[cod Idu],'CantidadesConsolidadas'!$A102),2)</f>
        <v>0</v>
      </c>
      <c r="AI102" s="726">
        <f>ROUND(SUMIFS(Cantidades[168536],Cantidades[cod Idu],'CantidadesConsolidadas'!$A102),2)</f>
        <v>0</v>
      </c>
      <c r="AJ102" s="497">
        <f>ROUND(SUMIFS(Cantidades[166934],Cantidades[cod Idu],'CantidadesConsolidadas'!$A102),2)</f>
        <v>0</v>
      </c>
      <c r="AK102" s="497">
        <f>ROUND(SUMIFS(Cantidades[174353],Cantidades[cod Idu],'CantidadesConsolidadas'!$A102),2)</f>
        <v>0</v>
      </c>
      <c r="AL102" s="751">
        <f>ROUND(SUMIFS(Cantidades[52531],Cantidades[cod Idu],'CantidadesConsolidadas'!$A102),2)</f>
        <v>0</v>
      </c>
      <c r="AM102" s="500">
        <f>ROUND(SUMIFS(Cantidades[52456],Cantidades[cod Idu],'CantidadesConsolidadas'!$A102),2)</f>
        <v>0</v>
      </c>
      <c r="AN102" s="500">
        <f>ROUND(SUMIFS(Cantidades[92058103],Cantidades[cod Idu],'CantidadesConsolidadas'!$A102),2)</f>
        <v>0</v>
      </c>
      <c r="AO102" s="500">
        <f>ROUND(SUMIFS(Cantidades[20011114],Cantidades[cod Idu],'CantidadesConsolidadas'!$A102),2)</f>
        <v>0</v>
      </c>
      <c r="AP102" s="500">
        <f>ROUND(SUMIFS(Cantidades[20013540],Cantidades[cod Idu],'CantidadesConsolidadas'!$A102),2)</f>
        <v>12.7</v>
      </c>
      <c r="AQ102" s="500">
        <f>ROUND(SUMIFS(Cantidades[55337],Cantidades[cod Idu],'CantidadesConsolidadas'!$A102),2)</f>
        <v>0</v>
      </c>
      <c r="AR102" s="500">
        <f>ROUND(SUMIFS(Cantidades[92087422],Cantidades[cod Idu],'CantidadesConsolidadas'!$A102),2)</f>
        <v>0</v>
      </c>
      <c r="AS102" s="500">
        <f>ROUND(SUMIFS(Cantidades[55259],Cantidades[cod Idu],'CantidadesConsolidadas'!$A102),2)</f>
        <v>0</v>
      </c>
      <c r="AT102" s="500">
        <f>ROUND(SUMIFS(Cantidades[466904],Cantidades[cod Idu],'CantidadesConsolidadas'!$A102),2)</f>
        <v>0</v>
      </c>
      <c r="AU102" s="500">
        <f>ROUND(SUMIFS(Cantidades[48591],Cantidades[cod Idu],'CantidadesConsolidadas'!$A102),2)</f>
        <v>0</v>
      </c>
      <c r="AV102" s="500">
        <f>ROUND(SUMIFS(Cantidades[48590],Cantidades[cod Idu],'CantidadesConsolidadas'!$A102),2)</f>
        <v>0</v>
      </c>
      <c r="AW102" s="500">
        <f>ROUND(SUMIFS(Cantidades[48561],Cantidades[cod Idu],'CantidadesConsolidadas'!$A102),2)</f>
        <v>0</v>
      </c>
      <c r="AX102" s="805">
        <f>ROUND(SUMIFS(Cantidades[48560],Cantidades[cod Idu],'CantidadesConsolidadas'!$A102),2)</f>
        <v>0</v>
      </c>
      <c r="AY102" s="805">
        <f>ROUND(SUMIFS(Cantidades[48657],Cantidades[cod Idu],'CantidadesConsolidadas'!$A102),2)</f>
        <v>0</v>
      </c>
      <c r="AZ102" s="752">
        <f>ROUND(SUMIFS(Cantidades[48655],Cantidades[cod Idu],'CantidadesConsolidadas'!$A102),2)</f>
        <v>0</v>
      </c>
      <c r="BA102" s="758">
        <f>SUBTOTAL(9,CantidadesConsolidadas[[#This Row],[91013913]:[48655]])</f>
        <v>12.7</v>
      </c>
      <c r="BB102" s="638">
        <f>ROUND(CantidadesConsolidadas[[#This Row],[Total]]*CantidadesConsolidadas[[#This Row],[VU]],0)</f>
        <v>1140003</v>
      </c>
    </row>
    <row r="103" spans="1:54" ht="15" thickBot="1" x14ac:dyDescent="0.35">
      <c r="A103">
        <v>4054</v>
      </c>
      <c r="B103" s="606" t="str">
        <f>+_xlfn.XLOOKUP(CantidadesConsolidadas[[#This Row],[cod Idu]],APU_IDU[Código],APU_IDU[Nombre],"",0)</f>
        <v>SARDINEL TIPO A10 (SUMINISTRO E INSTALACIÓN. INCLUYE 3CM MORTERO 2000 PSI)</v>
      </c>
      <c r="C103" s="609" t="str">
        <f>+_xlfn.XLOOKUP(CantidadesConsolidadas[[#This Row],[cod Idu]],APU_IDU[Código],APU_IDU[UM],"",0)</f>
        <v>ML</v>
      </c>
      <c r="D103" s="743">
        <f>+_xlfn.XLOOKUP(CantidadesConsolidadas[[#This Row],[cod Idu]],APU_IDU[Código],APU_IDU[Valor],"",0)</f>
        <v>92669</v>
      </c>
      <c r="E103" s="497">
        <f>ROUND(SUMIFS(Cantidades[91013913],Cantidades[cod Idu],'CantidadesConsolidadas'!$A103),2)</f>
        <v>0</v>
      </c>
      <c r="F103" s="497">
        <f>ROUND(SUMIFS(Cantidades[472330],Cantidades[cod Idu],'CantidadesConsolidadas'!$A103),2)</f>
        <v>0</v>
      </c>
      <c r="G103" s="497">
        <f>ROUND(SUMIFS(Cantidades[167810],Cantidades[cod Idu],'CantidadesConsolidadas'!$A103),2)</f>
        <v>0</v>
      </c>
      <c r="H103" s="497">
        <f>ROUND(SUMIFS(Cantidades[166646],Cantidades[cod Idu],'CantidadesConsolidadas'!$A103),2)</f>
        <v>0</v>
      </c>
      <c r="I103" s="497">
        <f>ROUND(SUMIFS(Cantidades[167491],Cantidades[cod Idu],'CantidadesConsolidadas'!$A103),2)</f>
        <v>0</v>
      </c>
      <c r="J103" s="497">
        <f>ROUND(SUMIFS(Cantidades[167266],Cantidades[cod Idu],'CantidadesConsolidadas'!$A103),2)</f>
        <v>0</v>
      </c>
      <c r="K103" s="497">
        <f>ROUND(SUMIFS(Cantidades[170896],Cantidades[cod Idu],'CantidadesConsolidadas'!$A103),2)</f>
        <v>0</v>
      </c>
      <c r="L103" s="497">
        <f>ROUND(SUMIFS(Cantidades[170897],Cantidades[cod Idu],'CantidadesConsolidadas'!$A103),2)</f>
        <v>0</v>
      </c>
      <c r="M103" s="497">
        <f>ROUND(SUMIFS(Cantidades[170898],Cantidades[cod Idu],'CantidadesConsolidadas'!$A103),2)</f>
        <v>0</v>
      </c>
      <c r="N103" s="497">
        <f>ROUND(SUMIFS(Cantidades[91064150],Cantidades[cod Idu],'CantidadesConsolidadas'!$A103),2)</f>
        <v>0</v>
      </c>
      <c r="O103" s="497">
        <f>ROUND(SUMIFS(Cantidades[168919],Cantidades[cod Idu],'CantidadesConsolidadas'!$A103),2)</f>
        <v>0</v>
      </c>
      <c r="P103" s="497">
        <f>ROUND(SUMIFS(Cantidades[168426],Cantidades[cod Idu],'CantidadesConsolidadas'!$A103),2)</f>
        <v>0</v>
      </c>
      <c r="Q103" s="497">
        <f>ROUND(SUMIFS(Cantidades[91020796],Cantidades[cod Idu],'CantidadesConsolidadas'!$A103),2)</f>
        <v>0</v>
      </c>
      <c r="R103" s="497">
        <f>ROUND(SUMIFS(Cantidades[176184],Cantidades[cod Idu],'CantidadesConsolidadas'!$A103),2)</f>
        <v>0</v>
      </c>
      <c r="S103" s="497">
        <f>ROUND(SUMIFS(Cantidades[167636],Cantidades[cod Idu],'CantidadesConsolidadas'!$A103),2)</f>
        <v>0</v>
      </c>
      <c r="T103" s="497">
        <f>ROUND(SUMIFS(Cantidades[176730],Cantidades[cod Idu],'CantidadesConsolidadas'!$A103),2)</f>
        <v>0</v>
      </c>
      <c r="U103" s="497">
        <f>ROUND(SUMIFS(Cantidades[173038],Cantidades[cod Idu],'CantidadesConsolidadas'!$A103),2)</f>
        <v>0</v>
      </c>
      <c r="V103" s="497">
        <f>ROUND(SUMIFS(Cantidades[170222],Cantidades[cod Idu],'CantidadesConsolidadas'!$A103),2)</f>
        <v>0</v>
      </c>
      <c r="W103" s="497">
        <f>ROUND(SUMIFS(Cantidades[170229],Cantidades[cod Idu],'CantidadesConsolidadas'!$A103),2)</f>
        <v>0</v>
      </c>
      <c r="X103" s="497">
        <f>ROUND(SUMIFS(Cantidades[170227],Cantidades[cod Idu],'CantidadesConsolidadas'!$A103),2)</f>
        <v>0</v>
      </c>
      <c r="Y103" s="497">
        <f>ROUND(SUMIFS(Cantidades[170226],Cantidades[cod Idu],'CantidadesConsolidadas'!$A103),2)</f>
        <v>0</v>
      </c>
      <c r="Z103" s="497">
        <f>ROUND(SUMIFS(Cantidades[171567],Cantidades[cod Idu],'CantidadesConsolidadas'!$A103),2)</f>
        <v>0</v>
      </c>
      <c r="AA103" s="497">
        <f>ROUND(SUMIFS(Cantidades[166632],Cantidades[cod Idu],'CantidadesConsolidadas'!$A103),2)</f>
        <v>0</v>
      </c>
      <c r="AB103" s="497">
        <f>ROUND(SUMIFS(Cantidades[170228],Cantidades[cod Idu],'CantidadesConsolidadas'!$A103),2)</f>
        <v>0</v>
      </c>
      <c r="AC103" s="497">
        <f>ROUND(SUMIFS(Cantidades[172926],Cantidades[cod Idu],'CantidadesConsolidadas'!$A103),2)</f>
        <v>0</v>
      </c>
      <c r="AD103" s="497">
        <f>ROUND(SUMIFS(Cantidades[171152],Cantidades[cod Idu],'CantidadesConsolidadas'!$A103),2)</f>
        <v>0</v>
      </c>
      <c r="AE103" s="497">
        <f>ROUND(SUMIFS(Cantidades[173058],Cantidades[cod Idu],'CantidadesConsolidadas'!$A103),2)</f>
        <v>0</v>
      </c>
      <c r="AF103" s="726">
        <f>ROUND(SUMIFS(Cantidades[174478],Cantidades[cod Idu],'CantidadesConsolidadas'!$A103),2)</f>
        <v>0</v>
      </c>
      <c r="AG103" s="726">
        <f>ROUND(SUMIFS(Cantidades[91010089],Cantidades[cod Idu],'CantidadesConsolidadas'!$A103),2)</f>
        <v>0</v>
      </c>
      <c r="AH103" s="726">
        <f>ROUND(SUMIFS(Cantidades[176122],Cantidades[cod Idu],'CantidadesConsolidadas'!$A103),2)</f>
        <v>0</v>
      </c>
      <c r="AI103" s="726">
        <f>ROUND(SUMIFS(Cantidades[168536],Cantidades[cod Idu],'CantidadesConsolidadas'!$A103),2)</f>
        <v>0</v>
      </c>
      <c r="AJ103" s="497">
        <f>ROUND(SUMIFS(Cantidades[166934],Cantidades[cod Idu],'CantidadesConsolidadas'!$A103),2)</f>
        <v>0</v>
      </c>
      <c r="AK103" s="497">
        <f>ROUND(SUMIFS(Cantidades[174353],Cantidades[cod Idu],'CantidadesConsolidadas'!$A103),2)</f>
        <v>0</v>
      </c>
      <c r="AL103" s="751">
        <f>ROUND(SUMIFS(Cantidades[52531],Cantidades[cod Idu],'CantidadesConsolidadas'!$A103),2)</f>
        <v>78.040000000000006</v>
      </c>
      <c r="AM103" s="500">
        <f>ROUND(SUMIFS(Cantidades[52456],Cantidades[cod Idu],'CantidadesConsolidadas'!$A103),2)</f>
        <v>64.650000000000006</v>
      </c>
      <c r="AN103" s="500">
        <f>ROUND(SUMIFS(Cantidades[92058103],Cantidades[cod Idu],'CantidadesConsolidadas'!$A103),2)</f>
        <v>0</v>
      </c>
      <c r="AO103" s="500">
        <f>ROUND(SUMIFS(Cantidades[20011114],Cantidades[cod Idu],'CantidadesConsolidadas'!$A103),2)</f>
        <v>27.67</v>
      </c>
      <c r="AP103" s="500">
        <f>ROUND(SUMIFS(Cantidades[20013540],Cantidades[cod Idu],'CantidadesConsolidadas'!$A103),2)</f>
        <v>0</v>
      </c>
      <c r="AQ103" s="500">
        <f>ROUND(SUMIFS(Cantidades[55337],Cantidades[cod Idu],'CantidadesConsolidadas'!$A103),2)</f>
        <v>41.85</v>
      </c>
      <c r="AR103" s="500">
        <f>ROUND(SUMIFS(Cantidades[92087422],Cantidades[cod Idu],'CantidadesConsolidadas'!$A103),2)</f>
        <v>86.68</v>
      </c>
      <c r="AS103" s="500">
        <f>ROUND(SUMIFS(Cantidades[55259],Cantidades[cod Idu],'CantidadesConsolidadas'!$A103),2)</f>
        <v>78.11</v>
      </c>
      <c r="AT103" s="500">
        <f>ROUND(SUMIFS(Cantidades[466904],Cantidades[cod Idu],'CantidadesConsolidadas'!$A103),2)</f>
        <v>8</v>
      </c>
      <c r="AU103" s="500">
        <f>ROUND(SUMIFS(Cantidades[48591],Cantidades[cod Idu],'CantidadesConsolidadas'!$A103),2)</f>
        <v>0</v>
      </c>
      <c r="AV103" s="500">
        <f>ROUND(SUMIFS(Cantidades[48590],Cantidades[cod Idu],'CantidadesConsolidadas'!$A103),2)</f>
        <v>0</v>
      </c>
      <c r="AW103" s="500">
        <f>ROUND(SUMIFS(Cantidades[48561],Cantidades[cod Idu],'CantidadesConsolidadas'!$A103),2)</f>
        <v>0</v>
      </c>
      <c r="AX103" s="805">
        <f>ROUND(SUMIFS(Cantidades[48560],Cantidades[cod Idu],'CantidadesConsolidadas'!$A103),2)</f>
        <v>0</v>
      </c>
      <c r="AY103" s="805">
        <f>ROUND(SUMIFS(Cantidades[48657],Cantidades[cod Idu],'CantidadesConsolidadas'!$A103),2)</f>
        <v>0</v>
      </c>
      <c r="AZ103" s="752">
        <f>ROUND(SUMIFS(Cantidades[48655],Cantidades[cod Idu],'CantidadesConsolidadas'!$A103),2)</f>
        <v>0</v>
      </c>
      <c r="BA103" s="758">
        <f>SUBTOTAL(9,CantidadesConsolidadas[[#This Row],[91013913]:[48655]])</f>
        <v>385</v>
      </c>
      <c r="BB103" s="638">
        <f>ROUND(CantidadesConsolidadas[[#This Row],[Total]]*CantidadesConsolidadas[[#This Row],[VU]],0)</f>
        <v>35677565</v>
      </c>
    </row>
    <row r="104" spans="1:54" ht="29.4" thickBot="1" x14ac:dyDescent="0.35">
      <c r="A104">
        <v>4088</v>
      </c>
      <c r="B104" s="606" t="str">
        <f>+_xlfn.XLOOKUP(CantidadesConsolidadas[[#This Row],[cod Idu]],APU_IDU[Código],APU_IDU[Nombre],"",0)</f>
        <v>SARDINEL BAJO A85 PARA RAMPAS (SUMINISTRO E INSTALACIÓN. INCLUYE 3CM MORTERO 2000 PSI)</v>
      </c>
      <c r="C104" s="609" t="str">
        <f>+_xlfn.XLOOKUP(CantidadesConsolidadas[[#This Row],[cod Idu]],APU_IDU[Código],APU_IDU[UM],"",0)</f>
        <v>ML</v>
      </c>
      <c r="D104" s="743">
        <f>+_xlfn.XLOOKUP(CantidadesConsolidadas[[#This Row],[cod Idu]],APU_IDU[Código],APU_IDU[Valor],"",0)</f>
        <v>74246</v>
      </c>
      <c r="E104" s="497">
        <f>ROUND(SUMIFS(Cantidades[91013913],Cantidades[cod Idu],'CantidadesConsolidadas'!$A104),2)</f>
        <v>0</v>
      </c>
      <c r="F104" s="497">
        <f>ROUND(SUMIFS(Cantidades[472330],Cantidades[cod Idu],'CantidadesConsolidadas'!$A104),2)</f>
        <v>0</v>
      </c>
      <c r="G104" s="497">
        <f>ROUND(SUMIFS(Cantidades[167810],Cantidades[cod Idu],'CantidadesConsolidadas'!$A104),2)</f>
        <v>0</v>
      </c>
      <c r="H104" s="497">
        <f>ROUND(SUMIFS(Cantidades[166646],Cantidades[cod Idu],'CantidadesConsolidadas'!$A104),2)</f>
        <v>0</v>
      </c>
      <c r="I104" s="497">
        <f>ROUND(SUMIFS(Cantidades[167491],Cantidades[cod Idu],'CantidadesConsolidadas'!$A104),2)</f>
        <v>0</v>
      </c>
      <c r="J104" s="497">
        <f>ROUND(SUMIFS(Cantidades[167266],Cantidades[cod Idu],'CantidadesConsolidadas'!$A104),2)</f>
        <v>0</v>
      </c>
      <c r="K104" s="497">
        <f>ROUND(SUMIFS(Cantidades[170896],Cantidades[cod Idu],'CantidadesConsolidadas'!$A104),2)</f>
        <v>0</v>
      </c>
      <c r="L104" s="497">
        <f>ROUND(SUMIFS(Cantidades[170897],Cantidades[cod Idu],'CantidadesConsolidadas'!$A104),2)</f>
        <v>0</v>
      </c>
      <c r="M104" s="497">
        <f>ROUND(SUMIFS(Cantidades[170898],Cantidades[cod Idu],'CantidadesConsolidadas'!$A104),2)</f>
        <v>0</v>
      </c>
      <c r="N104" s="497">
        <f>ROUND(SUMIFS(Cantidades[91064150],Cantidades[cod Idu],'CantidadesConsolidadas'!$A104),2)</f>
        <v>0</v>
      </c>
      <c r="O104" s="497">
        <f>ROUND(SUMIFS(Cantidades[168919],Cantidades[cod Idu],'CantidadesConsolidadas'!$A104),2)</f>
        <v>0</v>
      </c>
      <c r="P104" s="497">
        <f>ROUND(SUMIFS(Cantidades[168426],Cantidades[cod Idu],'CantidadesConsolidadas'!$A104),2)</f>
        <v>0</v>
      </c>
      <c r="Q104" s="497">
        <f>ROUND(SUMIFS(Cantidades[91020796],Cantidades[cod Idu],'CantidadesConsolidadas'!$A104),2)</f>
        <v>0</v>
      </c>
      <c r="R104" s="497">
        <f>ROUND(SUMIFS(Cantidades[176184],Cantidades[cod Idu],'CantidadesConsolidadas'!$A104),2)</f>
        <v>0</v>
      </c>
      <c r="S104" s="497">
        <f>ROUND(SUMIFS(Cantidades[167636],Cantidades[cod Idu],'CantidadesConsolidadas'!$A104),2)</f>
        <v>0</v>
      </c>
      <c r="T104" s="497">
        <f>ROUND(SUMIFS(Cantidades[176730],Cantidades[cod Idu],'CantidadesConsolidadas'!$A104),2)</f>
        <v>0</v>
      </c>
      <c r="U104" s="497">
        <f>ROUND(SUMIFS(Cantidades[173038],Cantidades[cod Idu],'CantidadesConsolidadas'!$A104),2)</f>
        <v>0</v>
      </c>
      <c r="V104" s="497">
        <f>ROUND(SUMIFS(Cantidades[170222],Cantidades[cod Idu],'CantidadesConsolidadas'!$A104),2)</f>
        <v>0</v>
      </c>
      <c r="W104" s="497">
        <f>ROUND(SUMIFS(Cantidades[170229],Cantidades[cod Idu],'CantidadesConsolidadas'!$A104),2)</f>
        <v>0</v>
      </c>
      <c r="X104" s="497">
        <f>ROUND(SUMIFS(Cantidades[170227],Cantidades[cod Idu],'CantidadesConsolidadas'!$A104),2)</f>
        <v>0</v>
      </c>
      <c r="Y104" s="497">
        <f>ROUND(SUMIFS(Cantidades[170226],Cantidades[cod Idu],'CantidadesConsolidadas'!$A104),2)</f>
        <v>0</v>
      </c>
      <c r="Z104" s="497">
        <f>ROUND(SUMIFS(Cantidades[171567],Cantidades[cod Idu],'CantidadesConsolidadas'!$A104),2)</f>
        <v>0</v>
      </c>
      <c r="AA104" s="497">
        <f>ROUND(SUMIFS(Cantidades[166632],Cantidades[cod Idu],'CantidadesConsolidadas'!$A104),2)</f>
        <v>0</v>
      </c>
      <c r="AB104" s="497">
        <f>ROUND(SUMIFS(Cantidades[170228],Cantidades[cod Idu],'CantidadesConsolidadas'!$A104),2)</f>
        <v>0</v>
      </c>
      <c r="AC104" s="497">
        <f>ROUND(SUMIFS(Cantidades[172926],Cantidades[cod Idu],'CantidadesConsolidadas'!$A104),2)</f>
        <v>0</v>
      </c>
      <c r="AD104" s="497">
        <f>ROUND(SUMIFS(Cantidades[171152],Cantidades[cod Idu],'CantidadesConsolidadas'!$A104),2)</f>
        <v>0</v>
      </c>
      <c r="AE104" s="497">
        <f>ROUND(SUMIFS(Cantidades[173058],Cantidades[cod Idu],'CantidadesConsolidadas'!$A104),2)</f>
        <v>0</v>
      </c>
      <c r="AF104" s="726">
        <f>ROUND(SUMIFS(Cantidades[174478],Cantidades[cod Idu],'CantidadesConsolidadas'!$A104),2)</f>
        <v>0</v>
      </c>
      <c r="AG104" s="726">
        <f>ROUND(SUMIFS(Cantidades[91010089],Cantidades[cod Idu],'CantidadesConsolidadas'!$A104),2)</f>
        <v>0</v>
      </c>
      <c r="AH104" s="726">
        <f>ROUND(SUMIFS(Cantidades[176122],Cantidades[cod Idu],'CantidadesConsolidadas'!$A104),2)</f>
        <v>0</v>
      </c>
      <c r="AI104" s="726">
        <f>ROUND(SUMIFS(Cantidades[168536],Cantidades[cod Idu],'CantidadesConsolidadas'!$A104),2)</f>
        <v>0</v>
      </c>
      <c r="AJ104" s="497">
        <f>ROUND(SUMIFS(Cantidades[166934],Cantidades[cod Idu],'CantidadesConsolidadas'!$A104),2)</f>
        <v>0</v>
      </c>
      <c r="AK104" s="497">
        <f>ROUND(SUMIFS(Cantidades[174353],Cantidades[cod Idu],'CantidadesConsolidadas'!$A104),2)</f>
        <v>0</v>
      </c>
      <c r="AL104" s="751">
        <f>ROUND(SUMIFS(Cantidades[52531],Cantidades[cod Idu],'CantidadesConsolidadas'!$A104),2)</f>
        <v>23.41</v>
      </c>
      <c r="AM104" s="500">
        <f>ROUND(SUMIFS(Cantidades[52456],Cantidades[cod Idu],'CantidadesConsolidadas'!$A104),2)</f>
        <v>19.399999999999999</v>
      </c>
      <c r="AN104" s="500">
        <f>ROUND(SUMIFS(Cantidades[92058103],Cantidades[cod Idu],'CantidadesConsolidadas'!$A104),2)</f>
        <v>0</v>
      </c>
      <c r="AO104" s="500">
        <f>ROUND(SUMIFS(Cantidades[20011114],Cantidades[cod Idu],'CantidadesConsolidadas'!$A104),2)</f>
        <v>8.3000000000000007</v>
      </c>
      <c r="AP104" s="500">
        <f>ROUND(SUMIFS(Cantidades[20013540],Cantidades[cod Idu],'CantidadesConsolidadas'!$A104),2)</f>
        <v>0</v>
      </c>
      <c r="AQ104" s="500">
        <f>ROUND(SUMIFS(Cantidades[55337],Cantidades[cod Idu],'CantidadesConsolidadas'!$A104),2)</f>
        <v>12.56</v>
      </c>
      <c r="AR104" s="500">
        <f>ROUND(SUMIFS(Cantidades[92087422],Cantidades[cod Idu],'CantidadesConsolidadas'!$A104),2)</f>
        <v>26</v>
      </c>
      <c r="AS104" s="500">
        <f>ROUND(SUMIFS(Cantidades[55259],Cantidades[cod Idu],'CantidadesConsolidadas'!$A104),2)</f>
        <v>23.43</v>
      </c>
      <c r="AT104" s="500">
        <f>ROUND(SUMIFS(Cantidades[466904],Cantidades[cod Idu],'CantidadesConsolidadas'!$A104),2)</f>
        <v>2.4</v>
      </c>
      <c r="AU104" s="500">
        <f>ROUND(SUMIFS(Cantidades[48591],Cantidades[cod Idu],'CantidadesConsolidadas'!$A104),2)</f>
        <v>0</v>
      </c>
      <c r="AV104" s="500">
        <f>ROUND(SUMIFS(Cantidades[48590],Cantidades[cod Idu],'CantidadesConsolidadas'!$A104),2)</f>
        <v>0</v>
      </c>
      <c r="AW104" s="500">
        <f>ROUND(SUMIFS(Cantidades[48561],Cantidades[cod Idu],'CantidadesConsolidadas'!$A104),2)</f>
        <v>0</v>
      </c>
      <c r="AX104" s="805">
        <f>ROUND(SUMIFS(Cantidades[48560],Cantidades[cod Idu],'CantidadesConsolidadas'!$A104),2)</f>
        <v>0</v>
      </c>
      <c r="AY104" s="805">
        <f>ROUND(SUMIFS(Cantidades[48657],Cantidades[cod Idu],'CantidadesConsolidadas'!$A104),2)</f>
        <v>0</v>
      </c>
      <c r="AZ104" s="752">
        <f>ROUND(SUMIFS(Cantidades[48655],Cantidades[cod Idu],'CantidadesConsolidadas'!$A104),2)</f>
        <v>0</v>
      </c>
      <c r="BA104" s="758">
        <f>SUBTOTAL(9,CantidadesConsolidadas[[#This Row],[91013913]:[48655]])</f>
        <v>115.5</v>
      </c>
      <c r="BB104" s="638">
        <f>ROUND(CantidadesConsolidadas[[#This Row],[Total]]*CantidadesConsolidadas[[#This Row],[VU]],0)</f>
        <v>8575413</v>
      </c>
    </row>
    <row r="105" spans="1:54" ht="29.4" thickBot="1" x14ac:dyDescent="0.35">
      <c r="A105">
        <v>6880</v>
      </c>
      <c r="B105" s="606" t="str">
        <f>+_xlfn.XLOOKUP(CantidadesConsolidadas[[#This Row],[cod Idu]],APU_IDU[Código],APU_IDU[Nombre],"",0)</f>
        <v>CONCRETO MR41 COLOR OCRE PARA RAMPAS Y ESCALERAS (PREMEZCLADO. INCLUYE SUMINISTRO, FORMALETEO, COLOCACIÓN Y CURADO. NO INCLUYE REFUERZO).</v>
      </c>
      <c r="C105" s="609" t="str">
        <f>+_xlfn.XLOOKUP(CantidadesConsolidadas[[#This Row],[cod Idu]],APU_IDU[Código],APU_IDU[UM],"",0)</f>
        <v>M3</v>
      </c>
      <c r="D105" s="743">
        <f>+_xlfn.XLOOKUP(CantidadesConsolidadas[[#This Row],[cod Idu]],APU_IDU[Código],APU_IDU[Valor],"",0)</f>
        <v>1566542</v>
      </c>
      <c r="E105" s="497">
        <f>ROUND(SUMIFS(Cantidades[91013913],Cantidades[cod Idu],'CantidadesConsolidadas'!$A105),2)</f>
        <v>0</v>
      </c>
      <c r="F105" s="497">
        <f>ROUND(SUMIFS(Cantidades[472330],Cantidades[cod Idu],'CantidadesConsolidadas'!$A105),2)</f>
        <v>0</v>
      </c>
      <c r="G105" s="497">
        <f>ROUND(SUMIFS(Cantidades[167810],Cantidades[cod Idu],'CantidadesConsolidadas'!$A105),2)</f>
        <v>0</v>
      </c>
      <c r="H105" s="497">
        <f>ROUND(SUMIFS(Cantidades[166646],Cantidades[cod Idu],'CantidadesConsolidadas'!$A105),2)</f>
        <v>0</v>
      </c>
      <c r="I105" s="497">
        <f>ROUND(SUMIFS(Cantidades[167491],Cantidades[cod Idu],'CantidadesConsolidadas'!$A105),2)</f>
        <v>0</v>
      </c>
      <c r="J105" s="497">
        <f>ROUND(SUMIFS(Cantidades[167266],Cantidades[cod Idu],'CantidadesConsolidadas'!$A105),2)</f>
        <v>0</v>
      </c>
      <c r="K105" s="497">
        <f>ROUND(SUMIFS(Cantidades[170896],Cantidades[cod Idu],'CantidadesConsolidadas'!$A105),2)</f>
        <v>0</v>
      </c>
      <c r="L105" s="497">
        <f>ROUND(SUMIFS(Cantidades[170897],Cantidades[cod Idu],'CantidadesConsolidadas'!$A105),2)</f>
        <v>0</v>
      </c>
      <c r="M105" s="497">
        <f>ROUND(SUMIFS(Cantidades[170898],Cantidades[cod Idu],'CantidadesConsolidadas'!$A105),2)</f>
        <v>0</v>
      </c>
      <c r="N105" s="497">
        <f>ROUND(SUMIFS(Cantidades[91064150],Cantidades[cod Idu],'CantidadesConsolidadas'!$A105),2)</f>
        <v>0</v>
      </c>
      <c r="O105" s="497">
        <f>ROUND(SUMIFS(Cantidades[168919],Cantidades[cod Idu],'CantidadesConsolidadas'!$A105),2)</f>
        <v>0</v>
      </c>
      <c r="P105" s="497">
        <f>ROUND(SUMIFS(Cantidades[168426],Cantidades[cod Idu],'CantidadesConsolidadas'!$A105),2)</f>
        <v>0</v>
      </c>
      <c r="Q105" s="497">
        <f>ROUND(SUMIFS(Cantidades[91020796],Cantidades[cod Idu],'CantidadesConsolidadas'!$A105),2)</f>
        <v>0</v>
      </c>
      <c r="R105" s="497">
        <f>ROUND(SUMIFS(Cantidades[176184],Cantidades[cod Idu],'CantidadesConsolidadas'!$A105),2)</f>
        <v>0</v>
      </c>
      <c r="S105" s="497">
        <f>ROUND(SUMIFS(Cantidades[167636],Cantidades[cod Idu],'CantidadesConsolidadas'!$A105),2)</f>
        <v>0</v>
      </c>
      <c r="T105" s="497">
        <f>ROUND(SUMIFS(Cantidades[176730],Cantidades[cod Idu],'CantidadesConsolidadas'!$A105),2)</f>
        <v>0</v>
      </c>
      <c r="U105" s="497">
        <f>ROUND(SUMIFS(Cantidades[173038],Cantidades[cod Idu],'CantidadesConsolidadas'!$A105),2)</f>
        <v>0</v>
      </c>
      <c r="V105" s="497">
        <f>ROUND(SUMIFS(Cantidades[170222],Cantidades[cod Idu],'CantidadesConsolidadas'!$A105),2)</f>
        <v>0</v>
      </c>
      <c r="W105" s="497">
        <f>ROUND(SUMIFS(Cantidades[170229],Cantidades[cod Idu],'CantidadesConsolidadas'!$A105),2)</f>
        <v>0</v>
      </c>
      <c r="X105" s="497">
        <f>ROUND(SUMIFS(Cantidades[170227],Cantidades[cod Idu],'CantidadesConsolidadas'!$A105),2)</f>
        <v>0</v>
      </c>
      <c r="Y105" s="497">
        <f>ROUND(SUMIFS(Cantidades[170226],Cantidades[cod Idu],'CantidadesConsolidadas'!$A105),2)</f>
        <v>0</v>
      </c>
      <c r="Z105" s="497">
        <f>ROUND(SUMIFS(Cantidades[171567],Cantidades[cod Idu],'CantidadesConsolidadas'!$A105),2)</f>
        <v>0</v>
      </c>
      <c r="AA105" s="497">
        <f>ROUND(SUMIFS(Cantidades[166632],Cantidades[cod Idu],'CantidadesConsolidadas'!$A105),2)</f>
        <v>0</v>
      </c>
      <c r="AB105" s="497">
        <f>ROUND(SUMIFS(Cantidades[170228],Cantidades[cod Idu],'CantidadesConsolidadas'!$A105),2)</f>
        <v>0</v>
      </c>
      <c r="AC105" s="497">
        <f>ROUND(SUMIFS(Cantidades[172926],Cantidades[cod Idu],'CantidadesConsolidadas'!$A105),2)</f>
        <v>0</v>
      </c>
      <c r="AD105" s="497">
        <f>ROUND(SUMIFS(Cantidades[171152],Cantidades[cod Idu],'CantidadesConsolidadas'!$A105),2)</f>
        <v>0</v>
      </c>
      <c r="AE105" s="497">
        <f>ROUND(SUMIFS(Cantidades[173058],Cantidades[cod Idu],'CantidadesConsolidadas'!$A105),2)</f>
        <v>0</v>
      </c>
      <c r="AF105" s="726">
        <f>ROUND(SUMIFS(Cantidades[174478],Cantidades[cod Idu],'CantidadesConsolidadas'!$A105),2)</f>
        <v>0</v>
      </c>
      <c r="AG105" s="726">
        <f>ROUND(SUMIFS(Cantidades[91010089],Cantidades[cod Idu],'CantidadesConsolidadas'!$A105),2)</f>
        <v>0</v>
      </c>
      <c r="AH105" s="726">
        <f>ROUND(SUMIFS(Cantidades[176122],Cantidades[cod Idu],'CantidadesConsolidadas'!$A105),2)</f>
        <v>0</v>
      </c>
      <c r="AI105" s="726">
        <f>ROUND(SUMIFS(Cantidades[168536],Cantidades[cod Idu],'CantidadesConsolidadas'!$A105),2)</f>
        <v>0</v>
      </c>
      <c r="AJ105" s="497">
        <f>ROUND(SUMIFS(Cantidades[166934],Cantidades[cod Idu],'CantidadesConsolidadas'!$A105),2)</f>
        <v>0</v>
      </c>
      <c r="AK105" s="497">
        <f>ROUND(SUMIFS(Cantidades[174353],Cantidades[cod Idu],'CantidadesConsolidadas'!$A105),2)</f>
        <v>0</v>
      </c>
      <c r="AL105" s="751">
        <f>ROUND(SUMIFS(Cantidades[52531],Cantidades[cod Idu],'CantidadesConsolidadas'!$A105),2)</f>
        <v>0</v>
      </c>
      <c r="AM105" s="500">
        <f>ROUND(SUMIFS(Cantidades[52456],Cantidades[cod Idu],'CantidadesConsolidadas'!$A105),2)</f>
        <v>0</v>
      </c>
      <c r="AN105" s="500">
        <f>ROUND(SUMIFS(Cantidades[92058103],Cantidades[cod Idu],'CantidadesConsolidadas'!$A105),2)</f>
        <v>0</v>
      </c>
      <c r="AO105" s="500">
        <f>ROUND(SUMIFS(Cantidades[20011114],Cantidades[cod Idu],'CantidadesConsolidadas'!$A105),2)</f>
        <v>0</v>
      </c>
      <c r="AP105" s="500">
        <f>ROUND(SUMIFS(Cantidades[20013540],Cantidades[cod Idu],'CantidadesConsolidadas'!$A105),2)</f>
        <v>0.68</v>
      </c>
      <c r="AQ105" s="500">
        <f>ROUND(SUMIFS(Cantidades[55337],Cantidades[cod Idu],'CantidadesConsolidadas'!$A105),2)</f>
        <v>0</v>
      </c>
      <c r="AR105" s="500">
        <f>ROUND(SUMIFS(Cantidades[92087422],Cantidades[cod Idu],'CantidadesConsolidadas'!$A105),2)</f>
        <v>2.67</v>
      </c>
      <c r="AS105" s="500">
        <f>ROUND(SUMIFS(Cantidades[55259],Cantidades[cod Idu],'CantidadesConsolidadas'!$A105),2)</f>
        <v>0</v>
      </c>
      <c r="AT105" s="500">
        <f>ROUND(SUMIFS(Cantidades[466904],Cantidades[cod Idu],'CantidadesConsolidadas'!$A105),2)</f>
        <v>0</v>
      </c>
      <c r="AU105" s="500">
        <f>ROUND(SUMIFS(Cantidades[48591],Cantidades[cod Idu],'CantidadesConsolidadas'!$A105),2)</f>
        <v>0</v>
      </c>
      <c r="AV105" s="500">
        <f>ROUND(SUMIFS(Cantidades[48590],Cantidades[cod Idu],'CantidadesConsolidadas'!$A105),2)</f>
        <v>0</v>
      </c>
      <c r="AW105" s="500">
        <f>ROUND(SUMIFS(Cantidades[48561],Cantidades[cod Idu],'CantidadesConsolidadas'!$A105),2)</f>
        <v>0</v>
      </c>
      <c r="AX105" s="805">
        <f>ROUND(SUMIFS(Cantidades[48560],Cantidades[cod Idu],'CantidadesConsolidadas'!$A105),2)</f>
        <v>0</v>
      </c>
      <c r="AY105" s="805">
        <f>ROUND(SUMIFS(Cantidades[48657],Cantidades[cod Idu],'CantidadesConsolidadas'!$A105),2)</f>
        <v>0</v>
      </c>
      <c r="AZ105" s="752">
        <f>ROUND(SUMIFS(Cantidades[48655],Cantidades[cod Idu],'CantidadesConsolidadas'!$A105),2)</f>
        <v>0</v>
      </c>
      <c r="BA105" s="758">
        <f>SUBTOTAL(9,CantidadesConsolidadas[[#This Row],[91013913]:[48655]])</f>
        <v>3.35</v>
      </c>
      <c r="BB105" s="638">
        <f>ROUND(CantidadesConsolidadas[[#This Row],[Total]]*CantidadesConsolidadas[[#This Row],[VU]],0)</f>
        <v>5247916</v>
      </c>
    </row>
    <row r="106" spans="1:54" ht="29.4" thickBot="1" x14ac:dyDescent="0.35">
      <c r="A106">
        <v>4920</v>
      </c>
      <c r="B106" s="606" t="str">
        <f>+_xlfn.XLOOKUP(CantidadesConsolidadas[[#This Row],[cod Idu]],APU_IDU[Código],APU_IDU[Nombre],"",0)</f>
        <v>CANECA DE ACERO INOXIDABLE M121 TIPO BARCELONA (SUMINISTRO E INSTALACIÓN. INCLUYE CONCRETO PARA ANCLAJE DE 3000 PSI PREMEZCLADO GRAVA COMÚN.</v>
      </c>
      <c r="C106" s="609" t="str">
        <f>+_xlfn.XLOOKUP(CantidadesConsolidadas[[#This Row],[cod Idu]],APU_IDU[Código],APU_IDU[UM],"",0)</f>
        <v>UN</v>
      </c>
      <c r="D106" s="743">
        <f>+_xlfn.XLOOKUP(CantidadesConsolidadas[[#This Row],[cod Idu]],APU_IDU[Código],APU_IDU[Valor],"",0)</f>
        <v>913129</v>
      </c>
      <c r="E106" s="497">
        <f>ROUND(SUMIFS(Cantidades[91013913],Cantidades[cod Idu],'CantidadesConsolidadas'!$A106),2)</f>
        <v>0</v>
      </c>
      <c r="F106" s="497">
        <f>ROUND(SUMIFS(Cantidades[472330],Cantidades[cod Idu],'CantidadesConsolidadas'!$A106),2)</f>
        <v>0</v>
      </c>
      <c r="G106" s="497">
        <f>ROUND(SUMIFS(Cantidades[167810],Cantidades[cod Idu],'CantidadesConsolidadas'!$A106),2)</f>
        <v>0</v>
      </c>
      <c r="H106" s="497">
        <f>ROUND(SUMIFS(Cantidades[166646],Cantidades[cod Idu],'CantidadesConsolidadas'!$A106),2)</f>
        <v>0</v>
      </c>
      <c r="I106" s="497">
        <f>ROUND(SUMIFS(Cantidades[167491],Cantidades[cod Idu],'CantidadesConsolidadas'!$A106),2)</f>
        <v>0</v>
      </c>
      <c r="J106" s="497">
        <f>ROUND(SUMIFS(Cantidades[167266],Cantidades[cod Idu],'CantidadesConsolidadas'!$A106),2)</f>
        <v>0</v>
      </c>
      <c r="K106" s="497">
        <f>ROUND(SUMIFS(Cantidades[170896],Cantidades[cod Idu],'CantidadesConsolidadas'!$A106),2)</f>
        <v>0</v>
      </c>
      <c r="L106" s="497">
        <f>ROUND(SUMIFS(Cantidades[170897],Cantidades[cod Idu],'CantidadesConsolidadas'!$A106),2)</f>
        <v>0</v>
      </c>
      <c r="M106" s="497">
        <f>ROUND(SUMIFS(Cantidades[170898],Cantidades[cod Idu],'CantidadesConsolidadas'!$A106),2)</f>
        <v>0</v>
      </c>
      <c r="N106" s="497">
        <f>ROUND(SUMIFS(Cantidades[91064150],Cantidades[cod Idu],'CantidadesConsolidadas'!$A106),2)</f>
        <v>0</v>
      </c>
      <c r="O106" s="497">
        <f>ROUND(SUMIFS(Cantidades[168919],Cantidades[cod Idu],'CantidadesConsolidadas'!$A106),2)</f>
        <v>0</v>
      </c>
      <c r="P106" s="497">
        <f>ROUND(SUMIFS(Cantidades[168426],Cantidades[cod Idu],'CantidadesConsolidadas'!$A106),2)</f>
        <v>0</v>
      </c>
      <c r="Q106" s="497">
        <f>ROUND(SUMIFS(Cantidades[91020796],Cantidades[cod Idu],'CantidadesConsolidadas'!$A106),2)</f>
        <v>0</v>
      </c>
      <c r="R106" s="497">
        <f>ROUND(SUMIFS(Cantidades[176184],Cantidades[cod Idu],'CantidadesConsolidadas'!$A106),2)</f>
        <v>0</v>
      </c>
      <c r="S106" s="497">
        <f>ROUND(SUMIFS(Cantidades[167636],Cantidades[cod Idu],'CantidadesConsolidadas'!$A106),2)</f>
        <v>0</v>
      </c>
      <c r="T106" s="497">
        <f>ROUND(SUMIFS(Cantidades[176730],Cantidades[cod Idu],'CantidadesConsolidadas'!$A106),2)</f>
        <v>0</v>
      </c>
      <c r="U106" s="497">
        <f>ROUND(SUMIFS(Cantidades[173038],Cantidades[cod Idu],'CantidadesConsolidadas'!$A106),2)</f>
        <v>0</v>
      </c>
      <c r="V106" s="497">
        <f>ROUND(SUMIFS(Cantidades[170222],Cantidades[cod Idu],'CantidadesConsolidadas'!$A106),2)</f>
        <v>0</v>
      </c>
      <c r="W106" s="497">
        <f>ROUND(SUMIFS(Cantidades[170229],Cantidades[cod Idu],'CantidadesConsolidadas'!$A106),2)</f>
        <v>0</v>
      </c>
      <c r="X106" s="497">
        <f>ROUND(SUMIFS(Cantidades[170227],Cantidades[cod Idu],'CantidadesConsolidadas'!$A106),2)</f>
        <v>0</v>
      </c>
      <c r="Y106" s="497">
        <f>ROUND(SUMIFS(Cantidades[170226],Cantidades[cod Idu],'CantidadesConsolidadas'!$A106),2)</f>
        <v>0</v>
      </c>
      <c r="Z106" s="497">
        <f>ROUND(SUMIFS(Cantidades[171567],Cantidades[cod Idu],'CantidadesConsolidadas'!$A106),2)</f>
        <v>0</v>
      </c>
      <c r="AA106" s="497">
        <f>ROUND(SUMIFS(Cantidades[166632],Cantidades[cod Idu],'CantidadesConsolidadas'!$A106),2)</f>
        <v>0</v>
      </c>
      <c r="AB106" s="497">
        <f>ROUND(SUMIFS(Cantidades[170228],Cantidades[cod Idu],'CantidadesConsolidadas'!$A106),2)</f>
        <v>0</v>
      </c>
      <c r="AC106" s="497">
        <f>ROUND(SUMIFS(Cantidades[172926],Cantidades[cod Idu],'CantidadesConsolidadas'!$A106),2)</f>
        <v>0</v>
      </c>
      <c r="AD106" s="497">
        <f>ROUND(SUMIFS(Cantidades[171152],Cantidades[cod Idu],'CantidadesConsolidadas'!$A106),2)</f>
        <v>0</v>
      </c>
      <c r="AE106" s="497">
        <f>ROUND(SUMIFS(Cantidades[173058],Cantidades[cod Idu],'CantidadesConsolidadas'!$A106),2)</f>
        <v>0</v>
      </c>
      <c r="AF106" s="726">
        <f>ROUND(SUMIFS(Cantidades[174478],Cantidades[cod Idu],'CantidadesConsolidadas'!$A106),2)</f>
        <v>0</v>
      </c>
      <c r="AG106" s="726">
        <f>ROUND(SUMIFS(Cantidades[91010089],Cantidades[cod Idu],'CantidadesConsolidadas'!$A106),2)</f>
        <v>0</v>
      </c>
      <c r="AH106" s="726">
        <f>ROUND(SUMIFS(Cantidades[176122],Cantidades[cod Idu],'CantidadesConsolidadas'!$A106),2)</f>
        <v>0</v>
      </c>
      <c r="AI106" s="726">
        <f>ROUND(SUMIFS(Cantidades[168536],Cantidades[cod Idu],'CantidadesConsolidadas'!$A106),2)</f>
        <v>0</v>
      </c>
      <c r="AJ106" s="497">
        <f>ROUND(SUMIFS(Cantidades[166934],Cantidades[cod Idu],'CantidadesConsolidadas'!$A106),2)</f>
        <v>0</v>
      </c>
      <c r="AK106" s="497">
        <f>ROUND(SUMIFS(Cantidades[174353],Cantidades[cod Idu],'CantidadesConsolidadas'!$A106),2)</f>
        <v>0</v>
      </c>
      <c r="AL106" s="751">
        <f>ROUND(SUMIFS(Cantidades[52531],Cantidades[cod Idu],'CantidadesConsolidadas'!$A106),2)</f>
        <v>0</v>
      </c>
      <c r="AM106" s="500">
        <f>ROUND(SUMIFS(Cantidades[52456],Cantidades[cod Idu],'CantidadesConsolidadas'!$A106),2)</f>
        <v>0</v>
      </c>
      <c r="AN106" s="500">
        <f>ROUND(SUMIFS(Cantidades[92058103],Cantidades[cod Idu],'CantidadesConsolidadas'!$A106),2)</f>
        <v>1</v>
      </c>
      <c r="AO106" s="500">
        <f>ROUND(SUMIFS(Cantidades[20011114],Cantidades[cod Idu],'CantidadesConsolidadas'!$A106),2)</f>
        <v>0</v>
      </c>
      <c r="AP106" s="500">
        <f>ROUND(SUMIFS(Cantidades[20013540],Cantidades[cod Idu],'CantidadesConsolidadas'!$A106),2)</f>
        <v>0</v>
      </c>
      <c r="AQ106" s="500">
        <f>ROUND(SUMIFS(Cantidades[55337],Cantidades[cod Idu],'CantidadesConsolidadas'!$A106),2)</f>
        <v>0</v>
      </c>
      <c r="AR106" s="500">
        <f>ROUND(SUMIFS(Cantidades[92087422],Cantidades[cod Idu],'CantidadesConsolidadas'!$A106),2)</f>
        <v>0</v>
      </c>
      <c r="AS106" s="500">
        <f>ROUND(SUMIFS(Cantidades[55259],Cantidades[cod Idu],'CantidadesConsolidadas'!$A106),2)</f>
        <v>0</v>
      </c>
      <c r="AT106" s="500">
        <f>ROUND(SUMIFS(Cantidades[466904],Cantidades[cod Idu],'CantidadesConsolidadas'!$A106),2)</f>
        <v>1</v>
      </c>
      <c r="AU106" s="500">
        <f>ROUND(SUMIFS(Cantidades[48591],Cantidades[cod Idu],'CantidadesConsolidadas'!$A106),2)</f>
        <v>0</v>
      </c>
      <c r="AV106" s="500">
        <f>ROUND(SUMIFS(Cantidades[48590],Cantidades[cod Idu],'CantidadesConsolidadas'!$A106),2)</f>
        <v>0</v>
      </c>
      <c r="AW106" s="500">
        <f>ROUND(SUMIFS(Cantidades[48561],Cantidades[cod Idu],'CantidadesConsolidadas'!$A106),2)</f>
        <v>0</v>
      </c>
      <c r="AX106" s="805">
        <f>ROUND(SUMIFS(Cantidades[48560],Cantidades[cod Idu],'CantidadesConsolidadas'!$A106),2)</f>
        <v>1</v>
      </c>
      <c r="AY106" s="805">
        <f>ROUND(SUMIFS(Cantidades[48657],Cantidades[cod Idu],'CantidadesConsolidadas'!$A106),2)</f>
        <v>0</v>
      </c>
      <c r="AZ106" s="752">
        <f>ROUND(SUMIFS(Cantidades[48655],Cantidades[cod Idu],'CantidadesConsolidadas'!$A106),2)</f>
        <v>0</v>
      </c>
      <c r="BA106" s="758">
        <f>SUBTOTAL(9,CantidadesConsolidadas[[#This Row],[91013913]:[48655]])</f>
        <v>3</v>
      </c>
      <c r="BB106" s="638">
        <f>ROUND(CantidadesConsolidadas[[#This Row],[Total]]*CantidadesConsolidadas[[#This Row],[VU]],0)</f>
        <v>2739387</v>
      </c>
    </row>
    <row r="107" spans="1:54" ht="43.8" thickBot="1" x14ac:dyDescent="0.35">
      <c r="A107">
        <v>8953</v>
      </c>
      <c r="B107" s="606" t="str">
        <f>+_xlfn.XLOOKUP(CantidadesConsolidadas[[#This Row],[cod Idu]],APU_IDU[Código],APU_IDU[Nombre],"",0)</f>
        <v>BARANDA METALICA M-82 PREFABRICADA MOV. REDUCIDA BORDE DE VIA (Incluye dados de concreto 3000psi grava común de 0.20 x 0.20m y recubrimiento en epóxico y esmalte uretano). Suministro e Instalación</v>
      </c>
      <c r="C107" s="609" t="str">
        <f>+_xlfn.XLOOKUP(CantidadesConsolidadas[[#This Row],[cod Idu]],APU_IDU[Código],APU_IDU[UM],"",0)</f>
        <v>ML</v>
      </c>
      <c r="D107" s="743">
        <f>+_xlfn.XLOOKUP(CantidadesConsolidadas[[#This Row],[cod Idu]],APU_IDU[Código],APU_IDU[Valor],"",0)</f>
        <v>639161</v>
      </c>
      <c r="E107" s="497">
        <f>ROUND(SUMIFS(Cantidades[91013913],Cantidades[cod Idu],'CantidadesConsolidadas'!$A107),2)</f>
        <v>0</v>
      </c>
      <c r="F107" s="497">
        <f>ROUND(SUMIFS(Cantidades[472330],Cantidades[cod Idu],'CantidadesConsolidadas'!$A107),2)</f>
        <v>0</v>
      </c>
      <c r="G107" s="497">
        <f>ROUND(SUMIFS(Cantidades[167810],Cantidades[cod Idu],'CantidadesConsolidadas'!$A107),2)</f>
        <v>0</v>
      </c>
      <c r="H107" s="497">
        <f>ROUND(SUMIFS(Cantidades[166646],Cantidades[cod Idu],'CantidadesConsolidadas'!$A107),2)</f>
        <v>0</v>
      </c>
      <c r="I107" s="497">
        <f>ROUND(SUMIFS(Cantidades[167491],Cantidades[cod Idu],'CantidadesConsolidadas'!$A107),2)</f>
        <v>0</v>
      </c>
      <c r="J107" s="497">
        <f>ROUND(SUMIFS(Cantidades[167266],Cantidades[cod Idu],'CantidadesConsolidadas'!$A107),2)</f>
        <v>0</v>
      </c>
      <c r="K107" s="497">
        <f>ROUND(SUMIFS(Cantidades[170896],Cantidades[cod Idu],'CantidadesConsolidadas'!$A107),2)</f>
        <v>0</v>
      </c>
      <c r="L107" s="497">
        <f>ROUND(SUMIFS(Cantidades[170897],Cantidades[cod Idu],'CantidadesConsolidadas'!$A107),2)</f>
        <v>0</v>
      </c>
      <c r="M107" s="497">
        <f>ROUND(SUMIFS(Cantidades[170898],Cantidades[cod Idu],'CantidadesConsolidadas'!$A107),2)</f>
        <v>0</v>
      </c>
      <c r="N107" s="497">
        <f>ROUND(SUMIFS(Cantidades[91064150],Cantidades[cod Idu],'CantidadesConsolidadas'!$A107),2)</f>
        <v>0</v>
      </c>
      <c r="O107" s="497">
        <f>ROUND(SUMIFS(Cantidades[168919],Cantidades[cod Idu],'CantidadesConsolidadas'!$A107),2)</f>
        <v>0</v>
      </c>
      <c r="P107" s="497">
        <f>ROUND(SUMIFS(Cantidades[168426],Cantidades[cod Idu],'CantidadesConsolidadas'!$A107),2)</f>
        <v>0</v>
      </c>
      <c r="Q107" s="497">
        <f>ROUND(SUMIFS(Cantidades[91020796],Cantidades[cod Idu],'CantidadesConsolidadas'!$A107),2)</f>
        <v>0</v>
      </c>
      <c r="R107" s="497">
        <f>ROUND(SUMIFS(Cantidades[176184],Cantidades[cod Idu],'CantidadesConsolidadas'!$A107),2)</f>
        <v>0</v>
      </c>
      <c r="S107" s="497">
        <f>ROUND(SUMIFS(Cantidades[167636],Cantidades[cod Idu],'CantidadesConsolidadas'!$A107),2)</f>
        <v>0</v>
      </c>
      <c r="T107" s="497">
        <f>ROUND(SUMIFS(Cantidades[176730],Cantidades[cod Idu],'CantidadesConsolidadas'!$A107),2)</f>
        <v>0</v>
      </c>
      <c r="U107" s="497">
        <f>ROUND(SUMIFS(Cantidades[173038],Cantidades[cod Idu],'CantidadesConsolidadas'!$A107),2)</f>
        <v>0</v>
      </c>
      <c r="V107" s="497">
        <f>ROUND(SUMIFS(Cantidades[170222],Cantidades[cod Idu],'CantidadesConsolidadas'!$A107),2)</f>
        <v>0</v>
      </c>
      <c r="W107" s="497">
        <f>ROUND(SUMIFS(Cantidades[170229],Cantidades[cod Idu],'CantidadesConsolidadas'!$A107),2)</f>
        <v>0</v>
      </c>
      <c r="X107" s="497">
        <f>ROUND(SUMIFS(Cantidades[170227],Cantidades[cod Idu],'CantidadesConsolidadas'!$A107),2)</f>
        <v>0</v>
      </c>
      <c r="Y107" s="497">
        <f>ROUND(SUMIFS(Cantidades[170226],Cantidades[cod Idu],'CantidadesConsolidadas'!$A107),2)</f>
        <v>0</v>
      </c>
      <c r="Z107" s="497">
        <f>ROUND(SUMIFS(Cantidades[171567],Cantidades[cod Idu],'CantidadesConsolidadas'!$A107),2)</f>
        <v>0</v>
      </c>
      <c r="AA107" s="497">
        <f>ROUND(SUMIFS(Cantidades[166632],Cantidades[cod Idu],'CantidadesConsolidadas'!$A107),2)</f>
        <v>0</v>
      </c>
      <c r="AB107" s="497">
        <f>ROUND(SUMIFS(Cantidades[170228],Cantidades[cod Idu],'CantidadesConsolidadas'!$A107),2)</f>
        <v>0</v>
      </c>
      <c r="AC107" s="497">
        <f>ROUND(SUMIFS(Cantidades[172926],Cantidades[cod Idu],'CantidadesConsolidadas'!$A107),2)</f>
        <v>0</v>
      </c>
      <c r="AD107" s="497">
        <f>ROUND(SUMIFS(Cantidades[171152],Cantidades[cod Idu],'CantidadesConsolidadas'!$A107),2)</f>
        <v>0</v>
      </c>
      <c r="AE107" s="497">
        <f>ROUND(SUMIFS(Cantidades[173058],Cantidades[cod Idu],'CantidadesConsolidadas'!$A107),2)</f>
        <v>0</v>
      </c>
      <c r="AF107" s="726">
        <f>ROUND(SUMIFS(Cantidades[174478],Cantidades[cod Idu],'CantidadesConsolidadas'!$A107),2)</f>
        <v>0</v>
      </c>
      <c r="AG107" s="726">
        <f>ROUND(SUMIFS(Cantidades[91010089],Cantidades[cod Idu],'CantidadesConsolidadas'!$A107),2)</f>
        <v>0</v>
      </c>
      <c r="AH107" s="726">
        <f>ROUND(SUMIFS(Cantidades[176122],Cantidades[cod Idu],'CantidadesConsolidadas'!$A107),2)</f>
        <v>0</v>
      </c>
      <c r="AI107" s="726">
        <f>ROUND(SUMIFS(Cantidades[168536],Cantidades[cod Idu],'CantidadesConsolidadas'!$A107),2)</f>
        <v>0</v>
      </c>
      <c r="AJ107" s="497">
        <f>ROUND(SUMIFS(Cantidades[166934],Cantidades[cod Idu],'CantidadesConsolidadas'!$A107),2)</f>
        <v>0</v>
      </c>
      <c r="AK107" s="497">
        <f>ROUND(SUMIFS(Cantidades[174353],Cantidades[cod Idu],'CantidadesConsolidadas'!$A107),2)</f>
        <v>0</v>
      </c>
      <c r="AL107" s="751">
        <f>ROUND(SUMIFS(Cantidades[52531],Cantidades[cod Idu],'CantidadesConsolidadas'!$A107),2)</f>
        <v>0</v>
      </c>
      <c r="AM107" s="500">
        <f>ROUND(SUMIFS(Cantidades[52456],Cantidades[cod Idu],'CantidadesConsolidadas'!$A107),2)</f>
        <v>0</v>
      </c>
      <c r="AN107" s="500">
        <f>ROUND(SUMIFS(Cantidades[92058103],Cantidades[cod Idu],'CantidadesConsolidadas'!$A107),2)</f>
        <v>0</v>
      </c>
      <c r="AO107" s="500">
        <f>ROUND(SUMIFS(Cantidades[20011114],Cantidades[cod Idu],'CantidadesConsolidadas'!$A107),2)</f>
        <v>0</v>
      </c>
      <c r="AP107" s="500">
        <f>ROUND(SUMIFS(Cantidades[20013540],Cantidades[cod Idu],'CantidadesConsolidadas'!$A107),2)</f>
        <v>0</v>
      </c>
      <c r="AQ107" s="500">
        <f>ROUND(SUMIFS(Cantidades[55337],Cantidades[cod Idu],'CantidadesConsolidadas'!$A107),2)</f>
        <v>23.41</v>
      </c>
      <c r="AR107" s="500">
        <f>ROUND(SUMIFS(Cantidades[92087422],Cantidades[cod Idu],'CantidadesConsolidadas'!$A107),2)</f>
        <v>0</v>
      </c>
      <c r="AS107" s="500">
        <f>ROUND(SUMIFS(Cantidades[55259],Cantidades[cod Idu],'CantidadesConsolidadas'!$A107),2)</f>
        <v>0</v>
      </c>
      <c r="AT107" s="500">
        <f>ROUND(SUMIFS(Cantidades[466904],Cantidades[cod Idu],'CantidadesConsolidadas'!$A107),2)</f>
        <v>0</v>
      </c>
      <c r="AU107" s="500">
        <f>ROUND(SUMIFS(Cantidades[48591],Cantidades[cod Idu],'CantidadesConsolidadas'!$A107),2)</f>
        <v>0</v>
      </c>
      <c r="AV107" s="500">
        <f>ROUND(SUMIFS(Cantidades[48590],Cantidades[cod Idu],'CantidadesConsolidadas'!$A107),2)</f>
        <v>0</v>
      </c>
      <c r="AW107" s="500">
        <f>ROUND(SUMIFS(Cantidades[48561],Cantidades[cod Idu],'CantidadesConsolidadas'!$A107),2)</f>
        <v>0</v>
      </c>
      <c r="AX107" s="805">
        <f>ROUND(SUMIFS(Cantidades[48560],Cantidades[cod Idu],'CantidadesConsolidadas'!$A107),2)</f>
        <v>0</v>
      </c>
      <c r="AY107" s="805">
        <f>ROUND(SUMIFS(Cantidades[48657],Cantidades[cod Idu],'CantidadesConsolidadas'!$A107),2)</f>
        <v>0</v>
      </c>
      <c r="AZ107" s="752">
        <f>ROUND(SUMIFS(Cantidades[48655],Cantidades[cod Idu],'CantidadesConsolidadas'!$A107),2)</f>
        <v>0</v>
      </c>
      <c r="BA107" s="758">
        <f>SUBTOTAL(9,CantidadesConsolidadas[[#This Row],[91013913]:[48655]])</f>
        <v>23.41</v>
      </c>
      <c r="BB107" s="638">
        <f>ROUND(CantidadesConsolidadas[[#This Row],[Total]]*CantidadesConsolidadas[[#This Row],[VU]],0)</f>
        <v>14962759</v>
      </c>
    </row>
    <row r="108" spans="1:54" ht="29.4" thickBot="1" x14ac:dyDescent="0.35">
      <c r="A108">
        <v>4859</v>
      </c>
      <c r="B108" s="606" t="str">
        <f>+_xlfn.XLOOKUP(CantidadesConsolidadas[[#This Row],[cod Idu]],APU_IDU[Código],APU_IDU[Nombre],"",0)</f>
        <v>BORDE CONTENEDOR DE RAICES A 70 (INCLUYE SUMINISTRO E INSTALACIÓN, INCLUYE BASE DE 3CM EN MORTERO 1:3 HECHO EN OBRA)</v>
      </c>
      <c r="C108" s="609" t="str">
        <f>+_xlfn.XLOOKUP(CantidadesConsolidadas[[#This Row],[cod Idu]],APU_IDU[Código],APU_IDU[UM],"",0)</f>
        <v>ML</v>
      </c>
      <c r="D108" s="743">
        <f>+_xlfn.XLOOKUP(CantidadesConsolidadas[[#This Row],[cod Idu]],APU_IDU[Código],APU_IDU[Valor],"",0)</f>
        <v>53964</v>
      </c>
      <c r="E108" s="497">
        <f>ROUND(SUMIFS(Cantidades[91013913],Cantidades[cod Idu],'CantidadesConsolidadas'!$A108),2)</f>
        <v>0</v>
      </c>
      <c r="F108" s="497">
        <f>ROUND(SUMIFS(Cantidades[472330],Cantidades[cod Idu],'CantidadesConsolidadas'!$A108),2)</f>
        <v>0</v>
      </c>
      <c r="G108" s="497">
        <f>ROUND(SUMIFS(Cantidades[167810],Cantidades[cod Idu],'CantidadesConsolidadas'!$A108),2)</f>
        <v>0</v>
      </c>
      <c r="H108" s="497">
        <f>ROUND(SUMIFS(Cantidades[166646],Cantidades[cod Idu],'CantidadesConsolidadas'!$A108),2)</f>
        <v>0</v>
      </c>
      <c r="I108" s="497">
        <f>ROUND(SUMIFS(Cantidades[167491],Cantidades[cod Idu],'CantidadesConsolidadas'!$A108),2)</f>
        <v>0</v>
      </c>
      <c r="J108" s="497">
        <f>ROUND(SUMIFS(Cantidades[167266],Cantidades[cod Idu],'CantidadesConsolidadas'!$A108),2)</f>
        <v>0</v>
      </c>
      <c r="K108" s="497">
        <f>ROUND(SUMIFS(Cantidades[170896],Cantidades[cod Idu],'CantidadesConsolidadas'!$A108),2)</f>
        <v>0</v>
      </c>
      <c r="L108" s="497">
        <f>ROUND(SUMIFS(Cantidades[170897],Cantidades[cod Idu],'CantidadesConsolidadas'!$A108),2)</f>
        <v>0</v>
      </c>
      <c r="M108" s="497">
        <f>ROUND(SUMIFS(Cantidades[170898],Cantidades[cod Idu],'CantidadesConsolidadas'!$A108),2)</f>
        <v>0</v>
      </c>
      <c r="N108" s="497">
        <f>ROUND(SUMIFS(Cantidades[91064150],Cantidades[cod Idu],'CantidadesConsolidadas'!$A108),2)</f>
        <v>0</v>
      </c>
      <c r="O108" s="497">
        <f>ROUND(SUMIFS(Cantidades[168919],Cantidades[cod Idu],'CantidadesConsolidadas'!$A108),2)</f>
        <v>0</v>
      </c>
      <c r="P108" s="497">
        <f>ROUND(SUMIFS(Cantidades[168426],Cantidades[cod Idu],'CantidadesConsolidadas'!$A108),2)</f>
        <v>0</v>
      </c>
      <c r="Q108" s="497">
        <f>ROUND(SUMIFS(Cantidades[91020796],Cantidades[cod Idu],'CantidadesConsolidadas'!$A108),2)</f>
        <v>0</v>
      </c>
      <c r="R108" s="497">
        <f>ROUND(SUMIFS(Cantidades[176184],Cantidades[cod Idu],'CantidadesConsolidadas'!$A108),2)</f>
        <v>0</v>
      </c>
      <c r="S108" s="497">
        <f>ROUND(SUMIFS(Cantidades[167636],Cantidades[cod Idu],'CantidadesConsolidadas'!$A108),2)</f>
        <v>0</v>
      </c>
      <c r="T108" s="497">
        <f>ROUND(SUMIFS(Cantidades[176730],Cantidades[cod Idu],'CantidadesConsolidadas'!$A108),2)</f>
        <v>0</v>
      </c>
      <c r="U108" s="497">
        <f>ROUND(SUMIFS(Cantidades[173038],Cantidades[cod Idu],'CantidadesConsolidadas'!$A108),2)</f>
        <v>0</v>
      </c>
      <c r="V108" s="497">
        <f>ROUND(SUMIFS(Cantidades[170222],Cantidades[cod Idu],'CantidadesConsolidadas'!$A108),2)</f>
        <v>0</v>
      </c>
      <c r="W108" s="497">
        <f>ROUND(SUMIFS(Cantidades[170229],Cantidades[cod Idu],'CantidadesConsolidadas'!$A108),2)</f>
        <v>0</v>
      </c>
      <c r="X108" s="497">
        <f>ROUND(SUMIFS(Cantidades[170227],Cantidades[cod Idu],'CantidadesConsolidadas'!$A108),2)</f>
        <v>0</v>
      </c>
      <c r="Y108" s="497">
        <f>ROUND(SUMIFS(Cantidades[170226],Cantidades[cod Idu],'CantidadesConsolidadas'!$A108),2)</f>
        <v>0</v>
      </c>
      <c r="Z108" s="497">
        <f>ROUND(SUMIFS(Cantidades[171567],Cantidades[cod Idu],'CantidadesConsolidadas'!$A108),2)</f>
        <v>0</v>
      </c>
      <c r="AA108" s="497">
        <f>ROUND(SUMIFS(Cantidades[166632],Cantidades[cod Idu],'CantidadesConsolidadas'!$A108),2)</f>
        <v>0</v>
      </c>
      <c r="AB108" s="497">
        <f>ROUND(SUMIFS(Cantidades[170228],Cantidades[cod Idu],'CantidadesConsolidadas'!$A108),2)</f>
        <v>0</v>
      </c>
      <c r="AC108" s="497">
        <f>ROUND(SUMIFS(Cantidades[172926],Cantidades[cod Idu],'CantidadesConsolidadas'!$A108),2)</f>
        <v>0</v>
      </c>
      <c r="AD108" s="497">
        <f>ROUND(SUMIFS(Cantidades[171152],Cantidades[cod Idu],'CantidadesConsolidadas'!$A108),2)</f>
        <v>0</v>
      </c>
      <c r="AE108" s="497">
        <f>ROUND(SUMIFS(Cantidades[173058],Cantidades[cod Idu],'CantidadesConsolidadas'!$A108),2)</f>
        <v>0</v>
      </c>
      <c r="AF108" s="726">
        <f>ROUND(SUMIFS(Cantidades[174478],Cantidades[cod Idu],'CantidadesConsolidadas'!$A108),2)</f>
        <v>0</v>
      </c>
      <c r="AG108" s="726">
        <f>ROUND(SUMIFS(Cantidades[91010089],Cantidades[cod Idu],'CantidadesConsolidadas'!$A108),2)</f>
        <v>0</v>
      </c>
      <c r="AH108" s="726">
        <f>ROUND(SUMIFS(Cantidades[176122],Cantidades[cod Idu],'CantidadesConsolidadas'!$A108),2)</f>
        <v>0</v>
      </c>
      <c r="AI108" s="726">
        <f>ROUND(SUMIFS(Cantidades[168536],Cantidades[cod Idu],'CantidadesConsolidadas'!$A108),2)</f>
        <v>0</v>
      </c>
      <c r="AJ108" s="497">
        <f>ROUND(SUMIFS(Cantidades[166934],Cantidades[cod Idu],'CantidadesConsolidadas'!$A108),2)</f>
        <v>0</v>
      </c>
      <c r="AK108" s="497">
        <f>ROUND(SUMIFS(Cantidades[174353],Cantidades[cod Idu],'CantidadesConsolidadas'!$A108),2)</f>
        <v>0</v>
      </c>
      <c r="AL108" s="751">
        <f>ROUND(SUMIFS(Cantidades[52531],Cantidades[cod Idu],'CantidadesConsolidadas'!$A108),2)</f>
        <v>0</v>
      </c>
      <c r="AM108" s="500">
        <f>ROUND(SUMIFS(Cantidades[52456],Cantidades[cod Idu],'CantidadesConsolidadas'!$A108),2)</f>
        <v>0</v>
      </c>
      <c r="AN108" s="500">
        <f>ROUND(SUMIFS(Cantidades[92058103],Cantidades[cod Idu],'CantidadesConsolidadas'!$A108),2)</f>
        <v>0</v>
      </c>
      <c r="AO108" s="500">
        <f>ROUND(SUMIFS(Cantidades[20011114],Cantidades[cod Idu],'CantidadesConsolidadas'!$A108),2)</f>
        <v>0</v>
      </c>
      <c r="AP108" s="500">
        <f>ROUND(SUMIFS(Cantidades[20013540],Cantidades[cod Idu],'CantidadesConsolidadas'!$A108),2)</f>
        <v>5</v>
      </c>
      <c r="AQ108" s="500">
        <f>ROUND(SUMIFS(Cantidades[55337],Cantidades[cod Idu],'CantidadesConsolidadas'!$A108),2)</f>
        <v>0</v>
      </c>
      <c r="AR108" s="500">
        <f>ROUND(SUMIFS(Cantidades[92087422],Cantidades[cod Idu],'CantidadesConsolidadas'!$A108),2)</f>
        <v>0</v>
      </c>
      <c r="AS108" s="500">
        <f>ROUND(SUMIFS(Cantidades[55259],Cantidades[cod Idu],'CantidadesConsolidadas'!$A108),2)</f>
        <v>0</v>
      </c>
      <c r="AT108" s="500">
        <f>ROUND(SUMIFS(Cantidades[466904],Cantidades[cod Idu],'CantidadesConsolidadas'!$A108),2)</f>
        <v>0</v>
      </c>
      <c r="AU108" s="500">
        <f>ROUND(SUMIFS(Cantidades[48591],Cantidades[cod Idu],'CantidadesConsolidadas'!$A108),2)</f>
        <v>0</v>
      </c>
      <c r="AV108" s="500">
        <f>ROUND(SUMIFS(Cantidades[48590],Cantidades[cod Idu],'CantidadesConsolidadas'!$A108),2)</f>
        <v>0</v>
      </c>
      <c r="AW108" s="500">
        <f>ROUND(SUMIFS(Cantidades[48561],Cantidades[cod Idu],'CantidadesConsolidadas'!$A108),2)</f>
        <v>0</v>
      </c>
      <c r="AX108" s="805">
        <f>ROUND(SUMIFS(Cantidades[48560],Cantidades[cod Idu],'CantidadesConsolidadas'!$A108),2)</f>
        <v>0</v>
      </c>
      <c r="AY108" s="805">
        <f>ROUND(SUMIFS(Cantidades[48657],Cantidades[cod Idu],'CantidadesConsolidadas'!$A108),2)</f>
        <v>0</v>
      </c>
      <c r="AZ108" s="752">
        <f>ROUND(SUMIFS(Cantidades[48655],Cantidades[cod Idu],'CantidadesConsolidadas'!$A108),2)</f>
        <v>0</v>
      </c>
      <c r="BA108" s="758">
        <f>SUBTOTAL(9,CantidadesConsolidadas[[#This Row],[91013913]:[48655]])</f>
        <v>5</v>
      </c>
      <c r="BB108" s="638">
        <f>ROUND(CantidadesConsolidadas[[#This Row],[Total]]*CantidadesConsolidadas[[#This Row],[VU]],0)</f>
        <v>269820</v>
      </c>
    </row>
    <row r="109" spans="1:54" ht="29.4" thickBot="1" x14ac:dyDescent="0.35">
      <c r="A109">
        <v>3403</v>
      </c>
      <c r="B109" s="606" t="str">
        <f>+_xlfn.XLOOKUP(CantidadesConsolidadas[[#This Row],[cod Idu]],APU_IDU[Código],APU_IDU[Nombre],"",0)</f>
        <v>CONTENEDOR DE RAICES TIPO B20 (TIPO A) (1.2X1.2X1.40M. INC. SUMINISTRO, CONSTRUCCIÓN Y FILTRO EN GRAVILLA. NO INC. TIERRA)</v>
      </c>
      <c r="C109" s="609" t="str">
        <f>+_xlfn.XLOOKUP(CantidadesConsolidadas[[#This Row],[cod Idu]],APU_IDU[Código],APU_IDU[UM],"",0)</f>
        <v>UN</v>
      </c>
      <c r="D109" s="743">
        <f>+_xlfn.XLOOKUP(CantidadesConsolidadas[[#This Row],[cod Idu]],APU_IDU[Código],APU_IDU[Valor],"",0)</f>
        <v>974631</v>
      </c>
      <c r="E109" s="497">
        <f>ROUND(SUMIFS(Cantidades[91013913],Cantidades[cod Idu],'CantidadesConsolidadas'!$A109),2)</f>
        <v>0</v>
      </c>
      <c r="F109" s="497">
        <f>ROUND(SUMIFS(Cantidades[472330],Cantidades[cod Idu],'CantidadesConsolidadas'!$A109),2)</f>
        <v>0</v>
      </c>
      <c r="G109" s="497">
        <f>ROUND(SUMIFS(Cantidades[167810],Cantidades[cod Idu],'CantidadesConsolidadas'!$A109),2)</f>
        <v>0</v>
      </c>
      <c r="H109" s="497">
        <f>ROUND(SUMIFS(Cantidades[166646],Cantidades[cod Idu],'CantidadesConsolidadas'!$A109),2)</f>
        <v>0</v>
      </c>
      <c r="I109" s="497">
        <f>ROUND(SUMIFS(Cantidades[167491],Cantidades[cod Idu],'CantidadesConsolidadas'!$A109),2)</f>
        <v>0</v>
      </c>
      <c r="J109" s="497">
        <f>ROUND(SUMIFS(Cantidades[167266],Cantidades[cod Idu],'CantidadesConsolidadas'!$A109),2)</f>
        <v>0</v>
      </c>
      <c r="K109" s="497">
        <f>ROUND(SUMIFS(Cantidades[170896],Cantidades[cod Idu],'CantidadesConsolidadas'!$A109),2)</f>
        <v>0</v>
      </c>
      <c r="L109" s="497">
        <f>ROUND(SUMIFS(Cantidades[170897],Cantidades[cod Idu],'CantidadesConsolidadas'!$A109),2)</f>
        <v>0</v>
      </c>
      <c r="M109" s="497">
        <f>ROUND(SUMIFS(Cantidades[170898],Cantidades[cod Idu],'CantidadesConsolidadas'!$A109),2)</f>
        <v>0</v>
      </c>
      <c r="N109" s="497">
        <f>ROUND(SUMIFS(Cantidades[91064150],Cantidades[cod Idu],'CantidadesConsolidadas'!$A109),2)</f>
        <v>0</v>
      </c>
      <c r="O109" s="497">
        <f>ROUND(SUMIFS(Cantidades[168919],Cantidades[cod Idu],'CantidadesConsolidadas'!$A109),2)</f>
        <v>0</v>
      </c>
      <c r="P109" s="497">
        <f>ROUND(SUMIFS(Cantidades[168426],Cantidades[cod Idu],'CantidadesConsolidadas'!$A109),2)</f>
        <v>0</v>
      </c>
      <c r="Q109" s="497">
        <f>ROUND(SUMIFS(Cantidades[91020796],Cantidades[cod Idu],'CantidadesConsolidadas'!$A109),2)</f>
        <v>0</v>
      </c>
      <c r="R109" s="497">
        <f>ROUND(SUMIFS(Cantidades[176184],Cantidades[cod Idu],'CantidadesConsolidadas'!$A109),2)</f>
        <v>0</v>
      </c>
      <c r="S109" s="497">
        <f>ROUND(SUMIFS(Cantidades[167636],Cantidades[cod Idu],'CantidadesConsolidadas'!$A109),2)</f>
        <v>0</v>
      </c>
      <c r="T109" s="497">
        <f>ROUND(SUMIFS(Cantidades[176730],Cantidades[cod Idu],'CantidadesConsolidadas'!$A109),2)</f>
        <v>0</v>
      </c>
      <c r="U109" s="497">
        <f>ROUND(SUMIFS(Cantidades[173038],Cantidades[cod Idu],'CantidadesConsolidadas'!$A109),2)</f>
        <v>0</v>
      </c>
      <c r="V109" s="497">
        <f>ROUND(SUMIFS(Cantidades[170222],Cantidades[cod Idu],'CantidadesConsolidadas'!$A109),2)</f>
        <v>0</v>
      </c>
      <c r="W109" s="497">
        <f>ROUND(SUMIFS(Cantidades[170229],Cantidades[cod Idu],'CantidadesConsolidadas'!$A109),2)</f>
        <v>0</v>
      </c>
      <c r="X109" s="497">
        <f>ROUND(SUMIFS(Cantidades[170227],Cantidades[cod Idu],'CantidadesConsolidadas'!$A109),2)</f>
        <v>0</v>
      </c>
      <c r="Y109" s="497">
        <f>ROUND(SUMIFS(Cantidades[170226],Cantidades[cod Idu],'CantidadesConsolidadas'!$A109),2)</f>
        <v>0</v>
      </c>
      <c r="Z109" s="497">
        <f>ROUND(SUMIFS(Cantidades[171567],Cantidades[cod Idu],'CantidadesConsolidadas'!$A109),2)</f>
        <v>0</v>
      </c>
      <c r="AA109" s="497">
        <f>ROUND(SUMIFS(Cantidades[166632],Cantidades[cod Idu],'CantidadesConsolidadas'!$A109),2)</f>
        <v>0</v>
      </c>
      <c r="AB109" s="497">
        <f>ROUND(SUMIFS(Cantidades[170228],Cantidades[cod Idu],'CantidadesConsolidadas'!$A109),2)</f>
        <v>0</v>
      </c>
      <c r="AC109" s="497">
        <f>ROUND(SUMIFS(Cantidades[172926],Cantidades[cod Idu],'CantidadesConsolidadas'!$A109),2)</f>
        <v>0</v>
      </c>
      <c r="AD109" s="497">
        <f>ROUND(SUMIFS(Cantidades[171152],Cantidades[cod Idu],'CantidadesConsolidadas'!$A109),2)</f>
        <v>0</v>
      </c>
      <c r="AE109" s="497">
        <f>ROUND(SUMIFS(Cantidades[173058],Cantidades[cod Idu],'CantidadesConsolidadas'!$A109),2)</f>
        <v>0</v>
      </c>
      <c r="AF109" s="726">
        <f>ROUND(SUMIFS(Cantidades[174478],Cantidades[cod Idu],'CantidadesConsolidadas'!$A109),2)</f>
        <v>0</v>
      </c>
      <c r="AG109" s="726">
        <f>ROUND(SUMIFS(Cantidades[91010089],Cantidades[cod Idu],'CantidadesConsolidadas'!$A109),2)</f>
        <v>0</v>
      </c>
      <c r="AH109" s="726">
        <f>ROUND(SUMIFS(Cantidades[176122],Cantidades[cod Idu],'CantidadesConsolidadas'!$A109),2)</f>
        <v>0</v>
      </c>
      <c r="AI109" s="726">
        <f>ROUND(SUMIFS(Cantidades[168536],Cantidades[cod Idu],'CantidadesConsolidadas'!$A109),2)</f>
        <v>0</v>
      </c>
      <c r="AJ109" s="497">
        <f>ROUND(SUMIFS(Cantidades[166934],Cantidades[cod Idu],'CantidadesConsolidadas'!$A109),2)</f>
        <v>0</v>
      </c>
      <c r="AK109" s="497">
        <f>ROUND(SUMIFS(Cantidades[174353],Cantidades[cod Idu],'CantidadesConsolidadas'!$A109),2)</f>
        <v>0</v>
      </c>
      <c r="AL109" s="751">
        <f>ROUND(SUMIFS(Cantidades[52531],Cantidades[cod Idu],'CantidadesConsolidadas'!$A109),2)</f>
        <v>0</v>
      </c>
      <c r="AM109" s="500">
        <f>ROUND(SUMIFS(Cantidades[52456],Cantidades[cod Idu],'CantidadesConsolidadas'!$A109),2)</f>
        <v>0</v>
      </c>
      <c r="AN109" s="500">
        <f>ROUND(SUMIFS(Cantidades[92058103],Cantidades[cod Idu],'CantidadesConsolidadas'!$A109),2)</f>
        <v>0</v>
      </c>
      <c r="AO109" s="500">
        <f>ROUND(SUMIFS(Cantidades[20011114],Cantidades[cod Idu],'CantidadesConsolidadas'!$A109),2)</f>
        <v>0</v>
      </c>
      <c r="AP109" s="500">
        <f>ROUND(SUMIFS(Cantidades[20013540],Cantidades[cod Idu],'CantidadesConsolidadas'!$A109),2)</f>
        <v>4</v>
      </c>
      <c r="AQ109" s="500">
        <f>ROUND(SUMIFS(Cantidades[55337],Cantidades[cod Idu],'CantidadesConsolidadas'!$A109),2)</f>
        <v>0</v>
      </c>
      <c r="AR109" s="500">
        <f>ROUND(SUMIFS(Cantidades[92087422],Cantidades[cod Idu],'CantidadesConsolidadas'!$A109),2)</f>
        <v>0</v>
      </c>
      <c r="AS109" s="500">
        <f>ROUND(SUMIFS(Cantidades[55259],Cantidades[cod Idu],'CantidadesConsolidadas'!$A109),2)</f>
        <v>0</v>
      </c>
      <c r="AT109" s="500">
        <f>ROUND(SUMIFS(Cantidades[466904],Cantidades[cod Idu],'CantidadesConsolidadas'!$A109),2)</f>
        <v>0</v>
      </c>
      <c r="AU109" s="500">
        <f>ROUND(SUMIFS(Cantidades[48591],Cantidades[cod Idu],'CantidadesConsolidadas'!$A109),2)</f>
        <v>0</v>
      </c>
      <c r="AV109" s="500">
        <f>ROUND(SUMIFS(Cantidades[48590],Cantidades[cod Idu],'CantidadesConsolidadas'!$A109),2)</f>
        <v>0</v>
      </c>
      <c r="AW109" s="500">
        <f>ROUND(SUMIFS(Cantidades[48561],Cantidades[cod Idu],'CantidadesConsolidadas'!$A109),2)</f>
        <v>0</v>
      </c>
      <c r="AX109" s="805">
        <f>ROUND(SUMIFS(Cantidades[48560],Cantidades[cod Idu],'CantidadesConsolidadas'!$A109),2)</f>
        <v>0</v>
      </c>
      <c r="AY109" s="805">
        <f>ROUND(SUMIFS(Cantidades[48657],Cantidades[cod Idu],'CantidadesConsolidadas'!$A109),2)</f>
        <v>0</v>
      </c>
      <c r="AZ109" s="752">
        <f>ROUND(SUMIFS(Cantidades[48655],Cantidades[cod Idu],'CantidadesConsolidadas'!$A109),2)</f>
        <v>0</v>
      </c>
      <c r="BA109" s="758">
        <f>SUBTOTAL(9,CantidadesConsolidadas[[#This Row],[91013913]:[48655]])</f>
        <v>4</v>
      </c>
      <c r="BB109" s="638">
        <f>ROUND(CantidadesConsolidadas[[#This Row],[Total]]*CantidadesConsolidadas[[#This Row],[VU]],0)</f>
        <v>3898524</v>
      </c>
    </row>
    <row r="110" spans="1:54" ht="29.4" thickBot="1" x14ac:dyDescent="0.35">
      <c r="A110">
        <v>3721</v>
      </c>
      <c r="B110" s="606" t="str">
        <f>+_xlfn.XLOOKUP(CantidadesConsolidadas[[#This Row],[cod Idu]],APU_IDU[Código],APU_IDU[Nombre],"",0)</f>
        <v>SIEMBRA DE GRAMA (INCLUYE SUMINISTRO E INSTALACIÓN. INCLUYE 10CM DE TIERRA NEGRA)</v>
      </c>
      <c r="C110" s="609" t="str">
        <f>+_xlfn.XLOOKUP(CantidadesConsolidadas[[#This Row],[cod Idu]],APU_IDU[Código],APU_IDU[UM],"",0)</f>
        <v>M2</v>
      </c>
      <c r="D110" s="743">
        <f>+_xlfn.XLOOKUP(CantidadesConsolidadas[[#This Row],[cod Idu]],APU_IDU[Código],APU_IDU[Valor],"",0)</f>
        <v>35923</v>
      </c>
      <c r="E110" s="497">
        <f>ROUND(SUMIFS(Cantidades[91013913],Cantidades[cod Idu],'CantidadesConsolidadas'!$A110),2)</f>
        <v>0</v>
      </c>
      <c r="F110" s="497">
        <f>ROUND(SUMIFS(Cantidades[472330],Cantidades[cod Idu],'CantidadesConsolidadas'!$A110),2)</f>
        <v>0</v>
      </c>
      <c r="G110" s="497">
        <f>ROUND(SUMIFS(Cantidades[167810],Cantidades[cod Idu],'CantidadesConsolidadas'!$A110),2)</f>
        <v>0</v>
      </c>
      <c r="H110" s="497">
        <f>ROUND(SUMIFS(Cantidades[166646],Cantidades[cod Idu],'CantidadesConsolidadas'!$A110),2)</f>
        <v>0</v>
      </c>
      <c r="I110" s="497">
        <f>ROUND(SUMIFS(Cantidades[167491],Cantidades[cod Idu],'CantidadesConsolidadas'!$A110),2)</f>
        <v>0</v>
      </c>
      <c r="J110" s="497">
        <f>ROUND(SUMIFS(Cantidades[167266],Cantidades[cod Idu],'CantidadesConsolidadas'!$A110),2)</f>
        <v>0</v>
      </c>
      <c r="K110" s="497">
        <f>ROUND(SUMIFS(Cantidades[170896],Cantidades[cod Idu],'CantidadesConsolidadas'!$A110),2)</f>
        <v>0</v>
      </c>
      <c r="L110" s="497">
        <f>ROUND(SUMIFS(Cantidades[170897],Cantidades[cod Idu],'CantidadesConsolidadas'!$A110),2)</f>
        <v>0</v>
      </c>
      <c r="M110" s="497">
        <f>ROUND(SUMIFS(Cantidades[170898],Cantidades[cod Idu],'CantidadesConsolidadas'!$A110),2)</f>
        <v>0</v>
      </c>
      <c r="N110" s="497">
        <f>ROUND(SUMIFS(Cantidades[91064150],Cantidades[cod Idu],'CantidadesConsolidadas'!$A110),2)</f>
        <v>0</v>
      </c>
      <c r="O110" s="497">
        <f>ROUND(SUMIFS(Cantidades[168919],Cantidades[cod Idu],'CantidadesConsolidadas'!$A110),2)</f>
        <v>0</v>
      </c>
      <c r="P110" s="497">
        <f>ROUND(SUMIFS(Cantidades[168426],Cantidades[cod Idu],'CantidadesConsolidadas'!$A110),2)</f>
        <v>0</v>
      </c>
      <c r="Q110" s="497">
        <f>ROUND(SUMIFS(Cantidades[91020796],Cantidades[cod Idu],'CantidadesConsolidadas'!$A110),2)</f>
        <v>0</v>
      </c>
      <c r="R110" s="497">
        <f>ROUND(SUMIFS(Cantidades[176184],Cantidades[cod Idu],'CantidadesConsolidadas'!$A110),2)</f>
        <v>0</v>
      </c>
      <c r="S110" s="497">
        <f>ROUND(SUMIFS(Cantidades[167636],Cantidades[cod Idu],'CantidadesConsolidadas'!$A110),2)</f>
        <v>0</v>
      </c>
      <c r="T110" s="497">
        <f>ROUND(SUMIFS(Cantidades[176730],Cantidades[cod Idu],'CantidadesConsolidadas'!$A110),2)</f>
        <v>0</v>
      </c>
      <c r="U110" s="497">
        <f>ROUND(SUMIFS(Cantidades[173038],Cantidades[cod Idu],'CantidadesConsolidadas'!$A110),2)</f>
        <v>0</v>
      </c>
      <c r="V110" s="497">
        <f>ROUND(SUMIFS(Cantidades[170222],Cantidades[cod Idu],'CantidadesConsolidadas'!$A110),2)</f>
        <v>0</v>
      </c>
      <c r="W110" s="497">
        <f>ROUND(SUMIFS(Cantidades[170229],Cantidades[cod Idu],'CantidadesConsolidadas'!$A110),2)</f>
        <v>0</v>
      </c>
      <c r="X110" s="497">
        <f>ROUND(SUMIFS(Cantidades[170227],Cantidades[cod Idu],'CantidadesConsolidadas'!$A110),2)</f>
        <v>0</v>
      </c>
      <c r="Y110" s="497">
        <f>ROUND(SUMIFS(Cantidades[170226],Cantidades[cod Idu],'CantidadesConsolidadas'!$A110),2)</f>
        <v>0</v>
      </c>
      <c r="Z110" s="497">
        <f>ROUND(SUMIFS(Cantidades[171567],Cantidades[cod Idu],'CantidadesConsolidadas'!$A110),2)</f>
        <v>0</v>
      </c>
      <c r="AA110" s="497">
        <f>ROUND(SUMIFS(Cantidades[166632],Cantidades[cod Idu],'CantidadesConsolidadas'!$A110),2)</f>
        <v>0</v>
      </c>
      <c r="AB110" s="497">
        <f>ROUND(SUMIFS(Cantidades[170228],Cantidades[cod Idu],'CantidadesConsolidadas'!$A110),2)</f>
        <v>0</v>
      </c>
      <c r="AC110" s="497">
        <f>ROUND(SUMIFS(Cantidades[172926],Cantidades[cod Idu],'CantidadesConsolidadas'!$A110),2)</f>
        <v>0</v>
      </c>
      <c r="AD110" s="497">
        <f>ROUND(SUMIFS(Cantidades[171152],Cantidades[cod Idu],'CantidadesConsolidadas'!$A110),2)</f>
        <v>0</v>
      </c>
      <c r="AE110" s="497">
        <f>ROUND(SUMIFS(Cantidades[173058],Cantidades[cod Idu],'CantidadesConsolidadas'!$A110),2)</f>
        <v>0</v>
      </c>
      <c r="AF110" s="726">
        <f>ROUND(SUMIFS(Cantidades[174478],Cantidades[cod Idu],'CantidadesConsolidadas'!$A110),2)</f>
        <v>0</v>
      </c>
      <c r="AG110" s="726">
        <f>ROUND(SUMIFS(Cantidades[91010089],Cantidades[cod Idu],'CantidadesConsolidadas'!$A110),2)</f>
        <v>0</v>
      </c>
      <c r="AH110" s="726">
        <f>ROUND(SUMIFS(Cantidades[176122],Cantidades[cod Idu],'CantidadesConsolidadas'!$A110),2)</f>
        <v>0</v>
      </c>
      <c r="AI110" s="726">
        <f>ROUND(SUMIFS(Cantidades[168536],Cantidades[cod Idu],'CantidadesConsolidadas'!$A110),2)</f>
        <v>0</v>
      </c>
      <c r="AJ110" s="497">
        <f>ROUND(SUMIFS(Cantidades[166934],Cantidades[cod Idu],'CantidadesConsolidadas'!$A110),2)</f>
        <v>0</v>
      </c>
      <c r="AK110" s="497">
        <f>ROUND(SUMIFS(Cantidades[174353],Cantidades[cod Idu],'CantidadesConsolidadas'!$A110),2)</f>
        <v>0</v>
      </c>
      <c r="AL110" s="751">
        <f>ROUND(SUMIFS(Cantidades[52531],Cantidades[cod Idu],'CantidadesConsolidadas'!$A110),2)</f>
        <v>0</v>
      </c>
      <c r="AM110" s="500">
        <f>ROUND(SUMIFS(Cantidades[52456],Cantidades[cod Idu],'CantidadesConsolidadas'!$A110),2)</f>
        <v>0</v>
      </c>
      <c r="AN110" s="500">
        <f>ROUND(SUMIFS(Cantidades[92058103],Cantidades[cod Idu],'CantidadesConsolidadas'!$A110),2)</f>
        <v>0</v>
      </c>
      <c r="AO110" s="500">
        <f>ROUND(SUMIFS(Cantidades[20011114],Cantidades[cod Idu],'CantidadesConsolidadas'!$A110),2)</f>
        <v>0</v>
      </c>
      <c r="AP110" s="500">
        <f>ROUND(SUMIFS(Cantidades[20013540],Cantidades[cod Idu],'CantidadesConsolidadas'!$A110),2)</f>
        <v>0</v>
      </c>
      <c r="AQ110" s="500">
        <f>ROUND(SUMIFS(Cantidades[55337],Cantidades[cod Idu],'CantidadesConsolidadas'!$A110),2)</f>
        <v>0</v>
      </c>
      <c r="AR110" s="500">
        <f>ROUND(SUMIFS(Cantidades[92087422],Cantidades[cod Idu],'CantidadesConsolidadas'!$A110),2)</f>
        <v>0</v>
      </c>
      <c r="AS110" s="500">
        <f>ROUND(SUMIFS(Cantidades[55259],Cantidades[cod Idu],'CantidadesConsolidadas'!$A110),2)</f>
        <v>0</v>
      </c>
      <c r="AT110" s="500">
        <f>ROUND(SUMIFS(Cantidades[466904],Cantidades[cod Idu],'CantidadesConsolidadas'!$A110),2)</f>
        <v>0</v>
      </c>
      <c r="AU110" s="500">
        <f>ROUND(SUMIFS(Cantidades[48591],Cantidades[cod Idu],'CantidadesConsolidadas'!$A110),2)</f>
        <v>0</v>
      </c>
      <c r="AV110" s="500">
        <f>ROUND(SUMIFS(Cantidades[48590],Cantidades[cod Idu],'CantidadesConsolidadas'!$A110),2)</f>
        <v>10</v>
      </c>
      <c r="AW110" s="500">
        <f>ROUND(SUMIFS(Cantidades[48561],Cantidades[cod Idu],'CantidadesConsolidadas'!$A110),2)</f>
        <v>0</v>
      </c>
      <c r="AX110" s="805">
        <f>ROUND(SUMIFS(Cantidades[48560],Cantidades[cod Idu],'CantidadesConsolidadas'!$A110),2)</f>
        <v>0</v>
      </c>
      <c r="AY110" s="805">
        <f>ROUND(SUMIFS(Cantidades[48657],Cantidades[cod Idu],'CantidadesConsolidadas'!$A110),2)</f>
        <v>0</v>
      </c>
      <c r="AZ110" s="752">
        <f>ROUND(SUMIFS(Cantidades[48655],Cantidades[cod Idu],'CantidadesConsolidadas'!$A110),2)</f>
        <v>0</v>
      </c>
      <c r="BA110" s="758">
        <f>SUBTOTAL(9,CantidadesConsolidadas[[#This Row],[91013913]:[48655]])</f>
        <v>10</v>
      </c>
      <c r="BB110" s="638">
        <f>ROUND(CantidadesConsolidadas[[#This Row],[Total]]*CantidadesConsolidadas[[#This Row],[VU]],0)</f>
        <v>359230</v>
      </c>
    </row>
    <row r="111" spans="1:54" ht="43.2" x14ac:dyDescent="0.3">
      <c r="A111">
        <v>4909</v>
      </c>
      <c r="B111" s="606" t="str">
        <f>+_xlfn.XLOOKUP(CantidadesConsolidadas[[#This Row],[cod Idu]],APU_IDU[Código],APU_IDU[Nombre],"",0)</f>
        <v>RAMPA VEHICULAR FUNDIDA EN EL SITIO EN CONCRETO PREMEZCLADO DE 3000 PSI (GRAVA COMUN) SUM, CONSTR. E INSTALACIÓN. INCLUYE ACABADO EN ADOQUIN DE ARCILLA TIPO TRÁFICO PESADO O SIMILAR, BASE DE 4CM EN MORTERO DE 2000 PSI.</v>
      </c>
      <c r="C111" s="609" t="str">
        <f>+_xlfn.XLOOKUP(CantidadesConsolidadas[[#This Row],[cod Idu]],APU_IDU[Código],APU_IDU[UM],"",0)</f>
        <v>M2</v>
      </c>
      <c r="D111" s="743">
        <f>+_xlfn.XLOOKUP(CantidadesConsolidadas[[#This Row],[cod Idu]],APU_IDU[Código],APU_IDU[Valor],"",0)</f>
        <v>215223</v>
      </c>
      <c r="E111" s="497">
        <f>ROUND(SUMIFS(Cantidades[91013913],Cantidades[cod Idu],'CantidadesConsolidadas'!$A111),2)</f>
        <v>0</v>
      </c>
      <c r="F111" s="497">
        <f>ROUND(SUMIFS(Cantidades[472330],Cantidades[cod Idu],'CantidadesConsolidadas'!$A111),2)</f>
        <v>0</v>
      </c>
      <c r="G111" s="497">
        <f>ROUND(SUMIFS(Cantidades[167810],Cantidades[cod Idu],'CantidadesConsolidadas'!$A111),2)</f>
        <v>0</v>
      </c>
      <c r="H111" s="497">
        <f>ROUND(SUMIFS(Cantidades[166646],Cantidades[cod Idu],'CantidadesConsolidadas'!$A111),2)</f>
        <v>0</v>
      </c>
      <c r="I111" s="497">
        <f>ROUND(SUMIFS(Cantidades[167491],Cantidades[cod Idu],'CantidadesConsolidadas'!$A111),2)</f>
        <v>0</v>
      </c>
      <c r="J111" s="497">
        <f>ROUND(SUMIFS(Cantidades[167266],Cantidades[cod Idu],'CantidadesConsolidadas'!$A111),2)</f>
        <v>0</v>
      </c>
      <c r="K111" s="497">
        <f>ROUND(SUMIFS(Cantidades[170896],Cantidades[cod Idu],'CantidadesConsolidadas'!$A111),2)</f>
        <v>0</v>
      </c>
      <c r="L111" s="497">
        <f>ROUND(SUMIFS(Cantidades[170897],Cantidades[cod Idu],'CantidadesConsolidadas'!$A111),2)</f>
        <v>0</v>
      </c>
      <c r="M111" s="497">
        <f>ROUND(SUMIFS(Cantidades[170898],Cantidades[cod Idu],'CantidadesConsolidadas'!$A111),2)</f>
        <v>0</v>
      </c>
      <c r="N111" s="497">
        <f>ROUND(SUMIFS(Cantidades[91064150],Cantidades[cod Idu],'CantidadesConsolidadas'!$A111),2)</f>
        <v>0</v>
      </c>
      <c r="O111" s="497">
        <f>ROUND(SUMIFS(Cantidades[168919],Cantidades[cod Idu],'CantidadesConsolidadas'!$A111),2)</f>
        <v>0</v>
      </c>
      <c r="P111" s="497">
        <f>ROUND(SUMIFS(Cantidades[168426],Cantidades[cod Idu],'CantidadesConsolidadas'!$A111),2)</f>
        <v>0</v>
      </c>
      <c r="Q111" s="497">
        <f>ROUND(SUMIFS(Cantidades[91020796],Cantidades[cod Idu],'CantidadesConsolidadas'!$A111),2)</f>
        <v>0</v>
      </c>
      <c r="R111" s="497">
        <f>ROUND(SUMIFS(Cantidades[176184],Cantidades[cod Idu],'CantidadesConsolidadas'!$A111),2)</f>
        <v>0</v>
      </c>
      <c r="S111" s="497">
        <f>ROUND(SUMIFS(Cantidades[167636],Cantidades[cod Idu],'CantidadesConsolidadas'!$A111),2)</f>
        <v>0</v>
      </c>
      <c r="T111" s="497">
        <f>ROUND(SUMIFS(Cantidades[176730],Cantidades[cod Idu],'CantidadesConsolidadas'!$A111),2)</f>
        <v>0</v>
      </c>
      <c r="U111" s="497">
        <f>ROUND(SUMIFS(Cantidades[173038],Cantidades[cod Idu],'CantidadesConsolidadas'!$A111),2)</f>
        <v>0</v>
      </c>
      <c r="V111" s="497">
        <f>ROUND(SUMIFS(Cantidades[170222],Cantidades[cod Idu],'CantidadesConsolidadas'!$A111),2)</f>
        <v>0</v>
      </c>
      <c r="W111" s="497">
        <f>ROUND(SUMIFS(Cantidades[170229],Cantidades[cod Idu],'CantidadesConsolidadas'!$A111),2)</f>
        <v>0</v>
      </c>
      <c r="X111" s="497">
        <f>ROUND(SUMIFS(Cantidades[170227],Cantidades[cod Idu],'CantidadesConsolidadas'!$A111),2)</f>
        <v>0</v>
      </c>
      <c r="Y111" s="497">
        <f>ROUND(SUMIFS(Cantidades[170226],Cantidades[cod Idu],'CantidadesConsolidadas'!$A111),2)</f>
        <v>0</v>
      </c>
      <c r="Z111" s="497">
        <f>ROUND(SUMIFS(Cantidades[171567],Cantidades[cod Idu],'CantidadesConsolidadas'!$A111),2)</f>
        <v>0</v>
      </c>
      <c r="AA111" s="497">
        <f>ROUND(SUMIFS(Cantidades[166632],Cantidades[cod Idu],'CantidadesConsolidadas'!$A111),2)</f>
        <v>0</v>
      </c>
      <c r="AB111" s="497">
        <f>ROUND(SUMIFS(Cantidades[170228],Cantidades[cod Idu],'CantidadesConsolidadas'!$A111),2)</f>
        <v>0</v>
      </c>
      <c r="AC111" s="497">
        <f>ROUND(SUMIFS(Cantidades[172926],Cantidades[cod Idu],'CantidadesConsolidadas'!$A111),2)</f>
        <v>0</v>
      </c>
      <c r="AD111" s="497">
        <f>ROUND(SUMIFS(Cantidades[171152],Cantidades[cod Idu],'CantidadesConsolidadas'!$A111),2)</f>
        <v>0</v>
      </c>
      <c r="AE111" s="497">
        <f>ROUND(SUMIFS(Cantidades[173058],Cantidades[cod Idu],'CantidadesConsolidadas'!$A111),2)</f>
        <v>0</v>
      </c>
      <c r="AF111" s="726">
        <f>ROUND(SUMIFS(Cantidades[174478],Cantidades[cod Idu],'CantidadesConsolidadas'!$A111),2)</f>
        <v>0</v>
      </c>
      <c r="AG111" s="726">
        <f>ROUND(SUMIFS(Cantidades[91010089],Cantidades[cod Idu],'CantidadesConsolidadas'!$A111),2)</f>
        <v>0</v>
      </c>
      <c r="AH111" s="726">
        <f>ROUND(SUMIFS(Cantidades[176122],Cantidades[cod Idu],'CantidadesConsolidadas'!$A111),2)</f>
        <v>0</v>
      </c>
      <c r="AI111" s="726">
        <f>ROUND(SUMIFS(Cantidades[168536],Cantidades[cod Idu],'CantidadesConsolidadas'!$A111),2)</f>
        <v>0</v>
      </c>
      <c r="AJ111" s="497">
        <f>ROUND(SUMIFS(Cantidades[166934],Cantidades[cod Idu],'CantidadesConsolidadas'!$A111),2)</f>
        <v>0</v>
      </c>
      <c r="AK111" s="497">
        <f>ROUND(SUMIFS(Cantidades[174353],Cantidades[cod Idu],'CantidadesConsolidadas'!$A111),2)</f>
        <v>0</v>
      </c>
      <c r="AL111" s="751">
        <f>ROUND(SUMIFS(Cantidades[52531],Cantidades[cod Idu],'CantidadesConsolidadas'!$A111),2)</f>
        <v>0</v>
      </c>
      <c r="AM111" s="500">
        <f>ROUND(SUMIFS(Cantidades[52456],Cantidades[cod Idu],'CantidadesConsolidadas'!$A111),2)</f>
        <v>0</v>
      </c>
      <c r="AN111" s="500">
        <f>ROUND(SUMIFS(Cantidades[92058103],Cantidades[cod Idu],'CantidadesConsolidadas'!$A111),2)</f>
        <v>3.1</v>
      </c>
      <c r="AO111" s="500">
        <f>ROUND(SUMIFS(Cantidades[20011114],Cantidades[cod Idu],'CantidadesConsolidadas'!$A111),2)</f>
        <v>0</v>
      </c>
      <c r="AP111" s="500">
        <f>ROUND(SUMIFS(Cantidades[20013540],Cantidades[cod Idu],'CantidadesConsolidadas'!$A111),2)</f>
        <v>0</v>
      </c>
      <c r="AQ111" s="500">
        <f>ROUND(SUMIFS(Cantidades[55337],Cantidades[cod Idu],'CantidadesConsolidadas'!$A111),2)</f>
        <v>0</v>
      </c>
      <c r="AR111" s="500">
        <f>ROUND(SUMIFS(Cantidades[92087422],Cantidades[cod Idu],'CantidadesConsolidadas'!$A111),2)</f>
        <v>0</v>
      </c>
      <c r="AS111" s="500">
        <f>ROUND(SUMIFS(Cantidades[55259],Cantidades[cod Idu],'CantidadesConsolidadas'!$A111),2)</f>
        <v>0</v>
      </c>
      <c r="AT111" s="500">
        <f>ROUND(SUMIFS(Cantidades[466904],Cantidades[cod Idu],'CantidadesConsolidadas'!$A111),2)</f>
        <v>0</v>
      </c>
      <c r="AU111" s="500">
        <f>ROUND(SUMIFS(Cantidades[48591],Cantidades[cod Idu],'CantidadesConsolidadas'!$A111),2)</f>
        <v>41.76</v>
      </c>
      <c r="AV111" s="500">
        <f>ROUND(SUMIFS(Cantidades[48590],Cantidades[cod Idu],'CantidadesConsolidadas'!$A111),2)</f>
        <v>0</v>
      </c>
      <c r="AW111" s="500">
        <f>ROUND(SUMIFS(Cantidades[48561],Cantidades[cod Idu],'CantidadesConsolidadas'!$A111),2)</f>
        <v>0</v>
      </c>
      <c r="AX111" s="805">
        <f>ROUND(SUMIFS(Cantidades[48560],Cantidades[cod Idu],'CantidadesConsolidadas'!$A111),2)</f>
        <v>0</v>
      </c>
      <c r="AY111" s="805">
        <f>ROUND(SUMIFS(Cantidades[48657],Cantidades[cod Idu],'CantidadesConsolidadas'!$A111),2)</f>
        <v>0</v>
      </c>
      <c r="AZ111" s="752">
        <f>ROUND(SUMIFS(Cantidades[48655],Cantidades[cod Idu],'CantidadesConsolidadas'!$A111),2)</f>
        <v>0</v>
      </c>
      <c r="BA111" s="758">
        <f>SUBTOTAL(9,CantidadesConsolidadas[[#This Row],[91013913]:[48655]])</f>
        <v>44.86</v>
      </c>
      <c r="BB111" s="638">
        <f>ROUND(CantidadesConsolidadas[[#This Row],[Total]]*CantidadesConsolidadas[[#This Row],[VU]],0)</f>
        <v>9654904</v>
      </c>
    </row>
    <row r="112" spans="1:54" ht="28.8" x14ac:dyDescent="0.3">
      <c r="A112">
        <v>8499</v>
      </c>
      <c r="B112" s="606" t="str">
        <f>+_xlfn.XLOOKUP(CantidadesConsolidadas[[#This Row],[cod Idu]],APU_IDU[Código],APU_IDU[Nombre],"",0)</f>
        <v>LOSETA PREFABRICADA EN CONCRETO A20 TIPO PANOT DE 20X20X6CM COLOR GRIS (SUMINISTRO E INSTALACIÓN. INCLUYE MORTERO DE 1500 PSI DE NIVELACIÓN)</v>
      </c>
      <c r="C112" s="609" t="str">
        <f>+_xlfn.XLOOKUP(CantidadesConsolidadas[[#This Row],[cod Idu]],APU_IDU[Código],APU_IDU[UM],"",0)</f>
        <v>M2</v>
      </c>
      <c r="D112" s="743">
        <f>+_xlfn.XLOOKUP(CantidadesConsolidadas[[#This Row],[cod Idu]],APU_IDU[Código],APU_IDU[Valor],"",0)</f>
        <v>152558</v>
      </c>
      <c r="E112" s="609">
        <f>ROUND(SUMIFS(Cantidades[91013913],Cantidades[cod Idu],'CantidadesConsolidadas'!$A112),2)</f>
        <v>0</v>
      </c>
      <c r="F112" s="609">
        <f>ROUND(SUMIFS(Cantidades[472330],Cantidades[cod Idu],'CantidadesConsolidadas'!$A112),2)</f>
        <v>0</v>
      </c>
      <c r="G112" s="609">
        <f>ROUND(SUMIFS(Cantidades[167810],Cantidades[cod Idu],'CantidadesConsolidadas'!$A112),2)</f>
        <v>0</v>
      </c>
      <c r="H112" s="609">
        <f>ROUND(SUMIFS(Cantidades[166646],Cantidades[cod Idu],'CantidadesConsolidadas'!$A112),2)</f>
        <v>0</v>
      </c>
      <c r="I112" s="609">
        <f>ROUND(SUMIFS(Cantidades[167491],Cantidades[cod Idu],'CantidadesConsolidadas'!$A112),2)</f>
        <v>0</v>
      </c>
      <c r="J112" s="609">
        <f>ROUND(SUMIFS(Cantidades[167266],Cantidades[cod Idu],'CantidadesConsolidadas'!$A112),2)</f>
        <v>0</v>
      </c>
      <c r="K112" s="609">
        <f>ROUND(SUMIFS(Cantidades[170896],Cantidades[cod Idu],'CantidadesConsolidadas'!$A112),2)</f>
        <v>0</v>
      </c>
      <c r="L112" s="609">
        <f>ROUND(SUMIFS(Cantidades[170897],Cantidades[cod Idu],'CantidadesConsolidadas'!$A112),2)</f>
        <v>0</v>
      </c>
      <c r="M112" s="609">
        <f>ROUND(SUMIFS(Cantidades[170898],Cantidades[cod Idu],'CantidadesConsolidadas'!$A112),2)</f>
        <v>0</v>
      </c>
      <c r="N112" s="609">
        <f>ROUND(SUMIFS(Cantidades[91064150],Cantidades[cod Idu],'CantidadesConsolidadas'!$A112),2)</f>
        <v>0</v>
      </c>
      <c r="O112" s="609">
        <f>ROUND(SUMIFS(Cantidades[168919],Cantidades[cod Idu],'CantidadesConsolidadas'!$A112),2)</f>
        <v>0</v>
      </c>
      <c r="P112" s="609">
        <f>ROUND(SUMIFS(Cantidades[168426],Cantidades[cod Idu],'CantidadesConsolidadas'!$A112),2)</f>
        <v>0</v>
      </c>
      <c r="Q112" s="609">
        <f>ROUND(SUMIFS(Cantidades[91020796],Cantidades[cod Idu],'CantidadesConsolidadas'!$A112),2)</f>
        <v>0</v>
      </c>
      <c r="R112" s="609">
        <f>ROUND(SUMIFS(Cantidades[176184],Cantidades[cod Idu],'CantidadesConsolidadas'!$A112),2)</f>
        <v>0</v>
      </c>
      <c r="S112" s="609">
        <f>ROUND(SUMIFS(Cantidades[167636],Cantidades[cod Idu],'CantidadesConsolidadas'!$A112),2)</f>
        <v>0</v>
      </c>
      <c r="T112" s="609">
        <f>ROUND(SUMIFS(Cantidades[176730],Cantidades[cod Idu],'CantidadesConsolidadas'!$A112),2)</f>
        <v>0</v>
      </c>
      <c r="U112" s="609">
        <f>ROUND(SUMIFS(Cantidades[173038],Cantidades[cod Idu],'CantidadesConsolidadas'!$A112),2)</f>
        <v>0</v>
      </c>
      <c r="V112" s="609">
        <f>ROUND(SUMIFS(Cantidades[170222],Cantidades[cod Idu],'CantidadesConsolidadas'!$A112),2)</f>
        <v>0</v>
      </c>
      <c r="W112" s="609">
        <f>ROUND(SUMIFS(Cantidades[170229],Cantidades[cod Idu],'CantidadesConsolidadas'!$A112),2)</f>
        <v>0</v>
      </c>
      <c r="X112" s="609">
        <f>ROUND(SUMIFS(Cantidades[170227],Cantidades[cod Idu],'CantidadesConsolidadas'!$A112),2)</f>
        <v>0</v>
      </c>
      <c r="Y112" s="609">
        <f>ROUND(SUMIFS(Cantidades[170226],Cantidades[cod Idu],'CantidadesConsolidadas'!$A112),2)</f>
        <v>0</v>
      </c>
      <c r="Z112" s="609">
        <f>ROUND(SUMIFS(Cantidades[171567],Cantidades[cod Idu],'CantidadesConsolidadas'!$A112),2)</f>
        <v>0</v>
      </c>
      <c r="AA112" s="609">
        <f>ROUND(SUMIFS(Cantidades[166632],Cantidades[cod Idu],'CantidadesConsolidadas'!$A112),2)</f>
        <v>0</v>
      </c>
      <c r="AB112" s="609">
        <f>ROUND(SUMIFS(Cantidades[170228],Cantidades[cod Idu],'CantidadesConsolidadas'!$A112),2)</f>
        <v>0</v>
      </c>
      <c r="AC112" s="609">
        <f>ROUND(SUMIFS(Cantidades[172926],Cantidades[cod Idu],'CantidadesConsolidadas'!$A112),2)</f>
        <v>0</v>
      </c>
      <c r="AD112" s="609">
        <f>ROUND(SUMIFS(Cantidades[171152],Cantidades[cod Idu],'CantidadesConsolidadas'!$A112),2)</f>
        <v>0</v>
      </c>
      <c r="AE112" s="609">
        <f>ROUND(SUMIFS(Cantidades[173058],Cantidades[cod Idu],'CantidadesConsolidadas'!$A112),2)</f>
        <v>0</v>
      </c>
      <c r="AF112" s="762">
        <f>ROUND(SUMIFS(Cantidades[174478],Cantidades[cod Idu],'CantidadesConsolidadas'!$A112),2)</f>
        <v>0</v>
      </c>
      <c r="AG112" s="762">
        <f>ROUND(SUMIFS(Cantidades[91010089],Cantidades[cod Idu],'CantidadesConsolidadas'!$A112),2)</f>
        <v>0</v>
      </c>
      <c r="AH112" s="762">
        <f>ROUND(SUMIFS(Cantidades[176122],Cantidades[cod Idu],'CantidadesConsolidadas'!$A112),2)</f>
        <v>0</v>
      </c>
      <c r="AI112" s="762">
        <f>ROUND(SUMIFS(Cantidades[168536],Cantidades[cod Idu],'CantidadesConsolidadas'!$A112),2)</f>
        <v>0</v>
      </c>
      <c r="AJ112" s="497">
        <f>ROUND(SUMIFS(Cantidades[166934],Cantidades[cod Idu],'CantidadesConsolidadas'!$A112),2)</f>
        <v>0</v>
      </c>
      <c r="AK112" s="497">
        <f>ROUND(SUMIFS(Cantidades[174353],Cantidades[cod Idu],'CantidadesConsolidadas'!$A112),2)</f>
        <v>0</v>
      </c>
      <c r="AL112" s="501">
        <f>ROUND(SUMIFS(Cantidades[52531],Cantidades[cod Idu],'CantidadesConsolidadas'!$A112),2)</f>
        <v>0</v>
      </c>
      <c r="AM112" s="609">
        <f>ROUND(SUMIFS(Cantidades[52456],Cantidades[cod Idu],'CantidadesConsolidadas'!$A112),2)</f>
        <v>0</v>
      </c>
      <c r="AN112" s="609">
        <f>ROUND(SUMIFS(Cantidades[92058103],Cantidades[cod Idu],'CantidadesConsolidadas'!$A112),2)</f>
        <v>0</v>
      </c>
      <c r="AO112" s="609">
        <f>ROUND(SUMIFS(Cantidades[20011114],Cantidades[cod Idu],'CantidadesConsolidadas'!$A112),2)</f>
        <v>155.35</v>
      </c>
      <c r="AP112" s="609">
        <f>ROUND(SUMIFS(Cantidades[20013540],Cantidades[cod Idu],'CantidadesConsolidadas'!$A112),2)</f>
        <v>0</v>
      </c>
      <c r="AQ112" s="609">
        <f>ROUND(SUMIFS(Cantidades[55337],Cantidades[cod Idu],'CantidadesConsolidadas'!$A112),2)</f>
        <v>0</v>
      </c>
      <c r="AR112" s="609">
        <f>ROUND(SUMIFS(Cantidades[92087422],Cantidades[cod Idu],'CantidadesConsolidadas'!$A112),2)</f>
        <v>0</v>
      </c>
      <c r="AS112" s="609">
        <f>ROUND(SUMIFS(Cantidades[55259],Cantidades[cod Idu],'CantidadesConsolidadas'!$A112),2)</f>
        <v>360.09</v>
      </c>
      <c r="AT112" s="609">
        <f>ROUND(SUMIFS(Cantidades[466904],Cantidades[cod Idu],'CantidadesConsolidadas'!$A112),2)</f>
        <v>0</v>
      </c>
      <c r="AU112" s="609">
        <f>ROUND(SUMIFS(Cantidades[48591],Cantidades[cod Idu],'CantidadesConsolidadas'!$A112),2)</f>
        <v>0</v>
      </c>
      <c r="AV112" s="609">
        <f>ROUND(SUMIFS(Cantidades[48590],Cantidades[cod Idu],'CantidadesConsolidadas'!$A112),2)</f>
        <v>0</v>
      </c>
      <c r="AW112" s="609">
        <f>ROUND(SUMIFS(Cantidades[48561],Cantidades[cod Idu],'CantidadesConsolidadas'!$A112),2)</f>
        <v>0</v>
      </c>
      <c r="AX112" s="726">
        <f>ROUND(SUMIFS(Cantidades[48560],Cantidades[cod Idu],'CantidadesConsolidadas'!$A112),2)</f>
        <v>0</v>
      </c>
      <c r="AY112" s="726">
        <f>ROUND(SUMIFS(Cantidades[48657],Cantidades[cod Idu],'CantidadesConsolidadas'!$A112),2)</f>
        <v>0</v>
      </c>
      <c r="AZ112" s="726">
        <f>ROUND(SUMIFS(Cantidades[48655],Cantidades[cod Idu],'CantidadesConsolidadas'!$A112),2)</f>
        <v>0</v>
      </c>
      <c r="BA112" s="753">
        <f>SUBTOTAL(9,CantidadesConsolidadas[[#This Row],[91013913]:[48655]])</f>
        <v>515.43999999999994</v>
      </c>
      <c r="BB112" s="609">
        <f>ROUND(CantidadesConsolidadas[[#This Row],[Total]]*CantidadesConsolidadas[[#This Row],[VU]],0)</f>
        <v>78634496</v>
      </c>
    </row>
    <row r="113" spans="1:54" ht="28.8" x14ac:dyDescent="0.3">
      <c r="A113">
        <v>5426</v>
      </c>
      <c r="B113" s="606" t="str">
        <f>+_xlfn.XLOOKUP(CantidadesConsolidadas[[#This Row],[cod Idu]],APU_IDU[Código],APU_IDU[Nombre],"",0)</f>
        <v>CONCRETO 4000 PSI GRAVA COMÚN PARA RAMPAS Y ESCALERAS (PREMEZCLADO. INCL. SUMINISTRO, FORMALETEO Y COLOCACIÓN. NO INCL. REFUERZO, CURADO).</v>
      </c>
      <c r="C113" s="609" t="str">
        <f>+_xlfn.XLOOKUP(CantidadesConsolidadas[[#This Row],[cod Idu]],APU_IDU[Código],APU_IDU[UM],"",0)</f>
        <v>M3</v>
      </c>
      <c r="D113" s="743">
        <f>+_xlfn.XLOOKUP(CantidadesConsolidadas[[#This Row],[cod Idu]],APU_IDU[Código],APU_IDU[Valor],"",0)</f>
        <v>1041490</v>
      </c>
      <c r="E113" s="609">
        <f>ROUND(SUMIFS(Cantidades[91013913],Cantidades[cod Idu],'CantidadesConsolidadas'!$A113),2)</f>
        <v>0</v>
      </c>
      <c r="F113" s="609">
        <f>ROUND(SUMIFS(Cantidades[472330],Cantidades[cod Idu],'CantidadesConsolidadas'!$A113),2)</f>
        <v>0</v>
      </c>
      <c r="G113" s="609">
        <f>ROUND(SUMIFS(Cantidades[167810],Cantidades[cod Idu],'CantidadesConsolidadas'!$A113),2)</f>
        <v>0</v>
      </c>
      <c r="H113" s="609">
        <f>ROUND(SUMIFS(Cantidades[166646],Cantidades[cod Idu],'CantidadesConsolidadas'!$A113),2)</f>
        <v>0</v>
      </c>
      <c r="I113" s="609">
        <f>ROUND(SUMIFS(Cantidades[167491],Cantidades[cod Idu],'CantidadesConsolidadas'!$A113),2)</f>
        <v>0</v>
      </c>
      <c r="J113" s="609">
        <f>ROUND(SUMIFS(Cantidades[167266],Cantidades[cod Idu],'CantidadesConsolidadas'!$A113),2)</f>
        <v>0</v>
      </c>
      <c r="K113" s="609">
        <f>ROUND(SUMIFS(Cantidades[170896],Cantidades[cod Idu],'CantidadesConsolidadas'!$A113),2)</f>
        <v>0</v>
      </c>
      <c r="L113" s="609">
        <f>ROUND(SUMIFS(Cantidades[170897],Cantidades[cod Idu],'CantidadesConsolidadas'!$A113),2)</f>
        <v>0</v>
      </c>
      <c r="M113" s="609">
        <f>ROUND(SUMIFS(Cantidades[170898],Cantidades[cod Idu],'CantidadesConsolidadas'!$A113),2)</f>
        <v>0</v>
      </c>
      <c r="N113" s="609">
        <f>ROUND(SUMIFS(Cantidades[91064150],Cantidades[cod Idu],'CantidadesConsolidadas'!$A113),2)</f>
        <v>0</v>
      </c>
      <c r="O113" s="609">
        <f>ROUND(SUMIFS(Cantidades[168919],Cantidades[cod Idu],'CantidadesConsolidadas'!$A113),2)</f>
        <v>0</v>
      </c>
      <c r="P113" s="609">
        <f>ROUND(SUMIFS(Cantidades[168426],Cantidades[cod Idu],'CantidadesConsolidadas'!$A113),2)</f>
        <v>0</v>
      </c>
      <c r="Q113" s="609">
        <f>ROUND(SUMIFS(Cantidades[91020796],Cantidades[cod Idu],'CantidadesConsolidadas'!$A113),2)</f>
        <v>0</v>
      </c>
      <c r="R113" s="609">
        <f>ROUND(SUMIFS(Cantidades[176184],Cantidades[cod Idu],'CantidadesConsolidadas'!$A113),2)</f>
        <v>0</v>
      </c>
      <c r="S113" s="609">
        <f>ROUND(SUMIFS(Cantidades[167636],Cantidades[cod Idu],'CantidadesConsolidadas'!$A113),2)</f>
        <v>0</v>
      </c>
      <c r="T113" s="609">
        <f>ROUND(SUMIFS(Cantidades[176730],Cantidades[cod Idu],'CantidadesConsolidadas'!$A113),2)</f>
        <v>0</v>
      </c>
      <c r="U113" s="609">
        <f>ROUND(SUMIFS(Cantidades[173038],Cantidades[cod Idu],'CantidadesConsolidadas'!$A113),2)</f>
        <v>0</v>
      </c>
      <c r="V113" s="609">
        <f>ROUND(SUMIFS(Cantidades[170222],Cantidades[cod Idu],'CantidadesConsolidadas'!$A113),2)</f>
        <v>0</v>
      </c>
      <c r="W113" s="609">
        <f>ROUND(SUMIFS(Cantidades[170229],Cantidades[cod Idu],'CantidadesConsolidadas'!$A113),2)</f>
        <v>0</v>
      </c>
      <c r="X113" s="609">
        <f>ROUND(SUMIFS(Cantidades[170227],Cantidades[cod Idu],'CantidadesConsolidadas'!$A113),2)</f>
        <v>0</v>
      </c>
      <c r="Y113" s="609">
        <f>ROUND(SUMIFS(Cantidades[170226],Cantidades[cod Idu],'CantidadesConsolidadas'!$A113),2)</f>
        <v>0</v>
      </c>
      <c r="Z113" s="609">
        <f>ROUND(SUMIFS(Cantidades[171567],Cantidades[cod Idu],'CantidadesConsolidadas'!$A113),2)</f>
        <v>0</v>
      </c>
      <c r="AA113" s="609">
        <f>ROUND(SUMIFS(Cantidades[166632],Cantidades[cod Idu],'CantidadesConsolidadas'!$A113),2)</f>
        <v>0</v>
      </c>
      <c r="AB113" s="609">
        <f>ROUND(SUMIFS(Cantidades[170228],Cantidades[cod Idu],'CantidadesConsolidadas'!$A113),2)</f>
        <v>0</v>
      </c>
      <c r="AC113" s="609">
        <f>ROUND(SUMIFS(Cantidades[172926],Cantidades[cod Idu],'CantidadesConsolidadas'!$A113),2)</f>
        <v>0</v>
      </c>
      <c r="AD113" s="609">
        <f>ROUND(SUMIFS(Cantidades[171152],Cantidades[cod Idu],'CantidadesConsolidadas'!$A113),2)</f>
        <v>0</v>
      </c>
      <c r="AE113" s="609">
        <f>ROUND(SUMIFS(Cantidades[173058],Cantidades[cod Idu],'CantidadesConsolidadas'!$A113),2)</f>
        <v>0</v>
      </c>
      <c r="AF113" s="762">
        <f>ROUND(SUMIFS(Cantidades[174478],Cantidades[cod Idu],'CantidadesConsolidadas'!$A113),2)</f>
        <v>0</v>
      </c>
      <c r="AG113" s="762">
        <f>ROUND(SUMIFS(Cantidades[91010089],Cantidades[cod Idu],'CantidadesConsolidadas'!$A113),2)</f>
        <v>0</v>
      </c>
      <c r="AH113" s="762">
        <f>ROUND(SUMIFS(Cantidades[176122],Cantidades[cod Idu],'CantidadesConsolidadas'!$A113),2)</f>
        <v>0</v>
      </c>
      <c r="AI113" s="762">
        <f>ROUND(SUMIFS(Cantidades[168536],Cantidades[cod Idu],'CantidadesConsolidadas'!$A113),2)</f>
        <v>0</v>
      </c>
      <c r="AJ113" s="497">
        <f>ROUND(SUMIFS(Cantidades[166934],Cantidades[cod Idu],'CantidadesConsolidadas'!$A113),2)</f>
        <v>0</v>
      </c>
      <c r="AK113" s="497">
        <f>ROUND(SUMIFS(Cantidades[174353],Cantidades[cod Idu],'CantidadesConsolidadas'!$A113),2)</f>
        <v>0</v>
      </c>
      <c r="AL113" s="501">
        <f>ROUND(SUMIFS(Cantidades[52531],Cantidades[cod Idu],'CantidadesConsolidadas'!$A113),2)</f>
        <v>0</v>
      </c>
      <c r="AM113" s="609">
        <f>ROUND(SUMIFS(Cantidades[52456],Cantidades[cod Idu],'CantidadesConsolidadas'!$A113),2)</f>
        <v>0</v>
      </c>
      <c r="AN113" s="609">
        <f>ROUND(SUMIFS(Cantidades[92058103],Cantidades[cod Idu],'CantidadesConsolidadas'!$A113),2)</f>
        <v>0</v>
      </c>
      <c r="AO113" s="609">
        <f>ROUND(SUMIFS(Cantidades[20011114],Cantidades[cod Idu],'CantidadesConsolidadas'!$A113),2)</f>
        <v>0</v>
      </c>
      <c r="AP113" s="609">
        <f>ROUND(SUMIFS(Cantidades[20013540],Cantidades[cod Idu],'CantidadesConsolidadas'!$A113),2)</f>
        <v>0</v>
      </c>
      <c r="AQ113" s="609">
        <f>ROUND(SUMIFS(Cantidades[55337],Cantidades[cod Idu],'CantidadesConsolidadas'!$A113),2)</f>
        <v>0</v>
      </c>
      <c r="AR113" s="609">
        <f>ROUND(SUMIFS(Cantidades[92087422],Cantidades[cod Idu],'CantidadesConsolidadas'!$A113),2)</f>
        <v>0</v>
      </c>
      <c r="AS113" s="609">
        <f>ROUND(SUMIFS(Cantidades[55259],Cantidades[cod Idu],'CantidadesConsolidadas'!$A113),2)</f>
        <v>3.6</v>
      </c>
      <c r="AT113" s="609">
        <f>ROUND(SUMIFS(Cantidades[466904],Cantidades[cod Idu],'CantidadesConsolidadas'!$A113),2)</f>
        <v>0</v>
      </c>
      <c r="AU113" s="609">
        <f>ROUND(SUMIFS(Cantidades[48591],Cantidades[cod Idu],'CantidadesConsolidadas'!$A113),2)</f>
        <v>0</v>
      </c>
      <c r="AV113" s="609">
        <f>ROUND(SUMIFS(Cantidades[48590],Cantidades[cod Idu],'CantidadesConsolidadas'!$A113),2)</f>
        <v>0</v>
      </c>
      <c r="AW113" s="609">
        <f>ROUND(SUMIFS(Cantidades[48561],Cantidades[cod Idu],'CantidadesConsolidadas'!$A113),2)</f>
        <v>0</v>
      </c>
      <c r="AX113" s="726">
        <f>ROUND(SUMIFS(Cantidades[48560],Cantidades[cod Idu],'CantidadesConsolidadas'!$A113),2)</f>
        <v>0</v>
      </c>
      <c r="AY113" s="726">
        <f>ROUND(SUMIFS(Cantidades[48657],Cantidades[cod Idu],'CantidadesConsolidadas'!$A113),2)</f>
        <v>0</v>
      </c>
      <c r="AZ113" s="726">
        <f>ROUND(SUMIFS(Cantidades[48655],Cantidades[cod Idu],'CantidadesConsolidadas'!$A113),2)</f>
        <v>0</v>
      </c>
      <c r="BA113" s="753">
        <f>SUBTOTAL(9,CantidadesConsolidadas[[#This Row],[91013913]:[48655]])</f>
        <v>3.6</v>
      </c>
      <c r="BB113" s="609">
        <f>ROUND(CantidadesConsolidadas[[#This Row],[Total]]*CantidadesConsolidadas[[#This Row],[VU]],0)</f>
        <v>3749364</v>
      </c>
    </row>
    <row r="114" spans="1:54" ht="28.8" x14ac:dyDescent="0.3">
      <c r="A114">
        <v>4051</v>
      </c>
      <c r="B114" s="606" t="str">
        <f>+_xlfn.XLOOKUP(CantidadesConsolidadas[[#This Row],[cod Idu]],APU_IDU[Código],APU_IDU[Nombre],"",0)</f>
        <v>ANDEN CONCRETO 3000 PSI (210 KG/CM2) HECHO EN OBRA E=0.10M (INCLUYE MEZCLA, FORMALETEO, FUNDIDA Y CURADO)</v>
      </c>
      <c r="C114" s="609" t="str">
        <f>+_xlfn.XLOOKUP(CantidadesConsolidadas[[#This Row],[cod Idu]],APU_IDU[Código],APU_IDU[UM],"",0)</f>
        <v>M2</v>
      </c>
      <c r="D114" s="743">
        <f>+_xlfn.XLOOKUP(CantidadesConsolidadas[[#This Row],[cod Idu]],APU_IDU[Código],APU_IDU[Valor],"",0)</f>
        <v>89665</v>
      </c>
      <c r="E114" s="609">
        <f>ROUND(SUMIFS(Cantidades[91013913],Cantidades[cod Idu],'CantidadesConsolidadas'!$A114),2)</f>
        <v>0</v>
      </c>
      <c r="F114" s="609">
        <f>ROUND(SUMIFS(Cantidades[472330],Cantidades[cod Idu],'CantidadesConsolidadas'!$A114),2)</f>
        <v>0</v>
      </c>
      <c r="G114" s="609">
        <f>ROUND(SUMIFS(Cantidades[167810],Cantidades[cod Idu],'CantidadesConsolidadas'!$A114),2)</f>
        <v>0</v>
      </c>
      <c r="H114" s="609">
        <f>ROUND(SUMIFS(Cantidades[166646],Cantidades[cod Idu],'CantidadesConsolidadas'!$A114),2)</f>
        <v>0</v>
      </c>
      <c r="I114" s="609">
        <f>ROUND(SUMIFS(Cantidades[167491],Cantidades[cod Idu],'CantidadesConsolidadas'!$A114),2)</f>
        <v>0</v>
      </c>
      <c r="J114" s="609">
        <f>ROUND(SUMIFS(Cantidades[167266],Cantidades[cod Idu],'CantidadesConsolidadas'!$A114),2)</f>
        <v>0</v>
      </c>
      <c r="K114" s="609">
        <f>ROUND(SUMIFS(Cantidades[170896],Cantidades[cod Idu],'CantidadesConsolidadas'!$A114),2)</f>
        <v>0</v>
      </c>
      <c r="L114" s="609">
        <f>ROUND(SUMIFS(Cantidades[170897],Cantidades[cod Idu],'CantidadesConsolidadas'!$A114),2)</f>
        <v>0</v>
      </c>
      <c r="M114" s="609">
        <f>ROUND(SUMIFS(Cantidades[170898],Cantidades[cod Idu],'CantidadesConsolidadas'!$A114),2)</f>
        <v>0</v>
      </c>
      <c r="N114" s="609">
        <f>ROUND(SUMIFS(Cantidades[91064150],Cantidades[cod Idu],'CantidadesConsolidadas'!$A114),2)</f>
        <v>0</v>
      </c>
      <c r="O114" s="609">
        <f>ROUND(SUMIFS(Cantidades[168919],Cantidades[cod Idu],'CantidadesConsolidadas'!$A114),2)</f>
        <v>0</v>
      </c>
      <c r="P114" s="609">
        <f>ROUND(SUMIFS(Cantidades[168426],Cantidades[cod Idu],'CantidadesConsolidadas'!$A114),2)</f>
        <v>0</v>
      </c>
      <c r="Q114" s="609">
        <f>ROUND(SUMIFS(Cantidades[91020796],Cantidades[cod Idu],'CantidadesConsolidadas'!$A114),2)</f>
        <v>0</v>
      </c>
      <c r="R114" s="609">
        <f>ROUND(SUMIFS(Cantidades[176184],Cantidades[cod Idu],'CantidadesConsolidadas'!$A114),2)</f>
        <v>0</v>
      </c>
      <c r="S114" s="609">
        <f>ROUND(SUMIFS(Cantidades[167636],Cantidades[cod Idu],'CantidadesConsolidadas'!$A114),2)</f>
        <v>0</v>
      </c>
      <c r="T114" s="609">
        <f>ROUND(SUMIFS(Cantidades[176730],Cantidades[cod Idu],'CantidadesConsolidadas'!$A114),2)</f>
        <v>0</v>
      </c>
      <c r="U114" s="609">
        <f>ROUND(SUMIFS(Cantidades[173038],Cantidades[cod Idu],'CantidadesConsolidadas'!$A114),2)</f>
        <v>0</v>
      </c>
      <c r="V114" s="609">
        <f>ROUND(SUMIFS(Cantidades[170222],Cantidades[cod Idu],'CantidadesConsolidadas'!$A114),2)</f>
        <v>0</v>
      </c>
      <c r="W114" s="609">
        <f>ROUND(SUMIFS(Cantidades[170229],Cantidades[cod Idu],'CantidadesConsolidadas'!$A114),2)</f>
        <v>0</v>
      </c>
      <c r="X114" s="609">
        <f>ROUND(SUMIFS(Cantidades[170227],Cantidades[cod Idu],'CantidadesConsolidadas'!$A114),2)</f>
        <v>0</v>
      </c>
      <c r="Y114" s="609">
        <f>ROUND(SUMIFS(Cantidades[170226],Cantidades[cod Idu],'CantidadesConsolidadas'!$A114),2)</f>
        <v>0</v>
      </c>
      <c r="Z114" s="609">
        <f>ROUND(SUMIFS(Cantidades[171567],Cantidades[cod Idu],'CantidadesConsolidadas'!$A114),2)</f>
        <v>0</v>
      </c>
      <c r="AA114" s="609">
        <f>ROUND(SUMIFS(Cantidades[166632],Cantidades[cod Idu],'CantidadesConsolidadas'!$A114),2)</f>
        <v>0</v>
      </c>
      <c r="AB114" s="609">
        <f>ROUND(SUMIFS(Cantidades[170228],Cantidades[cod Idu],'CantidadesConsolidadas'!$A114),2)</f>
        <v>0</v>
      </c>
      <c r="AC114" s="609">
        <f>ROUND(SUMIFS(Cantidades[172926],Cantidades[cod Idu],'CantidadesConsolidadas'!$A114),2)</f>
        <v>0</v>
      </c>
      <c r="AD114" s="609">
        <f>ROUND(SUMIFS(Cantidades[171152],Cantidades[cod Idu],'CantidadesConsolidadas'!$A114),2)</f>
        <v>0</v>
      </c>
      <c r="AE114" s="609">
        <f>ROUND(SUMIFS(Cantidades[173058],Cantidades[cod Idu],'CantidadesConsolidadas'!$A114),2)</f>
        <v>0</v>
      </c>
      <c r="AF114" s="762">
        <f>ROUND(SUMIFS(Cantidades[174478],Cantidades[cod Idu],'CantidadesConsolidadas'!$A114),2)</f>
        <v>0</v>
      </c>
      <c r="AG114" s="762">
        <f>ROUND(SUMIFS(Cantidades[91010089],Cantidades[cod Idu],'CantidadesConsolidadas'!$A114),2)</f>
        <v>0</v>
      </c>
      <c r="AH114" s="762">
        <f>ROUND(SUMIFS(Cantidades[176122],Cantidades[cod Idu],'CantidadesConsolidadas'!$A114),2)</f>
        <v>0</v>
      </c>
      <c r="AI114" s="762">
        <f>ROUND(SUMIFS(Cantidades[168536],Cantidades[cod Idu],'CantidadesConsolidadas'!$A114),2)</f>
        <v>0</v>
      </c>
      <c r="AJ114" s="497">
        <f>ROUND(SUMIFS(Cantidades[166934],Cantidades[cod Idu],'CantidadesConsolidadas'!$A114),2)</f>
        <v>0</v>
      </c>
      <c r="AK114" s="497">
        <f>ROUND(SUMIFS(Cantidades[174353],Cantidades[cod Idu],'CantidadesConsolidadas'!$A114),2)</f>
        <v>0</v>
      </c>
      <c r="AL114" s="501">
        <f>ROUND(SUMIFS(Cantidades[52531],Cantidades[cod Idu],'CantidadesConsolidadas'!$A114),2)</f>
        <v>0</v>
      </c>
      <c r="AM114" s="609">
        <f>ROUND(SUMIFS(Cantidades[52456],Cantidades[cod Idu],'CantidadesConsolidadas'!$A114),2)</f>
        <v>0</v>
      </c>
      <c r="AN114" s="609">
        <f>ROUND(SUMIFS(Cantidades[92058103],Cantidades[cod Idu],'CantidadesConsolidadas'!$A114),2)</f>
        <v>30.97</v>
      </c>
      <c r="AO114" s="609">
        <f>ROUND(SUMIFS(Cantidades[20011114],Cantidades[cod Idu],'CantidadesConsolidadas'!$A114),2)</f>
        <v>0</v>
      </c>
      <c r="AP114" s="609">
        <f>ROUND(SUMIFS(Cantidades[20013540],Cantidades[cod Idu],'CantidadesConsolidadas'!$A114),2)</f>
        <v>67.83</v>
      </c>
      <c r="AQ114" s="609">
        <f>ROUND(SUMIFS(Cantidades[55337],Cantidades[cod Idu],'CantidadesConsolidadas'!$A114),2)</f>
        <v>174.27</v>
      </c>
      <c r="AR114" s="609">
        <f>ROUND(SUMIFS(Cantidades[92087422],Cantidades[cod Idu],'CantidadesConsolidadas'!$A114),2)</f>
        <v>267.25</v>
      </c>
      <c r="AS114" s="609">
        <f>ROUND(SUMIFS(Cantidades[55259],Cantidades[cod Idu],'CantidadesConsolidadas'!$A114),2)</f>
        <v>0</v>
      </c>
      <c r="AT114" s="609">
        <f>ROUND(SUMIFS(Cantidades[466904],Cantidades[cod Idu],'CantidadesConsolidadas'!$A114),2)</f>
        <v>19.02</v>
      </c>
      <c r="AU114" s="609">
        <f>ROUND(SUMIFS(Cantidades[48591],Cantidades[cod Idu],'CantidadesConsolidadas'!$A114),2)</f>
        <v>417.55</v>
      </c>
      <c r="AV114" s="609">
        <f>ROUND(SUMIFS(Cantidades[48590],Cantidades[cod Idu],'CantidadesConsolidadas'!$A114),2)</f>
        <v>430.38</v>
      </c>
      <c r="AW114" s="609">
        <f>ROUND(SUMIFS(Cantidades[48561],Cantidades[cod Idu],'CantidadesConsolidadas'!$A114),2)</f>
        <v>441.41</v>
      </c>
      <c r="AX114" s="726">
        <f>ROUND(SUMIFS(Cantidades[48560],Cantidades[cod Idu],'CantidadesConsolidadas'!$A114),2)</f>
        <v>445.04</v>
      </c>
      <c r="AY114" s="726">
        <f>ROUND(SUMIFS(Cantidades[48657],Cantidades[cod Idu],'CantidadesConsolidadas'!$A114),2)</f>
        <v>216.48</v>
      </c>
      <c r="AZ114" s="726">
        <f>ROUND(SUMIFS(Cantidades[48655],Cantidades[cod Idu],'CantidadesConsolidadas'!$A114),2)</f>
        <v>67.69</v>
      </c>
      <c r="BA114" s="753">
        <f>SUBTOTAL(9,CantidadesConsolidadas[[#This Row],[91013913]:[48655]])</f>
        <v>2577.8900000000003</v>
      </c>
      <c r="BB114" s="609">
        <f>ROUND(CantidadesConsolidadas[[#This Row],[Total]]*CantidadesConsolidadas[[#This Row],[VU]],0)</f>
        <v>231146507</v>
      </c>
    </row>
    <row r="115" spans="1:54" ht="15" thickBot="1" x14ac:dyDescent="0.35">
      <c r="A115" s="713" t="s">
        <v>6740</v>
      </c>
      <c r="B115" s="718"/>
      <c r="C115" s="719"/>
      <c r="D115" s="719"/>
      <c r="E115" s="719"/>
      <c r="F115" s="719"/>
      <c r="G115" s="719"/>
      <c r="H115" s="719"/>
      <c r="I115" s="719"/>
      <c r="J115" s="719"/>
      <c r="K115" s="719"/>
      <c r="L115" s="719"/>
      <c r="M115" s="719"/>
      <c r="N115" s="719"/>
      <c r="O115" s="719"/>
      <c r="P115" s="719"/>
      <c r="Q115" s="719"/>
      <c r="R115" s="719"/>
      <c r="S115" s="719"/>
      <c r="T115" s="719"/>
      <c r="U115" s="719"/>
      <c r="V115" s="719"/>
      <c r="W115" s="719"/>
      <c r="X115" s="719"/>
      <c r="Y115" s="719"/>
      <c r="Z115" s="719"/>
      <c r="AA115" s="719"/>
      <c r="AB115" s="719"/>
      <c r="AC115" s="719"/>
      <c r="AD115" s="719"/>
      <c r="AE115" s="712"/>
      <c r="AF115" s="712"/>
      <c r="AG115" s="712"/>
      <c r="AH115" s="712"/>
      <c r="AI115" s="712"/>
      <c r="AJ115" s="712"/>
      <c r="AK115" s="712"/>
      <c r="AL115" s="821"/>
      <c r="AM115" s="787"/>
      <c r="AN115" s="787"/>
      <c r="AO115" s="787"/>
      <c r="AP115" s="787"/>
      <c r="AQ115" s="802"/>
      <c r="AR115" s="802"/>
      <c r="AS115" s="802"/>
      <c r="AT115" s="802"/>
      <c r="AU115" s="802"/>
      <c r="AV115" s="802"/>
      <c r="AW115" s="802"/>
      <c r="AX115" s="802"/>
      <c r="AY115" s="802"/>
      <c r="AZ115" s="803"/>
      <c r="BA115" s="713"/>
      <c r="BB115" s="720">
        <f>SUBTOTAL(109,CantidadesConsolidadas[Valor total])</f>
        <v>8875496153</v>
      </c>
    </row>
    <row r="116" spans="1:54" x14ac:dyDescent="0.3">
      <c r="A116">
        <v>1</v>
      </c>
      <c r="B116" s="19">
        <v>2</v>
      </c>
      <c r="C116">
        <v>3</v>
      </c>
      <c r="D116" s="19">
        <v>4</v>
      </c>
      <c r="E116">
        <v>5</v>
      </c>
      <c r="F116" s="19">
        <v>6</v>
      </c>
      <c r="G116">
        <v>7</v>
      </c>
      <c r="H116" s="19">
        <v>8</v>
      </c>
      <c r="I116">
        <v>9</v>
      </c>
      <c r="J116" s="19">
        <v>10</v>
      </c>
      <c r="K116">
        <v>11</v>
      </c>
      <c r="L116" s="19">
        <v>12</v>
      </c>
      <c r="M116">
        <v>13</v>
      </c>
      <c r="N116" s="19">
        <v>14</v>
      </c>
      <c r="O116">
        <v>15</v>
      </c>
      <c r="P116" s="19">
        <v>16</v>
      </c>
      <c r="Q116">
        <v>17</v>
      </c>
      <c r="R116" s="19">
        <v>18</v>
      </c>
      <c r="S116">
        <v>19</v>
      </c>
      <c r="T116" s="19">
        <v>20</v>
      </c>
      <c r="U116">
        <v>21</v>
      </c>
      <c r="V116" s="19">
        <v>22</v>
      </c>
      <c r="W116">
        <v>23</v>
      </c>
      <c r="X116" s="19">
        <v>24</v>
      </c>
      <c r="Y116">
        <v>25</v>
      </c>
      <c r="Z116" s="19">
        <v>26</v>
      </c>
      <c r="AA116">
        <v>27</v>
      </c>
      <c r="AB116" s="19">
        <v>28</v>
      </c>
      <c r="AC116">
        <v>29</v>
      </c>
      <c r="AD116" s="19">
        <v>30</v>
      </c>
      <c r="AE116">
        <v>31</v>
      </c>
      <c r="AF116" s="19">
        <v>32</v>
      </c>
      <c r="AG116">
        <v>33</v>
      </c>
      <c r="AH116" s="19">
        <v>34</v>
      </c>
      <c r="AI116">
        <v>35</v>
      </c>
      <c r="AJ116" s="19">
        <v>36</v>
      </c>
      <c r="AK116" s="19"/>
      <c r="AL116">
        <v>37</v>
      </c>
      <c r="AM116" s="19">
        <v>38</v>
      </c>
      <c r="AN116">
        <v>39</v>
      </c>
      <c r="AO116" s="19">
        <v>40</v>
      </c>
      <c r="AP116">
        <v>41</v>
      </c>
      <c r="AQ116" s="19">
        <v>42</v>
      </c>
      <c r="AR116">
        <v>43</v>
      </c>
      <c r="AS116" s="19">
        <v>44</v>
      </c>
      <c r="AT116">
        <v>45</v>
      </c>
      <c r="AU116" s="19">
        <v>46</v>
      </c>
      <c r="AV116">
        <v>47</v>
      </c>
      <c r="AW116" s="19">
        <v>48</v>
      </c>
      <c r="AX116">
        <v>49</v>
      </c>
      <c r="AY116" s="19">
        <v>50</v>
      </c>
      <c r="AZ116">
        <v>51</v>
      </c>
      <c r="BA116" s="19">
        <v>52</v>
      </c>
    </row>
  </sheetData>
  <phoneticPr fontId="18" type="noConversion"/>
  <conditionalFormatting sqref="E1:AK1">
    <cfRule type="containsBlanks" dxfId="3" priority="1">
      <formula>LEN(TRIM(E1))=0</formula>
    </cfRule>
  </conditionalFormatting>
  <conditionalFormatting sqref="AL1:AZ1">
    <cfRule type="containsBlanks" dxfId="2" priority="8">
      <formula>LEN(TRIM(AL1))=0</formula>
    </cfRule>
  </conditionalFormatting>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62AFB-B42B-4756-8344-4B0A250062D7}">
  <dimension ref="A1:BF119"/>
  <sheetViews>
    <sheetView topLeftCell="AF1" zoomScale="85" zoomScaleNormal="85" workbookViewId="0">
      <selection activeCell="E1" sqref="E1:AK1"/>
    </sheetView>
  </sheetViews>
  <sheetFormatPr baseColWidth="10" defaultColWidth="11.44140625" defaultRowHeight="14.4" x14ac:dyDescent="0.3"/>
  <cols>
    <col min="1" max="1" width="12.77734375" bestFit="1" customWidth="1"/>
    <col min="2" max="2" width="62.44140625" style="19" bestFit="1" customWidth="1"/>
    <col min="3" max="3" width="6.6640625" bestFit="1" customWidth="1"/>
    <col min="4" max="4" width="18.5546875" bestFit="1" customWidth="1"/>
    <col min="5" max="5" width="17.21875" bestFit="1" customWidth="1"/>
    <col min="6" max="10" width="15.5546875" customWidth="1"/>
    <col min="11" max="13" width="14.44140625" customWidth="1"/>
    <col min="14" max="14" width="15.5546875" bestFit="1" customWidth="1"/>
    <col min="15" max="16" width="15.5546875" customWidth="1"/>
    <col min="17" max="17" width="14.44140625" customWidth="1"/>
    <col min="18" max="18" width="19.33203125" customWidth="1"/>
    <col min="19" max="19" width="23.109375" customWidth="1"/>
    <col min="20" max="21" width="15.5546875" customWidth="1"/>
    <col min="22" max="22" width="18.44140625" customWidth="1"/>
    <col min="23" max="24" width="15.5546875" customWidth="1"/>
    <col min="25" max="25" width="14.44140625" customWidth="1"/>
    <col min="26" max="26" width="15.5546875" bestFit="1" customWidth="1"/>
    <col min="27" max="27" width="16.109375" customWidth="1"/>
    <col min="28" max="28" width="15.5546875" customWidth="1"/>
    <col min="29" max="29" width="14.44140625" customWidth="1"/>
    <col min="30" max="30" width="15.5546875" customWidth="1"/>
    <col min="31" max="31" width="16.5546875" customWidth="1"/>
    <col min="32" max="32" width="17" customWidth="1"/>
    <col min="33" max="35" width="15.5546875" customWidth="1"/>
    <col min="36" max="37" width="19.109375" customWidth="1"/>
    <col min="38" max="41" width="15.5546875" bestFit="1" customWidth="1"/>
    <col min="42" max="44" width="14.44140625" bestFit="1" customWidth="1"/>
    <col min="45" max="45" width="15.5546875" bestFit="1" customWidth="1"/>
    <col min="46" max="46" width="14.44140625" bestFit="1" customWidth="1"/>
    <col min="47" max="47" width="16.21875" bestFit="1" customWidth="1"/>
    <col min="48" max="48" width="15.5546875" bestFit="1" customWidth="1"/>
    <col min="49" max="50" width="15.5546875" customWidth="1"/>
    <col min="51" max="52" width="15.5546875" bestFit="1" customWidth="1"/>
    <col min="53" max="53" width="18.109375" bestFit="1" customWidth="1"/>
    <col min="54" max="54" width="23.44140625" customWidth="1"/>
    <col min="55" max="55" width="15.5546875" customWidth="1"/>
    <col min="56" max="56" width="18.5546875" bestFit="1" customWidth="1"/>
    <col min="57" max="57" width="20.21875" customWidth="1"/>
    <col min="58" max="58" width="17.21875" bestFit="1" customWidth="1"/>
  </cols>
  <sheetData>
    <row r="1" spans="1:54" ht="28.8" x14ac:dyDescent="0.3">
      <c r="A1" s="639" t="s">
        <v>6755</v>
      </c>
      <c r="B1" s="636" t="s">
        <v>6756</v>
      </c>
      <c r="C1" s="637" t="s">
        <v>17</v>
      </c>
      <c r="D1" s="637" t="s">
        <v>6757</v>
      </c>
      <c r="E1" s="749" t="s">
        <v>6805</v>
      </c>
      <c r="F1" s="749" t="s">
        <v>6758</v>
      </c>
      <c r="G1" s="749" t="s">
        <v>6806</v>
      </c>
      <c r="H1" s="749" t="s">
        <v>6807</v>
      </c>
      <c r="I1" s="749" t="s">
        <v>6808</v>
      </c>
      <c r="J1" s="749" t="s">
        <v>6809</v>
      </c>
      <c r="K1" s="749" t="s">
        <v>6759</v>
      </c>
      <c r="L1" s="749" t="s">
        <v>6760</v>
      </c>
      <c r="M1" s="749" t="s">
        <v>6761</v>
      </c>
      <c r="N1" s="749" t="s">
        <v>6762</v>
      </c>
      <c r="O1" s="749" t="s">
        <v>6810</v>
      </c>
      <c r="P1" s="749" t="s">
        <v>6811</v>
      </c>
      <c r="Q1" s="749" t="s">
        <v>6812</v>
      </c>
      <c r="R1" s="749" t="s">
        <v>6813</v>
      </c>
      <c r="S1" s="749" t="s">
        <v>6814</v>
      </c>
      <c r="T1" s="749" t="s">
        <v>6815</v>
      </c>
      <c r="U1" s="749" t="s">
        <v>6816</v>
      </c>
      <c r="V1" s="749" t="s">
        <v>6910</v>
      </c>
      <c r="W1" s="749" t="s">
        <v>6817</v>
      </c>
      <c r="X1" s="749" t="s">
        <v>6818</v>
      </c>
      <c r="Y1" s="749" t="s">
        <v>6819</v>
      </c>
      <c r="Z1" s="749" t="s">
        <v>6820</v>
      </c>
      <c r="AA1" s="749" t="s">
        <v>6821</v>
      </c>
      <c r="AB1" s="749" t="s">
        <v>6822</v>
      </c>
      <c r="AC1" s="749" t="s">
        <v>6901</v>
      </c>
      <c r="AD1" s="749" t="s">
        <v>6948</v>
      </c>
      <c r="AE1" s="749" t="s">
        <v>6949</v>
      </c>
      <c r="AF1" s="749" t="s">
        <v>6950</v>
      </c>
      <c r="AG1" s="749" t="s">
        <v>6951</v>
      </c>
      <c r="AH1" s="749" t="s">
        <v>6952</v>
      </c>
      <c r="AI1" s="749" t="s">
        <v>6953</v>
      </c>
      <c r="AJ1" s="749" t="s">
        <v>6954</v>
      </c>
      <c r="AK1" s="820" t="s">
        <v>6962</v>
      </c>
      <c r="AL1" s="748" t="s">
        <v>6765</v>
      </c>
      <c r="AM1" s="749" t="s">
        <v>6763</v>
      </c>
      <c r="AN1" s="749" t="s">
        <v>6764</v>
      </c>
      <c r="AO1" s="749" t="s">
        <v>6766</v>
      </c>
      <c r="AP1" s="749" t="s">
        <v>6955</v>
      </c>
      <c r="AQ1" s="749" t="s">
        <v>6768</v>
      </c>
      <c r="AR1" s="749" t="s">
        <v>6767</v>
      </c>
      <c r="AS1" s="749" t="s">
        <v>6769</v>
      </c>
      <c r="AT1" s="749" t="s">
        <v>6770</v>
      </c>
      <c r="AU1" s="749" t="s">
        <v>6823</v>
      </c>
      <c r="AV1" s="749" t="s">
        <v>6824</v>
      </c>
      <c r="AW1" s="749" t="s">
        <v>6803</v>
      </c>
      <c r="AX1" s="804" t="s">
        <v>6825</v>
      </c>
      <c r="AY1" s="804" t="s">
        <v>6956</v>
      </c>
      <c r="AZ1" s="750" t="s">
        <v>6957</v>
      </c>
      <c r="BA1" s="738" t="s">
        <v>6902</v>
      </c>
      <c r="BB1" s="738" t="s">
        <v>6903</v>
      </c>
    </row>
    <row r="2" spans="1:54" x14ac:dyDescent="0.3">
      <c r="A2">
        <v>3007</v>
      </c>
      <c r="B2" s="511" t="str">
        <f>+_xlfn.XLOOKUP(CostoDirecto[[#This Row],[cod Idu]],APU_IDU[Código],APU_IDU[Nombre],"",0)</f>
        <v>REPLANTEO GENERAL</v>
      </c>
      <c r="C2" s="497" t="str">
        <f>+_xlfn.XLOOKUP(CostoDirecto[[#This Row],[cod Idu]],APU_IDU[Código],APU_IDU[UM],"",0)</f>
        <v>M2</v>
      </c>
      <c r="D2" s="521">
        <f>+_xlfn.XLOOKUP(CostoDirecto[[#This Row],[cod Idu]],APU_IDU[Código],APU_IDU[Valor],"",0)</f>
        <v>1081</v>
      </c>
      <c r="E2" s="728">
        <f>ROUND(CantidadesConsolidadas[[#This Row],[91013913]]*$D2,0)</f>
        <v>1609695</v>
      </c>
      <c r="F2" s="728">
        <f>ROUND(CantidadesConsolidadas[[#This Row],[472330]]*$D2,0)</f>
        <v>784806</v>
      </c>
      <c r="G2" s="728">
        <f>ROUND(CantidadesConsolidadas[[#This Row],[167810]]*$D2,0)</f>
        <v>844391</v>
      </c>
      <c r="H2" s="728">
        <f>ROUND(CantidadesConsolidadas[[#This Row],[166646]]*$D2,0)</f>
        <v>513270</v>
      </c>
      <c r="I2" s="728">
        <f>ROUND(CantidadesConsolidadas[[#This Row],[167491]]*$D2,0)</f>
        <v>477921</v>
      </c>
      <c r="J2" s="728">
        <f>ROUND(CantidadesConsolidadas[[#This Row],[167266]]*$D2,0)</f>
        <v>612938</v>
      </c>
      <c r="K2" s="728">
        <f>ROUND(CantidadesConsolidadas[[#This Row],[170896]]*$D2,0)</f>
        <v>121634</v>
      </c>
      <c r="L2" s="728">
        <f>ROUND(CantidadesConsolidadas[[#This Row],[170897]]*$D2,0)</f>
        <v>135601</v>
      </c>
      <c r="M2" s="728">
        <f>ROUND(CantidadesConsolidadas[[#This Row],[170898]]*$D2,0)</f>
        <v>53931</v>
      </c>
      <c r="N2" s="728">
        <f>ROUND(CantidadesConsolidadas[[#This Row],[91064150]]*$D2,0)</f>
        <v>160323</v>
      </c>
      <c r="O2" s="728">
        <f>ROUND(CantidadesConsolidadas[[#This Row],[168919]]*$D2,0)</f>
        <v>523669</v>
      </c>
      <c r="P2" s="728">
        <f>ROUND(CantidadesConsolidadas[[#This Row],[168426]]*$D2,0)</f>
        <v>461284</v>
      </c>
      <c r="Q2" s="728">
        <f>ROUND(CantidadesConsolidadas[[#This Row],[91020796]]*$D2,0)</f>
        <v>126239</v>
      </c>
      <c r="R2" s="728">
        <f>ROUND(CantidadesConsolidadas[[#This Row],[176184]]*$D2,0)</f>
        <v>256900</v>
      </c>
      <c r="S2" s="728">
        <f>ROUND(CantidadesConsolidadas[[#This Row],[167636]]*$D2,0)</f>
        <v>576616</v>
      </c>
      <c r="T2" s="728">
        <f>ROUND(CantidadesConsolidadas[[#This Row],[176730]]*$D2,0)</f>
        <v>156432</v>
      </c>
      <c r="U2" s="728">
        <f>ROUND(CantidadesConsolidadas[[#This Row],[173038]]*$D2,0)</f>
        <v>535549</v>
      </c>
      <c r="V2" s="728">
        <f>ROUND(CantidadesConsolidadas[[#This Row],[170222]]*$D2,0)</f>
        <v>914342</v>
      </c>
      <c r="W2" s="728">
        <f>ROUND(CantidadesConsolidadas[[#This Row],[170229]]*$D2,0)</f>
        <v>82070</v>
      </c>
      <c r="X2" s="728">
        <f>ROUND(CantidadesConsolidadas[[#This Row],[170227]]*$D2,0)</f>
        <v>203152</v>
      </c>
      <c r="Y2" s="728">
        <f>ROUND(CantidadesConsolidadas[[#This Row],[170226]]*$D2,0)</f>
        <v>111289</v>
      </c>
      <c r="Z2" s="728">
        <f>ROUND(CantidadesConsolidadas[[#This Row],[171567]]*$D2,0)</f>
        <v>565860</v>
      </c>
      <c r="AA2" s="728">
        <f>ROUND(CantidadesConsolidadas[[#This Row],[166632]]*$D2,0)</f>
        <v>353865</v>
      </c>
      <c r="AB2" s="728">
        <f>ROUND(CantidadesConsolidadas[[#This Row],[170228]]*$D2,0)</f>
        <v>221756</v>
      </c>
      <c r="AC2" s="728">
        <f>ROUND(CantidadesConsolidadas[[#This Row],[172926]]*$D2,0)</f>
        <v>156129</v>
      </c>
      <c r="AD2" s="728">
        <f>ROUND(CantidadesConsolidadas[[#This Row],[171152]]*$D2,0)</f>
        <v>811907</v>
      </c>
      <c r="AE2" s="728">
        <f>ROUND(CantidadesConsolidadas[[#This Row],[173058]]*$D2,0)</f>
        <v>212600</v>
      </c>
      <c r="AF2" s="728">
        <f>ROUND(CantidadesConsolidadas[[#This Row],[174478]]*$D2,0)</f>
        <v>999039</v>
      </c>
      <c r="AG2" s="728">
        <f>ROUND(CantidadesConsolidadas[[#This Row],[91010089]]*$D2,0)</f>
        <v>321306</v>
      </c>
      <c r="AH2" s="728">
        <f>ROUND(CantidadesConsolidadas[[#This Row],[176122]]*$D2,0)</f>
        <v>750171</v>
      </c>
      <c r="AI2" s="728">
        <f>ROUND(CantidadesConsolidadas[[#This Row],[168536]]*$D2,0)</f>
        <v>655237</v>
      </c>
      <c r="AJ2" s="728">
        <f>ROUND(CantidadesConsolidadas[[#This Row],[166934]]*$D2,0)</f>
        <v>1015178</v>
      </c>
      <c r="AK2" s="728">
        <f>ROUND(CantidadesConsolidadas[[#This Row],[174353]]*$D2,0)</f>
        <v>568174</v>
      </c>
      <c r="AL2" s="747">
        <f>ROUND(CantidadesConsolidadas[[#This Row],[52531]]*$D2,0)</f>
        <v>0</v>
      </c>
      <c r="AM2" s="746">
        <f>ROUND(CantidadesConsolidadas[[#This Row],[52456]]*$D2,0)</f>
        <v>0</v>
      </c>
      <c r="AN2" s="746">
        <f>ROUND(CantidadesConsolidadas[[#This Row],[92058103]]*$D2,0)</f>
        <v>0</v>
      </c>
      <c r="AO2" s="746">
        <f>ROUND(CantidadesConsolidadas[[#This Row],[20011114]]*$D2,0)</f>
        <v>0</v>
      </c>
      <c r="AP2" s="746">
        <f>ROUND(CantidadesConsolidadas[[#This Row],[20013540]]*$D2,0)</f>
        <v>0</v>
      </c>
      <c r="AQ2" s="746">
        <f>ROUND(CantidadesConsolidadas[[#This Row],[55337]]*$D2,0)</f>
        <v>0</v>
      </c>
      <c r="AR2" s="746">
        <f>ROUND(CantidadesConsolidadas[[#This Row],[92087422]]*$D2,0)</f>
        <v>0</v>
      </c>
      <c r="AS2" s="746">
        <f>ROUND(CantidadesConsolidadas[[#This Row],[55259]]*$D2,0)</f>
        <v>0</v>
      </c>
      <c r="AT2" s="746">
        <f>ROUND(CantidadesConsolidadas[[#This Row],[466904]]*$D2,0)</f>
        <v>0</v>
      </c>
      <c r="AU2" s="746">
        <f>ROUND(CantidadesConsolidadas[[#This Row],[48591]]*$D2,0)</f>
        <v>0</v>
      </c>
      <c r="AV2" s="746">
        <f>ROUND(CantidadesConsolidadas[[#This Row],[48590]]*$D2,0)</f>
        <v>0</v>
      </c>
      <c r="AW2" s="746">
        <f>ROUND(CantidadesConsolidadas[[#This Row],[48561]]*$D2,0)</f>
        <v>0</v>
      </c>
      <c r="AX2" s="746">
        <f>ROUND(CantidadesConsolidadas[[#This Row],[48560]]*$D2,0)</f>
        <v>0</v>
      </c>
      <c r="AY2" s="746">
        <f>ROUND(CantidadesConsolidadas[[#This Row],[48657]]*$D2,0)</f>
        <v>0</v>
      </c>
      <c r="AZ2" s="746">
        <f>ROUND(CantidadesConsolidadas[[#This Row],[48655]]*$D2,0)</f>
        <v>0</v>
      </c>
      <c r="BA2" s="806">
        <f>SUBTOTAL(9,CostoDirecto[[#This Row],[91013913]:[174353]])</f>
        <v>15893274</v>
      </c>
      <c r="BB2" s="806">
        <f>SUBTOTAL(9,CostoDirecto[[#This Row],[52531]:[48655]])</f>
        <v>0</v>
      </c>
    </row>
    <row r="3" spans="1:54" ht="28.8" x14ac:dyDescent="0.3">
      <c r="A3">
        <v>5360</v>
      </c>
      <c r="B3" s="511" t="str">
        <f>+_xlfn.XLOOKUP(CostoDirecto[[#This Row],[cod Idu]],APU_IDU[Código],APU_IDU[Nombre],"",0)</f>
        <v>ACOPIO Y TRASIEGO MECANICO DE MATERIAL DE FRESADO EN EL SITIO DE ALMACENAMIENTO TRANSITORIO.</v>
      </c>
      <c r="C3" s="497" t="str">
        <f>+_xlfn.XLOOKUP(CostoDirecto[[#This Row],[cod Idu]],APU_IDU[Código],APU_IDU[UM],"",0)</f>
        <v>HR</v>
      </c>
      <c r="D3" s="521">
        <f>+_xlfn.XLOOKUP(CostoDirecto[[#This Row],[cod Idu]],APU_IDU[Código],APU_IDU[Valor],"",0)</f>
        <v>182788</v>
      </c>
      <c r="E3" s="728">
        <f>ROUND(CantidadesConsolidadas[[#This Row],[91013913]]*$D3,0)</f>
        <v>0</v>
      </c>
      <c r="F3" s="728">
        <f>ROUND(CantidadesConsolidadas[[#This Row],[472330]]*$D3,0)</f>
        <v>0</v>
      </c>
      <c r="G3" s="728">
        <f>ROUND(CantidadesConsolidadas[[#This Row],[167810]]*$D3,0)</f>
        <v>0</v>
      </c>
      <c r="H3" s="728">
        <f>ROUND(CantidadesConsolidadas[[#This Row],[166646]]*$D3,0)</f>
        <v>0</v>
      </c>
      <c r="I3" s="728">
        <f>ROUND(CantidadesConsolidadas[[#This Row],[167491]]*$D3,0)</f>
        <v>0</v>
      </c>
      <c r="J3" s="728">
        <f>ROUND(CantidadesConsolidadas[[#This Row],[167266]]*$D3,0)</f>
        <v>0</v>
      </c>
      <c r="K3" s="728">
        <f>ROUND(CantidadesConsolidadas[[#This Row],[170896]]*$D3,0)</f>
        <v>731152</v>
      </c>
      <c r="L3" s="728">
        <f>ROUND(CantidadesConsolidadas[[#This Row],[170897]]*$D3,0)</f>
        <v>913940</v>
      </c>
      <c r="M3" s="728">
        <f>ROUND(CantidadesConsolidadas[[#This Row],[170898]]*$D3,0)</f>
        <v>731152</v>
      </c>
      <c r="N3" s="728">
        <f>ROUND(CantidadesConsolidadas[[#This Row],[91064150]]*$D3,0)</f>
        <v>913940</v>
      </c>
      <c r="O3" s="728">
        <f>ROUND(CantidadesConsolidadas[[#This Row],[168919]]*$D3,0)</f>
        <v>0</v>
      </c>
      <c r="P3" s="728">
        <f>ROUND(CantidadesConsolidadas[[#This Row],[168426]]*$D3,0)</f>
        <v>0</v>
      </c>
      <c r="Q3" s="728">
        <f>ROUND(CantidadesConsolidadas[[#This Row],[91020796]]*$D3,0)</f>
        <v>1096728</v>
      </c>
      <c r="R3" s="728">
        <f>ROUND(CantidadesConsolidadas[[#This Row],[176184]]*$D3,0)</f>
        <v>0</v>
      </c>
      <c r="S3" s="728">
        <f>ROUND(CantidadesConsolidadas[[#This Row],[167636]]*$D3,0)</f>
        <v>913940</v>
      </c>
      <c r="T3" s="728">
        <f>ROUND(CantidadesConsolidadas[[#This Row],[176730]]*$D3,0)</f>
        <v>0</v>
      </c>
      <c r="U3" s="728">
        <f>ROUND(CantidadesConsolidadas[[#This Row],[173038]]*$D3,0)</f>
        <v>0</v>
      </c>
      <c r="V3" s="728">
        <f>ROUND(CantidadesConsolidadas[[#This Row],[170222]]*$D3,0)</f>
        <v>1096728</v>
      </c>
      <c r="W3" s="728">
        <f>ROUND(CantidadesConsolidadas[[#This Row],[170229]]*$D3,0)</f>
        <v>0</v>
      </c>
      <c r="X3" s="728">
        <f>ROUND(CantidadesConsolidadas[[#This Row],[170227]]*$D3,0)</f>
        <v>0</v>
      </c>
      <c r="Y3" s="728">
        <f>ROUND(CantidadesConsolidadas[[#This Row],[170226]]*$D3,0)</f>
        <v>1096728</v>
      </c>
      <c r="Z3" s="728">
        <f>ROUND(CantidadesConsolidadas[[#This Row],[171567]]*$D3,0)</f>
        <v>0</v>
      </c>
      <c r="AA3" s="728">
        <f>ROUND(CantidadesConsolidadas[[#This Row],[166632]]*$D3,0)</f>
        <v>1096728</v>
      </c>
      <c r="AB3" s="728">
        <f>ROUND(CantidadesConsolidadas[[#This Row],[170228]]*$D3,0)</f>
        <v>0</v>
      </c>
      <c r="AC3" s="728">
        <f>ROUND(CantidadesConsolidadas[[#This Row],[172926]]*$D3,0)</f>
        <v>0</v>
      </c>
      <c r="AD3" s="728">
        <f>ROUND(CantidadesConsolidadas[[#This Row],[171152]]*$D3,0)</f>
        <v>0</v>
      </c>
      <c r="AE3" s="728">
        <f>ROUND(CantidadesConsolidadas[[#This Row],[173058]]*$D3,0)</f>
        <v>0</v>
      </c>
      <c r="AF3" s="728">
        <f>ROUND(CantidadesConsolidadas[[#This Row],[174478]]*$D3,0)</f>
        <v>0</v>
      </c>
      <c r="AG3" s="728">
        <f>ROUND(CantidadesConsolidadas[[#This Row],[91010089]]*$D3,0)</f>
        <v>0</v>
      </c>
      <c r="AH3" s="728">
        <f>ROUND(CantidadesConsolidadas[[#This Row],[176122]]*$D3,0)</f>
        <v>0</v>
      </c>
      <c r="AI3" s="728">
        <f>ROUND(CantidadesConsolidadas[[#This Row],[168536]]*$D3,0)</f>
        <v>0</v>
      </c>
      <c r="AJ3" s="728">
        <f>ROUND(CantidadesConsolidadas[[#This Row],[166934]]*$D3,0)</f>
        <v>182788</v>
      </c>
      <c r="AK3" s="728">
        <f>ROUND(CantidadesConsolidadas[[#This Row],[174353]]*$D3,0)</f>
        <v>182788</v>
      </c>
      <c r="AL3" s="747">
        <f>ROUND(CantidadesConsolidadas[[#This Row],[52531]]*$D3,0)</f>
        <v>0</v>
      </c>
      <c r="AM3" s="746">
        <f>ROUND(CantidadesConsolidadas[[#This Row],[52456]]*$D3,0)</f>
        <v>0</v>
      </c>
      <c r="AN3" s="746">
        <f>ROUND(CantidadesConsolidadas[[#This Row],[92058103]]*$D3,0)</f>
        <v>0</v>
      </c>
      <c r="AO3" s="746">
        <f>ROUND(CantidadesConsolidadas[[#This Row],[20011114]]*$D3,0)</f>
        <v>0</v>
      </c>
      <c r="AP3" s="746">
        <f>ROUND(CantidadesConsolidadas[[#This Row],[20013540]]*$D3,0)</f>
        <v>0</v>
      </c>
      <c r="AQ3" s="746">
        <f>ROUND(CantidadesConsolidadas[[#This Row],[55337]]*$D3,0)</f>
        <v>0</v>
      </c>
      <c r="AR3" s="746">
        <f>ROUND(CantidadesConsolidadas[[#This Row],[92087422]]*$D3,0)</f>
        <v>0</v>
      </c>
      <c r="AS3" s="746">
        <f>ROUND(CantidadesConsolidadas[[#This Row],[55259]]*$D3,0)</f>
        <v>0</v>
      </c>
      <c r="AT3" s="746">
        <f>ROUND(CantidadesConsolidadas[[#This Row],[466904]]*$D3,0)</f>
        <v>0</v>
      </c>
      <c r="AU3" s="746">
        <f>ROUND(CantidadesConsolidadas[[#This Row],[48591]]*$D3,0)</f>
        <v>0</v>
      </c>
      <c r="AV3" s="746">
        <f>ROUND(CantidadesConsolidadas[[#This Row],[48590]]*$D3,0)</f>
        <v>0</v>
      </c>
      <c r="AW3" s="746">
        <f>ROUND(CantidadesConsolidadas[[#This Row],[48561]]*$D3,0)</f>
        <v>0</v>
      </c>
      <c r="AX3" s="746">
        <f>ROUND(CantidadesConsolidadas[[#This Row],[48560]]*$D3,0)</f>
        <v>0</v>
      </c>
      <c r="AY3" s="746">
        <f>ROUND(CantidadesConsolidadas[[#This Row],[48657]]*$D3,0)</f>
        <v>0</v>
      </c>
      <c r="AZ3" s="746">
        <f>ROUND(CantidadesConsolidadas[[#This Row],[48655]]*$D3,0)</f>
        <v>0</v>
      </c>
      <c r="BA3" s="806">
        <f>SUBTOTAL(9,CostoDirecto[[#This Row],[91013913]:[174353]])</f>
        <v>8956612</v>
      </c>
      <c r="BB3" s="806">
        <f>SUBTOTAL(9,CostoDirecto[[#This Row],[52531]:[48655]])</f>
        <v>0</v>
      </c>
    </row>
    <row r="4" spans="1:54" ht="28.8" x14ac:dyDescent="0.3">
      <c r="A4">
        <v>3010</v>
      </c>
      <c r="B4" s="511" t="str">
        <f>+_xlfn.XLOOKUP(CostoDirecto[[#This Row],[cod Idu]],APU_IDU[Código],APU_IDU[Nombre],"",0)</f>
        <v>DEMOLICION PAVIMENTO ASFALTICO (INCLUYE CARGUE). NO INCLUYE TRANSPORTE Y DISPOSICIÓN FINAL DE SOBRANTES.</v>
      </c>
      <c r="C4" s="497" t="str">
        <f>+_xlfn.XLOOKUP(CostoDirecto[[#This Row],[cod Idu]],APU_IDU[Código],APU_IDU[UM],"",0)</f>
        <v>M3</v>
      </c>
      <c r="D4" s="521">
        <f>+_xlfn.XLOOKUP(CostoDirecto[[#This Row],[cod Idu]],APU_IDU[Código],APU_IDU[Valor],"",0)</f>
        <v>43555</v>
      </c>
      <c r="E4" s="728">
        <f>ROUND(CantidadesConsolidadas[[#This Row],[91013913]]*$D4,0)</f>
        <v>9728445</v>
      </c>
      <c r="F4" s="728">
        <f>ROUND(CantidadesConsolidadas[[#This Row],[472330]]*$D4,0)</f>
        <v>4743140</v>
      </c>
      <c r="G4" s="728">
        <f>ROUND(CantidadesConsolidadas[[#This Row],[167810]]*$D4,0)</f>
        <v>5103339</v>
      </c>
      <c r="H4" s="728">
        <f>ROUND(CantidadesConsolidadas[[#This Row],[166646]]*$D4,0)</f>
        <v>3101987</v>
      </c>
      <c r="I4" s="728">
        <f>ROUND(CantidadesConsolidadas[[#This Row],[167491]]*$D4,0)</f>
        <v>2888568</v>
      </c>
      <c r="J4" s="728">
        <f>ROUND(CantidadesConsolidadas[[#This Row],[167266]]*$D4,0)</f>
        <v>3704353</v>
      </c>
      <c r="K4" s="728">
        <f>ROUND(CantidadesConsolidadas[[#This Row],[170896]]*$D4,0)</f>
        <v>735208</v>
      </c>
      <c r="L4" s="728">
        <f>ROUND(CantidadesConsolidadas[[#This Row],[170897]]*$D4,0)</f>
        <v>819705</v>
      </c>
      <c r="M4" s="728">
        <f>ROUND(CantidadesConsolidadas[[#This Row],[170898]]*$D4,0)</f>
        <v>325791</v>
      </c>
      <c r="N4" s="728">
        <f>ROUND(CantidadesConsolidadas[[#This Row],[91064150]]*$D4,0)</f>
        <v>969099</v>
      </c>
      <c r="O4" s="728">
        <f>ROUND(CantidadesConsolidadas[[#This Row],[168919]]*$D4,0)</f>
        <v>3164706</v>
      </c>
      <c r="P4" s="728">
        <f>ROUND(CantidadesConsolidadas[[#This Row],[168426]]*$D4,0)</f>
        <v>2787956</v>
      </c>
      <c r="Q4" s="728">
        <f>ROUND(CantidadesConsolidadas[[#This Row],[91020796]]*$D4,0)</f>
        <v>763084</v>
      </c>
      <c r="R4" s="728">
        <f>ROUND(CantidadesConsolidadas[[#This Row],[176184]]*$D4,0)</f>
        <v>1552736</v>
      </c>
      <c r="S4" s="728">
        <f>ROUND(CantidadesConsolidadas[[#This Row],[167636]]*$D4,0)</f>
        <v>3484836</v>
      </c>
      <c r="T4" s="728">
        <f>ROUND(CantidadesConsolidadas[[#This Row],[176730]]*$D4,0)</f>
        <v>945579</v>
      </c>
      <c r="U4" s="728">
        <f>ROUND(CantidadesConsolidadas[[#This Row],[173038]]*$D4,0)</f>
        <v>3236572</v>
      </c>
      <c r="V4" s="728">
        <f>ROUND(CantidadesConsolidadas[[#This Row],[170222]]*$D4,0)</f>
        <v>5525823</v>
      </c>
      <c r="W4" s="728">
        <f>ROUND(CantidadesConsolidadas[[#This Row],[170229]]*$D4,0)</f>
        <v>496091</v>
      </c>
      <c r="X4" s="728">
        <f>ROUND(CantidadesConsolidadas[[#This Row],[170227]]*$D4,0)</f>
        <v>1227815</v>
      </c>
      <c r="Y4" s="728">
        <f>ROUND(CantidadesConsolidadas[[#This Row],[170226]]*$D4,0)</f>
        <v>672489</v>
      </c>
      <c r="Z4" s="728">
        <f>ROUND(CantidadesConsolidadas[[#This Row],[171567]]*$D4,0)</f>
        <v>0</v>
      </c>
      <c r="AA4" s="728">
        <f>ROUND(CantidadesConsolidadas[[#This Row],[166632]]*$D4,0)</f>
        <v>2138551</v>
      </c>
      <c r="AB4" s="728">
        <f>ROUND(CantidadesConsolidadas[[#This Row],[170228]]*$D4,0)</f>
        <v>1340187</v>
      </c>
      <c r="AC4" s="728">
        <f>ROUND(CantidadesConsolidadas[[#This Row],[172926]]*$D4,0)</f>
        <v>943401</v>
      </c>
      <c r="AD4" s="728">
        <f>ROUND(CantidadesConsolidadas[[#This Row],[171152]]*$D4,0)</f>
        <v>4906906</v>
      </c>
      <c r="AE4" s="728">
        <f>ROUND(CantidadesConsolidadas[[#This Row],[173058]]*$D4,0)</f>
        <v>1284873</v>
      </c>
      <c r="AF4" s="728">
        <f>ROUND(CantidadesConsolidadas[[#This Row],[174478]]*$D4,0)</f>
        <v>6038030</v>
      </c>
      <c r="AG4" s="728">
        <f>ROUND(CantidadesConsolidadas[[#This Row],[91010089]]*$D4,0)</f>
        <v>1941682</v>
      </c>
      <c r="AH4" s="728">
        <f>ROUND(CantidadesConsolidadas[[#This Row],[176122]]*$D4,0)</f>
        <v>4533640</v>
      </c>
      <c r="AI4" s="728">
        <f>ROUND(CantidadesConsolidadas[[#This Row],[168536]]*$D4,0)</f>
        <v>3960021</v>
      </c>
      <c r="AJ4" s="728">
        <f>ROUND(CantidadesConsolidadas[[#This Row],[166934]]*$D4,0)</f>
        <v>6135593</v>
      </c>
      <c r="AK4" s="728">
        <f>ROUND(CantidadesConsolidadas[[#This Row],[174353]]*$D4,0)</f>
        <v>3433876</v>
      </c>
      <c r="AL4" s="747">
        <f>ROUND(CantidadesConsolidadas[[#This Row],[52531]]*$D4,0)</f>
        <v>0</v>
      </c>
      <c r="AM4" s="746">
        <f>ROUND(CantidadesConsolidadas[[#This Row],[52456]]*$D4,0)</f>
        <v>0</v>
      </c>
      <c r="AN4" s="746">
        <f>ROUND(CantidadesConsolidadas[[#This Row],[92058103]]*$D4,0)</f>
        <v>0</v>
      </c>
      <c r="AO4" s="746">
        <f>ROUND(CantidadesConsolidadas[[#This Row],[20011114]]*$D4,0)</f>
        <v>0</v>
      </c>
      <c r="AP4" s="746">
        <f>ROUND(CantidadesConsolidadas[[#This Row],[20013540]]*$D4,0)</f>
        <v>0</v>
      </c>
      <c r="AQ4" s="746">
        <f>ROUND(CantidadesConsolidadas[[#This Row],[55337]]*$D4,0)</f>
        <v>0</v>
      </c>
      <c r="AR4" s="746">
        <f>ROUND(CantidadesConsolidadas[[#This Row],[92087422]]*$D4,0)</f>
        <v>0</v>
      </c>
      <c r="AS4" s="746">
        <f>ROUND(CantidadesConsolidadas[[#This Row],[55259]]*$D4,0)</f>
        <v>0</v>
      </c>
      <c r="AT4" s="746">
        <f>ROUND(CantidadesConsolidadas[[#This Row],[466904]]*$D4,0)</f>
        <v>0</v>
      </c>
      <c r="AU4" s="746">
        <f>ROUND(CantidadesConsolidadas[[#This Row],[48591]]*$D4,0)</f>
        <v>0</v>
      </c>
      <c r="AV4" s="746">
        <f>ROUND(CantidadesConsolidadas[[#This Row],[48590]]*$D4,0)</f>
        <v>0</v>
      </c>
      <c r="AW4" s="746">
        <f>ROUND(CantidadesConsolidadas[[#This Row],[48561]]*$D4,0)</f>
        <v>0</v>
      </c>
      <c r="AX4" s="746">
        <f>ROUND(CantidadesConsolidadas[[#This Row],[48560]]*$D4,0)</f>
        <v>0</v>
      </c>
      <c r="AY4" s="746">
        <f>ROUND(CantidadesConsolidadas[[#This Row],[48657]]*$D4,0)</f>
        <v>0</v>
      </c>
      <c r="AZ4" s="746">
        <f>ROUND(CantidadesConsolidadas[[#This Row],[48655]]*$D4,0)</f>
        <v>0</v>
      </c>
      <c r="BA4" s="806">
        <f>SUBTOTAL(9,CostoDirecto[[#This Row],[91013913]:[174353]])</f>
        <v>92634082</v>
      </c>
      <c r="BB4" s="806">
        <f>SUBTOTAL(9,CostoDirecto[[#This Row],[52531]:[48655]])</f>
        <v>0</v>
      </c>
    </row>
    <row r="5" spans="1:54" x14ac:dyDescent="0.3">
      <c r="A5">
        <v>3710</v>
      </c>
      <c r="B5" s="606" t="str">
        <f>+_xlfn.XLOOKUP(CostoDirecto[[#This Row],[cod Idu]],APU_IDU[Código],APU_IDU[Nombre],"",0)</f>
        <v>EXCAVACIÓN MECÁNICA EN MATERIAL COMÚN (INCLUYE CARGUE)</v>
      </c>
      <c r="C5" s="609" t="str">
        <f>+_xlfn.XLOOKUP(CostoDirecto[[#This Row],[cod Idu]],APU_IDU[Código],APU_IDU[UM],"",0)</f>
        <v>M3</v>
      </c>
      <c r="D5" s="745">
        <f>+_xlfn.XLOOKUP(CostoDirecto[[#This Row],[cod Idu]],APU_IDU[Código],APU_IDU[Valor],"",0)</f>
        <v>5998</v>
      </c>
      <c r="E5" s="728">
        <f>ROUND(CantidadesConsolidadas[[#This Row],[91013913]]*$D5,0)</f>
        <v>7145177</v>
      </c>
      <c r="F5" s="728">
        <f>ROUND(CantidadesConsolidadas[[#This Row],[472330]]*$D5,0)</f>
        <v>2395001</v>
      </c>
      <c r="G5" s="728">
        <f>ROUND(CantidadesConsolidadas[[#This Row],[167810]]*$D5,0)</f>
        <v>2576861</v>
      </c>
      <c r="H5" s="728">
        <f>ROUND(CantidadesConsolidadas[[#This Row],[166646]]*$D5,0)</f>
        <v>1851163</v>
      </c>
      <c r="I5" s="728">
        <f>ROUND(CantidadesConsolidadas[[#This Row],[167491]]*$D5,0)</f>
        <v>1723645</v>
      </c>
      <c r="J5" s="728">
        <f>ROUND(CantidadesConsolidadas[[#This Row],[167266]]*$D5,0)</f>
        <v>1870536</v>
      </c>
      <c r="K5" s="728">
        <f>ROUND(CantidadesConsolidadas[[#This Row],[170896]]*$D5,0)</f>
        <v>404925</v>
      </c>
      <c r="L5" s="728">
        <f>ROUND(CantidadesConsolidadas[[#This Row],[170897]]*$D5,0)</f>
        <v>451409</v>
      </c>
      <c r="M5" s="728">
        <f>ROUND(CantidadesConsolidadas[[#This Row],[170898]]*$D5,0)</f>
        <v>179520</v>
      </c>
      <c r="N5" s="728">
        <f>ROUND(CantidadesConsolidadas[[#This Row],[91064150]]*$D5,0)</f>
        <v>533762</v>
      </c>
      <c r="O5" s="728">
        <f>ROUND(CantidadesConsolidadas[[#This Row],[168919]]*$D5,0)</f>
        <v>1888650</v>
      </c>
      <c r="P5" s="728">
        <f>ROUND(CantidadesConsolidadas[[#This Row],[168426]]*$D5,0)</f>
        <v>1663665</v>
      </c>
      <c r="Q5" s="728">
        <f>ROUND(CantidadesConsolidadas[[#This Row],[91020796]]*$D5,0)</f>
        <v>420280</v>
      </c>
      <c r="R5" s="728">
        <f>ROUND(CantidadesConsolidadas[[#This Row],[176184]]*$D5,0)</f>
        <v>855255</v>
      </c>
      <c r="S5" s="728">
        <f>ROUND(CantidadesConsolidadas[[#This Row],[167636]]*$D5,0)</f>
        <v>2079627</v>
      </c>
      <c r="T5" s="728">
        <f>ROUND(CantidadesConsolidadas[[#This Row],[176730]]*$D5,0)</f>
        <v>520806</v>
      </c>
      <c r="U5" s="728">
        <f>ROUND(CantidadesConsolidadas[[#This Row],[173038]]*$D5,0)</f>
        <v>1931476</v>
      </c>
      <c r="V5" s="728">
        <f>ROUND(CantidadesConsolidadas[[#This Row],[170222]]*$D5,0)</f>
        <v>3297640</v>
      </c>
      <c r="W5" s="728">
        <f>ROUND(CantidadesConsolidadas[[#This Row],[170229]]*$D5,0)</f>
        <v>273209</v>
      </c>
      <c r="X5" s="728">
        <f>ROUND(CantidadesConsolidadas[[#This Row],[170227]]*$D5,0)</f>
        <v>676334</v>
      </c>
      <c r="Y5" s="728">
        <f>ROUND(CantidadesConsolidadas[[#This Row],[170226]]*$D5,0)</f>
        <v>370496</v>
      </c>
      <c r="Z5" s="728">
        <f>ROUND(CantidadesConsolidadas[[#This Row],[171567]]*$D5,0)</f>
        <v>2040820</v>
      </c>
      <c r="AA5" s="728">
        <f>ROUND(CantidadesConsolidadas[[#This Row],[166632]]*$D5,0)</f>
        <v>1178067</v>
      </c>
      <c r="AB5" s="728">
        <f>ROUND(CantidadesConsolidadas[[#This Row],[170228]]*$D5,0)</f>
        <v>738234</v>
      </c>
      <c r="AC5" s="728">
        <f>ROUND(CantidadesConsolidadas[[#This Row],[172926]]*$D5,0)</f>
        <v>519787</v>
      </c>
      <c r="AD5" s="728">
        <f>ROUND(CantidadesConsolidadas[[#This Row],[171152]]*$D5,0)</f>
        <v>3603958</v>
      </c>
      <c r="AE5" s="728">
        <f>ROUND(CantidadesConsolidadas[[#This Row],[173058]]*$D5,0)</f>
        <v>707764</v>
      </c>
      <c r="AF5" s="728">
        <f>ROUND(CantidadesConsolidadas[[#This Row],[174478]]*$D5,0)</f>
        <v>4434561</v>
      </c>
      <c r="AG5" s="728">
        <f>ROUND(CantidadesConsolidadas[[#This Row],[91010089]]*$D5,0)</f>
        <v>1426204</v>
      </c>
      <c r="AH5" s="728">
        <f>ROUND(CantidadesConsolidadas[[#This Row],[176122]]*$D5,0)</f>
        <v>3329910</v>
      </c>
      <c r="AI5" s="728">
        <f>ROUND(CantidadesConsolidadas[[#This Row],[168536]]*$D5,0)</f>
        <v>2908490</v>
      </c>
      <c r="AJ5" s="728">
        <f>ROUND(CantidadesConsolidadas[[#This Row],[166934]]*$D5,0)</f>
        <v>3661299</v>
      </c>
      <c r="AK5" s="728">
        <f>ROUND(CantidadesConsolidadas[[#This Row],[174353]]*$D5,0)</f>
        <v>2049157</v>
      </c>
      <c r="AL5" s="747">
        <f>ROUND(CantidadesConsolidadas[[#This Row],[52531]]*$D5,0)</f>
        <v>0</v>
      </c>
      <c r="AM5" s="746">
        <f>ROUND(CantidadesConsolidadas[[#This Row],[52456]]*$D5,0)</f>
        <v>0</v>
      </c>
      <c r="AN5" s="746">
        <f>ROUND(CantidadesConsolidadas[[#This Row],[92058103]]*$D5,0)</f>
        <v>0</v>
      </c>
      <c r="AO5" s="746">
        <f>ROUND(CantidadesConsolidadas[[#This Row],[20011114]]*$D5,0)</f>
        <v>0</v>
      </c>
      <c r="AP5" s="746">
        <f>ROUND(CantidadesConsolidadas[[#This Row],[20013540]]*$D5,0)</f>
        <v>0</v>
      </c>
      <c r="AQ5" s="746">
        <f>ROUND(CantidadesConsolidadas[[#This Row],[55337]]*$D5,0)</f>
        <v>0</v>
      </c>
      <c r="AR5" s="746">
        <f>ROUND(CantidadesConsolidadas[[#This Row],[92087422]]*$D5,0)</f>
        <v>0</v>
      </c>
      <c r="AS5" s="746">
        <f>ROUND(CantidadesConsolidadas[[#This Row],[55259]]*$D5,0)</f>
        <v>0</v>
      </c>
      <c r="AT5" s="746">
        <f>ROUND(CantidadesConsolidadas[[#This Row],[466904]]*$D5,0)</f>
        <v>0</v>
      </c>
      <c r="AU5" s="746">
        <f>ROUND(CantidadesConsolidadas[[#This Row],[48591]]*$D5,0)</f>
        <v>0</v>
      </c>
      <c r="AV5" s="746">
        <f>ROUND(CantidadesConsolidadas[[#This Row],[48590]]*$D5,0)</f>
        <v>0</v>
      </c>
      <c r="AW5" s="746">
        <f>ROUND(CantidadesConsolidadas[[#This Row],[48561]]*$D5,0)</f>
        <v>0</v>
      </c>
      <c r="AX5" s="746">
        <f>ROUND(CantidadesConsolidadas[[#This Row],[48560]]*$D5,0)</f>
        <v>0</v>
      </c>
      <c r="AY5" s="746">
        <f>ROUND(CantidadesConsolidadas[[#This Row],[48657]]*$D5,0)</f>
        <v>0</v>
      </c>
      <c r="AZ5" s="746">
        <f>ROUND(CantidadesConsolidadas[[#This Row],[48655]]*$D5,0)</f>
        <v>0</v>
      </c>
      <c r="BA5" s="806">
        <f>SUBTOTAL(9,CostoDirecto[[#This Row],[91013913]:[174353]])</f>
        <v>59707688</v>
      </c>
      <c r="BB5" s="806">
        <f>SUBTOTAL(9,CostoDirecto[[#This Row],[52531]:[48655]])</f>
        <v>0</v>
      </c>
    </row>
    <row r="6" spans="1:54" ht="57.6" x14ac:dyDescent="0.3">
      <c r="A6">
        <v>3017</v>
      </c>
      <c r="B6" s="606" t="str">
        <f>+_xlfn.XLOOKUP(CostoDirecto[[#This Row],[cod Idu]],APU_IDU[Código],APU_IDU[Nombre],"",0)</f>
        <v>TRANSPORTE Y DISPOSICIÓN FINAL DE ESCOMBROS EN SITIO AUTORIZADO (DISTANCIA DE TRANSPORTE 21 KM). A DISTANCIA MAYOR DEL ACARREO LIBRE (90 M) EN SITIO AUTORIZADO POR LA ENTIDAD AMBIENTAL COMPETENTE.</v>
      </c>
      <c r="C6" s="609" t="str">
        <f>+_xlfn.XLOOKUP(CostoDirecto[[#This Row],[cod Idu]],APU_IDU[Código],APU_IDU[UM],"",0)</f>
        <v>M3</v>
      </c>
      <c r="D6" s="745">
        <f>+_xlfn.XLOOKUP(CostoDirecto[[#This Row],[cod Idu]],APU_IDU[Código],APU_IDU[Valor],"",0)</f>
        <v>45734</v>
      </c>
      <c r="E6" s="728">
        <f>ROUND(CantidadesConsolidadas[[#This Row],[91013913]]*$D6,0)</f>
        <v>84105283</v>
      </c>
      <c r="F6" s="728">
        <f>ROUND(CantidadesConsolidadas[[#This Row],[472330]]*$D6,0)</f>
        <v>38983662</v>
      </c>
      <c r="G6" s="728">
        <f>ROUND(CantidadesConsolidadas[[#This Row],[167810]]*$D6,0)</f>
        <v>42035491</v>
      </c>
      <c r="H6" s="728">
        <f>ROUND(CantidadesConsolidadas[[#This Row],[166646]]*$D6,0)</f>
        <v>29293542</v>
      </c>
      <c r="I6" s="728">
        <f>ROUND(CantidadesConsolidadas[[#This Row],[167491]]*$D6,0)</f>
        <v>27512660</v>
      </c>
      <c r="J6" s="728">
        <f>ROUND(CantidadesConsolidadas[[#This Row],[167266]]*$D6,0)</f>
        <v>30375608</v>
      </c>
      <c r="K6" s="728">
        <f>ROUND(CantidadesConsolidadas[[#This Row],[170896]]*$D6,0)</f>
        <v>5154679</v>
      </c>
      <c r="L6" s="728">
        <f>ROUND(CantidadesConsolidadas[[#This Row],[170897]]*$D6,0)</f>
        <v>7419884</v>
      </c>
      <c r="M6" s="728">
        <f>ROUND(CantidadesConsolidadas[[#This Row],[170898]]*$D6,0)</f>
        <v>2224044</v>
      </c>
      <c r="N6" s="728">
        <f>ROUND(CantidadesConsolidadas[[#This Row],[91064150]]*$D6,0)</f>
        <v>8555459</v>
      </c>
      <c r="O6" s="728">
        <f>ROUND(CantidadesConsolidadas[[#This Row],[168919]]*$D6,0)</f>
        <v>28078847</v>
      </c>
      <c r="P6" s="728">
        <f>ROUND(CantidadesConsolidadas[[#This Row],[168426]]*$D6,0)</f>
        <v>25644883</v>
      </c>
      <c r="Q6" s="728">
        <f>ROUND(CantidadesConsolidadas[[#This Row],[91020796]]*$D6,0)</f>
        <v>6335988</v>
      </c>
      <c r="R6" s="728">
        <f>ROUND(CantidadesConsolidadas[[#This Row],[176184]]*$D6,0)</f>
        <v>13182368</v>
      </c>
      <c r="S6" s="728">
        <f>ROUND(CantidadesConsolidadas[[#This Row],[167636]]*$D6,0)</f>
        <v>32368239</v>
      </c>
      <c r="T6" s="728">
        <f>ROUND(CantidadesConsolidadas[[#This Row],[176730]]*$D6,0)</f>
        <v>9345743</v>
      </c>
      <c r="U6" s="728">
        <f>ROUND(CantidadesConsolidadas[[#This Row],[173038]]*$D6,0)</f>
        <v>28957397</v>
      </c>
      <c r="V6" s="728">
        <f>ROUND(CantidadesConsolidadas[[#This Row],[170222]]*$D6,0)</f>
        <v>40230370</v>
      </c>
      <c r="W6" s="728">
        <f>ROUND(CantidadesConsolidadas[[#This Row],[170229]]*$D6,0)</f>
        <v>3385231</v>
      </c>
      <c r="X6" s="728">
        <f>ROUND(CantidadesConsolidadas[[#This Row],[170227]]*$D6,0)</f>
        <v>11121137</v>
      </c>
      <c r="Y6" s="728">
        <f>ROUND(CantidadesConsolidadas[[#This Row],[170226]]*$D6,0)</f>
        <v>4590322</v>
      </c>
      <c r="Z6" s="728">
        <f>ROUND(CantidadesConsolidadas[[#This Row],[171567]]*$D6,0)</f>
        <v>29592642</v>
      </c>
      <c r="AA6" s="728">
        <f>ROUND(CantidadesConsolidadas[[#This Row],[166632]]*$D6,0)</f>
        <v>19188614</v>
      </c>
      <c r="AB6" s="728">
        <f>ROUND(CantidadesConsolidadas[[#This Row],[170228]]*$D6,0)</f>
        <v>12029414</v>
      </c>
      <c r="AC6" s="728">
        <f>ROUND(CantidadesConsolidadas[[#This Row],[172926]]*$D6,0)</f>
        <v>8426032</v>
      </c>
      <c r="AD6" s="728">
        <f>ROUND(CantidadesConsolidadas[[#This Row],[171152]]*$D6,0)</f>
        <v>50129037</v>
      </c>
      <c r="AE6" s="728">
        <f>ROUND(CantidadesConsolidadas[[#This Row],[173058]]*$D6,0)</f>
        <v>8769495</v>
      </c>
      <c r="AF6" s="728">
        <f>ROUND(CantidadesConsolidadas[[#This Row],[174478]]*$D6,0)</f>
        <v>52198958</v>
      </c>
      <c r="AG6" s="728">
        <f>ROUND(CantidadesConsolidadas[[#This Row],[91010089]]*$D6,0)</f>
        <v>16787579</v>
      </c>
      <c r="AH6" s="728">
        <f>ROUND(CantidadesConsolidadas[[#This Row],[176122]]*$D6,0)</f>
        <v>39195867</v>
      </c>
      <c r="AI6" s="728">
        <f>ROUND(CantidadesConsolidadas[[#This Row],[168536]]*$D6,0)</f>
        <v>34235558</v>
      </c>
      <c r="AJ6" s="728">
        <f>ROUND(CantidadesConsolidadas[[#This Row],[166934]]*$D6,0)</f>
        <v>56149919</v>
      </c>
      <c r="AK6" s="728">
        <f>ROUND(CantidadesConsolidadas[[#This Row],[174353]]*$D6,0)</f>
        <v>32670540</v>
      </c>
      <c r="AL6" s="747">
        <f>ROUND(CantidadesConsolidadas[[#This Row],[52531]]*$D6,0)</f>
        <v>5005129</v>
      </c>
      <c r="AM6" s="746">
        <f>ROUND(CantidadesConsolidadas[[#This Row],[52456]]*$D6,0)</f>
        <v>3961479</v>
      </c>
      <c r="AN6" s="746">
        <f>ROUND(CantidadesConsolidadas[[#This Row],[92058103]]*$D6,0)</f>
        <v>2614155</v>
      </c>
      <c r="AO6" s="746">
        <f>ROUND(CantidadesConsolidadas[[#This Row],[20011114]]*$D6,0)</f>
        <v>9787533</v>
      </c>
      <c r="AP6" s="746">
        <f>ROUND(CantidadesConsolidadas[[#This Row],[20013540]]*$D6,0)</f>
        <v>4301740</v>
      </c>
      <c r="AQ6" s="746">
        <f>ROUND(CantidadesConsolidadas[[#This Row],[55337]]*$D6,0)</f>
        <v>11474203</v>
      </c>
      <c r="AR6" s="746">
        <f>ROUND(CantidadesConsolidadas[[#This Row],[92087422]]*$D6,0)</f>
        <v>18625172</v>
      </c>
      <c r="AS6" s="746">
        <f>ROUND(CantidadesConsolidadas[[#This Row],[55259]]*$D6,0)</f>
        <v>23326169</v>
      </c>
      <c r="AT6" s="746">
        <f>ROUND(CantidadesConsolidadas[[#This Row],[466904]]*$D6,0)</f>
        <v>1409065</v>
      </c>
      <c r="AU6" s="746">
        <f>ROUND(CantidadesConsolidadas[[#This Row],[48591]]*$D6,0)</f>
        <v>30781726</v>
      </c>
      <c r="AV6" s="746">
        <f>ROUND(CantidadesConsolidadas[[#This Row],[48590]]*$D6,0)</f>
        <v>31470480</v>
      </c>
      <c r="AW6" s="746">
        <f>ROUND(CantidadesConsolidadas[[#This Row],[48561]]*$D6,0)</f>
        <v>32294149</v>
      </c>
      <c r="AX6" s="746">
        <f>ROUND(CantidadesConsolidadas[[#This Row],[48560]]*$D6,0)</f>
        <v>32548888</v>
      </c>
      <c r="AY6" s="746">
        <f>ROUND(CantidadesConsolidadas[[#This Row],[48657]]*$D6,0)</f>
        <v>13482841</v>
      </c>
      <c r="AZ6" s="746">
        <f>ROUND(CantidadesConsolidadas[[#This Row],[48655]]*$D6,0)</f>
        <v>5531985</v>
      </c>
      <c r="BA6" s="806">
        <f>SUBTOTAL(9,CostoDirecto[[#This Row],[91013913]:[174353]])</f>
        <v>838274492</v>
      </c>
      <c r="BB6" s="806">
        <f>SUBTOTAL(9,CostoDirecto[[#This Row],[52531]:[48655]])</f>
        <v>226614714</v>
      </c>
    </row>
    <row r="7" spans="1:54" ht="43.2" x14ac:dyDescent="0.3">
      <c r="A7">
        <v>4015</v>
      </c>
      <c r="B7" s="606" t="str">
        <f>+_xlfn.XLOOKUP(CostoDirecto[[#This Row],[cod Idu]],APU_IDU[Código],APU_IDU[Nombre],"",0)</f>
        <v>GEOTEXTIL NO TEJIDO CON RESISTENCIA A LA TENSION GRAB: ENTRE 850 N Y 980 N. PARA SEPARACION SUBRASANTE/CAPAS GRANULARES. (INCLUYE SUMINISTRO E INSTALACION).</v>
      </c>
      <c r="C7" s="609" t="str">
        <f>+_xlfn.XLOOKUP(CostoDirecto[[#This Row],[cod Idu]],APU_IDU[Código],APU_IDU[UM],"",0)</f>
        <v>M2</v>
      </c>
      <c r="D7" s="745">
        <f>+_xlfn.XLOOKUP(CostoDirecto[[#This Row],[cod Idu]],APU_IDU[Código],APU_IDU[Valor],"",0)</f>
        <v>22923</v>
      </c>
      <c r="E7" s="728">
        <f>ROUND(CantidadesConsolidadas[[#This Row],[91013913]]*$D7,0)</f>
        <v>34134181</v>
      </c>
      <c r="F7" s="728">
        <f>ROUND(CantidadesConsolidadas[[#This Row],[472330]]*$D7,0)</f>
        <v>16642098</v>
      </c>
      <c r="G7" s="728">
        <f>ROUND(CantidadesConsolidadas[[#This Row],[167810]]*$D7,0)</f>
        <v>17905614</v>
      </c>
      <c r="H7" s="728">
        <f>ROUND(CantidadesConsolidadas[[#This Row],[166646]]*$D7,0)</f>
        <v>10884070</v>
      </c>
      <c r="I7" s="728">
        <f>ROUND(CantidadesConsolidadas[[#This Row],[167491]]*$D7,0)</f>
        <v>10134488</v>
      </c>
      <c r="J7" s="728">
        <f>ROUND(CantidadesConsolidadas[[#This Row],[167266]]*$D7,0)</f>
        <v>12997570</v>
      </c>
      <c r="K7" s="728">
        <f>ROUND(CantidadesConsolidadas[[#This Row],[170896]]*$D7,0)</f>
        <v>2579296</v>
      </c>
      <c r="L7" s="728">
        <f>ROUND(CantidadesConsolidadas[[#This Row],[170897]]*$D7,0)</f>
        <v>2875461</v>
      </c>
      <c r="M7" s="728">
        <f>ROUND(CantidadesConsolidadas[[#This Row],[170898]]*$D7,0)</f>
        <v>1143628</v>
      </c>
      <c r="N7" s="728">
        <f>ROUND(CantidadesConsolidadas[[#This Row],[91064150]]*$D7,0)</f>
        <v>3399710</v>
      </c>
      <c r="O7" s="728">
        <f>ROUND(CantidadesConsolidadas[[#This Row],[168919]]*$D7,0)</f>
        <v>11104589</v>
      </c>
      <c r="P7" s="728">
        <f>ROUND(CantidadesConsolidadas[[#This Row],[168426]]*$D7,0)</f>
        <v>9781703</v>
      </c>
      <c r="Q7" s="728">
        <f>ROUND(CantidadesConsolidadas[[#This Row],[91020796]]*$D7,0)</f>
        <v>2676948</v>
      </c>
      <c r="R7" s="728">
        <f>ROUND(CantidadesConsolidadas[[#This Row],[176184]]*$D7,0)</f>
        <v>5447651</v>
      </c>
      <c r="S7" s="728">
        <f>ROUND(CantidadesConsolidadas[[#This Row],[167636]]*$D7,0)</f>
        <v>12227357</v>
      </c>
      <c r="T7" s="728">
        <f>ROUND(CantidadesConsolidadas[[#This Row],[176730]]*$D7,0)</f>
        <v>3317187</v>
      </c>
      <c r="U7" s="728">
        <f>ROUND(CantidadesConsolidadas[[#This Row],[173038]]*$D7,0)</f>
        <v>11356513</v>
      </c>
      <c r="V7" s="728">
        <f>ROUND(CantidadesConsolidadas[[#This Row],[170222]]*$D7,0)</f>
        <v>19388961</v>
      </c>
      <c r="W7" s="728">
        <f>ROUND(CantidadesConsolidadas[[#This Row],[170229]]*$D7,0)</f>
        <v>1740314</v>
      </c>
      <c r="X7" s="728">
        <f>ROUND(CantidadesConsolidadas[[#This Row],[170227]]*$D7,0)</f>
        <v>4307919</v>
      </c>
      <c r="Y7" s="728">
        <f>ROUND(CantidadesConsolidadas[[#This Row],[170226]]*$D7,0)</f>
        <v>2359923</v>
      </c>
      <c r="Z7" s="728">
        <f>ROUND(CantidadesConsolidadas[[#This Row],[171567]]*$D7,0)</f>
        <v>11999274</v>
      </c>
      <c r="AA7" s="728">
        <f>ROUND(CantidadesConsolidadas[[#This Row],[166632]]*$D7,0)</f>
        <v>7503844</v>
      </c>
      <c r="AB7" s="728">
        <f>ROUND(CantidadesConsolidadas[[#This Row],[170228]]*$D7,0)</f>
        <v>4702424</v>
      </c>
      <c r="AC7" s="728">
        <f>ROUND(CantidadesConsolidadas[[#This Row],[172926]]*$D7,0)</f>
        <v>3310769</v>
      </c>
      <c r="AD7" s="728">
        <f>ROUND(CantidadesConsolidadas[[#This Row],[171152]]*$D7,0)</f>
        <v>17216778</v>
      </c>
      <c r="AE7" s="728">
        <f>ROUND(CantidadesConsolidadas[[#This Row],[173058]]*$D7,0)</f>
        <v>4508266</v>
      </c>
      <c r="AF7" s="728">
        <f>ROUND(CantidadesConsolidadas[[#This Row],[174478]]*$D7,0)</f>
        <v>21184978</v>
      </c>
      <c r="AG7" s="728">
        <f>ROUND(CantidadesConsolidadas[[#This Row],[91010089]]*$D7,0)</f>
        <v>6813403</v>
      </c>
      <c r="AH7" s="728">
        <f>ROUND(CantidadesConsolidadas[[#This Row],[176122]]*$D7,0)</f>
        <v>15907645</v>
      </c>
      <c r="AI7" s="728">
        <f>ROUND(CantidadesConsolidadas[[#This Row],[168536]]*$D7,0)</f>
        <v>13894547</v>
      </c>
      <c r="AJ7" s="728">
        <f>ROUND(CantidadesConsolidadas[[#This Row],[166934]]*$D7,0)</f>
        <v>21527219</v>
      </c>
      <c r="AK7" s="728">
        <f>ROUND(CantidadesConsolidadas[[#This Row],[174353]]*$D7,0)</f>
        <v>12048329</v>
      </c>
      <c r="AL7" s="747">
        <f>ROUND(CantidadesConsolidadas[[#This Row],[52531]]*$D7,0)</f>
        <v>0</v>
      </c>
      <c r="AM7" s="746">
        <f>ROUND(CantidadesConsolidadas[[#This Row],[52456]]*$D7,0)</f>
        <v>0</v>
      </c>
      <c r="AN7" s="746">
        <f>ROUND(CantidadesConsolidadas[[#This Row],[92058103]]*$D7,0)</f>
        <v>0</v>
      </c>
      <c r="AO7" s="746">
        <f>ROUND(CantidadesConsolidadas[[#This Row],[20011114]]*$D7,0)</f>
        <v>0</v>
      </c>
      <c r="AP7" s="746">
        <f>ROUND(CantidadesConsolidadas[[#This Row],[20013540]]*$D7,0)</f>
        <v>0</v>
      </c>
      <c r="AQ7" s="746">
        <f>ROUND(CantidadesConsolidadas[[#This Row],[55337]]*$D7,0)</f>
        <v>0</v>
      </c>
      <c r="AR7" s="746">
        <f>ROUND(CantidadesConsolidadas[[#This Row],[92087422]]*$D7,0)</f>
        <v>0</v>
      </c>
      <c r="AS7" s="746">
        <f>ROUND(CantidadesConsolidadas[[#This Row],[55259]]*$D7,0)</f>
        <v>0</v>
      </c>
      <c r="AT7" s="746">
        <f>ROUND(CantidadesConsolidadas[[#This Row],[466904]]*$D7,0)</f>
        <v>0</v>
      </c>
      <c r="AU7" s="746">
        <f>ROUND(CantidadesConsolidadas[[#This Row],[48591]]*$D7,0)</f>
        <v>0</v>
      </c>
      <c r="AV7" s="746">
        <f>ROUND(CantidadesConsolidadas[[#This Row],[48590]]*$D7,0)</f>
        <v>0</v>
      </c>
      <c r="AW7" s="746">
        <f>ROUND(CantidadesConsolidadas[[#This Row],[48561]]*$D7,0)</f>
        <v>0</v>
      </c>
      <c r="AX7" s="746">
        <f>ROUND(CantidadesConsolidadas[[#This Row],[48560]]*$D7,0)</f>
        <v>0</v>
      </c>
      <c r="AY7" s="746">
        <f>ROUND(CantidadesConsolidadas[[#This Row],[48657]]*$D7,0)</f>
        <v>0</v>
      </c>
      <c r="AZ7" s="746">
        <f>ROUND(CantidadesConsolidadas[[#This Row],[48655]]*$D7,0)</f>
        <v>0</v>
      </c>
      <c r="BA7" s="806">
        <f>SUBTOTAL(9,CostoDirecto[[#This Row],[91013913]:[174353]])</f>
        <v>337022657</v>
      </c>
      <c r="BB7" s="806">
        <f>SUBTOTAL(9,CostoDirecto[[#This Row],[52531]:[48655]])</f>
        <v>0</v>
      </c>
    </row>
    <row r="8" spans="1:54" ht="43.2" x14ac:dyDescent="0.3">
      <c r="A8">
        <v>6053</v>
      </c>
      <c r="B8" s="606" t="str">
        <f>+_xlfn.XLOOKUP(CostoDirecto[[#This Row],[cod Idu]],APU_IDU[Código],APU_IDU[Nombre],"",0)</f>
        <v>CAPA DE SUELO DE SUBRASANTE ESTABILIZADA CON CAL HIDRATADA TIPO N, IN SITU AL 4%. (SUMINISTRO, EXTENDIDO, NIVELACION, HUMEDECIMIENTO Y COMPACTACION).</v>
      </c>
      <c r="C8" s="609" t="str">
        <f>+_xlfn.XLOOKUP(CostoDirecto[[#This Row],[cod Idu]],APU_IDU[Código],APU_IDU[UM],"",0)</f>
        <v>M3</v>
      </c>
      <c r="D8" s="745">
        <f>+_xlfn.XLOOKUP(CostoDirecto[[#This Row],[cod Idu]],APU_IDU[Código],APU_IDU[Valor],"",0)</f>
        <v>128511</v>
      </c>
      <c r="E8" s="728">
        <f>ROUND(CantidadesConsolidadas[[#This Row],[91013913]]*$D8,0)</f>
        <v>38273146</v>
      </c>
      <c r="F8" s="728">
        <f>ROUND(CantidadesConsolidadas[[#This Row],[472330]]*$D8,0)</f>
        <v>0</v>
      </c>
      <c r="G8" s="728">
        <f>ROUND(CantidadesConsolidadas[[#This Row],[167810]]*$D8,0)</f>
        <v>0</v>
      </c>
      <c r="H8" s="728">
        <f>ROUND(CantidadesConsolidadas[[#This Row],[166646]]*$D8,0)</f>
        <v>4271706</v>
      </c>
      <c r="I8" s="728">
        <f>ROUND(CantidadesConsolidadas[[#This Row],[167491]]*$D8,0)</f>
        <v>3977415</v>
      </c>
      <c r="J8" s="728">
        <f>ROUND(CantidadesConsolidadas[[#This Row],[167266]]*$D8,0)</f>
        <v>0</v>
      </c>
      <c r="K8" s="728">
        <f>ROUND(CantidadesConsolidadas[[#This Row],[170896]]*$D8,0)</f>
        <v>1012667</v>
      </c>
      <c r="L8" s="728">
        <f>ROUND(CantidadesConsolidadas[[#This Row],[170897]]*$D8,0)</f>
        <v>1128327</v>
      </c>
      <c r="M8" s="728">
        <f>ROUND(CantidadesConsolidadas[[#This Row],[170898]]*$D8,0)</f>
        <v>0</v>
      </c>
      <c r="N8" s="728">
        <f>ROUND(CantidadesConsolidadas[[#This Row],[91064150]]*$D8,0)</f>
        <v>1333944</v>
      </c>
      <c r="O8" s="728">
        <f>ROUND(CantidadesConsolidadas[[#This Row],[168919]]*$D8,0)</f>
        <v>4357808</v>
      </c>
      <c r="P8" s="728">
        <f>ROUND(CantidadesConsolidadas[[#This Row],[168426]]*$D8,0)</f>
        <v>3838624</v>
      </c>
      <c r="Q8" s="728">
        <f>ROUND(CantidadesConsolidadas[[#This Row],[91020796]]*$D8,0)</f>
        <v>1049935</v>
      </c>
      <c r="R8" s="728">
        <f>ROUND(CantidadesConsolidadas[[#This Row],[176184]]*$D8,0)</f>
        <v>2138423</v>
      </c>
      <c r="S8" s="728">
        <f>ROUND(CantidadesConsolidadas[[#This Row],[167636]]*$D8,0)</f>
        <v>4798601</v>
      </c>
      <c r="T8" s="728">
        <f>ROUND(CantidadesConsolidadas[[#This Row],[176730]]*$D8,0)</f>
        <v>1301816</v>
      </c>
      <c r="U8" s="728">
        <f>ROUND(CantidadesConsolidadas[[#This Row],[173038]]*$D8,0)</f>
        <v>4456761</v>
      </c>
      <c r="V8" s="728">
        <f>ROUND(CantidadesConsolidadas[[#This Row],[170222]]*$D8,0)</f>
        <v>7609136</v>
      </c>
      <c r="W8" s="728">
        <f>ROUND(CantidadesConsolidadas[[#This Row],[170229]]*$D8,0)</f>
        <v>0</v>
      </c>
      <c r="X8" s="728">
        <f>ROUND(CantidadesConsolidadas[[#This Row],[170227]]*$D8,0)</f>
        <v>1691205</v>
      </c>
      <c r="Y8" s="728">
        <f>ROUND(CantidadesConsolidadas[[#This Row],[170226]]*$D8,0)</f>
        <v>926564</v>
      </c>
      <c r="Z8" s="728">
        <f>ROUND(CantidadesConsolidadas[[#This Row],[171567]]*$D8,0)</f>
        <v>0</v>
      </c>
      <c r="AA8" s="728">
        <f>ROUND(CantidadesConsolidadas[[#This Row],[166632]]*$D8,0)</f>
        <v>2944187</v>
      </c>
      <c r="AB8" s="728">
        <f>ROUND(CantidadesConsolidadas[[#This Row],[170228]]*$D8,0)</f>
        <v>1845418</v>
      </c>
      <c r="AC8" s="728">
        <f>ROUND(CantidadesConsolidadas[[#This Row],[172926]]*$D8,0)</f>
        <v>1299246</v>
      </c>
      <c r="AD8" s="728">
        <f>ROUND(CantidadesConsolidadas[[#This Row],[171152]]*$D8,0)</f>
        <v>13512932</v>
      </c>
      <c r="AE8" s="728">
        <f>ROUND(CantidadesConsolidadas[[#This Row],[173058]]*$D8,0)</f>
        <v>1769596</v>
      </c>
      <c r="AF8" s="728">
        <f>ROUND(CantidadesConsolidadas[[#This Row],[174478]]*$D8,0)</f>
        <v>16628038</v>
      </c>
      <c r="AG8" s="728">
        <f>ROUND(CantidadesConsolidadas[[#This Row],[91010089]]*$D8,0)</f>
        <v>5347343</v>
      </c>
      <c r="AH8" s="728">
        <f>ROUND(CantidadesConsolidadas[[#This Row],[176122]]*$D8,0)</f>
        <v>12484844</v>
      </c>
      <c r="AI8" s="728">
        <f>ROUND(CantidadesConsolidadas[[#This Row],[168536]]*$D8,0)</f>
        <v>10905443</v>
      </c>
      <c r="AJ8" s="728">
        <f>ROUND(CantidadesConsolidadas[[#This Row],[166934]]*$D8,0)</f>
        <v>8448313</v>
      </c>
      <c r="AK8" s="728">
        <f>ROUND(CantidadesConsolidadas[[#This Row],[174353]]*$D8,0)</f>
        <v>4727920</v>
      </c>
      <c r="AL8" s="747">
        <f>ROUND(CantidadesConsolidadas[[#This Row],[52531]]*$D8,0)</f>
        <v>0</v>
      </c>
      <c r="AM8" s="746">
        <f>ROUND(CantidadesConsolidadas[[#This Row],[52456]]*$D8,0)</f>
        <v>0</v>
      </c>
      <c r="AN8" s="746">
        <f>ROUND(CantidadesConsolidadas[[#This Row],[92058103]]*$D8,0)</f>
        <v>0</v>
      </c>
      <c r="AO8" s="746">
        <f>ROUND(CantidadesConsolidadas[[#This Row],[20011114]]*$D8,0)</f>
        <v>0</v>
      </c>
      <c r="AP8" s="746">
        <f>ROUND(CantidadesConsolidadas[[#This Row],[20013540]]*$D8,0)</f>
        <v>0</v>
      </c>
      <c r="AQ8" s="746">
        <f>ROUND(CantidadesConsolidadas[[#This Row],[55337]]*$D8,0)</f>
        <v>0</v>
      </c>
      <c r="AR8" s="746">
        <f>ROUND(CantidadesConsolidadas[[#This Row],[92087422]]*$D8,0)</f>
        <v>0</v>
      </c>
      <c r="AS8" s="746">
        <f>ROUND(CantidadesConsolidadas[[#This Row],[55259]]*$D8,0)</f>
        <v>0</v>
      </c>
      <c r="AT8" s="746">
        <f>ROUND(CantidadesConsolidadas[[#This Row],[466904]]*$D8,0)</f>
        <v>0</v>
      </c>
      <c r="AU8" s="746">
        <f>ROUND(CantidadesConsolidadas[[#This Row],[48591]]*$D8,0)</f>
        <v>0</v>
      </c>
      <c r="AV8" s="746">
        <f>ROUND(CantidadesConsolidadas[[#This Row],[48590]]*$D8,0)</f>
        <v>0</v>
      </c>
      <c r="AW8" s="746">
        <f>ROUND(CantidadesConsolidadas[[#This Row],[48561]]*$D8,0)</f>
        <v>0</v>
      </c>
      <c r="AX8" s="746">
        <f>ROUND(CantidadesConsolidadas[[#This Row],[48560]]*$D8,0)</f>
        <v>0</v>
      </c>
      <c r="AY8" s="746">
        <f>ROUND(CantidadesConsolidadas[[#This Row],[48657]]*$D8,0)</f>
        <v>0</v>
      </c>
      <c r="AZ8" s="746">
        <f>ROUND(CantidadesConsolidadas[[#This Row],[48655]]*$D8,0)</f>
        <v>0</v>
      </c>
      <c r="BA8" s="806">
        <f>SUBTOTAL(9,CostoDirecto[[#This Row],[91013913]:[174353]])</f>
        <v>162079358</v>
      </c>
      <c r="BB8" s="806">
        <f>SUBTOTAL(9,CostoDirecto[[#This Row],[52531]:[48655]])</f>
        <v>0</v>
      </c>
    </row>
    <row r="9" spans="1:54" ht="57.6" x14ac:dyDescent="0.3">
      <c r="A9">
        <v>6016</v>
      </c>
      <c r="B9" s="606" t="str">
        <f>+_xlfn.XLOOKUP(CostoDirecto[[#This Row],[cod Idu]],APU_IDU[Código],APU_IDU[Nombre],"",0)</f>
        <v>ESTABILIZACIÓN DE SUBRASANTE CON RAJÓN, INCLUYE EQUIPO DE COMPACTACIÓN (SUMINISTRO, EXTENDIDO, NIVELACIÓN Y COMPACTACIÓN CON EQUIPO MECÁNICO. NO INCLUYE MATERIAL DE SELLO)</v>
      </c>
      <c r="C9" s="609" t="str">
        <f>+_xlfn.XLOOKUP(CostoDirecto[[#This Row],[cod Idu]],APU_IDU[Código],APU_IDU[UM],"",0)</f>
        <v>M3</v>
      </c>
      <c r="D9" s="745">
        <f>+_xlfn.XLOOKUP(CostoDirecto[[#This Row],[cod Idu]],APU_IDU[Código],APU_IDU[Valor],"",0)</f>
        <v>148762</v>
      </c>
      <c r="E9" s="728">
        <f>ROUND(CantidadesConsolidadas[[#This Row],[91013913]]*$D9,0)</f>
        <v>0</v>
      </c>
      <c r="F9" s="728">
        <f>ROUND(CantidadesConsolidadas[[#This Row],[472330]]*$D9,0)</f>
        <v>0</v>
      </c>
      <c r="G9" s="728">
        <f>ROUND(CantidadesConsolidadas[[#This Row],[167810]]*$D9,0)</f>
        <v>0</v>
      </c>
      <c r="H9" s="728">
        <f>ROUND(CantidadesConsolidadas[[#This Row],[166646]]*$D9,0)</f>
        <v>2118371</v>
      </c>
      <c r="I9" s="728">
        <f>ROUND(CantidadesConsolidadas[[#This Row],[167491]]*$D9,0)</f>
        <v>1972584</v>
      </c>
      <c r="J9" s="728">
        <f>ROUND(CantidadesConsolidadas[[#This Row],[167266]]*$D9,0)</f>
        <v>0</v>
      </c>
      <c r="K9" s="728">
        <f>ROUND(CantidadesConsolidadas[[#This Row],[170896]]*$D9,0)</f>
        <v>502816</v>
      </c>
      <c r="L9" s="728">
        <f>ROUND(CantidadesConsolidadas[[#This Row],[170897]]*$D9,0)</f>
        <v>559345</v>
      </c>
      <c r="M9" s="728">
        <f>ROUND(CantidadesConsolidadas[[#This Row],[170898]]*$D9,0)</f>
        <v>742322</v>
      </c>
      <c r="N9" s="728">
        <f>ROUND(CantidadesConsolidadas[[#This Row],[91064150]]*$D9,0)</f>
        <v>661991</v>
      </c>
      <c r="O9" s="728">
        <f>ROUND(CantidadesConsolidadas[[#This Row],[168919]]*$D9,0)</f>
        <v>2161512</v>
      </c>
      <c r="P9" s="728">
        <f>ROUND(CantidadesConsolidadas[[#This Row],[168426]]*$D9,0)</f>
        <v>1904154</v>
      </c>
      <c r="Q9" s="728">
        <f>ROUND(CantidadesConsolidadas[[#This Row],[91020796]]*$D9,0)</f>
        <v>520667</v>
      </c>
      <c r="R9" s="728">
        <f>ROUND(CantidadesConsolidadas[[#This Row],[176184]]*$D9,0)</f>
        <v>1060673</v>
      </c>
      <c r="S9" s="728">
        <f>ROUND(CantidadesConsolidadas[[#This Row],[167636]]*$D9,0)</f>
        <v>2380192</v>
      </c>
      <c r="T9" s="728">
        <f>ROUND(CantidadesConsolidadas[[#This Row],[176730]]*$D9,0)</f>
        <v>645627</v>
      </c>
      <c r="U9" s="728">
        <f>ROUND(CantidadesConsolidadas[[#This Row],[173038]]*$D9,0)</f>
        <v>2210603</v>
      </c>
      <c r="V9" s="728">
        <f>ROUND(CantidadesConsolidadas[[#This Row],[170222]]*$D9,0)</f>
        <v>3774092</v>
      </c>
      <c r="W9" s="728">
        <f>ROUND(CantidadesConsolidadas[[#This Row],[170229]]*$D9,0)</f>
        <v>1129104</v>
      </c>
      <c r="X9" s="728">
        <f>ROUND(CantidadesConsolidadas[[#This Row],[170227]]*$D9,0)</f>
        <v>839018</v>
      </c>
      <c r="Y9" s="728">
        <f>ROUND(CantidadesConsolidadas[[#This Row],[170226]]*$D9,0)</f>
        <v>459675</v>
      </c>
      <c r="Z9" s="728">
        <f>ROUND(CantidadesConsolidadas[[#This Row],[171567]]*$D9,0)</f>
        <v>7787691</v>
      </c>
      <c r="AA9" s="728">
        <f>ROUND(CantidadesConsolidadas[[#This Row],[166632]]*$D9,0)</f>
        <v>1460843</v>
      </c>
      <c r="AB9" s="728">
        <f>ROUND(CantidadesConsolidadas[[#This Row],[170228]]*$D9,0)</f>
        <v>914886</v>
      </c>
      <c r="AC9" s="728">
        <f>ROUND(CantidadesConsolidadas[[#This Row],[172926]]*$D9,0)</f>
        <v>644139</v>
      </c>
      <c r="AD9" s="728">
        <f>ROUND(CantidadesConsolidadas[[#This Row],[171152]]*$D9,0)</f>
        <v>6703216</v>
      </c>
      <c r="AE9" s="728">
        <f>ROUND(CantidadesConsolidadas[[#This Row],[173058]]*$D9,0)</f>
        <v>877696</v>
      </c>
      <c r="AF9" s="728">
        <f>ROUND(CantidadesConsolidadas[[#This Row],[174478]]*$D9,0)</f>
        <v>8248853</v>
      </c>
      <c r="AG9" s="728">
        <f>ROUND(CantidadesConsolidadas[[#This Row],[91010089]]*$D9,0)</f>
        <v>2652426</v>
      </c>
      <c r="AH9" s="728">
        <f>ROUND(CantidadesConsolidadas[[#This Row],[176122]]*$D9,0)</f>
        <v>6194450</v>
      </c>
      <c r="AI9" s="728">
        <f>ROUND(CantidadesConsolidadas[[#This Row],[168536]]*$D9,0)</f>
        <v>5410474</v>
      </c>
      <c r="AJ9" s="728">
        <f>ROUND(CantidadesConsolidadas[[#This Row],[166934]]*$D9,0)</f>
        <v>4190626</v>
      </c>
      <c r="AK9" s="728">
        <f>ROUND(CantidadesConsolidadas[[#This Row],[174353]]*$D9,0)</f>
        <v>2345977</v>
      </c>
      <c r="AL9" s="747">
        <f>ROUND(CantidadesConsolidadas[[#This Row],[52531]]*$D9,0)</f>
        <v>0</v>
      </c>
      <c r="AM9" s="746">
        <f>ROUND(CantidadesConsolidadas[[#This Row],[52456]]*$D9,0)</f>
        <v>0</v>
      </c>
      <c r="AN9" s="746">
        <f>ROUND(CantidadesConsolidadas[[#This Row],[92058103]]*$D9,0)</f>
        <v>0</v>
      </c>
      <c r="AO9" s="746">
        <f>ROUND(CantidadesConsolidadas[[#This Row],[20011114]]*$D9,0)</f>
        <v>0</v>
      </c>
      <c r="AP9" s="746">
        <f>ROUND(CantidadesConsolidadas[[#This Row],[20013540]]*$D9,0)</f>
        <v>0</v>
      </c>
      <c r="AQ9" s="746">
        <f>ROUND(CantidadesConsolidadas[[#This Row],[55337]]*$D9,0)</f>
        <v>0</v>
      </c>
      <c r="AR9" s="746">
        <f>ROUND(CantidadesConsolidadas[[#This Row],[92087422]]*$D9,0)</f>
        <v>0</v>
      </c>
      <c r="AS9" s="746">
        <f>ROUND(CantidadesConsolidadas[[#This Row],[55259]]*$D9,0)</f>
        <v>0</v>
      </c>
      <c r="AT9" s="746">
        <f>ROUND(CantidadesConsolidadas[[#This Row],[466904]]*$D9,0)</f>
        <v>0</v>
      </c>
      <c r="AU9" s="746">
        <f>ROUND(CantidadesConsolidadas[[#This Row],[48591]]*$D9,0)</f>
        <v>0</v>
      </c>
      <c r="AV9" s="746">
        <f>ROUND(CantidadesConsolidadas[[#This Row],[48590]]*$D9,0)</f>
        <v>0</v>
      </c>
      <c r="AW9" s="746">
        <f>ROUND(CantidadesConsolidadas[[#This Row],[48561]]*$D9,0)</f>
        <v>0</v>
      </c>
      <c r="AX9" s="746">
        <f>ROUND(CantidadesConsolidadas[[#This Row],[48560]]*$D9,0)</f>
        <v>0</v>
      </c>
      <c r="AY9" s="746">
        <f>ROUND(CantidadesConsolidadas[[#This Row],[48657]]*$D9,0)</f>
        <v>0</v>
      </c>
      <c r="AZ9" s="746">
        <f>ROUND(CantidadesConsolidadas[[#This Row],[48655]]*$D9,0)</f>
        <v>0</v>
      </c>
      <c r="BA9" s="806">
        <f>SUBTOTAL(9,CostoDirecto[[#This Row],[91013913]:[174353]])</f>
        <v>71074023</v>
      </c>
      <c r="BB9" s="806">
        <f>SUBTOTAL(9,CostoDirecto[[#This Row],[52531]:[48655]])</f>
        <v>0</v>
      </c>
    </row>
    <row r="10" spans="1:54" ht="28.8" x14ac:dyDescent="0.3">
      <c r="A10">
        <v>4142</v>
      </c>
      <c r="B10" s="606" t="str">
        <f>+_xlfn.XLOOKUP(CostoDirecto[[#This Row],[cod Idu]],APU_IDU[Código],APU_IDU[Nombre],"",0)</f>
        <v>SUBBASE GRANULAR SBG-A (SUMINISTRO, EXTENDIDO, NIVELACIÓN, HUMEDECIMIENTO Y COMPACTACIÓN CON VIBROCOMPACTADOR)</v>
      </c>
      <c r="C10" s="609" t="str">
        <f>+_xlfn.XLOOKUP(CostoDirecto[[#This Row],[cod Idu]],APU_IDU[Código],APU_IDU[UM],"",0)</f>
        <v>M3</v>
      </c>
      <c r="D10" s="745">
        <f>+_xlfn.XLOOKUP(CostoDirecto[[#This Row],[cod Idu]],APU_IDU[Código],APU_IDU[Valor],"",0)</f>
        <v>221997</v>
      </c>
      <c r="E10" s="728">
        <f>ROUND(CantidadesConsolidadas[[#This Row],[91013913]]*$D10,0)</f>
        <v>0</v>
      </c>
      <c r="F10" s="728">
        <f>ROUND(CantidadesConsolidadas[[#This Row],[472330]]*$D10,0)</f>
        <v>0</v>
      </c>
      <c r="G10" s="728">
        <f>ROUND(CantidadesConsolidadas[[#This Row],[167810]]*$D10,0)</f>
        <v>0</v>
      </c>
      <c r="H10" s="728">
        <f>ROUND(CantidadesConsolidadas[[#This Row],[166646]]*$D10,0)</f>
        <v>0</v>
      </c>
      <c r="I10" s="728">
        <f>ROUND(CantidadesConsolidadas[[#This Row],[167491]]*$D10,0)</f>
        <v>0</v>
      </c>
      <c r="J10" s="728">
        <f>ROUND(CantidadesConsolidadas[[#This Row],[167266]]*$D10,0)</f>
        <v>0</v>
      </c>
      <c r="K10" s="728">
        <f>ROUND(CantidadesConsolidadas[[#This Row],[170896]]*$D10,0)</f>
        <v>0</v>
      </c>
      <c r="L10" s="728">
        <f>ROUND(CantidadesConsolidadas[[#This Row],[170897]]*$D10,0)</f>
        <v>0</v>
      </c>
      <c r="M10" s="728">
        <f>ROUND(CantidadesConsolidadas[[#This Row],[170898]]*$D10,0)</f>
        <v>3323295</v>
      </c>
      <c r="N10" s="728">
        <f>ROUND(CantidadesConsolidadas[[#This Row],[91064150]]*$D10,0)</f>
        <v>0</v>
      </c>
      <c r="O10" s="728">
        <f>ROUND(CantidadesConsolidadas[[#This Row],[168919]]*$D10,0)</f>
        <v>0</v>
      </c>
      <c r="P10" s="728">
        <f>ROUND(CantidadesConsolidadas[[#This Row],[168426]]*$D10,0)</f>
        <v>0</v>
      </c>
      <c r="Q10" s="728">
        <f>ROUND(CantidadesConsolidadas[[#This Row],[91020796]]*$D10,0)</f>
        <v>0</v>
      </c>
      <c r="R10" s="728">
        <f>ROUND(CantidadesConsolidadas[[#This Row],[176184]]*$D10,0)</f>
        <v>0</v>
      </c>
      <c r="S10" s="728">
        <f>ROUND(CantidadesConsolidadas[[#This Row],[167636]]*$D10,0)</f>
        <v>0</v>
      </c>
      <c r="T10" s="728">
        <f>ROUND(CantidadesConsolidadas[[#This Row],[176730]]*$D10,0)</f>
        <v>0</v>
      </c>
      <c r="U10" s="728">
        <f>ROUND(CantidadesConsolidadas[[#This Row],[173038]]*$D10,0)</f>
        <v>0</v>
      </c>
      <c r="V10" s="728">
        <f>ROUND(CantidadesConsolidadas[[#This Row],[170222]]*$D10,0)</f>
        <v>0</v>
      </c>
      <c r="W10" s="728">
        <f>ROUND(CantidadesConsolidadas[[#This Row],[170229]]*$D10,0)</f>
        <v>5057092</v>
      </c>
      <c r="X10" s="728">
        <f>ROUND(CantidadesConsolidadas[[#This Row],[170227]]*$D10,0)</f>
        <v>0</v>
      </c>
      <c r="Y10" s="728">
        <f>ROUND(CantidadesConsolidadas[[#This Row],[170226]]*$D10,0)</f>
        <v>0</v>
      </c>
      <c r="Z10" s="728">
        <f>ROUND(CantidadesConsolidadas[[#This Row],[171567]]*$D10,0)</f>
        <v>0</v>
      </c>
      <c r="AA10" s="728">
        <f>ROUND(CantidadesConsolidadas[[#This Row],[166632]]*$D10,0)</f>
        <v>0</v>
      </c>
      <c r="AB10" s="728">
        <f>ROUND(CantidadesConsolidadas[[#This Row],[170228]]*$D10,0)</f>
        <v>0</v>
      </c>
      <c r="AC10" s="728">
        <f>ROUND(CantidadesConsolidadas[[#This Row],[172926]]*$D10,0)</f>
        <v>0</v>
      </c>
      <c r="AD10" s="728">
        <f>ROUND(CantidadesConsolidadas[[#This Row],[171152]]*$D10,0)</f>
        <v>0</v>
      </c>
      <c r="AE10" s="728">
        <f>ROUND(CantidadesConsolidadas[[#This Row],[173058]]*$D10,0)</f>
        <v>0</v>
      </c>
      <c r="AF10" s="728">
        <f>ROUND(CantidadesConsolidadas[[#This Row],[174478]]*$D10,0)</f>
        <v>0</v>
      </c>
      <c r="AG10" s="728">
        <f>ROUND(CantidadesConsolidadas[[#This Row],[91010089]]*$D10,0)</f>
        <v>0</v>
      </c>
      <c r="AH10" s="728">
        <f>ROUND(CantidadesConsolidadas[[#This Row],[176122]]*$D10,0)</f>
        <v>0</v>
      </c>
      <c r="AI10" s="728">
        <f>ROUND(CantidadesConsolidadas[[#This Row],[168536]]*$D10,0)</f>
        <v>0</v>
      </c>
      <c r="AJ10" s="728">
        <f>ROUND(CantidadesConsolidadas[[#This Row],[166934]]*$D10,0)</f>
        <v>0</v>
      </c>
      <c r="AK10" s="728">
        <f>ROUND(CantidadesConsolidadas[[#This Row],[174353]]*$D10,0)</f>
        <v>0</v>
      </c>
      <c r="AL10" s="747">
        <f>ROUND(CantidadesConsolidadas[[#This Row],[52531]]*$D10,0)</f>
        <v>0</v>
      </c>
      <c r="AM10" s="746">
        <f>ROUND(CantidadesConsolidadas[[#This Row],[52456]]*$D10,0)</f>
        <v>0</v>
      </c>
      <c r="AN10" s="746">
        <f>ROUND(CantidadesConsolidadas[[#This Row],[92058103]]*$D10,0)</f>
        <v>0</v>
      </c>
      <c r="AO10" s="746">
        <f>ROUND(CantidadesConsolidadas[[#This Row],[20011114]]*$D10,0)</f>
        <v>0</v>
      </c>
      <c r="AP10" s="746">
        <f>ROUND(CantidadesConsolidadas[[#This Row],[20013540]]*$D10,0)</f>
        <v>0</v>
      </c>
      <c r="AQ10" s="746">
        <f>ROUND(CantidadesConsolidadas[[#This Row],[55337]]*$D10,0)</f>
        <v>0</v>
      </c>
      <c r="AR10" s="746">
        <f>ROUND(CantidadesConsolidadas[[#This Row],[92087422]]*$D10,0)</f>
        <v>0</v>
      </c>
      <c r="AS10" s="746">
        <f>ROUND(CantidadesConsolidadas[[#This Row],[55259]]*$D10,0)</f>
        <v>0</v>
      </c>
      <c r="AT10" s="746">
        <f>ROUND(CantidadesConsolidadas[[#This Row],[466904]]*$D10,0)</f>
        <v>0</v>
      </c>
      <c r="AU10" s="746">
        <f>ROUND(CantidadesConsolidadas[[#This Row],[48591]]*$D10,0)</f>
        <v>0</v>
      </c>
      <c r="AV10" s="746">
        <f>ROUND(CantidadesConsolidadas[[#This Row],[48590]]*$D10,0)</f>
        <v>0</v>
      </c>
      <c r="AW10" s="746">
        <f>ROUND(CantidadesConsolidadas[[#This Row],[48561]]*$D10,0)</f>
        <v>0</v>
      </c>
      <c r="AX10" s="746">
        <f>ROUND(CantidadesConsolidadas[[#This Row],[48560]]*$D10,0)</f>
        <v>0</v>
      </c>
      <c r="AY10" s="746">
        <f>ROUND(CantidadesConsolidadas[[#This Row],[48657]]*$D10,0)</f>
        <v>0</v>
      </c>
      <c r="AZ10" s="746">
        <f>ROUND(CantidadesConsolidadas[[#This Row],[48655]]*$D10,0)</f>
        <v>0</v>
      </c>
      <c r="BA10" s="806">
        <f>SUBTOTAL(9,CostoDirecto[[#This Row],[91013913]:[174353]])</f>
        <v>8380387</v>
      </c>
      <c r="BB10" s="806">
        <f>SUBTOTAL(9,CostoDirecto[[#This Row],[52531]:[48655]])</f>
        <v>0</v>
      </c>
    </row>
    <row r="11" spans="1:54" ht="43.2" x14ac:dyDescent="0.3">
      <c r="A11">
        <v>8617</v>
      </c>
      <c r="B11" s="606" t="str">
        <f>+_xlfn.XLOOKUP(CostoDirecto[[#This Row],[cod Idu]],APU_IDU[Código],APU_IDU[Nombre],"",0)</f>
        <v>AGREGADOS RECICLADOS PARA SUBBASE GRANULAR (AR_SBG50) (Suministro, Extendido, Nivelación, Humedecimiento y Compactación con vibrocompactador)</v>
      </c>
      <c r="C11" s="609" t="str">
        <f>+_xlfn.XLOOKUP(CostoDirecto[[#This Row],[cod Idu]],APU_IDU[Código],APU_IDU[UM],"",0)</f>
        <v>M3</v>
      </c>
      <c r="D11" s="745">
        <f>+_xlfn.XLOOKUP(CostoDirecto[[#This Row],[cod Idu]],APU_IDU[Código],APU_IDU[Valor],"",0)</f>
        <v>204760</v>
      </c>
      <c r="E11" s="728">
        <f>ROUND(CantidadesConsolidadas[[#This Row],[91013913]]*$D11,0)</f>
        <v>0</v>
      </c>
      <c r="F11" s="728">
        <f>ROUND(CantidadesConsolidadas[[#This Row],[472330]]*$D11,0)</f>
        <v>0</v>
      </c>
      <c r="G11" s="728">
        <f>ROUND(CantidadesConsolidadas[[#This Row],[167810]]*$D11,0)</f>
        <v>0</v>
      </c>
      <c r="H11" s="728">
        <f>ROUND(CantidadesConsolidadas[[#This Row],[166646]]*$D11,0)</f>
        <v>29166014</v>
      </c>
      <c r="I11" s="728">
        <f>ROUND(CantidadesConsolidadas[[#This Row],[167491]]*$D11,0)</f>
        <v>0</v>
      </c>
      <c r="J11" s="728">
        <f>ROUND(CantidadesConsolidadas[[#This Row],[167266]]*$D11,0)</f>
        <v>0</v>
      </c>
      <c r="K11" s="728">
        <f>ROUND(CantidadesConsolidadas[[#This Row],[170896]]*$D11,0)</f>
        <v>0</v>
      </c>
      <c r="L11" s="728">
        <f>ROUND(CantidadesConsolidadas[[#This Row],[170897]]*$D11,0)</f>
        <v>0</v>
      </c>
      <c r="M11" s="728">
        <f>ROUND(CantidadesConsolidadas[[#This Row],[170898]]*$D11,0)</f>
        <v>0</v>
      </c>
      <c r="N11" s="728">
        <f>ROUND(CantidadesConsolidadas[[#This Row],[91064150]]*$D11,0)</f>
        <v>0</v>
      </c>
      <c r="O11" s="728">
        <f>ROUND(CantidadesConsolidadas[[#This Row],[168919]]*$D11,0)</f>
        <v>0</v>
      </c>
      <c r="P11" s="728">
        <f>ROUND(CantidadesConsolidadas[[#This Row],[168426]]*$D11,0)</f>
        <v>0</v>
      </c>
      <c r="Q11" s="728">
        <f>ROUND(CantidadesConsolidadas[[#This Row],[91020796]]*$D11,0)</f>
        <v>0</v>
      </c>
      <c r="R11" s="728">
        <f>ROUND(CantidadesConsolidadas[[#This Row],[176184]]*$D11,0)</f>
        <v>0</v>
      </c>
      <c r="S11" s="728">
        <f>ROUND(CantidadesConsolidadas[[#This Row],[167636]]*$D11,0)</f>
        <v>0</v>
      </c>
      <c r="T11" s="728">
        <f>ROUND(CantidadesConsolidadas[[#This Row],[176730]]*$D11,0)</f>
        <v>0</v>
      </c>
      <c r="U11" s="728">
        <f>ROUND(CantidadesConsolidadas[[#This Row],[173038]]*$D11,0)</f>
        <v>0</v>
      </c>
      <c r="V11" s="728">
        <f>ROUND(CantidadesConsolidadas[[#This Row],[170222]]*$D11,0)</f>
        <v>0</v>
      </c>
      <c r="W11" s="728">
        <f>ROUND(CantidadesConsolidadas[[#This Row],[170229]]*$D11,0)</f>
        <v>0</v>
      </c>
      <c r="X11" s="728">
        <f>ROUND(CantidadesConsolidadas[[#This Row],[170227]]*$D11,0)</f>
        <v>0</v>
      </c>
      <c r="Y11" s="728">
        <f>ROUND(CantidadesConsolidadas[[#This Row],[170226]]*$D11,0)</f>
        <v>0</v>
      </c>
      <c r="Z11" s="728">
        <f>ROUND(CantidadesConsolidadas[[#This Row],[171567]]*$D11,0)</f>
        <v>0</v>
      </c>
      <c r="AA11" s="728">
        <f>ROUND(CantidadesConsolidadas[[#This Row],[166632]]*$D11,0)</f>
        <v>0</v>
      </c>
      <c r="AB11" s="728">
        <f>ROUND(CantidadesConsolidadas[[#This Row],[170228]]*$D11,0)</f>
        <v>0</v>
      </c>
      <c r="AC11" s="728">
        <f>ROUND(CantidadesConsolidadas[[#This Row],[172926]]*$D11,0)</f>
        <v>0</v>
      </c>
      <c r="AD11" s="728">
        <f>ROUND(CantidadesConsolidadas[[#This Row],[171152]]*$D11,0)</f>
        <v>0</v>
      </c>
      <c r="AE11" s="728">
        <f>ROUND(CantidadesConsolidadas[[#This Row],[173058]]*$D11,0)</f>
        <v>0</v>
      </c>
      <c r="AF11" s="728">
        <f>ROUND(CantidadesConsolidadas[[#This Row],[174478]]*$D11,0)</f>
        <v>0</v>
      </c>
      <c r="AG11" s="728">
        <f>ROUND(CantidadesConsolidadas[[#This Row],[91010089]]*$D11,0)</f>
        <v>0</v>
      </c>
      <c r="AH11" s="728">
        <f>ROUND(CantidadesConsolidadas[[#This Row],[176122]]*$D11,0)</f>
        <v>0</v>
      </c>
      <c r="AI11" s="728">
        <f>ROUND(CantidadesConsolidadas[[#This Row],[168536]]*$D11,0)</f>
        <v>0</v>
      </c>
      <c r="AJ11" s="728">
        <f>ROUND(CantidadesConsolidadas[[#This Row],[166934]]*$D11,0)</f>
        <v>0</v>
      </c>
      <c r="AK11" s="728">
        <f>ROUND(CantidadesConsolidadas[[#This Row],[174353]]*$D11,0)</f>
        <v>0</v>
      </c>
      <c r="AL11" s="747">
        <f>ROUND(CantidadesConsolidadas[[#This Row],[52531]]*$D11,0)</f>
        <v>0</v>
      </c>
      <c r="AM11" s="746">
        <f>ROUND(CantidadesConsolidadas[[#This Row],[52456]]*$D11,0)</f>
        <v>0</v>
      </c>
      <c r="AN11" s="746">
        <f>ROUND(CantidadesConsolidadas[[#This Row],[92058103]]*$D11,0)</f>
        <v>0</v>
      </c>
      <c r="AO11" s="746">
        <f>ROUND(CantidadesConsolidadas[[#This Row],[20011114]]*$D11,0)</f>
        <v>0</v>
      </c>
      <c r="AP11" s="746">
        <f>ROUND(CantidadesConsolidadas[[#This Row],[20013540]]*$D11,0)</f>
        <v>0</v>
      </c>
      <c r="AQ11" s="746">
        <f>ROUND(CantidadesConsolidadas[[#This Row],[55337]]*$D11,0)</f>
        <v>0</v>
      </c>
      <c r="AR11" s="746">
        <f>ROUND(CantidadesConsolidadas[[#This Row],[92087422]]*$D11,0)</f>
        <v>0</v>
      </c>
      <c r="AS11" s="746">
        <f>ROUND(CantidadesConsolidadas[[#This Row],[55259]]*$D11,0)</f>
        <v>0</v>
      </c>
      <c r="AT11" s="746">
        <f>ROUND(CantidadesConsolidadas[[#This Row],[466904]]*$D11,0)</f>
        <v>0</v>
      </c>
      <c r="AU11" s="746">
        <f>ROUND(CantidadesConsolidadas[[#This Row],[48591]]*$D11,0)</f>
        <v>0</v>
      </c>
      <c r="AV11" s="746">
        <f>ROUND(CantidadesConsolidadas[[#This Row],[48590]]*$D11,0)</f>
        <v>0</v>
      </c>
      <c r="AW11" s="746">
        <f>ROUND(CantidadesConsolidadas[[#This Row],[48561]]*$D11,0)</f>
        <v>0</v>
      </c>
      <c r="AX11" s="746">
        <f>ROUND(CantidadesConsolidadas[[#This Row],[48560]]*$D11,0)</f>
        <v>0</v>
      </c>
      <c r="AY11" s="746">
        <f>ROUND(CantidadesConsolidadas[[#This Row],[48657]]*$D11,0)</f>
        <v>0</v>
      </c>
      <c r="AZ11" s="746">
        <f>ROUND(CantidadesConsolidadas[[#This Row],[48655]]*$D11,0)</f>
        <v>0</v>
      </c>
      <c r="BA11" s="806">
        <f>SUBTOTAL(9,CostoDirecto[[#This Row],[91013913]:[174353]])</f>
        <v>29166014</v>
      </c>
      <c r="BB11" s="806">
        <f>SUBTOTAL(9,CostoDirecto[[#This Row],[52531]:[48655]])</f>
        <v>0</v>
      </c>
    </row>
    <row r="12" spans="1:54" ht="57.6" x14ac:dyDescent="0.3">
      <c r="A12">
        <v>4140</v>
      </c>
      <c r="B12" s="606" t="str">
        <f>+_xlfn.XLOOKUP(CostoDirecto[[#This Row],[cod Idu]],APU_IDU[Código],APU_IDU[Nombre],"",0)</f>
        <v>BASE GRANULAR BG-A.  (SUMINISTRO, EXTENDIDO, NIVELACIÓN Y HUMEDECIMIENTO MECÁNICO,  COMPACTACIÓN MECÁNICA CON VIBROCOMPACTADOR TÁNDEM PEQUEÑO, INCLUYE OPERARIO  Y COMBUSTIBLE).</v>
      </c>
      <c r="C12" s="609" t="str">
        <f>+_xlfn.XLOOKUP(CostoDirecto[[#This Row],[cod Idu]],APU_IDU[Código],APU_IDU[UM],"",0)</f>
        <v>M3</v>
      </c>
      <c r="D12" s="745">
        <f>+_xlfn.XLOOKUP(CostoDirecto[[#This Row],[cod Idu]],APU_IDU[Código],APU_IDU[Valor],"",0)</f>
        <v>262698</v>
      </c>
      <c r="E12" s="728">
        <f>ROUND(CantidadesConsolidadas[[#This Row],[91013913]]*$D12,0)</f>
        <v>0</v>
      </c>
      <c r="F12" s="728">
        <f>ROUND(CantidadesConsolidadas[[#This Row],[472330]]*$D12,0)</f>
        <v>0</v>
      </c>
      <c r="G12" s="728">
        <f>ROUND(CantidadesConsolidadas[[#This Row],[167810]]*$D12,0)</f>
        <v>0</v>
      </c>
      <c r="H12" s="728">
        <f>ROUND(CantidadesConsolidadas[[#This Row],[166646]]*$D12,0)</f>
        <v>0</v>
      </c>
      <c r="I12" s="728">
        <f>ROUND(CantidadesConsolidadas[[#This Row],[167491]]*$D12,0)</f>
        <v>0</v>
      </c>
      <c r="J12" s="728">
        <f>ROUND(CantidadesConsolidadas[[#This Row],[167266]]*$D12,0)</f>
        <v>0</v>
      </c>
      <c r="K12" s="728">
        <f>ROUND(CantidadesConsolidadas[[#This Row],[170896]]*$D12,0)</f>
        <v>0</v>
      </c>
      <c r="L12" s="728">
        <f>ROUND(CantidadesConsolidadas[[#This Row],[170897]]*$D12,0)</f>
        <v>0</v>
      </c>
      <c r="M12" s="728">
        <f>ROUND(CantidadesConsolidadas[[#This Row],[170898]]*$D12,0)</f>
        <v>2621726</v>
      </c>
      <c r="N12" s="728">
        <f>ROUND(CantidadesConsolidadas[[#This Row],[91064150]]*$D12,0)</f>
        <v>0</v>
      </c>
      <c r="O12" s="728">
        <f>ROUND(CantidadesConsolidadas[[#This Row],[168919]]*$D12,0)</f>
        <v>0</v>
      </c>
      <c r="P12" s="728">
        <f>ROUND(CantidadesConsolidadas[[#This Row],[168426]]*$D12,0)</f>
        <v>0</v>
      </c>
      <c r="Q12" s="728">
        <f>ROUND(CantidadesConsolidadas[[#This Row],[91020796]]*$D12,0)</f>
        <v>0</v>
      </c>
      <c r="R12" s="728">
        <f>ROUND(CantidadesConsolidadas[[#This Row],[176184]]*$D12,0)</f>
        <v>0</v>
      </c>
      <c r="S12" s="728">
        <f>ROUND(CantidadesConsolidadas[[#This Row],[167636]]*$D12,0)</f>
        <v>0</v>
      </c>
      <c r="T12" s="728">
        <f>ROUND(CantidadesConsolidadas[[#This Row],[176730]]*$D12,0)</f>
        <v>0</v>
      </c>
      <c r="U12" s="728">
        <f>ROUND(CantidadesConsolidadas[[#This Row],[173038]]*$D12,0)</f>
        <v>0</v>
      </c>
      <c r="V12" s="728">
        <f>ROUND(CantidadesConsolidadas[[#This Row],[170222]]*$D12,0)</f>
        <v>0</v>
      </c>
      <c r="W12" s="728">
        <f>ROUND(CantidadesConsolidadas[[#This Row],[170229]]*$D12,0)</f>
        <v>3987756</v>
      </c>
      <c r="X12" s="728">
        <f>ROUND(CantidadesConsolidadas[[#This Row],[170227]]*$D12,0)</f>
        <v>0</v>
      </c>
      <c r="Y12" s="728">
        <f>ROUND(CantidadesConsolidadas[[#This Row],[170226]]*$D12,0)</f>
        <v>5408952</v>
      </c>
      <c r="Z12" s="728">
        <f>ROUND(CantidadesConsolidadas[[#This Row],[171567]]*$D12,0)</f>
        <v>0</v>
      </c>
      <c r="AA12" s="728">
        <f>ROUND(CantidadesConsolidadas[[#This Row],[166632]]*$D12,0)</f>
        <v>0</v>
      </c>
      <c r="AB12" s="728">
        <f>ROUND(CantidadesConsolidadas[[#This Row],[170228]]*$D12,0)</f>
        <v>0</v>
      </c>
      <c r="AC12" s="728">
        <f>ROUND(CantidadesConsolidadas[[#This Row],[172926]]*$D12,0)</f>
        <v>0</v>
      </c>
      <c r="AD12" s="728">
        <f>ROUND(CantidadesConsolidadas[[#This Row],[171152]]*$D12,0)</f>
        <v>0</v>
      </c>
      <c r="AE12" s="728">
        <f>ROUND(CantidadesConsolidadas[[#This Row],[173058]]*$D12,0)</f>
        <v>0</v>
      </c>
      <c r="AF12" s="728">
        <f>ROUND(CantidadesConsolidadas[[#This Row],[174478]]*$D12,0)</f>
        <v>0</v>
      </c>
      <c r="AG12" s="728">
        <f>ROUND(CantidadesConsolidadas[[#This Row],[91010089]]*$D12,0)</f>
        <v>0</v>
      </c>
      <c r="AH12" s="728">
        <f>ROUND(CantidadesConsolidadas[[#This Row],[176122]]*$D12,0)</f>
        <v>0</v>
      </c>
      <c r="AI12" s="728">
        <f>ROUND(CantidadesConsolidadas[[#This Row],[168536]]*$D12,0)</f>
        <v>0</v>
      </c>
      <c r="AJ12" s="728">
        <f>ROUND(CantidadesConsolidadas[[#This Row],[166934]]*$D12,0)</f>
        <v>0</v>
      </c>
      <c r="AK12" s="728">
        <f>ROUND(CantidadesConsolidadas[[#This Row],[174353]]*$D12,0)</f>
        <v>0</v>
      </c>
      <c r="AL12" s="747">
        <f>ROUND(CantidadesConsolidadas[[#This Row],[52531]]*$D12,0)</f>
        <v>0</v>
      </c>
      <c r="AM12" s="746">
        <f>ROUND(CantidadesConsolidadas[[#This Row],[52456]]*$D12,0)</f>
        <v>0</v>
      </c>
      <c r="AN12" s="746">
        <f>ROUND(CantidadesConsolidadas[[#This Row],[92058103]]*$D12,0)</f>
        <v>0</v>
      </c>
      <c r="AO12" s="746">
        <f>ROUND(CantidadesConsolidadas[[#This Row],[20011114]]*$D12,0)</f>
        <v>0</v>
      </c>
      <c r="AP12" s="746">
        <f>ROUND(CantidadesConsolidadas[[#This Row],[20013540]]*$D12,0)</f>
        <v>0</v>
      </c>
      <c r="AQ12" s="746">
        <f>ROUND(CantidadesConsolidadas[[#This Row],[55337]]*$D12,0)</f>
        <v>0</v>
      </c>
      <c r="AR12" s="746">
        <f>ROUND(CantidadesConsolidadas[[#This Row],[92087422]]*$D12,0)</f>
        <v>0</v>
      </c>
      <c r="AS12" s="746">
        <f>ROUND(CantidadesConsolidadas[[#This Row],[55259]]*$D12,0)</f>
        <v>0</v>
      </c>
      <c r="AT12" s="746">
        <f>ROUND(CantidadesConsolidadas[[#This Row],[466904]]*$D12,0)</f>
        <v>0</v>
      </c>
      <c r="AU12" s="746">
        <f>ROUND(CantidadesConsolidadas[[#This Row],[48591]]*$D12,0)</f>
        <v>0</v>
      </c>
      <c r="AV12" s="746">
        <f>ROUND(CantidadesConsolidadas[[#This Row],[48590]]*$D12,0)</f>
        <v>0</v>
      </c>
      <c r="AW12" s="746">
        <f>ROUND(CantidadesConsolidadas[[#This Row],[48561]]*$D12,0)</f>
        <v>0</v>
      </c>
      <c r="AX12" s="746">
        <f>ROUND(CantidadesConsolidadas[[#This Row],[48560]]*$D12,0)</f>
        <v>0</v>
      </c>
      <c r="AY12" s="746">
        <f>ROUND(CantidadesConsolidadas[[#This Row],[48657]]*$D12,0)</f>
        <v>0</v>
      </c>
      <c r="AZ12" s="746">
        <f>ROUND(CantidadesConsolidadas[[#This Row],[48655]]*$D12,0)</f>
        <v>0</v>
      </c>
      <c r="BA12" s="806">
        <f>SUBTOTAL(9,CostoDirecto[[#This Row],[91013913]:[174353]])</f>
        <v>12018434</v>
      </c>
      <c r="BB12" s="806">
        <f>SUBTOTAL(9,CostoDirecto[[#This Row],[52531]:[48655]])</f>
        <v>0</v>
      </c>
    </row>
    <row r="13" spans="1:54" ht="43.2" x14ac:dyDescent="0.3">
      <c r="A13">
        <v>4160</v>
      </c>
      <c r="B13" s="606" t="str">
        <f>+_xlfn.XLOOKUP(CostoDirecto[[#This Row],[cod Idu]],APU_IDU[Código],APU_IDU[Nombre],"",0)</f>
        <v>SUBBASE GRANULAR CLASE B (SBG_B) (SUMINISTRO, EXTENDIDO, NIVELACIÓN, HUMEDECIMIENTO Y COMPACTACIÓN CON VIBROCOMPACTADOR)</v>
      </c>
      <c r="C13" s="609" t="str">
        <f>+_xlfn.XLOOKUP(CostoDirecto[[#This Row],[cod Idu]],APU_IDU[Código],APU_IDU[UM],"",0)</f>
        <v>M3</v>
      </c>
      <c r="D13" s="745">
        <f>+_xlfn.XLOOKUP(CostoDirecto[[#This Row],[cod Idu]],APU_IDU[Código],APU_IDU[Valor],"",0)</f>
        <v>205820</v>
      </c>
      <c r="E13" s="728">
        <f>ROUND(CantidadesConsolidadas[[#This Row],[91013913]]*$D13,0)</f>
        <v>0</v>
      </c>
      <c r="F13" s="728">
        <f>ROUND(CantidadesConsolidadas[[#This Row],[472330]]*$D13,0)</f>
        <v>44827596</v>
      </c>
      <c r="G13" s="728">
        <f>ROUND(CantidadesConsolidadas[[#This Row],[167810]]*$D13,0)</f>
        <v>48231859</v>
      </c>
      <c r="H13" s="728">
        <f>ROUND(CantidadesConsolidadas[[#This Row],[166646]]*$D13,0)</f>
        <v>0</v>
      </c>
      <c r="I13" s="728">
        <f>ROUND(CantidadesConsolidadas[[#This Row],[167491]]*$D13,0)</f>
        <v>0</v>
      </c>
      <c r="J13" s="728">
        <f>ROUND(CantidadesConsolidadas[[#This Row],[167266]]*$D13,0)</f>
        <v>35009982</v>
      </c>
      <c r="K13" s="728">
        <f>ROUND(CantidadesConsolidadas[[#This Row],[170896]]*$D13,0)</f>
        <v>6948483</v>
      </c>
      <c r="L13" s="728">
        <f>ROUND(CantidadesConsolidadas[[#This Row],[170897]]*$D13,0)</f>
        <v>7745007</v>
      </c>
      <c r="M13" s="728">
        <f>ROUND(CantidadesConsolidadas[[#This Row],[170898]]*$D13,0)</f>
        <v>0</v>
      </c>
      <c r="N13" s="728">
        <f>ROUND(CantidadesConsolidadas[[#This Row],[91064150]]*$D13,0)</f>
        <v>9156932</v>
      </c>
      <c r="O13" s="728">
        <f>ROUND(CantidadesConsolidadas[[#This Row],[168919]]*$D13,0)</f>
        <v>29911821</v>
      </c>
      <c r="P13" s="728">
        <f>ROUND(CantidadesConsolidadas[[#This Row],[168426]]*$D13,0)</f>
        <v>26349076</v>
      </c>
      <c r="Q13" s="728">
        <f>ROUND(CantidadesConsolidadas[[#This Row],[91020796]]*$D13,0)</f>
        <v>7209875</v>
      </c>
      <c r="R13" s="728">
        <f>ROUND(CantidadesConsolidadas[[#This Row],[176184]]*$D13,0)</f>
        <v>14674966</v>
      </c>
      <c r="S13" s="728">
        <f>ROUND(CantidadesConsolidadas[[#This Row],[167636]]*$D13,0)</f>
        <v>32935316</v>
      </c>
      <c r="T13" s="728">
        <f>ROUND(CantidadesConsolidadas[[#This Row],[176730]]*$D13,0)</f>
        <v>8934646</v>
      </c>
      <c r="U13" s="728">
        <f>ROUND(CantidadesConsolidadas[[#This Row],[173038]]*$D13,0)</f>
        <v>30591027</v>
      </c>
      <c r="V13" s="728">
        <f>ROUND(CantidadesConsolidadas[[#This Row],[170222]]*$D13,0)</f>
        <v>52226825</v>
      </c>
      <c r="W13" s="728">
        <f>ROUND(CantidadesConsolidadas[[#This Row],[170229]]*$D13,0)</f>
        <v>0</v>
      </c>
      <c r="X13" s="728">
        <f>ROUND(CantidadesConsolidadas[[#This Row],[170227]]*$D13,0)</f>
        <v>11604132</v>
      </c>
      <c r="Y13" s="728">
        <f>ROUND(CantidadesConsolidadas[[#This Row],[170226]]*$D13,0)</f>
        <v>6357780</v>
      </c>
      <c r="Z13" s="728">
        <f>ROUND(CantidadesConsolidadas[[#This Row],[171567]]*$D13,0)</f>
        <v>0</v>
      </c>
      <c r="AA13" s="728">
        <f>ROUND(CantidadesConsolidadas[[#This Row],[166632]]*$D13,0)</f>
        <v>20213582</v>
      </c>
      <c r="AB13" s="728">
        <f>ROUND(CantidadesConsolidadas[[#This Row],[170228]]*$D13,0)</f>
        <v>12666163</v>
      </c>
      <c r="AC13" s="728">
        <f>ROUND(CantidadesConsolidadas[[#This Row],[172926]]*$D13,0)</f>
        <v>8918181</v>
      </c>
      <c r="AD13" s="728">
        <f>ROUND(CantidadesConsolidadas[[#This Row],[171152]]*$D13,0)</f>
        <v>0</v>
      </c>
      <c r="AE13" s="728">
        <f>ROUND(CantidadesConsolidadas[[#This Row],[173058]]*$D13,0)</f>
        <v>12143380</v>
      </c>
      <c r="AF13" s="728">
        <f>ROUND(CantidadesConsolidadas[[#This Row],[174478]]*$D13,0)</f>
        <v>0</v>
      </c>
      <c r="AG13" s="728">
        <f>ROUND(CantidadesConsolidadas[[#This Row],[91010089]]*$D13,0)</f>
        <v>0</v>
      </c>
      <c r="AH13" s="728">
        <f>ROUND(CantidadesConsolidadas[[#This Row],[176122]]*$D13,0)</f>
        <v>0</v>
      </c>
      <c r="AI13" s="728">
        <f>ROUND(CantidadesConsolidadas[[#This Row],[168536]]*$D13,0)</f>
        <v>0</v>
      </c>
      <c r="AJ13" s="728">
        <f>ROUND(CantidadesConsolidadas[[#This Row],[166934]]*$D13,0)</f>
        <v>57985669</v>
      </c>
      <c r="AK13" s="728">
        <f>ROUND(CantidadesConsolidadas[[#This Row],[174353]]*$D13,0)</f>
        <v>32453698</v>
      </c>
      <c r="AL13" s="747">
        <f>ROUND(CantidadesConsolidadas[[#This Row],[52531]]*$D13,0)</f>
        <v>0</v>
      </c>
      <c r="AM13" s="746">
        <f>ROUND(CantidadesConsolidadas[[#This Row],[52456]]*$D13,0)</f>
        <v>0</v>
      </c>
      <c r="AN13" s="746">
        <f>ROUND(CantidadesConsolidadas[[#This Row],[92058103]]*$D13,0)</f>
        <v>0</v>
      </c>
      <c r="AO13" s="746">
        <f>ROUND(CantidadesConsolidadas[[#This Row],[20011114]]*$D13,0)</f>
        <v>0</v>
      </c>
      <c r="AP13" s="746">
        <f>ROUND(CantidadesConsolidadas[[#This Row],[20013540]]*$D13,0)</f>
        <v>0</v>
      </c>
      <c r="AQ13" s="746">
        <f>ROUND(CantidadesConsolidadas[[#This Row],[55337]]*$D13,0)</f>
        <v>0</v>
      </c>
      <c r="AR13" s="746">
        <f>ROUND(CantidadesConsolidadas[[#This Row],[92087422]]*$D13,0)</f>
        <v>0</v>
      </c>
      <c r="AS13" s="746">
        <f>ROUND(CantidadesConsolidadas[[#This Row],[55259]]*$D13,0)</f>
        <v>0</v>
      </c>
      <c r="AT13" s="746">
        <f>ROUND(CantidadesConsolidadas[[#This Row],[466904]]*$D13,0)</f>
        <v>0</v>
      </c>
      <c r="AU13" s="746">
        <f>ROUND(CantidadesConsolidadas[[#This Row],[48591]]*$D13,0)</f>
        <v>0</v>
      </c>
      <c r="AV13" s="746">
        <f>ROUND(CantidadesConsolidadas[[#This Row],[48590]]*$D13,0)</f>
        <v>0</v>
      </c>
      <c r="AW13" s="746">
        <f>ROUND(CantidadesConsolidadas[[#This Row],[48561]]*$D13,0)</f>
        <v>0</v>
      </c>
      <c r="AX13" s="746">
        <f>ROUND(CantidadesConsolidadas[[#This Row],[48560]]*$D13,0)</f>
        <v>0</v>
      </c>
      <c r="AY13" s="746">
        <f>ROUND(CantidadesConsolidadas[[#This Row],[48657]]*$D13,0)</f>
        <v>0</v>
      </c>
      <c r="AZ13" s="746">
        <f>ROUND(CantidadesConsolidadas[[#This Row],[48655]]*$D13,0)</f>
        <v>0</v>
      </c>
      <c r="BA13" s="806">
        <f>SUBTOTAL(9,CostoDirecto[[#This Row],[91013913]:[174353]])</f>
        <v>517095996</v>
      </c>
      <c r="BB13" s="806">
        <f>SUBTOTAL(9,CostoDirecto[[#This Row],[52531]:[48655]])</f>
        <v>0</v>
      </c>
    </row>
    <row r="14" spans="1:54" ht="43.2" x14ac:dyDescent="0.3">
      <c r="A14">
        <v>4747</v>
      </c>
      <c r="B14" s="606" t="str">
        <f>+_xlfn.XLOOKUP(CostoDirecto[[#This Row],[cod Idu]],APU_IDU[Código],APU_IDU[Nombre],"",0)</f>
        <v>SUBBASE GRANULAR CLASE B (SBG_B) CON RECICLADO DE CONCRETO (SUMINISTRO, EXTENDIDO, NIVELACIÓN, HUMEDECIMIENTO Y COMPACTACIÓN CON VIBROCOMPACTADOR)</v>
      </c>
      <c r="C14" s="609" t="str">
        <f>+_xlfn.XLOOKUP(CostoDirecto[[#This Row],[cod Idu]],APU_IDU[Código],APU_IDU[UM],"",0)</f>
        <v>M3</v>
      </c>
      <c r="D14" s="745">
        <f>+_xlfn.XLOOKUP(CostoDirecto[[#This Row],[cod Idu]],APU_IDU[Código],APU_IDU[Valor],"",0)</f>
        <v>167179</v>
      </c>
      <c r="E14" s="728">
        <f>ROUND(CantidadesConsolidadas[[#This Row],[91013913]]*$D14,0)</f>
        <v>74682203</v>
      </c>
      <c r="F14" s="728">
        <f>ROUND(CantidadesConsolidadas[[#This Row],[472330]]*$D14,0)</f>
        <v>0</v>
      </c>
      <c r="G14" s="728">
        <f>ROUND(CantidadesConsolidadas[[#This Row],[167810]]*$D14,0)</f>
        <v>0</v>
      </c>
      <c r="H14" s="728">
        <f>ROUND(CantidadesConsolidadas[[#This Row],[166646]]*$D14,0)</f>
        <v>0</v>
      </c>
      <c r="I14" s="728">
        <f>ROUND(CantidadesConsolidadas[[#This Row],[167491]]*$D14,0)</f>
        <v>22172951</v>
      </c>
      <c r="J14" s="728">
        <f>ROUND(CantidadesConsolidadas[[#This Row],[167266]]*$D14,0)</f>
        <v>0</v>
      </c>
      <c r="K14" s="728">
        <f>ROUND(CantidadesConsolidadas[[#This Row],[170896]]*$D14,0)</f>
        <v>0</v>
      </c>
      <c r="L14" s="728">
        <f>ROUND(CantidadesConsolidadas[[#This Row],[170897]]*$D14,0)</f>
        <v>0</v>
      </c>
      <c r="M14" s="728">
        <f>ROUND(CantidadesConsolidadas[[#This Row],[170898]]*$D14,0)</f>
        <v>0</v>
      </c>
      <c r="N14" s="728">
        <f>ROUND(CantidadesConsolidadas[[#This Row],[91064150]]*$D14,0)</f>
        <v>0</v>
      </c>
      <c r="O14" s="728">
        <f>ROUND(CantidadesConsolidadas[[#This Row],[168919]]*$D14,0)</f>
        <v>0</v>
      </c>
      <c r="P14" s="728">
        <f>ROUND(CantidadesConsolidadas[[#This Row],[168426]]*$D14,0)</f>
        <v>0</v>
      </c>
      <c r="Q14" s="728">
        <f>ROUND(CantidadesConsolidadas[[#This Row],[91020796]]*$D14,0)</f>
        <v>0</v>
      </c>
      <c r="R14" s="728">
        <f>ROUND(CantidadesConsolidadas[[#This Row],[176184]]*$D14,0)</f>
        <v>0</v>
      </c>
      <c r="S14" s="728">
        <f>ROUND(CantidadesConsolidadas[[#This Row],[167636]]*$D14,0)</f>
        <v>0</v>
      </c>
      <c r="T14" s="728">
        <f>ROUND(CantidadesConsolidadas[[#This Row],[176730]]*$D14,0)</f>
        <v>0</v>
      </c>
      <c r="U14" s="728">
        <f>ROUND(CantidadesConsolidadas[[#This Row],[173038]]*$D14,0)</f>
        <v>0</v>
      </c>
      <c r="V14" s="728">
        <f>ROUND(CantidadesConsolidadas[[#This Row],[170222]]*$D14,0)</f>
        <v>0</v>
      </c>
      <c r="W14" s="728">
        <f>ROUND(CantidadesConsolidadas[[#This Row],[170229]]*$D14,0)</f>
        <v>0</v>
      </c>
      <c r="X14" s="728">
        <f>ROUND(CantidadesConsolidadas[[#This Row],[170227]]*$D14,0)</f>
        <v>0</v>
      </c>
      <c r="Y14" s="728">
        <f>ROUND(CantidadesConsolidadas[[#This Row],[170226]]*$D14,0)</f>
        <v>0</v>
      </c>
      <c r="Z14" s="728">
        <f>ROUND(CantidadesConsolidadas[[#This Row],[171567]]*$D14,0)</f>
        <v>0</v>
      </c>
      <c r="AA14" s="728">
        <f>ROUND(CantidadesConsolidadas[[#This Row],[166632]]*$D14,0)</f>
        <v>0</v>
      </c>
      <c r="AB14" s="728">
        <f>ROUND(CantidadesConsolidadas[[#This Row],[170228]]*$D14,0)</f>
        <v>0</v>
      </c>
      <c r="AC14" s="728">
        <f>ROUND(CantidadesConsolidadas[[#This Row],[172926]]*$D14,0)</f>
        <v>0</v>
      </c>
      <c r="AD14" s="728">
        <f>ROUND(CantidadesConsolidadas[[#This Row],[171152]]*$D14,0)</f>
        <v>37668772</v>
      </c>
      <c r="AE14" s="728">
        <f>ROUND(CantidadesConsolidadas[[#This Row],[173058]]*$D14,0)</f>
        <v>0</v>
      </c>
      <c r="AF14" s="728">
        <f>ROUND(CantidadesConsolidadas[[#This Row],[174478]]*$D14,0)</f>
        <v>46350378</v>
      </c>
      <c r="AG14" s="728">
        <f>ROUND(CantidadesConsolidadas[[#This Row],[91010089]]*$D14,0)</f>
        <v>14907351</v>
      </c>
      <c r="AH14" s="728">
        <f>ROUND(CantidadesConsolidadas[[#This Row],[176122]]*$D14,0)</f>
        <v>34804996</v>
      </c>
      <c r="AI14" s="728">
        <f>ROUND(CantidadesConsolidadas[[#This Row],[168536]]*$D14,0)</f>
        <v>30399829</v>
      </c>
      <c r="AJ14" s="728">
        <f>ROUND(CantidadesConsolidadas[[#This Row],[166934]]*$D14,0)</f>
        <v>0</v>
      </c>
      <c r="AK14" s="728">
        <f>ROUND(CantidadesConsolidadas[[#This Row],[174353]]*$D14,0)</f>
        <v>0</v>
      </c>
      <c r="AL14" s="747">
        <f>ROUND(CantidadesConsolidadas[[#This Row],[52531]]*$D14,0)</f>
        <v>0</v>
      </c>
      <c r="AM14" s="746">
        <f>ROUND(CantidadesConsolidadas[[#This Row],[52456]]*$D14,0)</f>
        <v>0</v>
      </c>
      <c r="AN14" s="746">
        <f>ROUND(CantidadesConsolidadas[[#This Row],[92058103]]*$D14,0)</f>
        <v>0</v>
      </c>
      <c r="AO14" s="746">
        <f>ROUND(CantidadesConsolidadas[[#This Row],[20011114]]*$D14,0)</f>
        <v>0</v>
      </c>
      <c r="AP14" s="746">
        <f>ROUND(CantidadesConsolidadas[[#This Row],[20013540]]*$D14,0)</f>
        <v>0</v>
      </c>
      <c r="AQ14" s="746">
        <f>ROUND(CantidadesConsolidadas[[#This Row],[55337]]*$D14,0)</f>
        <v>0</v>
      </c>
      <c r="AR14" s="746">
        <f>ROUND(CantidadesConsolidadas[[#This Row],[92087422]]*$D14,0)</f>
        <v>0</v>
      </c>
      <c r="AS14" s="746">
        <f>ROUND(CantidadesConsolidadas[[#This Row],[55259]]*$D14,0)</f>
        <v>0</v>
      </c>
      <c r="AT14" s="746">
        <f>ROUND(CantidadesConsolidadas[[#This Row],[466904]]*$D14,0)</f>
        <v>0</v>
      </c>
      <c r="AU14" s="746">
        <f>ROUND(CantidadesConsolidadas[[#This Row],[48591]]*$D14,0)</f>
        <v>0</v>
      </c>
      <c r="AV14" s="746">
        <f>ROUND(CantidadesConsolidadas[[#This Row],[48590]]*$D14,0)</f>
        <v>0</v>
      </c>
      <c r="AW14" s="746">
        <f>ROUND(CantidadesConsolidadas[[#This Row],[48561]]*$D14,0)</f>
        <v>0</v>
      </c>
      <c r="AX14" s="746">
        <f>ROUND(CantidadesConsolidadas[[#This Row],[48560]]*$D14,0)</f>
        <v>0</v>
      </c>
      <c r="AY14" s="746">
        <f>ROUND(CantidadesConsolidadas[[#This Row],[48657]]*$D14,0)</f>
        <v>0</v>
      </c>
      <c r="AZ14" s="746">
        <f>ROUND(CantidadesConsolidadas[[#This Row],[48655]]*$D14,0)</f>
        <v>0</v>
      </c>
      <c r="BA14" s="806">
        <f>SUBTOTAL(9,CostoDirecto[[#This Row],[91013913]:[174353]])</f>
        <v>260986480</v>
      </c>
      <c r="BB14" s="806">
        <f>SUBTOTAL(9,CostoDirecto[[#This Row],[52531]:[48655]])</f>
        <v>0</v>
      </c>
    </row>
    <row r="15" spans="1:54" ht="43.2" x14ac:dyDescent="0.3">
      <c r="A15">
        <v>4157</v>
      </c>
      <c r="B15" s="606" t="str">
        <f>+_xlfn.XLOOKUP(CostoDirecto[[#This Row],[cod Idu]],APU_IDU[Código],APU_IDU[Nombre],"",0)</f>
        <v>BASE GRANULAR CLASE B (BG_B) (SUMINISTRO, EXTENDIDO, NIVELACIÓN, HUMEDECIMIENTO Y COMPACTACIÓN CON VIBROCOMPACTADOR)</v>
      </c>
      <c r="C15" s="609" t="str">
        <f>+_xlfn.XLOOKUP(CostoDirecto[[#This Row],[cod Idu]],APU_IDU[Código],APU_IDU[UM],"",0)</f>
        <v>M3</v>
      </c>
      <c r="D15" s="745">
        <f>+_xlfn.XLOOKUP(CostoDirecto[[#This Row],[cod Idu]],APU_IDU[Código],APU_IDU[Valor],"",0)</f>
        <v>233666</v>
      </c>
      <c r="E15" s="728">
        <f>ROUND(CantidadesConsolidadas[[#This Row],[91013913]]*$D15,0)</f>
        <v>0</v>
      </c>
      <c r="F15" s="728">
        <f>ROUND(CantidadesConsolidadas[[#This Row],[472330]]*$D15,0)</f>
        <v>42410379</v>
      </c>
      <c r="G15" s="728">
        <f>ROUND(CantidadesConsolidadas[[#This Row],[167810]]*$D15,0)</f>
        <v>45630296</v>
      </c>
      <c r="H15" s="728">
        <f>ROUND(CantidadesConsolidadas[[#This Row],[166646]]*$D15,0)</f>
        <v>27736154</v>
      </c>
      <c r="I15" s="728">
        <f>ROUND(CantidadesConsolidadas[[#This Row],[167491]]*$D15,0)</f>
        <v>0</v>
      </c>
      <c r="J15" s="728">
        <f>ROUND(CantidadesConsolidadas[[#This Row],[167266]]*$D15,0)</f>
        <v>33122156</v>
      </c>
      <c r="K15" s="728">
        <f>ROUND(CantidadesConsolidadas[[#This Row],[170896]]*$D15,0)</f>
        <v>5257485</v>
      </c>
      <c r="L15" s="728">
        <f>ROUND(CantidadesConsolidadas[[#This Row],[170897]]*$D15,0)</f>
        <v>5862680</v>
      </c>
      <c r="M15" s="728">
        <f>ROUND(CantidadesConsolidadas[[#This Row],[170898]]*$D15,0)</f>
        <v>0</v>
      </c>
      <c r="N15" s="728">
        <f>ROUND(CantidadesConsolidadas[[#This Row],[91064150]]*$D15,0)</f>
        <v>6930534</v>
      </c>
      <c r="O15" s="728">
        <f>ROUND(CantidadesConsolidadas[[#This Row],[168919]]*$D15,0)</f>
        <v>28299289</v>
      </c>
      <c r="P15" s="728">
        <f>ROUND(CantidadesConsolidadas[[#This Row],[168426]]*$D15,0)</f>
        <v>24927489</v>
      </c>
      <c r="Q15" s="728">
        <f>ROUND(CantidadesConsolidadas[[#This Row],[91020796]]*$D15,0)</f>
        <v>5458438</v>
      </c>
      <c r="R15" s="728">
        <f>ROUND(CantidadesConsolidadas[[#This Row],[176184]]*$D15,0)</f>
        <v>11106145</v>
      </c>
      <c r="S15" s="728">
        <f>ROUND(CantidadesConsolidadas[[#This Row],[167636]]*$D15,0)</f>
        <v>0</v>
      </c>
      <c r="T15" s="728">
        <f>ROUND(CantidadesConsolidadas[[#This Row],[176730]]*$D15,0)</f>
        <v>0</v>
      </c>
      <c r="U15" s="728">
        <f>ROUND(CantidadesConsolidadas[[#This Row],[173038]]*$D15,0)</f>
        <v>0</v>
      </c>
      <c r="V15" s="728">
        <f>ROUND(CantidadesConsolidadas[[#This Row],[170222]]*$D15,0)</f>
        <v>0</v>
      </c>
      <c r="W15" s="728">
        <f>ROUND(CantidadesConsolidadas[[#This Row],[170229]]*$D15,0)</f>
        <v>0</v>
      </c>
      <c r="X15" s="728">
        <f>ROUND(CantidadesConsolidadas[[#This Row],[170227]]*$D15,0)</f>
        <v>8783505</v>
      </c>
      <c r="Y15" s="728">
        <f>ROUND(CantidadesConsolidadas[[#This Row],[170226]]*$D15,0)</f>
        <v>0</v>
      </c>
      <c r="Z15" s="728">
        <f>ROUND(CantidadesConsolidadas[[#This Row],[171567]]*$D15,0)</f>
        <v>0</v>
      </c>
      <c r="AA15" s="728">
        <f>ROUND(CantidadesConsolidadas[[#This Row],[166632]]*$D15,0)</f>
        <v>0</v>
      </c>
      <c r="AB15" s="728">
        <f>ROUND(CantidadesConsolidadas[[#This Row],[170228]]*$D15,0)</f>
        <v>0</v>
      </c>
      <c r="AC15" s="728">
        <f>ROUND(CantidadesConsolidadas[[#This Row],[172926]]*$D15,0)</f>
        <v>0</v>
      </c>
      <c r="AD15" s="728">
        <f>ROUND(CantidadesConsolidadas[[#This Row],[171152]]*$D15,0)</f>
        <v>0</v>
      </c>
      <c r="AE15" s="728">
        <f>ROUND(CantidadesConsolidadas[[#This Row],[173058]]*$D15,0)</f>
        <v>9190084</v>
      </c>
      <c r="AF15" s="728">
        <f>ROUND(CantidadesConsolidadas[[#This Row],[174478]]*$D15,0)</f>
        <v>0</v>
      </c>
      <c r="AG15" s="728">
        <f>ROUND(CantidadesConsolidadas[[#This Row],[91010089]]*$D15,0)</f>
        <v>0</v>
      </c>
      <c r="AH15" s="728">
        <f>ROUND(CantidadesConsolidadas[[#This Row],[176122]]*$D15,0)</f>
        <v>0</v>
      </c>
      <c r="AI15" s="728">
        <f>ROUND(CantidadesConsolidadas[[#This Row],[168536]]*$D15,0)</f>
        <v>0</v>
      </c>
      <c r="AJ15" s="728">
        <f>ROUND(CantidadesConsolidadas[[#This Row],[166934]]*$D15,0)</f>
        <v>54860103</v>
      </c>
      <c r="AK15" s="728">
        <f>ROUND(CantidadesConsolidadas[[#This Row],[174353]]*$D15,0)</f>
        <v>30703712</v>
      </c>
      <c r="AL15" s="747">
        <f>ROUND(CantidadesConsolidadas[[#This Row],[52531]]*$D15,0)</f>
        <v>0</v>
      </c>
      <c r="AM15" s="746">
        <f>ROUND(CantidadesConsolidadas[[#This Row],[52456]]*$D15,0)</f>
        <v>0</v>
      </c>
      <c r="AN15" s="746">
        <f>ROUND(CantidadesConsolidadas[[#This Row],[92058103]]*$D15,0)</f>
        <v>0</v>
      </c>
      <c r="AO15" s="746">
        <f>ROUND(CantidadesConsolidadas[[#This Row],[20011114]]*$D15,0)</f>
        <v>0</v>
      </c>
      <c r="AP15" s="746">
        <f>ROUND(CantidadesConsolidadas[[#This Row],[20013540]]*$D15,0)</f>
        <v>0</v>
      </c>
      <c r="AQ15" s="746">
        <f>ROUND(CantidadesConsolidadas[[#This Row],[55337]]*$D15,0)</f>
        <v>0</v>
      </c>
      <c r="AR15" s="746">
        <f>ROUND(CantidadesConsolidadas[[#This Row],[92087422]]*$D15,0)</f>
        <v>0</v>
      </c>
      <c r="AS15" s="746">
        <f>ROUND(CantidadesConsolidadas[[#This Row],[55259]]*$D15,0)</f>
        <v>0</v>
      </c>
      <c r="AT15" s="746">
        <f>ROUND(CantidadesConsolidadas[[#This Row],[466904]]*$D15,0)</f>
        <v>0</v>
      </c>
      <c r="AU15" s="746">
        <f>ROUND(CantidadesConsolidadas[[#This Row],[48591]]*$D15,0)</f>
        <v>0</v>
      </c>
      <c r="AV15" s="746">
        <f>ROUND(CantidadesConsolidadas[[#This Row],[48590]]*$D15,0)</f>
        <v>0</v>
      </c>
      <c r="AW15" s="746">
        <f>ROUND(CantidadesConsolidadas[[#This Row],[48561]]*$D15,0)</f>
        <v>0</v>
      </c>
      <c r="AX15" s="746">
        <f>ROUND(CantidadesConsolidadas[[#This Row],[48560]]*$D15,0)</f>
        <v>0</v>
      </c>
      <c r="AY15" s="746">
        <f>ROUND(CantidadesConsolidadas[[#This Row],[48657]]*$D15,0)</f>
        <v>0</v>
      </c>
      <c r="AZ15" s="746">
        <f>ROUND(CantidadesConsolidadas[[#This Row],[48655]]*$D15,0)</f>
        <v>0</v>
      </c>
      <c r="BA15" s="806">
        <f>SUBTOTAL(9,CostoDirecto[[#This Row],[91013913]:[174353]])</f>
        <v>340278449</v>
      </c>
      <c r="BB15" s="806">
        <f>SUBTOTAL(9,CostoDirecto[[#This Row],[52531]:[48655]])</f>
        <v>0</v>
      </c>
    </row>
    <row r="16" spans="1:54" ht="43.2" x14ac:dyDescent="0.3">
      <c r="A16">
        <v>4743</v>
      </c>
      <c r="B16" s="606" t="str">
        <f>+_xlfn.XLOOKUP(CostoDirecto[[#This Row],[cod Idu]],APU_IDU[Código],APU_IDU[Nombre],"",0)</f>
        <v>BASE GRANULAR CLASE B (BG_B) CON RECICLADO DE CONCRETO (SUMINISTRO, EXTENDIDO, NIVELACIÓN, HUMEDECIMIENTO Y COMPACTACIÓN CON VIBROCOMPACTADOR)</v>
      </c>
      <c r="C16" s="609" t="str">
        <f>+_xlfn.XLOOKUP(CostoDirecto[[#This Row],[cod Idu]],APU_IDU[Código],APU_IDU[UM],"",0)</f>
        <v>M3</v>
      </c>
      <c r="D16" s="745">
        <f>+_xlfn.XLOOKUP(CostoDirecto[[#This Row],[cod Idu]],APU_IDU[Código],APU_IDU[Valor],"",0)</f>
        <v>179874</v>
      </c>
      <c r="E16" s="728">
        <f>ROUND(CantidadesConsolidadas[[#This Row],[91013913]]*$D16,0)</f>
        <v>80353313</v>
      </c>
      <c r="F16" s="728">
        <f>ROUND(CantidadesConsolidadas[[#This Row],[472330]]*$D16,0)</f>
        <v>0</v>
      </c>
      <c r="G16" s="728">
        <f>ROUND(CantidadesConsolidadas[[#This Row],[167810]]*$D16,0)</f>
        <v>0</v>
      </c>
      <c r="H16" s="728">
        <f>ROUND(CantidadesConsolidadas[[#This Row],[166646]]*$D16,0)</f>
        <v>0</v>
      </c>
      <c r="I16" s="728">
        <f>ROUND(CantidadesConsolidadas[[#This Row],[167491]]*$D16,0)</f>
        <v>19881473</v>
      </c>
      <c r="J16" s="728">
        <f>ROUND(CantidadesConsolidadas[[#This Row],[167266]]*$D16,0)</f>
        <v>0</v>
      </c>
      <c r="K16" s="728">
        <f>ROUND(CantidadesConsolidadas[[#This Row],[170896]]*$D16,0)</f>
        <v>0</v>
      </c>
      <c r="L16" s="728">
        <f>ROUND(CantidadesConsolidadas[[#This Row],[170897]]*$D16,0)</f>
        <v>0</v>
      </c>
      <c r="M16" s="728">
        <f>ROUND(CantidadesConsolidadas[[#This Row],[170898]]*$D16,0)</f>
        <v>0</v>
      </c>
      <c r="N16" s="728">
        <f>ROUND(CantidadesConsolidadas[[#This Row],[91064150]]*$D16,0)</f>
        <v>0</v>
      </c>
      <c r="O16" s="728">
        <f>ROUND(CantidadesConsolidadas[[#This Row],[168919]]*$D16,0)</f>
        <v>0</v>
      </c>
      <c r="P16" s="728">
        <f>ROUND(CantidadesConsolidadas[[#This Row],[168426]]*$D16,0)</f>
        <v>0</v>
      </c>
      <c r="Q16" s="728">
        <f>ROUND(CantidadesConsolidadas[[#This Row],[91020796]]*$D16,0)</f>
        <v>6300986</v>
      </c>
      <c r="R16" s="728">
        <f>ROUND(CantidadesConsolidadas[[#This Row],[176184]]*$D16,0)</f>
        <v>12825016</v>
      </c>
      <c r="S16" s="728">
        <f>ROUND(CantidadesConsolidadas[[#This Row],[167636]]*$D16,0)</f>
        <v>23986198</v>
      </c>
      <c r="T16" s="728">
        <f>ROUND(CantidadesConsolidadas[[#This Row],[176730]]*$D16,0)</f>
        <v>5205554</v>
      </c>
      <c r="U16" s="728">
        <f>ROUND(CantidadesConsolidadas[[#This Row],[173038]]*$D16,0)</f>
        <v>22279194</v>
      </c>
      <c r="V16" s="728">
        <f>ROUND(CantidadesConsolidadas[[#This Row],[170222]]*$D16,0)</f>
        <v>38036156</v>
      </c>
      <c r="W16" s="728">
        <f>ROUND(CantidadesConsolidadas[[#This Row],[170229]]*$D16,0)</f>
        <v>0</v>
      </c>
      <c r="X16" s="728">
        <f>ROUND(CantidadesConsolidadas[[#This Row],[170227]]*$D16,0)</f>
        <v>0</v>
      </c>
      <c r="Y16" s="728">
        <f>ROUND(CantidadesConsolidadas[[#This Row],[170226]]*$D16,0)</f>
        <v>0</v>
      </c>
      <c r="Z16" s="728">
        <f>ROUND(CantidadesConsolidadas[[#This Row],[171567]]*$D16,0)</f>
        <v>0</v>
      </c>
      <c r="AA16" s="728">
        <f>ROUND(CantidadesConsolidadas[[#This Row],[166632]]*$D16,0)</f>
        <v>11776351</v>
      </c>
      <c r="AB16" s="728">
        <f>ROUND(CantidadesConsolidadas[[#This Row],[170228]]*$D16,0)</f>
        <v>11069446</v>
      </c>
      <c r="AC16" s="728">
        <f>ROUND(CantidadesConsolidadas[[#This Row],[172926]]*$D16,0)</f>
        <v>5196560</v>
      </c>
      <c r="AD16" s="728">
        <f>ROUND(CantidadesConsolidadas[[#This Row],[171152]]*$D16,0)</f>
        <v>0</v>
      </c>
      <c r="AE16" s="728">
        <f>ROUND(CantidadesConsolidadas[[#This Row],[173058]]*$D16,0)</f>
        <v>0</v>
      </c>
      <c r="AF16" s="728">
        <f>ROUND(CantidadesConsolidadas[[#This Row],[174478]]*$D16,0)</f>
        <v>0</v>
      </c>
      <c r="AG16" s="728">
        <f>ROUND(CantidadesConsolidadas[[#This Row],[91010089]]*$D16,0)</f>
        <v>0</v>
      </c>
      <c r="AH16" s="728">
        <f>ROUND(CantidadesConsolidadas[[#This Row],[176122]]*$D16,0)</f>
        <v>0</v>
      </c>
      <c r="AI16" s="728">
        <f>ROUND(CantidadesConsolidadas[[#This Row],[168536]]*$D16,0)</f>
        <v>0</v>
      </c>
      <c r="AJ16" s="728">
        <f>ROUND(CantidadesConsolidadas[[#This Row],[166934]]*$D16,0)</f>
        <v>0</v>
      </c>
      <c r="AK16" s="728">
        <f>ROUND(CantidadesConsolidadas[[#This Row],[174353]]*$D16,0)</f>
        <v>0</v>
      </c>
      <c r="AL16" s="747">
        <f>ROUND(CantidadesConsolidadas[[#This Row],[52531]]*$D16,0)</f>
        <v>0</v>
      </c>
      <c r="AM16" s="746">
        <f>ROUND(CantidadesConsolidadas[[#This Row],[52456]]*$D16,0)</f>
        <v>0</v>
      </c>
      <c r="AN16" s="746">
        <f>ROUND(CantidadesConsolidadas[[#This Row],[92058103]]*$D16,0)</f>
        <v>0</v>
      </c>
      <c r="AO16" s="746">
        <f>ROUND(CantidadesConsolidadas[[#This Row],[20011114]]*$D16,0)</f>
        <v>0</v>
      </c>
      <c r="AP16" s="746">
        <f>ROUND(CantidadesConsolidadas[[#This Row],[20013540]]*$D16,0)</f>
        <v>0</v>
      </c>
      <c r="AQ16" s="746">
        <f>ROUND(CantidadesConsolidadas[[#This Row],[55337]]*$D16,0)</f>
        <v>0</v>
      </c>
      <c r="AR16" s="746">
        <f>ROUND(CantidadesConsolidadas[[#This Row],[92087422]]*$D16,0)</f>
        <v>0</v>
      </c>
      <c r="AS16" s="746">
        <f>ROUND(CantidadesConsolidadas[[#This Row],[55259]]*$D16,0)</f>
        <v>0</v>
      </c>
      <c r="AT16" s="746">
        <f>ROUND(CantidadesConsolidadas[[#This Row],[466904]]*$D16,0)</f>
        <v>0</v>
      </c>
      <c r="AU16" s="746">
        <f>ROUND(CantidadesConsolidadas[[#This Row],[48591]]*$D16,0)</f>
        <v>0</v>
      </c>
      <c r="AV16" s="746">
        <f>ROUND(CantidadesConsolidadas[[#This Row],[48590]]*$D16,0)</f>
        <v>0</v>
      </c>
      <c r="AW16" s="746">
        <f>ROUND(CantidadesConsolidadas[[#This Row],[48561]]*$D16,0)</f>
        <v>0</v>
      </c>
      <c r="AX16" s="746">
        <f>ROUND(CantidadesConsolidadas[[#This Row],[48560]]*$D16,0)</f>
        <v>0</v>
      </c>
      <c r="AY16" s="746">
        <f>ROUND(CantidadesConsolidadas[[#This Row],[48657]]*$D16,0)</f>
        <v>0</v>
      </c>
      <c r="AZ16" s="746">
        <f>ROUND(CantidadesConsolidadas[[#This Row],[48655]]*$D16,0)</f>
        <v>0</v>
      </c>
      <c r="BA16" s="806">
        <f>SUBTOTAL(9,CostoDirecto[[#This Row],[91013913]:[174353]])</f>
        <v>236910247</v>
      </c>
      <c r="BB16" s="806">
        <f>SUBTOTAL(9,CostoDirecto[[#This Row],[52531]:[48655]])</f>
        <v>0</v>
      </c>
    </row>
    <row r="17" spans="1:54" ht="43.2" x14ac:dyDescent="0.3">
      <c r="A17">
        <v>3012</v>
      </c>
      <c r="B17" s="606" t="str">
        <f>+_xlfn.XLOOKUP(CostoDirecto[[#This Row],[cod Idu]],APU_IDU[Código],APU_IDU[Nombre],"",0)</f>
        <v>DEMOLICIÓN PISOS DE CONCRETO (ESPESOR VARIABLE HASTA 0.10 M. INCLUYE CARGUE). NO INCLUYE TRANSPORTE Y DISPOSICIÓN FINAL DE SOBRANTES.</v>
      </c>
      <c r="C17" s="609" t="str">
        <f>+_xlfn.XLOOKUP(CostoDirecto[[#This Row],[cod Idu]],APU_IDU[Código],APU_IDU[UM],"",0)</f>
        <v>M2</v>
      </c>
      <c r="D17" s="745">
        <f>+_xlfn.XLOOKUP(CostoDirecto[[#This Row],[cod Idu]],APU_IDU[Código],APU_IDU[Valor],"",0)</f>
        <v>9583</v>
      </c>
      <c r="E17" s="728">
        <f>ROUND(CantidadesConsolidadas[[#This Row],[91013913]]*$D17,0)</f>
        <v>0</v>
      </c>
      <c r="F17" s="728">
        <f>ROUND(CantidadesConsolidadas[[#This Row],[472330]]*$D17,0)</f>
        <v>0</v>
      </c>
      <c r="G17" s="728">
        <f>ROUND(CantidadesConsolidadas[[#This Row],[167810]]*$D17,0)</f>
        <v>0</v>
      </c>
      <c r="H17" s="728">
        <f>ROUND(CantidadesConsolidadas[[#This Row],[166646]]*$D17,0)</f>
        <v>0</v>
      </c>
      <c r="I17" s="728">
        <f>ROUND(CantidadesConsolidadas[[#This Row],[167491]]*$D17,0)</f>
        <v>0</v>
      </c>
      <c r="J17" s="728">
        <f>ROUND(CantidadesConsolidadas[[#This Row],[167266]]*$D17,0)</f>
        <v>0</v>
      </c>
      <c r="K17" s="728">
        <f>ROUND(CantidadesConsolidadas[[#This Row],[170896]]*$D17,0)</f>
        <v>28749</v>
      </c>
      <c r="L17" s="728">
        <f>ROUND(CantidadesConsolidadas[[#This Row],[170897]]*$D17,0)</f>
        <v>0</v>
      </c>
      <c r="M17" s="728">
        <f>ROUND(CantidadesConsolidadas[[#This Row],[170898]]*$D17,0)</f>
        <v>0</v>
      </c>
      <c r="N17" s="728">
        <f>ROUND(CantidadesConsolidadas[[#This Row],[91064150]]*$D17,0)</f>
        <v>0</v>
      </c>
      <c r="O17" s="728">
        <f>ROUND(CantidadesConsolidadas[[#This Row],[168919]]*$D17,0)</f>
        <v>0</v>
      </c>
      <c r="P17" s="728">
        <f>ROUND(CantidadesConsolidadas[[#This Row],[168426]]*$D17,0)</f>
        <v>0</v>
      </c>
      <c r="Q17" s="728">
        <f>ROUND(CantidadesConsolidadas[[#This Row],[91020796]]*$D17,0)</f>
        <v>0</v>
      </c>
      <c r="R17" s="728">
        <f>ROUND(CantidadesConsolidadas[[#This Row],[176184]]*$D17,0)</f>
        <v>47915</v>
      </c>
      <c r="S17" s="728">
        <f>ROUND(CantidadesConsolidadas[[#This Row],[167636]]*$D17,0)</f>
        <v>0</v>
      </c>
      <c r="T17" s="728">
        <f>ROUND(CantidadesConsolidadas[[#This Row],[176730]]*$D17,0)</f>
        <v>0</v>
      </c>
      <c r="U17" s="728">
        <f>ROUND(CantidadesConsolidadas[[#This Row],[173038]]*$D17,0)</f>
        <v>0</v>
      </c>
      <c r="V17" s="728">
        <f>ROUND(CantidadesConsolidadas[[#This Row],[170222]]*$D17,0)</f>
        <v>0</v>
      </c>
      <c r="W17" s="728">
        <f>ROUND(CantidadesConsolidadas[[#This Row],[170229]]*$D17,0)</f>
        <v>0</v>
      </c>
      <c r="X17" s="728">
        <f>ROUND(CantidadesConsolidadas[[#This Row],[170227]]*$D17,0)</f>
        <v>0</v>
      </c>
      <c r="Y17" s="728">
        <f>ROUND(CantidadesConsolidadas[[#This Row],[170226]]*$D17,0)</f>
        <v>0</v>
      </c>
      <c r="Z17" s="728">
        <f>ROUND(CantidadesConsolidadas[[#This Row],[171567]]*$D17,0)</f>
        <v>0</v>
      </c>
      <c r="AA17" s="728">
        <f>ROUND(CantidadesConsolidadas[[#This Row],[166632]]*$D17,0)</f>
        <v>0</v>
      </c>
      <c r="AB17" s="728">
        <f>ROUND(CantidadesConsolidadas[[#This Row],[170228]]*$D17,0)</f>
        <v>0</v>
      </c>
      <c r="AC17" s="728">
        <f>ROUND(CantidadesConsolidadas[[#This Row],[172926]]*$D17,0)</f>
        <v>0</v>
      </c>
      <c r="AD17" s="728">
        <f>ROUND(CantidadesConsolidadas[[#This Row],[171152]]*$D17,0)</f>
        <v>0</v>
      </c>
      <c r="AE17" s="728">
        <f>ROUND(CantidadesConsolidadas[[#This Row],[173058]]*$D17,0)</f>
        <v>0</v>
      </c>
      <c r="AF17" s="728">
        <f>ROUND(CantidadesConsolidadas[[#This Row],[174478]]*$D17,0)</f>
        <v>0</v>
      </c>
      <c r="AG17" s="728">
        <f>ROUND(CantidadesConsolidadas[[#This Row],[91010089]]*$D17,0)</f>
        <v>0</v>
      </c>
      <c r="AH17" s="728">
        <f>ROUND(CantidadesConsolidadas[[#This Row],[176122]]*$D17,0)</f>
        <v>0</v>
      </c>
      <c r="AI17" s="728">
        <f>ROUND(CantidadesConsolidadas[[#This Row],[168536]]*$D17,0)</f>
        <v>0</v>
      </c>
      <c r="AJ17" s="728">
        <f>ROUND(CantidadesConsolidadas[[#This Row],[166934]]*$D17,0)</f>
        <v>0</v>
      </c>
      <c r="AK17" s="728">
        <f>ROUND(CantidadesConsolidadas[[#This Row],[174353]]*$D17,0)</f>
        <v>0</v>
      </c>
      <c r="AL17" s="747">
        <f>ROUND(CantidadesConsolidadas[[#This Row],[52531]]*$D17,0)</f>
        <v>0</v>
      </c>
      <c r="AM17" s="746">
        <f>ROUND(CantidadesConsolidadas[[#This Row],[52456]]*$D17,0)</f>
        <v>0</v>
      </c>
      <c r="AN17" s="746">
        <f>ROUND(CantidadesConsolidadas[[#This Row],[92058103]]*$D17,0)</f>
        <v>296786</v>
      </c>
      <c r="AO17" s="746">
        <f>ROUND(CantidadesConsolidadas[[#This Row],[20011114]]*$D17,0)</f>
        <v>1488719</v>
      </c>
      <c r="AP17" s="746">
        <f>ROUND(CantidadesConsolidadas[[#This Row],[20013540]]*$D17,0)</f>
        <v>650015</v>
      </c>
      <c r="AQ17" s="746">
        <f>ROUND(CantidadesConsolidadas[[#This Row],[55337]]*$D17,0)</f>
        <v>1670029</v>
      </c>
      <c r="AR17" s="746">
        <f>ROUND(CantidadesConsolidadas[[#This Row],[92087422]]*$D17,0)</f>
        <v>2561057</v>
      </c>
      <c r="AS17" s="746">
        <f>ROUND(CantidadesConsolidadas[[#This Row],[55259]]*$D17,0)</f>
        <v>3450742</v>
      </c>
      <c r="AT17" s="746">
        <f>ROUND(CantidadesConsolidadas[[#This Row],[466904]]*$D17,0)</f>
        <v>182269</v>
      </c>
      <c r="AU17" s="746">
        <f>ROUND(CantidadesConsolidadas[[#This Row],[48591]]*$D17,0)</f>
        <v>4001382</v>
      </c>
      <c r="AV17" s="746">
        <f>ROUND(CantidadesConsolidadas[[#This Row],[48590]]*$D17,0)</f>
        <v>4124332</v>
      </c>
      <c r="AW17" s="746">
        <f>ROUND(CantidadesConsolidadas[[#This Row],[48561]]*$D17,0)</f>
        <v>4230032</v>
      </c>
      <c r="AX17" s="746">
        <f>ROUND(CantidadesConsolidadas[[#This Row],[48560]]*$D17,0)</f>
        <v>4264818</v>
      </c>
      <c r="AY17" s="746">
        <f>ROUND(CantidadesConsolidadas[[#This Row],[48657]]*$D17,0)</f>
        <v>2074528</v>
      </c>
      <c r="AZ17" s="746">
        <f>ROUND(CantidadesConsolidadas[[#This Row],[48655]]*$D17,0)</f>
        <v>648673</v>
      </c>
      <c r="BA17" s="806">
        <f>SUBTOTAL(9,CostoDirecto[[#This Row],[91013913]:[174353]])</f>
        <v>76664</v>
      </c>
      <c r="BB17" s="806">
        <f>SUBTOTAL(9,CostoDirecto[[#This Row],[52531]:[48655]])</f>
        <v>29643382</v>
      </c>
    </row>
    <row r="18" spans="1:54" ht="28.8" x14ac:dyDescent="0.3">
      <c r="A18">
        <v>3864</v>
      </c>
      <c r="B18" s="606" t="str">
        <f>+_xlfn.XLOOKUP(CostoDirecto[[#This Row],[cod Idu]],APU_IDU[Código],APU_IDU[Nombre],"",0)</f>
        <v>IMPRIMACION CON EMULSION ASFALTICA CRL-0 (SUMINISTRO, BARRIDO SUPERFICIE Y RIEGO MECANICO)</v>
      </c>
      <c r="C18" s="609" t="str">
        <f>+_xlfn.XLOOKUP(CostoDirecto[[#This Row],[cod Idu]],APU_IDU[Código],APU_IDU[UM],"",0)</f>
        <v>M2</v>
      </c>
      <c r="D18" s="745">
        <f>+_xlfn.XLOOKUP(CostoDirecto[[#This Row],[cod Idu]],APU_IDU[Código],APU_IDU[Valor],"",0)</f>
        <v>3384</v>
      </c>
      <c r="E18" s="728">
        <f>ROUND(CantidadesConsolidadas[[#This Row],[91013913]]*$D18,0)</f>
        <v>0</v>
      </c>
      <c r="F18" s="728">
        <f>ROUND(CantidadesConsolidadas[[#This Row],[472330]]*$D18,0)</f>
        <v>2456784</v>
      </c>
      <c r="G18" s="728">
        <f>ROUND(CantidadesConsolidadas[[#This Row],[167810]]*$D18,0)</f>
        <v>2643310</v>
      </c>
      <c r="H18" s="728">
        <f>ROUND(CantidadesConsolidadas[[#This Row],[166646]]*$D18,0)</f>
        <v>1606757</v>
      </c>
      <c r="I18" s="728">
        <f>ROUND(CantidadesConsolidadas[[#This Row],[167491]]*$D18,0)</f>
        <v>1496100</v>
      </c>
      <c r="J18" s="728">
        <f>ROUND(CantidadesConsolidadas[[#This Row],[167266]]*$D18,0)</f>
        <v>1918762</v>
      </c>
      <c r="K18" s="728">
        <f>ROUND(CantidadesConsolidadas[[#This Row],[170896]]*$D18,0)</f>
        <v>380768</v>
      </c>
      <c r="L18" s="728">
        <f>ROUND(CantidadesConsolidadas[[#This Row],[170897]]*$D18,0)</f>
        <v>424489</v>
      </c>
      <c r="M18" s="728">
        <f>ROUND(CantidadesConsolidadas[[#This Row],[170898]]*$D18,0)</f>
        <v>168828</v>
      </c>
      <c r="N18" s="728">
        <f>ROUND(CantidadesConsolidadas[[#This Row],[91064150]]*$D18,0)</f>
        <v>501881</v>
      </c>
      <c r="O18" s="728">
        <f>ROUND(CantidadesConsolidadas[[#This Row],[168919]]*$D18,0)</f>
        <v>1639311</v>
      </c>
      <c r="P18" s="728">
        <f>ROUND(CantidadesConsolidadas[[#This Row],[168426]]*$D18,0)</f>
        <v>1444020</v>
      </c>
      <c r="Q18" s="728">
        <f>ROUND(CantidadesConsolidadas[[#This Row],[91020796]]*$D18,0)</f>
        <v>395184</v>
      </c>
      <c r="R18" s="728">
        <f>ROUND(CantidadesConsolidadas[[#This Row],[176184]]*$D18,0)</f>
        <v>804208</v>
      </c>
      <c r="S18" s="728">
        <f>ROUND(CantidadesConsolidadas[[#This Row],[167636]]*$D18,0)</f>
        <v>1805059</v>
      </c>
      <c r="T18" s="728">
        <f>ROUND(CantidadesConsolidadas[[#This Row],[176730]]*$D18,0)</f>
        <v>489699</v>
      </c>
      <c r="U18" s="728">
        <f>ROUND(CantidadesConsolidadas[[#This Row],[173038]]*$D18,0)</f>
        <v>1676501</v>
      </c>
      <c r="V18" s="728">
        <f>ROUND(CantidadesConsolidadas[[#This Row],[170222]]*$D18,0)</f>
        <v>2862289</v>
      </c>
      <c r="W18" s="728">
        <f>ROUND(CantidadesConsolidadas[[#This Row],[170229]]*$D18,0)</f>
        <v>0</v>
      </c>
      <c r="X18" s="728">
        <f>ROUND(CantidadesConsolidadas[[#This Row],[170227]]*$D18,0)</f>
        <v>635955</v>
      </c>
      <c r="Y18" s="728">
        <f>ROUND(CantidadesConsolidadas[[#This Row],[170226]]*$D18,0)</f>
        <v>348383</v>
      </c>
      <c r="Z18" s="728">
        <f>ROUND(CantidadesConsolidadas[[#This Row],[171567]]*$D18,0)</f>
        <v>0</v>
      </c>
      <c r="AA18" s="728">
        <f>ROUND(CantidadesConsolidadas[[#This Row],[166632]]*$D18,0)</f>
        <v>1107752</v>
      </c>
      <c r="AB18" s="728">
        <f>ROUND(CantidadesConsolidadas[[#This Row],[170228]]*$D18,0)</f>
        <v>694194</v>
      </c>
      <c r="AC18" s="728">
        <f>ROUND(CantidadesConsolidadas[[#This Row],[172926]]*$D18,0)</f>
        <v>488751</v>
      </c>
      <c r="AD18" s="728">
        <f>ROUND(CantidadesConsolidadas[[#This Row],[171152]]*$D18,0)</f>
        <v>2541621</v>
      </c>
      <c r="AE18" s="728">
        <f>ROUND(CantidadesConsolidadas[[#This Row],[173058]]*$D18,0)</f>
        <v>665531</v>
      </c>
      <c r="AF18" s="728">
        <f>ROUND(CantidadesConsolidadas[[#This Row],[174478]]*$D18,0)</f>
        <v>3127425</v>
      </c>
      <c r="AG18" s="728">
        <f>ROUND(CantidadesConsolidadas[[#This Row],[91010089]]*$D18,0)</f>
        <v>1005826</v>
      </c>
      <c r="AH18" s="728">
        <f>ROUND(CantidadesConsolidadas[[#This Row],[176122]]*$D18,0)</f>
        <v>2348361</v>
      </c>
      <c r="AI18" s="728">
        <f>ROUND(CantidadesConsolidadas[[#This Row],[168536]]*$D18,0)</f>
        <v>2051178</v>
      </c>
      <c r="AJ18" s="728">
        <f>ROUND(CantidadesConsolidadas[[#This Row],[166934]]*$D18,0)</f>
        <v>3177948</v>
      </c>
      <c r="AK18" s="728">
        <f>ROUND(CantidadesConsolidadas[[#This Row],[174353]]*$D18,0)</f>
        <v>1778630</v>
      </c>
      <c r="AL18" s="747">
        <f>ROUND(CantidadesConsolidadas[[#This Row],[52531]]*$D18,0)</f>
        <v>0</v>
      </c>
      <c r="AM18" s="746">
        <f>ROUND(CantidadesConsolidadas[[#This Row],[52456]]*$D18,0)</f>
        <v>0</v>
      </c>
      <c r="AN18" s="746">
        <f>ROUND(CantidadesConsolidadas[[#This Row],[92058103]]*$D18,0)</f>
        <v>0</v>
      </c>
      <c r="AO18" s="746">
        <f>ROUND(CantidadesConsolidadas[[#This Row],[20011114]]*$D18,0)</f>
        <v>0</v>
      </c>
      <c r="AP18" s="746">
        <f>ROUND(CantidadesConsolidadas[[#This Row],[20013540]]*$D18,0)</f>
        <v>0</v>
      </c>
      <c r="AQ18" s="746">
        <f>ROUND(CantidadesConsolidadas[[#This Row],[55337]]*$D18,0)</f>
        <v>0</v>
      </c>
      <c r="AR18" s="746">
        <f>ROUND(CantidadesConsolidadas[[#This Row],[92087422]]*$D18,0)</f>
        <v>0</v>
      </c>
      <c r="AS18" s="746">
        <f>ROUND(CantidadesConsolidadas[[#This Row],[55259]]*$D18,0)</f>
        <v>0</v>
      </c>
      <c r="AT18" s="746">
        <f>ROUND(CantidadesConsolidadas[[#This Row],[466904]]*$D18,0)</f>
        <v>0</v>
      </c>
      <c r="AU18" s="746">
        <f>ROUND(CantidadesConsolidadas[[#This Row],[48591]]*$D18,0)</f>
        <v>0</v>
      </c>
      <c r="AV18" s="746">
        <f>ROUND(CantidadesConsolidadas[[#This Row],[48590]]*$D18,0)</f>
        <v>0</v>
      </c>
      <c r="AW18" s="746">
        <f>ROUND(CantidadesConsolidadas[[#This Row],[48561]]*$D18,0)</f>
        <v>0</v>
      </c>
      <c r="AX18" s="746">
        <f>ROUND(CantidadesConsolidadas[[#This Row],[48560]]*$D18,0)</f>
        <v>0</v>
      </c>
      <c r="AY18" s="746">
        <f>ROUND(CantidadesConsolidadas[[#This Row],[48657]]*$D18,0)</f>
        <v>0</v>
      </c>
      <c r="AZ18" s="746">
        <f>ROUND(CantidadesConsolidadas[[#This Row],[48655]]*$D18,0)</f>
        <v>0</v>
      </c>
      <c r="BA18" s="806">
        <f>SUBTOTAL(9,CostoDirecto[[#This Row],[91013913]:[174353]])</f>
        <v>42685505</v>
      </c>
      <c r="BB18" s="806">
        <f>SUBTOTAL(9,CostoDirecto[[#This Row],[52531]:[48655]])</f>
        <v>0</v>
      </c>
    </row>
    <row r="19" spans="1:54" ht="28.8" x14ac:dyDescent="0.3">
      <c r="A19">
        <v>4857</v>
      </c>
      <c r="B19" s="606" t="str">
        <f>+_xlfn.XLOOKUP(CostoDirecto[[#This Row],[cod Idu]],APU_IDU[Código],APU_IDU[Nombre],"",0)</f>
        <v>IMPRIMACIÓN CON EMULSIÓN ASFÁLTICA CRL-1 (INCLUYE SUMINISTRO, BARRIDO DE SUPERFICIE Y RIEGO MECANICO).</v>
      </c>
      <c r="C19" s="609" t="str">
        <f>+_xlfn.XLOOKUP(CostoDirecto[[#This Row],[cod Idu]],APU_IDU[Código],APU_IDU[UM],"",0)</f>
        <v>M2</v>
      </c>
      <c r="D19" s="745">
        <f>+_xlfn.XLOOKUP(CostoDirecto[[#This Row],[cod Idu]],APU_IDU[Código],APU_IDU[Valor],"",0)</f>
        <v>3721</v>
      </c>
      <c r="E19" s="728">
        <f>ROUND(CantidadesConsolidadas[[#This Row],[91013913]]*$D19,0)</f>
        <v>5540867</v>
      </c>
      <c r="F19" s="728">
        <f>ROUND(CantidadesConsolidadas[[#This Row],[472330]]*$D19,0)</f>
        <v>0</v>
      </c>
      <c r="G19" s="728">
        <f>ROUND(CantidadesConsolidadas[[#This Row],[167810]]*$D19,0)</f>
        <v>0</v>
      </c>
      <c r="H19" s="728">
        <f>ROUND(CantidadesConsolidadas[[#This Row],[166646]]*$D19,0)</f>
        <v>0</v>
      </c>
      <c r="I19" s="728">
        <f>ROUND(CantidadesConsolidadas[[#This Row],[167491]]*$D19,0)</f>
        <v>0</v>
      </c>
      <c r="J19" s="728">
        <f>ROUND(CantidadesConsolidadas[[#This Row],[167266]]*$D19,0)</f>
        <v>0</v>
      </c>
      <c r="K19" s="728">
        <f>ROUND(CantidadesConsolidadas[[#This Row],[170896]]*$D19,0)</f>
        <v>0</v>
      </c>
      <c r="L19" s="728">
        <f>ROUND(CantidadesConsolidadas[[#This Row],[170897]]*$D19,0)</f>
        <v>0</v>
      </c>
      <c r="M19" s="728">
        <f>ROUND(CantidadesConsolidadas[[#This Row],[170898]]*$D19,0)</f>
        <v>0</v>
      </c>
      <c r="N19" s="728">
        <f>ROUND(CantidadesConsolidadas[[#This Row],[91064150]]*$D19,0)</f>
        <v>0</v>
      </c>
      <c r="O19" s="728">
        <f>ROUND(CantidadesConsolidadas[[#This Row],[168919]]*$D19,0)</f>
        <v>0</v>
      </c>
      <c r="P19" s="728">
        <f>ROUND(CantidadesConsolidadas[[#This Row],[168426]]*$D19,0)</f>
        <v>0</v>
      </c>
      <c r="Q19" s="728">
        <f>ROUND(CantidadesConsolidadas[[#This Row],[91020796]]*$D19,0)</f>
        <v>0</v>
      </c>
      <c r="R19" s="728">
        <f>ROUND(CantidadesConsolidadas[[#This Row],[176184]]*$D19,0)</f>
        <v>0</v>
      </c>
      <c r="S19" s="728">
        <f>ROUND(CantidadesConsolidadas[[#This Row],[167636]]*$D19,0)</f>
        <v>0</v>
      </c>
      <c r="T19" s="728">
        <f>ROUND(CantidadesConsolidadas[[#This Row],[176730]]*$D19,0)</f>
        <v>0</v>
      </c>
      <c r="U19" s="728">
        <f>ROUND(CantidadesConsolidadas[[#This Row],[173038]]*$D19,0)</f>
        <v>0</v>
      </c>
      <c r="V19" s="728">
        <f>ROUND(CantidadesConsolidadas[[#This Row],[170222]]*$D19,0)</f>
        <v>0</v>
      </c>
      <c r="W19" s="728">
        <f>ROUND(CantidadesConsolidadas[[#This Row],[170229]]*$D19,0)</f>
        <v>282498</v>
      </c>
      <c r="X19" s="728">
        <f>ROUND(CantidadesConsolidadas[[#This Row],[170227]]*$D19,0)</f>
        <v>0</v>
      </c>
      <c r="Y19" s="728">
        <f>ROUND(CantidadesConsolidadas[[#This Row],[170226]]*$D19,0)</f>
        <v>0</v>
      </c>
      <c r="Z19" s="728">
        <f>ROUND(CantidadesConsolidadas[[#This Row],[171567]]*$D19,0)</f>
        <v>0</v>
      </c>
      <c r="AA19" s="728">
        <f>ROUND(CantidadesConsolidadas[[#This Row],[166632]]*$D19,0)</f>
        <v>0</v>
      </c>
      <c r="AB19" s="728">
        <f>ROUND(CantidadesConsolidadas[[#This Row],[170228]]*$D19,0)</f>
        <v>0</v>
      </c>
      <c r="AC19" s="728">
        <f>ROUND(CantidadesConsolidadas[[#This Row],[172926]]*$D19,0)</f>
        <v>0</v>
      </c>
      <c r="AD19" s="728">
        <f>ROUND(CantidadesConsolidadas[[#This Row],[171152]]*$D19,0)</f>
        <v>0</v>
      </c>
      <c r="AE19" s="728">
        <f>ROUND(CantidadesConsolidadas[[#This Row],[173058]]*$D19,0)</f>
        <v>0</v>
      </c>
      <c r="AF19" s="728">
        <f>ROUND(CantidadesConsolidadas[[#This Row],[174478]]*$D19,0)</f>
        <v>0</v>
      </c>
      <c r="AG19" s="728">
        <f>ROUND(CantidadesConsolidadas[[#This Row],[91010089]]*$D19,0)</f>
        <v>0</v>
      </c>
      <c r="AH19" s="728">
        <f>ROUND(CantidadesConsolidadas[[#This Row],[176122]]*$D19,0)</f>
        <v>0</v>
      </c>
      <c r="AI19" s="728">
        <f>ROUND(CantidadesConsolidadas[[#This Row],[168536]]*$D19,0)</f>
        <v>0</v>
      </c>
      <c r="AJ19" s="728">
        <f>ROUND(CantidadesConsolidadas[[#This Row],[166934]]*$D19,0)</f>
        <v>0</v>
      </c>
      <c r="AK19" s="728">
        <f>ROUND(CantidadesConsolidadas[[#This Row],[174353]]*$D19,0)</f>
        <v>0</v>
      </c>
      <c r="AL19" s="747">
        <f>ROUND(CantidadesConsolidadas[[#This Row],[52531]]*$D19,0)</f>
        <v>0</v>
      </c>
      <c r="AM19" s="746">
        <f>ROUND(CantidadesConsolidadas[[#This Row],[52456]]*$D19,0)</f>
        <v>0</v>
      </c>
      <c r="AN19" s="746">
        <f>ROUND(CantidadesConsolidadas[[#This Row],[92058103]]*$D19,0)</f>
        <v>0</v>
      </c>
      <c r="AO19" s="746">
        <f>ROUND(CantidadesConsolidadas[[#This Row],[20011114]]*$D19,0)</f>
        <v>0</v>
      </c>
      <c r="AP19" s="746">
        <f>ROUND(CantidadesConsolidadas[[#This Row],[20013540]]*$D19,0)</f>
        <v>0</v>
      </c>
      <c r="AQ19" s="746">
        <f>ROUND(CantidadesConsolidadas[[#This Row],[55337]]*$D19,0)</f>
        <v>0</v>
      </c>
      <c r="AR19" s="746">
        <f>ROUND(CantidadesConsolidadas[[#This Row],[92087422]]*$D19,0)</f>
        <v>0</v>
      </c>
      <c r="AS19" s="746">
        <f>ROUND(CantidadesConsolidadas[[#This Row],[55259]]*$D19,0)</f>
        <v>0</v>
      </c>
      <c r="AT19" s="746">
        <f>ROUND(CantidadesConsolidadas[[#This Row],[466904]]*$D19,0)</f>
        <v>0</v>
      </c>
      <c r="AU19" s="746">
        <f>ROUND(CantidadesConsolidadas[[#This Row],[48591]]*$D19,0)</f>
        <v>0</v>
      </c>
      <c r="AV19" s="746">
        <f>ROUND(CantidadesConsolidadas[[#This Row],[48590]]*$D19,0)</f>
        <v>0</v>
      </c>
      <c r="AW19" s="746">
        <f>ROUND(CantidadesConsolidadas[[#This Row],[48561]]*$D19,0)</f>
        <v>0</v>
      </c>
      <c r="AX19" s="746">
        <f>ROUND(CantidadesConsolidadas[[#This Row],[48560]]*$D19,0)</f>
        <v>0</v>
      </c>
      <c r="AY19" s="746">
        <f>ROUND(CantidadesConsolidadas[[#This Row],[48657]]*$D19,0)</f>
        <v>0</v>
      </c>
      <c r="AZ19" s="746">
        <f>ROUND(CantidadesConsolidadas[[#This Row],[48655]]*$D19,0)</f>
        <v>0</v>
      </c>
      <c r="BA19" s="806">
        <f>SUBTOTAL(9,CostoDirecto[[#This Row],[91013913]:[174353]])</f>
        <v>5823365</v>
      </c>
      <c r="BB19" s="806">
        <f>SUBTOTAL(9,CostoDirecto[[#This Row],[52531]:[48655]])</f>
        <v>0</v>
      </c>
    </row>
    <row r="20" spans="1:54" ht="28.8" x14ac:dyDescent="0.3">
      <c r="A20">
        <v>3867</v>
      </c>
      <c r="B20" s="606" t="str">
        <f>+_xlfn.XLOOKUP(CostoDirecto[[#This Row],[cod Idu]],APU_IDU[Código],APU_IDU[Nombre],"",0)</f>
        <v>RIEGO DE LIGA CON EMULSION ASFALTICA CRR-2 (SUMINISTRO, BARRIDO SUPERFICIE Y RIEGO MECANICO)</v>
      </c>
      <c r="C20" s="609" t="str">
        <f>+_xlfn.XLOOKUP(CostoDirecto[[#This Row],[cod Idu]],APU_IDU[Código],APU_IDU[UM],"",0)</f>
        <v>M2</v>
      </c>
      <c r="D20" s="745">
        <f>+_xlfn.XLOOKUP(CostoDirecto[[#This Row],[cod Idu]],APU_IDU[Código],APU_IDU[Valor],"",0)</f>
        <v>4114</v>
      </c>
      <c r="E20" s="728">
        <f>ROUND(CantidadesConsolidadas[[#This Row],[91013913]]*$D20,0)</f>
        <v>0</v>
      </c>
      <c r="F20" s="728">
        <f>ROUND(CantidadesConsolidadas[[#This Row],[472330]]*$D20,0)</f>
        <v>2986764</v>
      </c>
      <c r="G20" s="728">
        <f>ROUND(CantidadesConsolidadas[[#This Row],[167810]]*$D20,0)</f>
        <v>3213528</v>
      </c>
      <c r="H20" s="728">
        <f>ROUND(CantidadesConsolidadas[[#This Row],[166646]]*$D20,0)</f>
        <v>1953368</v>
      </c>
      <c r="I20" s="728">
        <f>ROUND(CantidadesConsolidadas[[#This Row],[167491]]*$D20,0)</f>
        <v>1818841</v>
      </c>
      <c r="J20" s="728">
        <f>ROUND(CantidadesConsolidadas[[#This Row],[167266]]*$D20,0)</f>
        <v>2332679</v>
      </c>
      <c r="K20" s="728">
        <f>ROUND(CantidadesConsolidadas[[#This Row],[170896]]*$D20,0)</f>
        <v>462907</v>
      </c>
      <c r="L20" s="728">
        <f>ROUND(CantidadesConsolidadas[[#This Row],[170897]]*$D20,0)</f>
        <v>516060</v>
      </c>
      <c r="M20" s="728">
        <f>ROUND(CantidadesConsolidadas[[#This Row],[170898]]*$D20,0)</f>
        <v>205247</v>
      </c>
      <c r="N20" s="728">
        <f>ROUND(CantidadesConsolidadas[[#This Row],[91064150]]*$D20,0)</f>
        <v>610147</v>
      </c>
      <c r="O20" s="728">
        <f>ROUND(CantidadesConsolidadas[[#This Row],[168919]]*$D20,0)</f>
        <v>1992945</v>
      </c>
      <c r="P20" s="728">
        <f>ROUND(CantidadesConsolidadas[[#This Row],[168426]]*$D20,0)</f>
        <v>1755526</v>
      </c>
      <c r="Q20" s="728">
        <f>ROUND(CantidadesConsolidadas[[#This Row],[91020796]]*$D20,0)</f>
        <v>480433</v>
      </c>
      <c r="R20" s="728">
        <f>ROUND(CantidadesConsolidadas[[#This Row],[176184]]*$D20,0)</f>
        <v>977692</v>
      </c>
      <c r="S20" s="728">
        <f>ROUND(CantidadesConsolidadas[[#This Row],[167636]]*$D20,0)</f>
        <v>2194449</v>
      </c>
      <c r="T20" s="728">
        <f>ROUND(CantidadesConsolidadas[[#This Row],[176730]]*$D20,0)</f>
        <v>595337</v>
      </c>
      <c r="U20" s="728">
        <f>ROUND(CantidadesConsolidadas[[#This Row],[173038]]*$D20,0)</f>
        <v>2038158</v>
      </c>
      <c r="V20" s="728">
        <f>ROUND(CantidadesConsolidadas[[#This Row],[170222]]*$D20,0)</f>
        <v>3479745</v>
      </c>
      <c r="W20" s="728">
        <f>ROUND(CantidadesConsolidadas[[#This Row],[170229]]*$D20,0)</f>
        <v>312335</v>
      </c>
      <c r="X20" s="728">
        <f>ROUND(CantidadesConsolidadas[[#This Row],[170227]]*$D20,0)</f>
        <v>773144</v>
      </c>
      <c r="Y20" s="728">
        <f>ROUND(CantidadesConsolidadas[[#This Row],[170226]]*$D20,0)</f>
        <v>423536</v>
      </c>
      <c r="Z20" s="728">
        <f>ROUND(CantidadesConsolidadas[[#This Row],[171567]]*$D20,0)</f>
        <v>0</v>
      </c>
      <c r="AA20" s="728">
        <f>ROUND(CantidadesConsolidadas[[#This Row],[166632]]*$D20,0)</f>
        <v>1346718</v>
      </c>
      <c r="AB20" s="728">
        <f>ROUND(CantidadesConsolidadas[[#This Row],[170228]]*$D20,0)</f>
        <v>843946</v>
      </c>
      <c r="AC20" s="728">
        <f>ROUND(CantidadesConsolidadas[[#This Row],[172926]]*$D20,0)</f>
        <v>594185</v>
      </c>
      <c r="AD20" s="728">
        <f>ROUND(CantidadesConsolidadas[[#This Row],[171152]]*$D20,0)</f>
        <v>3089902</v>
      </c>
      <c r="AE20" s="728">
        <f>ROUND(CantidadesConsolidadas[[#This Row],[173058]]*$D20,0)</f>
        <v>809100</v>
      </c>
      <c r="AF20" s="728">
        <f>ROUND(CantidadesConsolidadas[[#This Row],[174478]]*$D20,0)</f>
        <v>3802077</v>
      </c>
      <c r="AG20" s="728">
        <f>ROUND(CantidadesConsolidadas[[#This Row],[91010089]]*$D20,0)</f>
        <v>1222804</v>
      </c>
      <c r="AH20" s="728">
        <f>ROUND(CantidadesConsolidadas[[#This Row],[176122]]*$D20,0)</f>
        <v>2854951</v>
      </c>
      <c r="AI20" s="728">
        <f>ROUND(CantidadesConsolidadas[[#This Row],[168536]]*$D20,0)</f>
        <v>2493660</v>
      </c>
      <c r="AJ20" s="728">
        <f>ROUND(CantidadesConsolidadas[[#This Row],[166934]]*$D20,0)</f>
        <v>3863499</v>
      </c>
      <c r="AK20" s="728">
        <f>ROUND(CantidadesConsolidadas[[#This Row],[174353]]*$D20,0)</f>
        <v>2162318</v>
      </c>
      <c r="AL20" s="747">
        <f>ROUND(CantidadesConsolidadas[[#This Row],[52531]]*$D20,0)</f>
        <v>0</v>
      </c>
      <c r="AM20" s="746">
        <f>ROUND(CantidadesConsolidadas[[#This Row],[52456]]*$D20,0)</f>
        <v>0</v>
      </c>
      <c r="AN20" s="746">
        <f>ROUND(CantidadesConsolidadas[[#This Row],[92058103]]*$D20,0)</f>
        <v>0</v>
      </c>
      <c r="AO20" s="746">
        <f>ROUND(CantidadesConsolidadas[[#This Row],[20011114]]*$D20,0)</f>
        <v>0</v>
      </c>
      <c r="AP20" s="746">
        <f>ROUND(CantidadesConsolidadas[[#This Row],[20013540]]*$D20,0)</f>
        <v>0</v>
      </c>
      <c r="AQ20" s="746">
        <f>ROUND(CantidadesConsolidadas[[#This Row],[55337]]*$D20,0)</f>
        <v>0</v>
      </c>
      <c r="AR20" s="746">
        <f>ROUND(CantidadesConsolidadas[[#This Row],[92087422]]*$D20,0)</f>
        <v>0</v>
      </c>
      <c r="AS20" s="746">
        <f>ROUND(CantidadesConsolidadas[[#This Row],[55259]]*$D20,0)</f>
        <v>0</v>
      </c>
      <c r="AT20" s="746">
        <f>ROUND(CantidadesConsolidadas[[#This Row],[466904]]*$D20,0)</f>
        <v>0</v>
      </c>
      <c r="AU20" s="746">
        <f>ROUND(CantidadesConsolidadas[[#This Row],[48591]]*$D20,0)</f>
        <v>0</v>
      </c>
      <c r="AV20" s="746">
        <f>ROUND(CantidadesConsolidadas[[#This Row],[48590]]*$D20,0)</f>
        <v>0</v>
      </c>
      <c r="AW20" s="746">
        <f>ROUND(CantidadesConsolidadas[[#This Row],[48561]]*$D20,0)</f>
        <v>0</v>
      </c>
      <c r="AX20" s="746">
        <f>ROUND(CantidadesConsolidadas[[#This Row],[48560]]*$D20,0)</f>
        <v>0</v>
      </c>
      <c r="AY20" s="746">
        <f>ROUND(CantidadesConsolidadas[[#This Row],[48657]]*$D20,0)</f>
        <v>0</v>
      </c>
      <c r="AZ20" s="746">
        <f>ROUND(CantidadesConsolidadas[[#This Row],[48655]]*$D20,0)</f>
        <v>0</v>
      </c>
      <c r="BA20" s="806">
        <f>SUBTOTAL(9,CostoDirecto[[#This Row],[91013913]:[174353]])</f>
        <v>52206001</v>
      </c>
      <c r="BB20" s="806">
        <f>SUBTOTAL(9,CostoDirecto[[#This Row],[52531]:[48655]])</f>
        <v>0</v>
      </c>
    </row>
    <row r="21" spans="1:54" ht="57.6" x14ac:dyDescent="0.3">
      <c r="A21">
        <v>8613</v>
      </c>
      <c r="B21" s="606" t="str">
        <f>+_xlfn.XLOOKUP(CostoDirecto[[#This Row],[cod Idu]],APU_IDU[Código],APU_IDU[Nombre],"",0)</f>
        <v>MEZCLA ASFÁLTICA EN CALIENTE DENSA MD19 CON CEMENTO ASFÁLTICO CA 14. (SUMINISTRO, EXTENDIDO, NIVELACIÓN MANUAL Y COMPACTACIÓN MECÁNICA CON VIBROCOMPACTADOR TÁNDEM PEQUEÑO, INCLUYE OPERARIO Y COMBUSTIBLE).</v>
      </c>
      <c r="C21" s="609" t="str">
        <f>+_xlfn.XLOOKUP(CostoDirecto[[#This Row],[cod Idu]],APU_IDU[Código],APU_IDU[UM],"",0)</f>
        <v>M3</v>
      </c>
      <c r="D21" s="745">
        <f>+_xlfn.XLOOKUP(CostoDirecto[[#This Row],[cod Idu]],APU_IDU[Código],APU_IDU[Valor],"",0)</f>
        <v>1472746</v>
      </c>
      <c r="E21" s="728">
        <f>ROUND(CantidadesConsolidadas[[#This Row],[91013913]]*$D21,0)</f>
        <v>328952547</v>
      </c>
      <c r="F21" s="728">
        <f>ROUND(CantidadesConsolidadas[[#This Row],[472330]]*$D21,0)</f>
        <v>0</v>
      </c>
      <c r="G21" s="728">
        <f>ROUND(CantidadesConsolidadas[[#This Row],[167810]]*$D21,0)</f>
        <v>0</v>
      </c>
      <c r="H21" s="728">
        <f>ROUND(CantidadesConsolidadas[[#This Row],[166646]]*$D21,0)</f>
        <v>0</v>
      </c>
      <c r="I21" s="728">
        <f>ROUND(CantidadesConsolidadas[[#This Row],[167491]]*$D21,0)</f>
        <v>0</v>
      </c>
      <c r="J21" s="728">
        <f>ROUND(CantidadesConsolidadas[[#This Row],[167266]]*$D21,0)</f>
        <v>125257047</v>
      </c>
      <c r="K21" s="728">
        <f>ROUND(CantidadesConsolidadas[[#This Row],[170896]]*$D21,0)</f>
        <v>0</v>
      </c>
      <c r="L21" s="728">
        <f>ROUND(CantidadesConsolidadas[[#This Row],[170897]]*$D21,0)</f>
        <v>0</v>
      </c>
      <c r="M21" s="728">
        <f>ROUND(CantidadesConsolidadas[[#This Row],[170898]]*$D21,0)</f>
        <v>0</v>
      </c>
      <c r="N21" s="728">
        <f>ROUND(CantidadesConsolidadas[[#This Row],[91064150]]*$D21,0)</f>
        <v>0</v>
      </c>
      <c r="O21" s="728">
        <f>ROUND(CantidadesConsolidadas[[#This Row],[168919]]*$D21,0)</f>
        <v>107009724</v>
      </c>
      <c r="P21" s="728">
        <f>ROUND(CantidadesConsolidadas[[#This Row],[168426]]*$D21,0)</f>
        <v>94270471</v>
      </c>
      <c r="Q21" s="728">
        <f>ROUND(CantidadesConsolidadas[[#This Row],[91020796]]*$D21,0)</f>
        <v>0</v>
      </c>
      <c r="R21" s="728">
        <f>ROUND(CantidadesConsolidadas[[#This Row],[176184]]*$D21,0)</f>
        <v>52503395</v>
      </c>
      <c r="S21" s="728">
        <f>ROUND(CantidadesConsolidadas[[#This Row],[167636]]*$D21,0)</f>
        <v>0</v>
      </c>
      <c r="T21" s="728">
        <f>ROUND(CantidadesConsolidadas[[#This Row],[176730]]*$D21,0)</f>
        <v>31973316</v>
      </c>
      <c r="U21" s="728">
        <f>ROUND(CantidadesConsolidadas[[#This Row],[173038]]*$D21,0)</f>
        <v>109439755</v>
      </c>
      <c r="V21" s="728">
        <f>ROUND(CantidadesConsolidadas[[#This Row],[170222]]*$D21,0)</f>
        <v>0</v>
      </c>
      <c r="W21" s="728">
        <f>ROUND(CantidadesConsolidadas[[#This Row],[170229]]*$D21,0)</f>
        <v>16774577</v>
      </c>
      <c r="X21" s="728">
        <f>ROUND(CantidadesConsolidadas[[#This Row],[170227]]*$D21,0)</f>
        <v>0</v>
      </c>
      <c r="Y21" s="728">
        <f>ROUND(CantidadesConsolidadas[[#This Row],[170226]]*$D21,0)</f>
        <v>0</v>
      </c>
      <c r="Z21" s="728">
        <f>ROUND(CantidadesConsolidadas[[#This Row],[171567]]*$D21,0)</f>
        <v>0</v>
      </c>
      <c r="AA21" s="728">
        <f>ROUND(CantidadesConsolidadas[[#This Row],[166632]]*$D21,0)</f>
        <v>0</v>
      </c>
      <c r="AB21" s="728">
        <f>ROUND(CantidadesConsolidadas[[#This Row],[170228]]*$D21,0)</f>
        <v>45316394</v>
      </c>
      <c r="AC21" s="728">
        <f>ROUND(CantidadesConsolidadas[[#This Row],[172926]]*$D21,0)</f>
        <v>31899678</v>
      </c>
      <c r="AD21" s="728">
        <f>ROUND(CantidadesConsolidadas[[#This Row],[171152]]*$D21,0)</f>
        <v>0</v>
      </c>
      <c r="AE21" s="728">
        <f>ROUND(CantidadesConsolidadas[[#This Row],[173058]]*$D21,0)</f>
        <v>43446007</v>
      </c>
      <c r="AF21" s="728">
        <f>ROUND(CantidadesConsolidadas[[#This Row],[174478]]*$D21,0)</f>
        <v>0</v>
      </c>
      <c r="AG21" s="728">
        <f>ROUND(CantidadesConsolidadas[[#This Row],[91010089]]*$D21,0)</f>
        <v>0</v>
      </c>
      <c r="AH21" s="728">
        <f>ROUND(CantidadesConsolidadas[[#This Row],[176122]]*$D21,0)</f>
        <v>0</v>
      </c>
      <c r="AI21" s="728">
        <f>ROUND(CantidadesConsolidadas[[#This Row],[168536]]*$D21,0)</f>
        <v>0</v>
      </c>
      <c r="AJ21" s="728">
        <f>ROUND(CantidadesConsolidadas[[#This Row],[166934]]*$D21,0)</f>
        <v>207465729</v>
      </c>
      <c r="AK21" s="728">
        <f>ROUND(CantidadesConsolidadas[[#This Row],[174353]]*$D21,0)</f>
        <v>116111295</v>
      </c>
      <c r="AL21" s="747">
        <f>ROUND(CantidadesConsolidadas[[#This Row],[52531]]*$D21,0)</f>
        <v>0</v>
      </c>
      <c r="AM21" s="746">
        <f>ROUND(CantidadesConsolidadas[[#This Row],[52456]]*$D21,0)</f>
        <v>0</v>
      </c>
      <c r="AN21" s="746">
        <f>ROUND(CantidadesConsolidadas[[#This Row],[92058103]]*$D21,0)</f>
        <v>0</v>
      </c>
      <c r="AO21" s="746">
        <f>ROUND(CantidadesConsolidadas[[#This Row],[20011114]]*$D21,0)</f>
        <v>0</v>
      </c>
      <c r="AP21" s="746">
        <f>ROUND(CantidadesConsolidadas[[#This Row],[20013540]]*$D21,0)</f>
        <v>0</v>
      </c>
      <c r="AQ21" s="746">
        <f>ROUND(CantidadesConsolidadas[[#This Row],[55337]]*$D21,0)</f>
        <v>0</v>
      </c>
      <c r="AR21" s="746">
        <f>ROUND(CantidadesConsolidadas[[#This Row],[92087422]]*$D21,0)</f>
        <v>0</v>
      </c>
      <c r="AS21" s="746">
        <f>ROUND(CantidadesConsolidadas[[#This Row],[55259]]*$D21,0)</f>
        <v>0</v>
      </c>
      <c r="AT21" s="746">
        <f>ROUND(CantidadesConsolidadas[[#This Row],[466904]]*$D21,0)</f>
        <v>0</v>
      </c>
      <c r="AU21" s="746">
        <f>ROUND(CantidadesConsolidadas[[#This Row],[48591]]*$D21,0)</f>
        <v>0</v>
      </c>
      <c r="AV21" s="746">
        <f>ROUND(CantidadesConsolidadas[[#This Row],[48590]]*$D21,0)</f>
        <v>0</v>
      </c>
      <c r="AW21" s="746">
        <f>ROUND(CantidadesConsolidadas[[#This Row],[48561]]*$D21,0)</f>
        <v>0</v>
      </c>
      <c r="AX21" s="746">
        <f>ROUND(CantidadesConsolidadas[[#This Row],[48560]]*$D21,0)</f>
        <v>0</v>
      </c>
      <c r="AY21" s="746">
        <f>ROUND(CantidadesConsolidadas[[#This Row],[48657]]*$D21,0)</f>
        <v>0</v>
      </c>
      <c r="AZ21" s="746">
        <f>ROUND(CantidadesConsolidadas[[#This Row],[48655]]*$D21,0)</f>
        <v>0</v>
      </c>
      <c r="BA21" s="806">
        <f>SUBTOTAL(9,CostoDirecto[[#This Row],[91013913]:[174353]])</f>
        <v>1310419935</v>
      </c>
      <c r="BB21" s="806">
        <f>SUBTOTAL(9,CostoDirecto[[#This Row],[52531]:[48655]])</f>
        <v>0</v>
      </c>
    </row>
    <row r="22" spans="1:54" ht="57.6" x14ac:dyDescent="0.3">
      <c r="A22">
        <v>4200</v>
      </c>
      <c r="B22" s="606" t="str">
        <f>+_xlfn.XLOOKUP(CostoDirecto[[#This Row],[cod Idu]],APU_IDU[Código],APU_IDU[Nombre],"",0)</f>
        <v>MEZCLA ASFÁLTICA EN CALIENTE TIPO DENSO MD20 ASFALTO 60-70 (INCLUYE SUMINISTRO, EXTENDIDO, NIVELACIÓN, COMPACTACIÓN  MECANICA CON VIBROCOMPACTADOR Y COMPACTADOR DE LLANTAS, FACTOR DE COMPACTACION Y TRANSPORTE DE MATERIAL A 21 KMS)</v>
      </c>
      <c r="C22" s="609" t="str">
        <f>+_xlfn.XLOOKUP(CostoDirecto[[#This Row],[cod Idu]],APU_IDU[Código],APU_IDU[UM],"",0)</f>
        <v>M3</v>
      </c>
      <c r="D22" s="745">
        <f>+_xlfn.XLOOKUP(CostoDirecto[[#This Row],[cod Idu]],APU_IDU[Código],APU_IDU[Valor],"",0)</f>
        <v>1189120</v>
      </c>
      <c r="E22" s="728">
        <f>ROUND(CantidadesConsolidadas[[#This Row],[91013913]]*$D22,0)</f>
        <v>0</v>
      </c>
      <c r="F22" s="728">
        <f>ROUND(CantidadesConsolidadas[[#This Row],[472330]]*$D22,0)</f>
        <v>129495168</v>
      </c>
      <c r="G22" s="728">
        <f>ROUND(CantidadesConsolidadas[[#This Row],[167810]]*$D22,0)</f>
        <v>139329190</v>
      </c>
      <c r="H22" s="728">
        <f>ROUND(CantidadesConsolidadas[[#This Row],[166646]]*$D22,0)</f>
        <v>84689126</v>
      </c>
      <c r="I22" s="728">
        <f>ROUND(CantidadesConsolidadas[[#This Row],[167491]]*$D22,0)</f>
        <v>78862438</v>
      </c>
      <c r="J22" s="728">
        <f>ROUND(CantidadesConsolidadas[[#This Row],[167266]]*$D22,0)</f>
        <v>0</v>
      </c>
      <c r="K22" s="728">
        <f>ROUND(CantidadesConsolidadas[[#This Row],[170896]]*$D22,0)</f>
        <v>0</v>
      </c>
      <c r="L22" s="728">
        <f>ROUND(CantidadesConsolidadas[[#This Row],[170897]]*$D22,0)</f>
        <v>0</v>
      </c>
      <c r="M22" s="728">
        <f>ROUND(CantidadesConsolidadas[[#This Row],[170898]]*$D22,0)</f>
        <v>0</v>
      </c>
      <c r="N22" s="728">
        <f>ROUND(CantidadesConsolidadas[[#This Row],[91064150]]*$D22,0)</f>
        <v>0</v>
      </c>
      <c r="O22" s="728">
        <f>ROUND(CantidadesConsolidadas[[#This Row],[168919]]*$D22,0)</f>
        <v>0</v>
      </c>
      <c r="P22" s="728">
        <f>ROUND(CantidadesConsolidadas[[#This Row],[168426]]*$D22,0)</f>
        <v>0</v>
      </c>
      <c r="Q22" s="728">
        <f>ROUND(CantidadesConsolidadas[[#This Row],[91020796]]*$D22,0)</f>
        <v>0</v>
      </c>
      <c r="R22" s="728">
        <f>ROUND(CantidadesConsolidadas[[#This Row],[176184]]*$D22,0)</f>
        <v>0</v>
      </c>
      <c r="S22" s="728">
        <f>ROUND(CantidadesConsolidadas[[#This Row],[167636]]*$D22,0)</f>
        <v>0</v>
      </c>
      <c r="T22" s="728">
        <f>ROUND(CantidadesConsolidadas[[#This Row],[176730]]*$D22,0)</f>
        <v>0</v>
      </c>
      <c r="U22" s="728">
        <f>ROUND(CantidadesConsolidadas[[#This Row],[173038]]*$D22,0)</f>
        <v>0</v>
      </c>
      <c r="V22" s="728">
        <f>ROUND(CantidadesConsolidadas[[#This Row],[170222]]*$D22,0)</f>
        <v>0</v>
      </c>
      <c r="W22" s="728">
        <f>ROUND(CantidadesConsolidadas[[#This Row],[170229]]*$D22,0)</f>
        <v>0</v>
      </c>
      <c r="X22" s="728">
        <f>ROUND(CantidadesConsolidadas[[#This Row],[170227]]*$D22,0)</f>
        <v>33521293</v>
      </c>
      <c r="Y22" s="728">
        <f>ROUND(CantidadesConsolidadas[[#This Row],[170226]]*$D22,0)</f>
        <v>0</v>
      </c>
      <c r="Z22" s="728">
        <f>ROUND(CantidadesConsolidadas[[#This Row],[171567]]*$D22,0)</f>
        <v>0</v>
      </c>
      <c r="AA22" s="728">
        <f>ROUND(CantidadesConsolidadas[[#This Row],[166632]]*$D22,0)</f>
        <v>0</v>
      </c>
      <c r="AB22" s="728">
        <f>ROUND(CantidadesConsolidadas[[#This Row],[170228]]*$D22,0)</f>
        <v>0</v>
      </c>
      <c r="AC22" s="728">
        <f>ROUND(CantidadesConsolidadas[[#This Row],[172926]]*$D22,0)</f>
        <v>0</v>
      </c>
      <c r="AD22" s="728">
        <f>ROUND(CantidadesConsolidadas[[#This Row],[171152]]*$D22,0)</f>
        <v>133966259</v>
      </c>
      <c r="AE22" s="728">
        <f>ROUND(CantidadesConsolidadas[[#This Row],[173058]]*$D22,0)</f>
        <v>0</v>
      </c>
      <c r="AF22" s="728">
        <f>ROUND(CantidadesConsolidadas[[#This Row],[174478]]*$D22,0)</f>
        <v>164847706</v>
      </c>
      <c r="AG22" s="728">
        <f>ROUND(CantidadesConsolidadas[[#This Row],[91010089]]*$D22,0)</f>
        <v>53010970</v>
      </c>
      <c r="AH22" s="728">
        <f>ROUND(CantidadesConsolidadas[[#This Row],[176122]]*$D22,0)</f>
        <v>123775501</v>
      </c>
      <c r="AI22" s="728">
        <f>ROUND(CantidadesConsolidadas[[#This Row],[168536]]*$D22,0)</f>
        <v>108114790</v>
      </c>
      <c r="AJ22" s="728">
        <f>ROUND(CantidadesConsolidadas[[#This Row],[166934]]*$D22,0)</f>
        <v>0</v>
      </c>
      <c r="AK22" s="728">
        <f>ROUND(CantidadesConsolidadas[[#This Row],[174353]]*$D22,0)</f>
        <v>0</v>
      </c>
      <c r="AL22" s="747">
        <f>ROUND(CantidadesConsolidadas[[#This Row],[52531]]*$D22,0)</f>
        <v>0</v>
      </c>
      <c r="AM22" s="746">
        <f>ROUND(CantidadesConsolidadas[[#This Row],[52456]]*$D22,0)</f>
        <v>0</v>
      </c>
      <c r="AN22" s="746">
        <f>ROUND(CantidadesConsolidadas[[#This Row],[92058103]]*$D22,0)</f>
        <v>0</v>
      </c>
      <c r="AO22" s="746">
        <f>ROUND(CantidadesConsolidadas[[#This Row],[20011114]]*$D22,0)</f>
        <v>0</v>
      </c>
      <c r="AP22" s="746">
        <f>ROUND(CantidadesConsolidadas[[#This Row],[20013540]]*$D22,0)</f>
        <v>0</v>
      </c>
      <c r="AQ22" s="746">
        <f>ROUND(CantidadesConsolidadas[[#This Row],[55337]]*$D22,0)</f>
        <v>0</v>
      </c>
      <c r="AR22" s="746">
        <f>ROUND(CantidadesConsolidadas[[#This Row],[92087422]]*$D22,0)</f>
        <v>0</v>
      </c>
      <c r="AS22" s="746">
        <f>ROUND(CantidadesConsolidadas[[#This Row],[55259]]*$D22,0)</f>
        <v>0</v>
      </c>
      <c r="AT22" s="746">
        <f>ROUND(CantidadesConsolidadas[[#This Row],[466904]]*$D22,0)</f>
        <v>0</v>
      </c>
      <c r="AU22" s="746">
        <f>ROUND(CantidadesConsolidadas[[#This Row],[48591]]*$D22,0)</f>
        <v>0</v>
      </c>
      <c r="AV22" s="746">
        <f>ROUND(CantidadesConsolidadas[[#This Row],[48590]]*$D22,0)</f>
        <v>0</v>
      </c>
      <c r="AW22" s="746">
        <f>ROUND(CantidadesConsolidadas[[#This Row],[48561]]*$D22,0)</f>
        <v>0</v>
      </c>
      <c r="AX22" s="746">
        <f>ROUND(CantidadesConsolidadas[[#This Row],[48560]]*$D22,0)</f>
        <v>0</v>
      </c>
      <c r="AY22" s="746">
        <f>ROUND(CantidadesConsolidadas[[#This Row],[48657]]*$D22,0)</f>
        <v>0</v>
      </c>
      <c r="AZ22" s="746">
        <f>ROUND(CantidadesConsolidadas[[#This Row],[48655]]*$D22,0)</f>
        <v>0</v>
      </c>
      <c r="BA22" s="806">
        <f>SUBTOTAL(9,CostoDirecto[[#This Row],[91013913]:[174353]])</f>
        <v>1049612441</v>
      </c>
      <c r="BB22" s="806">
        <f>SUBTOTAL(9,CostoDirecto[[#This Row],[52531]:[48655]])</f>
        <v>0</v>
      </c>
    </row>
    <row r="23" spans="1:54" ht="28.8" x14ac:dyDescent="0.3">
      <c r="A23">
        <v>4712</v>
      </c>
      <c r="B23" s="606" t="str">
        <f>+_xlfn.XLOOKUP(CostoDirecto[[#This Row],[cod Idu]],APU_IDU[Código],APU_IDU[Nombre],"",0)</f>
        <v>MEZCLA ASFALTICA CON ASFALTO CAUCHO (SUMINISTRO, EXTENDIDO, NIVELACIÓN Y COMPACTACIÓN MECANICA)</v>
      </c>
      <c r="C23" s="609" t="str">
        <f>+_xlfn.XLOOKUP(CostoDirecto[[#This Row],[cod Idu]],APU_IDU[Código],APU_IDU[UM],"",0)</f>
        <v>M3</v>
      </c>
      <c r="D23" s="745">
        <f>+_xlfn.XLOOKUP(CostoDirecto[[#This Row],[cod Idu]],APU_IDU[Código],APU_IDU[Valor],"",0)</f>
        <v>1658667</v>
      </c>
      <c r="E23" s="728">
        <f>ROUND(CantidadesConsolidadas[[#This Row],[91013913]]*$D23,0)</f>
        <v>0</v>
      </c>
      <c r="F23" s="728">
        <f>ROUND(CantidadesConsolidadas[[#This Row],[472330]]*$D23,0)</f>
        <v>0</v>
      </c>
      <c r="G23" s="728">
        <f>ROUND(CantidadesConsolidadas[[#This Row],[167810]]*$D23,0)</f>
        <v>0</v>
      </c>
      <c r="H23" s="728">
        <f>ROUND(CantidadesConsolidadas[[#This Row],[166646]]*$D23,0)</f>
        <v>0</v>
      </c>
      <c r="I23" s="728">
        <f>ROUND(CantidadesConsolidadas[[#This Row],[167491]]*$D23,0)</f>
        <v>0</v>
      </c>
      <c r="J23" s="728">
        <f>ROUND(CantidadesConsolidadas[[#This Row],[167266]]*$D23,0)</f>
        <v>0</v>
      </c>
      <c r="K23" s="728">
        <f>ROUND(CantidadesConsolidadas[[#This Row],[170896]]*$D23,0)</f>
        <v>27998299</v>
      </c>
      <c r="L23" s="728">
        <f>ROUND(CantidadesConsolidadas[[#This Row],[170897]]*$D23,0)</f>
        <v>31216113</v>
      </c>
      <c r="M23" s="728">
        <f>ROUND(CantidadesConsolidadas[[#This Row],[170898]]*$D23,0)</f>
        <v>12406829</v>
      </c>
      <c r="N23" s="728">
        <f>ROUND(CantidadesConsolidadas[[#This Row],[91064150]]*$D23,0)</f>
        <v>36905341</v>
      </c>
      <c r="O23" s="728">
        <f>ROUND(CantidadesConsolidadas[[#This Row],[168919]]*$D23,0)</f>
        <v>0</v>
      </c>
      <c r="P23" s="728">
        <f>ROUND(CantidadesConsolidadas[[#This Row],[168426]]*$D23,0)</f>
        <v>0</v>
      </c>
      <c r="Q23" s="728">
        <f>ROUND(CantidadesConsolidadas[[#This Row],[91020796]]*$D23,0)</f>
        <v>29059846</v>
      </c>
      <c r="R23" s="728">
        <f>ROUND(CantidadesConsolidadas[[#This Row],[176184]]*$D23,0)</f>
        <v>0</v>
      </c>
      <c r="S23" s="728">
        <f>ROUND(CantidadesConsolidadas[[#This Row],[167636]]*$D23,0)</f>
        <v>132709947</v>
      </c>
      <c r="T23" s="728">
        <f>ROUND(CantidadesConsolidadas[[#This Row],[176730]]*$D23,0)</f>
        <v>0</v>
      </c>
      <c r="U23" s="728">
        <f>ROUND(CantidadesConsolidadas[[#This Row],[173038]]*$D23,0)</f>
        <v>0</v>
      </c>
      <c r="V23" s="728">
        <f>ROUND(CantidadesConsolidadas[[#This Row],[170222]]*$D23,0)</f>
        <v>210435082</v>
      </c>
      <c r="W23" s="728">
        <f>ROUND(CantidadesConsolidadas[[#This Row],[170229]]*$D23,0)</f>
        <v>0</v>
      </c>
      <c r="X23" s="728">
        <f>ROUND(CantidadesConsolidadas[[#This Row],[170227]]*$D23,0)</f>
        <v>0</v>
      </c>
      <c r="Y23" s="728">
        <f>ROUND(CantidadesConsolidadas[[#This Row],[170226]]*$D23,0)</f>
        <v>25609818</v>
      </c>
      <c r="Z23" s="728">
        <f>ROUND(CantidadesConsolidadas[[#This Row],[171567]]*$D23,0)</f>
        <v>0</v>
      </c>
      <c r="AA23" s="728">
        <f>ROUND(CantidadesConsolidadas[[#This Row],[166632]]*$D23,0)</f>
        <v>81440550</v>
      </c>
      <c r="AB23" s="728">
        <f>ROUND(CantidadesConsolidadas[[#This Row],[170228]]*$D23,0)</f>
        <v>0</v>
      </c>
      <c r="AC23" s="728">
        <f>ROUND(CantidadesConsolidadas[[#This Row],[172926]]*$D23,0)</f>
        <v>0</v>
      </c>
      <c r="AD23" s="728">
        <f>ROUND(CantidadesConsolidadas[[#This Row],[171152]]*$D23,0)</f>
        <v>0</v>
      </c>
      <c r="AE23" s="728">
        <f>ROUND(CantidadesConsolidadas[[#This Row],[173058]]*$D23,0)</f>
        <v>0</v>
      </c>
      <c r="AF23" s="728">
        <f>ROUND(CantidadesConsolidadas[[#This Row],[174478]]*$D23,0)</f>
        <v>0</v>
      </c>
      <c r="AG23" s="728">
        <f>ROUND(CantidadesConsolidadas[[#This Row],[91010089]]*$D23,0)</f>
        <v>0</v>
      </c>
      <c r="AH23" s="728">
        <f>ROUND(CantidadesConsolidadas[[#This Row],[176122]]*$D23,0)</f>
        <v>0</v>
      </c>
      <c r="AI23" s="728">
        <f>ROUND(CantidadesConsolidadas[[#This Row],[168536]]*$D23,0)</f>
        <v>0</v>
      </c>
      <c r="AJ23" s="728">
        <f>ROUND(CantidadesConsolidadas[[#This Row],[166934]]*$D23,0)</f>
        <v>0</v>
      </c>
      <c r="AK23" s="728">
        <f>ROUND(CantidadesConsolidadas[[#This Row],[174353]]*$D23,0)</f>
        <v>0</v>
      </c>
      <c r="AL23" s="747">
        <f>ROUND(CantidadesConsolidadas[[#This Row],[52531]]*$D23,0)</f>
        <v>0</v>
      </c>
      <c r="AM23" s="746">
        <f>ROUND(CantidadesConsolidadas[[#This Row],[52456]]*$D23,0)</f>
        <v>0</v>
      </c>
      <c r="AN23" s="746">
        <f>ROUND(CantidadesConsolidadas[[#This Row],[92058103]]*$D23,0)</f>
        <v>0</v>
      </c>
      <c r="AO23" s="746">
        <f>ROUND(CantidadesConsolidadas[[#This Row],[20011114]]*$D23,0)</f>
        <v>0</v>
      </c>
      <c r="AP23" s="746">
        <f>ROUND(CantidadesConsolidadas[[#This Row],[20013540]]*$D23,0)</f>
        <v>0</v>
      </c>
      <c r="AQ23" s="746">
        <f>ROUND(CantidadesConsolidadas[[#This Row],[55337]]*$D23,0)</f>
        <v>0</v>
      </c>
      <c r="AR23" s="746">
        <f>ROUND(CantidadesConsolidadas[[#This Row],[92087422]]*$D23,0)</f>
        <v>0</v>
      </c>
      <c r="AS23" s="746">
        <f>ROUND(CantidadesConsolidadas[[#This Row],[55259]]*$D23,0)</f>
        <v>0</v>
      </c>
      <c r="AT23" s="746">
        <f>ROUND(CantidadesConsolidadas[[#This Row],[466904]]*$D23,0)</f>
        <v>0</v>
      </c>
      <c r="AU23" s="746">
        <f>ROUND(CantidadesConsolidadas[[#This Row],[48591]]*$D23,0)</f>
        <v>0</v>
      </c>
      <c r="AV23" s="746">
        <f>ROUND(CantidadesConsolidadas[[#This Row],[48590]]*$D23,0)</f>
        <v>0</v>
      </c>
      <c r="AW23" s="746">
        <f>ROUND(CantidadesConsolidadas[[#This Row],[48561]]*$D23,0)</f>
        <v>0</v>
      </c>
      <c r="AX23" s="746">
        <f>ROUND(CantidadesConsolidadas[[#This Row],[48560]]*$D23,0)</f>
        <v>0</v>
      </c>
      <c r="AY23" s="746">
        <f>ROUND(CantidadesConsolidadas[[#This Row],[48657]]*$D23,0)</f>
        <v>0</v>
      </c>
      <c r="AZ23" s="746">
        <f>ROUND(CantidadesConsolidadas[[#This Row],[48655]]*$D23,0)</f>
        <v>0</v>
      </c>
      <c r="BA23" s="806">
        <f>SUBTOTAL(9,CostoDirecto[[#This Row],[91013913]:[174353]])</f>
        <v>587781825</v>
      </c>
      <c r="BB23" s="806">
        <f>SUBTOTAL(9,CostoDirecto[[#This Row],[52531]:[48655]])</f>
        <v>0</v>
      </c>
    </row>
    <row r="24" spans="1:54" x14ac:dyDescent="0.3">
      <c r="A24">
        <v>4598</v>
      </c>
      <c r="B24" s="606" t="str">
        <f>+_xlfn.XLOOKUP(CostoDirecto[[#This Row],[cod Idu]],APU_IDU[Código],APU_IDU[Nombre],"",0)</f>
        <v>SELLO DE GRIETAS</v>
      </c>
      <c r="C24" s="609" t="str">
        <f>+_xlfn.XLOOKUP(CostoDirecto[[#This Row],[cod Idu]],APU_IDU[Código],APU_IDU[UM],"",0)</f>
        <v>ML</v>
      </c>
      <c r="D24" s="745">
        <f>+_xlfn.XLOOKUP(CostoDirecto[[#This Row],[cod Idu]],APU_IDU[Código],APU_IDU[Valor],"",0)</f>
        <v>12196</v>
      </c>
      <c r="E24" s="728">
        <f>ROUND(CantidadesConsolidadas[[#This Row],[91013913]]*$D24,0)</f>
        <v>0</v>
      </c>
      <c r="F24" s="728">
        <f>ROUND(CantidadesConsolidadas[[#This Row],[472330]]*$D24,0)</f>
        <v>0</v>
      </c>
      <c r="G24" s="728">
        <f>ROUND(CantidadesConsolidadas[[#This Row],[167810]]*$D24,0)</f>
        <v>0</v>
      </c>
      <c r="H24" s="728">
        <f>ROUND(CantidadesConsolidadas[[#This Row],[166646]]*$D24,0)</f>
        <v>0</v>
      </c>
      <c r="I24" s="728">
        <f>ROUND(CantidadesConsolidadas[[#This Row],[167491]]*$D24,0)</f>
        <v>0</v>
      </c>
      <c r="J24" s="728">
        <f>ROUND(CantidadesConsolidadas[[#This Row],[167266]]*$D24,0)</f>
        <v>0</v>
      </c>
      <c r="K24" s="728">
        <f>ROUND(CantidadesConsolidadas[[#This Row],[170896]]*$D24,0)</f>
        <v>0</v>
      </c>
      <c r="L24" s="728">
        <f>ROUND(CantidadesConsolidadas[[#This Row],[170897]]*$D24,0)</f>
        <v>0</v>
      </c>
      <c r="M24" s="728">
        <f>ROUND(CantidadesConsolidadas[[#This Row],[170898]]*$D24,0)</f>
        <v>0</v>
      </c>
      <c r="N24" s="728">
        <f>ROUND(CantidadesConsolidadas[[#This Row],[91064150]]*$D24,0)</f>
        <v>0</v>
      </c>
      <c r="O24" s="728">
        <f>ROUND(CantidadesConsolidadas[[#This Row],[168919]]*$D24,0)</f>
        <v>0</v>
      </c>
      <c r="P24" s="728">
        <f>ROUND(CantidadesConsolidadas[[#This Row],[168426]]*$D24,0)</f>
        <v>0</v>
      </c>
      <c r="Q24" s="728">
        <f>ROUND(CantidadesConsolidadas[[#This Row],[91020796]]*$D24,0)</f>
        <v>0</v>
      </c>
      <c r="R24" s="728">
        <f>ROUND(CantidadesConsolidadas[[#This Row],[176184]]*$D24,0)</f>
        <v>0</v>
      </c>
      <c r="S24" s="728">
        <f>ROUND(CantidadesConsolidadas[[#This Row],[167636]]*$D24,0)</f>
        <v>0</v>
      </c>
      <c r="T24" s="728">
        <f>ROUND(CantidadesConsolidadas[[#This Row],[176730]]*$D24,0)</f>
        <v>0</v>
      </c>
      <c r="U24" s="728">
        <f>ROUND(CantidadesConsolidadas[[#This Row],[173038]]*$D24,0)</f>
        <v>0</v>
      </c>
      <c r="V24" s="728">
        <f>ROUND(CantidadesConsolidadas[[#This Row],[170222]]*$D24,0)</f>
        <v>0</v>
      </c>
      <c r="W24" s="728">
        <f>ROUND(CantidadesConsolidadas[[#This Row],[170229]]*$D24,0)</f>
        <v>0</v>
      </c>
      <c r="X24" s="728">
        <f>ROUND(CantidadesConsolidadas[[#This Row],[170227]]*$D24,0)</f>
        <v>0</v>
      </c>
      <c r="Y24" s="728">
        <f>ROUND(CantidadesConsolidadas[[#This Row],[170226]]*$D24,0)</f>
        <v>0</v>
      </c>
      <c r="Z24" s="728">
        <f>ROUND(CantidadesConsolidadas[[#This Row],[171567]]*$D24,0)</f>
        <v>12196</v>
      </c>
      <c r="AA24" s="728">
        <f>ROUND(CantidadesConsolidadas[[#This Row],[166632]]*$D24,0)</f>
        <v>0</v>
      </c>
      <c r="AB24" s="728">
        <f>ROUND(CantidadesConsolidadas[[#This Row],[170228]]*$D24,0)</f>
        <v>0</v>
      </c>
      <c r="AC24" s="728">
        <f>ROUND(CantidadesConsolidadas[[#This Row],[172926]]*$D24,0)</f>
        <v>0</v>
      </c>
      <c r="AD24" s="728">
        <f>ROUND(CantidadesConsolidadas[[#This Row],[171152]]*$D24,0)</f>
        <v>0</v>
      </c>
      <c r="AE24" s="728">
        <f>ROUND(CantidadesConsolidadas[[#This Row],[173058]]*$D24,0)</f>
        <v>12196</v>
      </c>
      <c r="AF24" s="728">
        <f>ROUND(CantidadesConsolidadas[[#This Row],[174478]]*$D24,0)</f>
        <v>12196</v>
      </c>
      <c r="AG24" s="728">
        <f>ROUND(CantidadesConsolidadas[[#This Row],[91010089]]*$D24,0)</f>
        <v>12196</v>
      </c>
      <c r="AH24" s="728">
        <f>ROUND(CantidadesConsolidadas[[#This Row],[176122]]*$D24,0)</f>
        <v>12196</v>
      </c>
      <c r="AI24" s="728">
        <f>ROUND(CantidadesConsolidadas[[#This Row],[168536]]*$D24,0)</f>
        <v>12196</v>
      </c>
      <c r="AJ24" s="728">
        <f>ROUND(CantidadesConsolidadas[[#This Row],[166934]]*$D24,0)</f>
        <v>12196</v>
      </c>
      <c r="AK24" s="728">
        <f>ROUND(CantidadesConsolidadas[[#This Row],[174353]]*$D24,0)</f>
        <v>12196</v>
      </c>
      <c r="AL24" s="747">
        <f>ROUND(CantidadesConsolidadas[[#This Row],[52531]]*$D24,0)</f>
        <v>0</v>
      </c>
      <c r="AM24" s="746">
        <f>ROUND(CantidadesConsolidadas[[#This Row],[52456]]*$D24,0)</f>
        <v>0</v>
      </c>
      <c r="AN24" s="746">
        <f>ROUND(CantidadesConsolidadas[[#This Row],[92058103]]*$D24,0)</f>
        <v>0</v>
      </c>
      <c r="AO24" s="746">
        <f>ROUND(CantidadesConsolidadas[[#This Row],[20011114]]*$D24,0)</f>
        <v>0</v>
      </c>
      <c r="AP24" s="746">
        <f>ROUND(CantidadesConsolidadas[[#This Row],[20013540]]*$D24,0)</f>
        <v>0</v>
      </c>
      <c r="AQ24" s="746">
        <f>ROUND(CantidadesConsolidadas[[#This Row],[55337]]*$D24,0)</f>
        <v>0</v>
      </c>
      <c r="AR24" s="746">
        <f>ROUND(CantidadesConsolidadas[[#This Row],[92087422]]*$D24,0)</f>
        <v>0</v>
      </c>
      <c r="AS24" s="746">
        <f>ROUND(CantidadesConsolidadas[[#This Row],[55259]]*$D24,0)</f>
        <v>0</v>
      </c>
      <c r="AT24" s="746">
        <f>ROUND(CantidadesConsolidadas[[#This Row],[466904]]*$D24,0)</f>
        <v>0</v>
      </c>
      <c r="AU24" s="746">
        <f>ROUND(CantidadesConsolidadas[[#This Row],[48591]]*$D24,0)</f>
        <v>0</v>
      </c>
      <c r="AV24" s="746">
        <f>ROUND(CantidadesConsolidadas[[#This Row],[48590]]*$D24,0)</f>
        <v>0</v>
      </c>
      <c r="AW24" s="746">
        <f>ROUND(CantidadesConsolidadas[[#This Row],[48561]]*$D24,0)</f>
        <v>0</v>
      </c>
      <c r="AX24" s="746">
        <f>ROUND(CantidadesConsolidadas[[#This Row],[48560]]*$D24,0)</f>
        <v>0</v>
      </c>
      <c r="AY24" s="746">
        <f>ROUND(CantidadesConsolidadas[[#This Row],[48657]]*$D24,0)</f>
        <v>0</v>
      </c>
      <c r="AZ24" s="746">
        <f>ROUND(CantidadesConsolidadas[[#This Row],[48655]]*$D24,0)</f>
        <v>0</v>
      </c>
      <c r="BA24" s="806">
        <f>SUBTOTAL(9,CostoDirecto[[#This Row],[91013913]:[174353]])</f>
        <v>97568</v>
      </c>
      <c r="BB24" s="806">
        <f>SUBTOTAL(9,CostoDirecto[[#This Row],[52531]:[48655]])</f>
        <v>0</v>
      </c>
    </row>
    <row r="25" spans="1:54" ht="43.2" x14ac:dyDescent="0.3">
      <c r="A25">
        <v>5843</v>
      </c>
      <c r="B25" s="606" t="str">
        <f>+_xlfn.XLOOKUP(CostoDirecto[[#This Row],[cod Idu]],APU_IDU[Código],APU_IDU[Nombre],"",0)</f>
        <v>GEOMALLA BIAXIAL PARA EL CONTROL DEL REFLEJO DE AGRIETAMIENTO EN CAPAS DE CONCRETO ASFALTICO, CON MODULO DE TENSION CICLICA MINIMO DE 2340 KN/M. (INCLUYE SUMINISTRO E INSTALACION).</v>
      </c>
      <c r="C25" s="609" t="str">
        <f>+_xlfn.XLOOKUP(CostoDirecto[[#This Row],[cod Idu]],APU_IDU[Código],APU_IDU[UM],"",0)</f>
        <v>M2</v>
      </c>
      <c r="D25" s="745">
        <f>+_xlfn.XLOOKUP(CostoDirecto[[#This Row],[cod Idu]],APU_IDU[Código],APU_IDU[Valor],"",0)</f>
        <v>33937</v>
      </c>
      <c r="E25" s="728">
        <f>ROUND(CantidadesConsolidadas[[#This Row],[91013913]]*$D25,0)</f>
        <v>50534908</v>
      </c>
      <c r="F25" s="728">
        <f>ROUND(CantidadesConsolidadas[[#This Row],[472330]]*$D25,0)</f>
        <v>24638262</v>
      </c>
      <c r="G25" s="728">
        <f>ROUND(CantidadesConsolidadas[[#This Row],[167810]]*$D25,0)</f>
        <v>26508869</v>
      </c>
      <c r="H25" s="728">
        <f>ROUND(CantidadesConsolidadas[[#This Row],[166646]]*$D25,0)</f>
        <v>16113627</v>
      </c>
      <c r="I25" s="728">
        <f>ROUND(CantidadesConsolidadas[[#This Row],[167491]]*$D25,0)</f>
        <v>15003887</v>
      </c>
      <c r="J25" s="728">
        <f>ROUND(CantidadesConsolidadas[[#This Row],[167266]]*$D25,0)</f>
        <v>19242618</v>
      </c>
      <c r="K25" s="728">
        <f>ROUND(CantidadesConsolidadas[[#This Row],[170896]]*$D25,0)</f>
        <v>3818591</v>
      </c>
      <c r="L25" s="728">
        <f>ROUND(CantidadesConsolidadas[[#This Row],[170897]]*$D25,0)</f>
        <v>4257057</v>
      </c>
      <c r="M25" s="728">
        <f>ROUND(CantidadesConsolidadas[[#This Row],[170898]]*$D25,0)</f>
        <v>1693117</v>
      </c>
      <c r="N25" s="728">
        <f>ROUND(CantidadesConsolidadas[[#This Row],[91064150]]*$D25,0)</f>
        <v>5033196</v>
      </c>
      <c r="O25" s="728">
        <f>ROUND(CantidadesConsolidadas[[#This Row],[168919]]*$D25,0)</f>
        <v>16440101</v>
      </c>
      <c r="P25" s="728">
        <f>ROUND(CantidadesConsolidadas[[#This Row],[168426]]*$D25,0)</f>
        <v>14481597</v>
      </c>
      <c r="Q25" s="728">
        <f>ROUND(CantidadesConsolidadas[[#This Row],[91020796]]*$D25,0)</f>
        <v>3963163</v>
      </c>
      <c r="R25" s="728">
        <f>ROUND(CantidadesConsolidadas[[#This Row],[176184]]*$D25,0)</f>
        <v>8065128</v>
      </c>
      <c r="S25" s="728">
        <f>ROUND(CantidadesConsolidadas[[#This Row],[167636]]*$D25,0)</f>
        <v>18102335</v>
      </c>
      <c r="T25" s="728">
        <f>ROUND(CantidadesConsolidadas[[#This Row],[176730]]*$D25,0)</f>
        <v>4911023</v>
      </c>
      <c r="U25" s="728">
        <f>ROUND(CantidadesConsolidadas[[#This Row],[173038]]*$D25,0)</f>
        <v>16813069</v>
      </c>
      <c r="V25" s="728">
        <f>ROUND(CantidadesConsolidadas[[#This Row],[170222]]*$D25,0)</f>
        <v>28704933</v>
      </c>
      <c r="W25" s="728">
        <f>ROUND(CantidadesConsolidadas[[#This Row],[170229]]*$D25,0)</f>
        <v>2576497</v>
      </c>
      <c r="X25" s="728">
        <f>ROUND(CantidadesConsolidadas[[#This Row],[170227]]*$D25,0)</f>
        <v>6377780</v>
      </c>
      <c r="Y25" s="728">
        <f>ROUND(CantidadesConsolidadas[[#This Row],[170226]]*$D25,0)</f>
        <v>3493814</v>
      </c>
      <c r="Z25" s="728">
        <f>ROUND(CantidadesConsolidadas[[#This Row],[171567]]*$D25,0)</f>
        <v>0</v>
      </c>
      <c r="AA25" s="728">
        <f>ROUND(CantidadesConsolidadas[[#This Row],[166632]]*$D25,0)</f>
        <v>11109277</v>
      </c>
      <c r="AB25" s="728">
        <f>ROUND(CantidadesConsolidadas[[#This Row],[170228]]*$D25,0)</f>
        <v>6961836</v>
      </c>
      <c r="AC25" s="728">
        <f>ROUND(CantidadesConsolidadas[[#This Row],[172926]]*$D25,0)</f>
        <v>4901521</v>
      </c>
      <c r="AD25" s="728">
        <f>ROUND(CantidadesConsolidadas[[#This Row],[171152]]*$D25,0)</f>
        <v>25489063</v>
      </c>
      <c r="AE25" s="728">
        <f>ROUND(CantidadesConsolidadas[[#This Row],[173058]]*$D25,0)</f>
        <v>6674390</v>
      </c>
      <c r="AF25" s="728">
        <f>ROUND(CantidadesConsolidadas[[#This Row],[174478]]*$D25,0)</f>
        <v>31363897</v>
      </c>
      <c r="AG25" s="728">
        <f>ROUND(CantidadesConsolidadas[[#This Row],[91010089]]*$D25,0)</f>
        <v>10087095</v>
      </c>
      <c r="AH25" s="728">
        <f>ROUND(CantidadesConsolidadas[[#This Row],[176122]]*$D25,0)</f>
        <v>23550921</v>
      </c>
      <c r="AI25" s="728">
        <f>ROUND(CantidadesConsolidadas[[#This Row],[168536]]*$D25,0)</f>
        <v>20570573</v>
      </c>
      <c r="AJ25" s="728">
        <f>ROUND(CantidadesConsolidadas[[#This Row],[166934]]*$D25,0)</f>
        <v>31870576</v>
      </c>
      <c r="AK25" s="728">
        <f>ROUND(CantidadesConsolidadas[[#This Row],[174353]]*$D25,0)</f>
        <v>17837287</v>
      </c>
      <c r="AL25" s="747">
        <f>ROUND(CantidadesConsolidadas[[#This Row],[52531]]*$D25,0)</f>
        <v>0</v>
      </c>
      <c r="AM25" s="746">
        <f>ROUND(CantidadesConsolidadas[[#This Row],[52456]]*$D25,0)</f>
        <v>0</v>
      </c>
      <c r="AN25" s="746">
        <f>ROUND(CantidadesConsolidadas[[#This Row],[92058103]]*$D25,0)</f>
        <v>0</v>
      </c>
      <c r="AO25" s="746">
        <f>ROUND(CantidadesConsolidadas[[#This Row],[20011114]]*$D25,0)</f>
        <v>0</v>
      </c>
      <c r="AP25" s="746">
        <f>ROUND(CantidadesConsolidadas[[#This Row],[20013540]]*$D25,0)</f>
        <v>0</v>
      </c>
      <c r="AQ25" s="746">
        <f>ROUND(CantidadesConsolidadas[[#This Row],[55337]]*$D25,0)</f>
        <v>0</v>
      </c>
      <c r="AR25" s="746">
        <f>ROUND(CantidadesConsolidadas[[#This Row],[92087422]]*$D25,0)</f>
        <v>0</v>
      </c>
      <c r="AS25" s="746">
        <f>ROUND(CantidadesConsolidadas[[#This Row],[55259]]*$D25,0)</f>
        <v>0</v>
      </c>
      <c r="AT25" s="746">
        <f>ROUND(CantidadesConsolidadas[[#This Row],[466904]]*$D25,0)</f>
        <v>0</v>
      </c>
      <c r="AU25" s="746">
        <f>ROUND(CantidadesConsolidadas[[#This Row],[48591]]*$D25,0)</f>
        <v>0</v>
      </c>
      <c r="AV25" s="746">
        <f>ROUND(CantidadesConsolidadas[[#This Row],[48590]]*$D25,0)</f>
        <v>0</v>
      </c>
      <c r="AW25" s="746">
        <f>ROUND(CantidadesConsolidadas[[#This Row],[48561]]*$D25,0)</f>
        <v>0</v>
      </c>
      <c r="AX25" s="746">
        <f>ROUND(CantidadesConsolidadas[[#This Row],[48560]]*$D25,0)</f>
        <v>0</v>
      </c>
      <c r="AY25" s="746">
        <f>ROUND(CantidadesConsolidadas[[#This Row],[48657]]*$D25,0)</f>
        <v>0</v>
      </c>
      <c r="AZ25" s="746">
        <f>ROUND(CantidadesConsolidadas[[#This Row],[48655]]*$D25,0)</f>
        <v>0</v>
      </c>
      <c r="BA25" s="806">
        <f>SUBTOTAL(9,CostoDirecto[[#This Row],[91013913]:[174353]])</f>
        <v>481190008</v>
      </c>
      <c r="BB25" s="806">
        <f>SUBTOTAL(9,CostoDirecto[[#This Row],[52531]:[48655]])</f>
        <v>0</v>
      </c>
    </row>
    <row r="26" spans="1:54" ht="57.6" x14ac:dyDescent="0.3">
      <c r="A26">
        <v>4246</v>
      </c>
      <c r="B26" s="606" t="str">
        <f>+_xlfn.XLOOKUP(CostoDirecto[[#This Row],[cod Idu]],APU_IDU[Código],APU_IDU[Nombre],"",0)</f>
        <v>FLECHA DIRECCIONAL "DE FRENTE" (E=2.3MM,TERMOPLÁSTICA. INC. SUMINISTRO Y APLICACIÓN CON EQUIPO. INC MICROESFERAS). MARCA VIAL PARA VELOCIDADES MENORES O IGUALES A 60 KM/H AREA DE LA MARCA: 1.20 M2.</v>
      </c>
      <c r="C26" s="609" t="str">
        <f>+_xlfn.XLOOKUP(CostoDirecto[[#This Row],[cod Idu]],APU_IDU[Código],APU_IDU[UM],"",0)</f>
        <v>UN</v>
      </c>
      <c r="D26" s="745">
        <f>+_xlfn.XLOOKUP(CostoDirecto[[#This Row],[cod Idu]],APU_IDU[Código],APU_IDU[Valor],"",0)</f>
        <v>206205</v>
      </c>
      <c r="E26" s="728">
        <f>ROUND(CantidadesConsolidadas[[#This Row],[91013913]]*$D26,0)</f>
        <v>412410</v>
      </c>
      <c r="F26" s="728">
        <f>ROUND(CantidadesConsolidadas[[#This Row],[472330]]*$D26,0)</f>
        <v>0</v>
      </c>
      <c r="G26" s="728">
        <f>ROUND(CantidadesConsolidadas[[#This Row],[167810]]*$D26,0)</f>
        <v>412410</v>
      </c>
      <c r="H26" s="728">
        <f>ROUND(CantidadesConsolidadas[[#This Row],[166646]]*$D26,0)</f>
        <v>0</v>
      </c>
      <c r="I26" s="728">
        <f>ROUND(CantidadesConsolidadas[[#This Row],[167491]]*$D26,0)</f>
        <v>412410</v>
      </c>
      <c r="J26" s="728">
        <f>ROUND(CantidadesConsolidadas[[#This Row],[167266]]*$D26,0)</f>
        <v>412410</v>
      </c>
      <c r="K26" s="728">
        <f>ROUND(CantidadesConsolidadas[[#This Row],[170896]]*$D26,0)</f>
        <v>412410</v>
      </c>
      <c r="L26" s="728">
        <f>ROUND(CantidadesConsolidadas[[#This Row],[170897]]*$D26,0)</f>
        <v>0</v>
      </c>
      <c r="M26" s="728">
        <f>ROUND(CantidadesConsolidadas[[#This Row],[170898]]*$D26,0)</f>
        <v>0</v>
      </c>
      <c r="N26" s="728">
        <f>ROUND(CantidadesConsolidadas[[#This Row],[91064150]]*$D26,0)</f>
        <v>412410</v>
      </c>
      <c r="O26" s="728">
        <f>ROUND(CantidadesConsolidadas[[#This Row],[168919]]*$D26,0)</f>
        <v>0</v>
      </c>
      <c r="P26" s="728">
        <f>ROUND(CantidadesConsolidadas[[#This Row],[168426]]*$D26,0)</f>
        <v>412410</v>
      </c>
      <c r="Q26" s="728">
        <f>ROUND(CantidadesConsolidadas[[#This Row],[91020796]]*$D26,0)</f>
        <v>412410</v>
      </c>
      <c r="R26" s="728">
        <f>ROUND(CantidadesConsolidadas[[#This Row],[176184]]*$D26,0)</f>
        <v>0</v>
      </c>
      <c r="S26" s="728">
        <f>ROUND(CantidadesConsolidadas[[#This Row],[167636]]*$D26,0)</f>
        <v>0</v>
      </c>
      <c r="T26" s="728">
        <f>ROUND(CantidadesConsolidadas[[#This Row],[176730]]*$D26,0)</f>
        <v>0</v>
      </c>
      <c r="U26" s="728">
        <f>ROUND(CantidadesConsolidadas[[#This Row],[173038]]*$D26,0)</f>
        <v>412410</v>
      </c>
      <c r="V26" s="728">
        <f>ROUND(CantidadesConsolidadas[[#This Row],[170222]]*$D26,0)</f>
        <v>412410</v>
      </c>
      <c r="W26" s="728">
        <f>ROUND(CantidadesConsolidadas[[#This Row],[170229]]*$D26,0)</f>
        <v>412410</v>
      </c>
      <c r="X26" s="728">
        <f>ROUND(CantidadesConsolidadas[[#This Row],[170227]]*$D26,0)</f>
        <v>0</v>
      </c>
      <c r="Y26" s="728">
        <f>ROUND(CantidadesConsolidadas[[#This Row],[170226]]*$D26,0)</f>
        <v>0</v>
      </c>
      <c r="Z26" s="728">
        <f>ROUND(CantidadesConsolidadas[[#This Row],[171567]]*$D26,0)</f>
        <v>412410</v>
      </c>
      <c r="AA26" s="728">
        <f>ROUND(CantidadesConsolidadas[[#This Row],[166632]]*$D26,0)</f>
        <v>412410</v>
      </c>
      <c r="AB26" s="728">
        <f>ROUND(CantidadesConsolidadas[[#This Row],[170228]]*$D26,0)</f>
        <v>0</v>
      </c>
      <c r="AC26" s="728">
        <f>ROUND(CantidadesConsolidadas[[#This Row],[172926]]*$D26,0)</f>
        <v>0</v>
      </c>
      <c r="AD26" s="728">
        <f>ROUND(CantidadesConsolidadas[[#This Row],[171152]]*$D26,0)</f>
        <v>412410</v>
      </c>
      <c r="AE26" s="728">
        <f>ROUND(CantidadesConsolidadas[[#This Row],[173058]]*$D26,0)</f>
        <v>412410</v>
      </c>
      <c r="AF26" s="728">
        <f>ROUND(CantidadesConsolidadas[[#This Row],[174478]]*$D26,0)</f>
        <v>618615</v>
      </c>
      <c r="AG26" s="728">
        <f>ROUND(CantidadesConsolidadas[[#This Row],[91010089]]*$D26,0)</f>
        <v>824820</v>
      </c>
      <c r="AH26" s="728">
        <f>ROUND(CantidadesConsolidadas[[#This Row],[176122]]*$D26,0)</f>
        <v>1031025</v>
      </c>
      <c r="AI26" s="728">
        <f>ROUND(CantidadesConsolidadas[[#This Row],[168536]]*$D26,0)</f>
        <v>1237230</v>
      </c>
      <c r="AJ26" s="728">
        <f>ROUND(CantidadesConsolidadas[[#This Row],[166934]]*$D26,0)</f>
        <v>1443435</v>
      </c>
      <c r="AK26" s="728">
        <f>ROUND(CantidadesConsolidadas[[#This Row],[174353]]*$D26,0)</f>
        <v>1443435</v>
      </c>
      <c r="AL26" s="747">
        <f>ROUND(CantidadesConsolidadas[[#This Row],[52531]]*$D26,0)</f>
        <v>0</v>
      </c>
      <c r="AM26" s="746">
        <f>ROUND(CantidadesConsolidadas[[#This Row],[52456]]*$D26,0)</f>
        <v>0</v>
      </c>
      <c r="AN26" s="746">
        <f>ROUND(CantidadesConsolidadas[[#This Row],[92058103]]*$D26,0)</f>
        <v>0</v>
      </c>
      <c r="AO26" s="746">
        <f>ROUND(CantidadesConsolidadas[[#This Row],[20011114]]*$D26,0)</f>
        <v>0</v>
      </c>
      <c r="AP26" s="746">
        <f>ROUND(CantidadesConsolidadas[[#This Row],[20013540]]*$D26,0)</f>
        <v>0</v>
      </c>
      <c r="AQ26" s="746">
        <f>ROUND(CantidadesConsolidadas[[#This Row],[55337]]*$D26,0)</f>
        <v>0</v>
      </c>
      <c r="AR26" s="746">
        <f>ROUND(CantidadesConsolidadas[[#This Row],[92087422]]*$D26,0)</f>
        <v>0</v>
      </c>
      <c r="AS26" s="746">
        <f>ROUND(CantidadesConsolidadas[[#This Row],[55259]]*$D26,0)</f>
        <v>0</v>
      </c>
      <c r="AT26" s="746">
        <f>ROUND(CantidadesConsolidadas[[#This Row],[466904]]*$D26,0)</f>
        <v>0</v>
      </c>
      <c r="AU26" s="746">
        <f>ROUND(CantidadesConsolidadas[[#This Row],[48591]]*$D26,0)</f>
        <v>0</v>
      </c>
      <c r="AV26" s="746">
        <f>ROUND(CantidadesConsolidadas[[#This Row],[48590]]*$D26,0)</f>
        <v>0</v>
      </c>
      <c r="AW26" s="746">
        <f>ROUND(CantidadesConsolidadas[[#This Row],[48561]]*$D26,0)</f>
        <v>0</v>
      </c>
      <c r="AX26" s="746">
        <f>ROUND(CantidadesConsolidadas[[#This Row],[48560]]*$D26,0)</f>
        <v>0</v>
      </c>
      <c r="AY26" s="746">
        <f>ROUND(CantidadesConsolidadas[[#This Row],[48657]]*$D26,0)</f>
        <v>0</v>
      </c>
      <c r="AZ26" s="746">
        <f>ROUND(CantidadesConsolidadas[[#This Row],[48655]]*$D26,0)</f>
        <v>0</v>
      </c>
      <c r="BA26" s="806">
        <f>SUBTOTAL(9,CostoDirecto[[#This Row],[91013913]:[174353]])</f>
        <v>12784710</v>
      </c>
      <c r="BB26" s="806">
        <f>SUBTOTAL(9,CostoDirecto[[#This Row],[52531]:[48655]])</f>
        <v>0</v>
      </c>
    </row>
    <row r="27" spans="1:54" ht="28.8" x14ac:dyDescent="0.3">
      <c r="A27">
        <v>4248</v>
      </c>
      <c r="B27" s="606" t="str">
        <f>+_xlfn.XLOOKUP(CostoDirecto[[#This Row],[cod Idu]],APU_IDU[Código],APU_IDU[Nombre],"",0)</f>
        <v>DEMARCACION PASO PEATONAL-CEBRA (E=2.3MM,TERMOPLÁSTICA. INC. SUMINISTRO Y APLICACIÓN CON EQUIPO. INC MICROESFERAS)</v>
      </c>
      <c r="C27" s="609" t="str">
        <f>+_xlfn.XLOOKUP(CostoDirecto[[#This Row],[cod Idu]],APU_IDU[Código],APU_IDU[UM],"",0)</f>
        <v>M2</v>
      </c>
      <c r="D27" s="745">
        <f>+_xlfn.XLOOKUP(CostoDirecto[[#This Row],[cod Idu]],APU_IDU[Código],APU_IDU[Valor],"",0)</f>
        <v>171837</v>
      </c>
      <c r="E27" s="728">
        <f>ROUND(CantidadesConsolidadas[[#This Row],[91013913]]*$D27,0)</f>
        <v>1331737</v>
      </c>
      <c r="F27" s="728">
        <f>ROUND(CantidadesConsolidadas[[#This Row],[472330]]*$D27,0)</f>
        <v>0</v>
      </c>
      <c r="G27" s="728">
        <f>ROUND(CantidadesConsolidadas[[#This Row],[167810]]*$D27,0)</f>
        <v>1065389</v>
      </c>
      <c r="H27" s="728">
        <f>ROUND(CantidadesConsolidadas[[#This Row],[166646]]*$D27,0)</f>
        <v>0</v>
      </c>
      <c r="I27" s="728">
        <f>ROUND(CantidadesConsolidadas[[#This Row],[167491]]*$D27,0)</f>
        <v>886679</v>
      </c>
      <c r="J27" s="728">
        <f>ROUND(CantidadesConsolidadas[[#This Row],[167266]]*$D27,0)</f>
        <v>1087728</v>
      </c>
      <c r="K27" s="728">
        <f>ROUND(CantidadesConsolidadas[[#This Row],[170896]]*$D27,0)</f>
        <v>787013</v>
      </c>
      <c r="L27" s="728">
        <f>ROUND(CantidadesConsolidadas[[#This Row],[170897]]*$D27,0)</f>
        <v>0</v>
      </c>
      <c r="M27" s="728">
        <f>ROUND(CantidadesConsolidadas[[#This Row],[170898]]*$D27,0)</f>
        <v>0</v>
      </c>
      <c r="N27" s="728">
        <f>ROUND(CantidadesConsolidadas[[#This Row],[91064150]]*$D27,0)</f>
        <v>993218</v>
      </c>
      <c r="O27" s="728">
        <f>ROUND(CantidadesConsolidadas[[#This Row],[168919]]*$D27,0)</f>
        <v>0</v>
      </c>
      <c r="P27" s="728">
        <f>ROUND(CantidadesConsolidadas[[#This Row],[168426]]*$D27,0)</f>
        <v>1036177</v>
      </c>
      <c r="Q27" s="728">
        <f>ROUND(CantidadesConsolidadas[[#This Row],[91020796]]*$D27,0)</f>
        <v>1345484</v>
      </c>
      <c r="R27" s="728">
        <f>ROUND(CantidadesConsolidadas[[#This Row],[176184]]*$D27,0)</f>
        <v>0</v>
      </c>
      <c r="S27" s="728">
        <f>ROUND(CantidadesConsolidadas[[#This Row],[167636]]*$D27,0)</f>
        <v>0</v>
      </c>
      <c r="T27" s="728">
        <f>ROUND(CantidadesConsolidadas[[#This Row],[176730]]*$D27,0)</f>
        <v>0</v>
      </c>
      <c r="U27" s="728">
        <f>ROUND(CantidadesConsolidadas[[#This Row],[173038]]*$D27,0)</f>
        <v>1194267</v>
      </c>
      <c r="V27" s="728">
        <f>ROUND(CantidadesConsolidadas[[#This Row],[170222]]*$D27,0)</f>
        <v>1153026</v>
      </c>
      <c r="W27" s="728">
        <f>ROUND(CantidadesConsolidadas[[#This Row],[170229]]*$D27,0)</f>
        <v>1488108</v>
      </c>
      <c r="X27" s="728">
        <f>ROUND(CantidadesConsolidadas[[#This Row],[170227]]*$D27,0)</f>
        <v>0</v>
      </c>
      <c r="Y27" s="728">
        <f>ROUND(CantidadesConsolidadas[[#This Row],[170226]]*$D27,0)</f>
        <v>0</v>
      </c>
      <c r="Z27" s="728">
        <f>ROUND(CantidadesConsolidadas[[#This Row],[171567]]*$D27,0)</f>
        <v>1110067</v>
      </c>
      <c r="AA27" s="728">
        <f>ROUND(CantidadesConsolidadas[[#This Row],[166632]]*$D27,0)</f>
        <v>926201</v>
      </c>
      <c r="AB27" s="728">
        <f>ROUND(CantidadesConsolidadas[[#This Row],[170228]]*$D27,0)</f>
        <v>0</v>
      </c>
      <c r="AC27" s="728">
        <f>ROUND(CantidadesConsolidadas[[#This Row],[172926]]*$D27,0)</f>
        <v>0</v>
      </c>
      <c r="AD27" s="728">
        <f>ROUND(CantidadesConsolidadas[[#This Row],[171152]]*$D27,0)</f>
        <v>1266439</v>
      </c>
      <c r="AE27" s="728">
        <f>ROUND(CantidadesConsolidadas[[#This Row],[173058]]*$D27,0)</f>
        <v>570499</v>
      </c>
      <c r="AF27" s="728">
        <f>ROUND(CantidadesConsolidadas[[#This Row],[174478]]*$D27,0)</f>
        <v>1527631</v>
      </c>
      <c r="AG27" s="728">
        <f>ROUND(CantidadesConsolidadas[[#This Row],[91010089]]*$D27,0)</f>
        <v>922765</v>
      </c>
      <c r="AH27" s="728">
        <f>ROUND(CantidadesConsolidadas[[#This Row],[176122]]*$D27,0)</f>
        <v>1158181</v>
      </c>
      <c r="AI27" s="728">
        <f>ROUND(CantidadesConsolidadas[[#This Row],[168536]]*$D27,0)</f>
        <v>1436557</v>
      </c>
      <c r="AJ27" s="728">
        <f>ROUND(CantidadesConsolidadas[[#This Row],[166934]]*$D27,0)</f>
        <v>1063671</v>
      </c>
      <c r="AK27" s="728">
        <f>ROUND(CantidadesConsolidadas[[#This Row],[174353]]*$D27,0)</f>
        <v>890116</v>
      </c>
      <c r="AL27" s="747">
        <f>ROUND(CantidadesConsolidadas[[#This Row],[52531]]*$D27,0)</f>
        <v>0</v>
      </c>
      <c r="AM27" s="746">
        <f>ROUND(CantidadesConsolidadas[[#This Row],[52456]]*$D27,0)</f>
        <v>0</v>
      </c>
      <c r="AN27" s="746">
        <f>ROUND(CantidadesConsolidadas[[#This Row],[92058103]]*$D27,0)</f>
        <v>0</v>
      </c>
      <c r="AO27" s="746">
        <f>ROUND(CantidadesConsolidadas[[#This Row],[20011114]]*$D27,0)</f>
        <v>0</v>
      </c>
      <c r="AP27" s="746">
        <f>ROUND(CantidadesConsolidadas[[#This Row],[20013540]]*$D27,0)</f>
        <v>0</v>
      </c>
      <c r="AQ27" s="746">
        <f>ROUND(CantidadesConsolidadas[[#This Row],[55337]]*$D27,0)</f>
        <v>0</v>
      </c>
      <c r="AR27" s="746">
        <f>ROUND(CantidadesConsolidadas[[#This Row],[92087422]]*$D27,0)</f>
        <v>0</v>
      </c>
      <c r="AS27" s="746">
        <f>ROUND(CantidadesConsolidadas[[#This Row],[55259]]*$D27,0)</f>
        <v>0</v>
      </c>
      <c r="AT27" s="746">
        <f>ROUND(CantidadesConsolidadas[[#This Row],[466904]]*$D27,0)</f>
        <v>0</v>
      </c>
      <c r="AU27" s="746">
        <f>ROUND(CantidadesConsolidadas[[#This Row],[48591]]*$D27,0)</f>
        <v>0</v>
      </c>
      <c r="AV27" s="746">
        <f>ROUND(CantidadesConsolidadas[[#This Row],[48590]]*$D27,0)</f>
        <v>0</v>
      </c>
      <c r="AW27" s="746">
        <f>ROUND(CantidadesConsolidadas[[#This Row],[48561]]*$D27,0)</f>
        <v>0</v>
      </c>
      <c r="AX27" s="746">
        <f>ROUND(CantidadesConsolidadas[[#This Row],[48560]]*$D27,0)</f>
        <v>0</v>
      </c>
      <c r="AY27" s="746">
        <f>ROUND(CantidadesConsolidadas[[#This Row],[48657]]*$D27,0)</f>
        <v>0</v>
      </c>
      <c r="AZ27" s="746">
        <f>ROUND(CantidadesConsolidadas[[#This Row],[48655]]*$D27,0)</f>
        <v>0</v>
      </c>
      <c r="BA27" s="806">
        <f>SUBTOTAL(9,CostoDirecto[[#This Row],[91013913]:[174353]])</f>
        <v>23240953</v>
      </c>
      <c r="BB27" s="806">
        <f>SUBTOTAL(9,CostoDirecto[[#This Row],[52531]:[48655]])</f>
        <v>0</v>
      </c>
    </row>
    <row r="28" spans="1:54" ht="28.8" x14ac:dyDescent="0.3">
      <c r="A28">
        <v>4242</v>
      </c>
      <c r="B28" s="606" t="str">
        <f>+_xlfn.XLOOKUP(CostoDirecto[[#This Row],[cod Idu]],APU_IDU[Código],APU_IDU[Nombre],"",0)</f>
        <v>DEMARCACION LINEA CONTINUA A=0.15M (E=2.3MM,TERMOPLÁSTICA. INC. SUMINISTRO Y APLICACIÓN CON EQUIPO. INCL. MICROESFERAS)</v>
      </c>
      <c r="C28" s="609" t="str">
        <f>+_xlfn.XLOOKUP(CostoDirecto[[#This Row],[cod Idu]],APU_IDU[Código],APU_IDU[UM],"",0)</f>
        <v>ML</v>
      </c>
      <c r="D28" s="745">
        <f>+_xlfn.XLOOKUP(CostoDirecto[[#This Row],[cod Idu]],APU_IDU[Código],APU_IDU[Valor],"",0)</f>
        <v>25776</v>
      </c>
      <c r="E28" s="728">
        <f>ROUND(CantidadesConsolidadas[[#This Row],[91013913]]*$D28,0)</f>
        <v>9907263</v>
      </c>
      <c r="F28" s="728">
        <f>ROUND(CantidadesConsolidadas[[#This Row],[472330]]*$D28,0)</f>
        <v>5977454</v>
      </c>
      <c r="G28" s="728">
        <f>ROUND(CantidadesConsolidadas[[#This Row],[167810]]*$D28,0)</f>
        <v>6494005</v>
      </c>
      <c r="H28" s="728">
        <f>ROUND(CantidadesConsolidadas[[#This Row],[166646]]*$D28,0)</f>
        <v>4573693</v>
      </c>
      <c r="I28" s="728">
        <f>ROUND(CantidadesConsolidadas[[#This Row],[167491]]*$D28,0)</f>
        <v>4420068</v>
      </c>
      <c r="J28" s="728">
        <f>ROUND(CantidadesConsolidadas[[#This Row],[167266]]*$D28,0)</f>
        <v>4620090</v>
      </c>
      <c r="K28" s="728">
        <f>ROUND(CantidadesConsolidadas[[#This Row],[170896]]*$D28,0)</f>
        <v>1267664</v>
      </c>
      <c r="L28" s="728">
        <f>ROUND(CantidadesConsolidadas[[#This Row],[170897]]*$D28,0)</f>
        <v>1244981</v>
      </c>
      <c r="M28" s="728">
        <f>ROUND(CantidadesConsolidadas[[#This Row],[170898]]*$D28,0)</f>
        <v>445409</v>
      </c>
      <c r="N28" s="728">
        <f>ROUND(CantidadesConsolidadas[[#This Row],[91064150]]*$D28,0)</f>
        <v>1323855</v>
      </c>
      <c r="O28" s="728">
        <f>ROUND(CantidadesConsolidadas[[#This Row],[168919]]*$D28,0)</f>
        <v>3434394</v>
      </c>
      <c r="P28" s="728">
        <f>ROUND(CantidadesConsolidadas[[#This Row],[168426]]*$D28,0)</f>
        <v>3645757</v>
      </c>
      <c r="Q28" s="728">
        <f>ROUND(CantidadesConsolidadas[[#This Row],[91020796]]*$D28,0)</f>
        <v>769156</v>
      </c>
      <c r="R28" s="728">
        <f>ROUND(CantidadesConsolidadas[[#This Row],[176184]]*$D28,0)</f>
        <v>1606360</v>
      </c>
      <c r="S28" s="728">
        <f>ROUND(CantidadesConsolidadas[[#This Row],[167636]]*$D28,0)</f>
        <v>4769591</v>
      </c>
      <c r="T28" s="728">
        <f>ROUND(CantidadesConsolidadas[[#This Row],[176730]]*$D28,0)</f>
        <v>1971864</v>
      </c>
      <c r="U28" s="728">
        <f>ROUND(CantidadesConsolidadas[[#This Row],[173038]]*$D28,0)</f>
        <v>3676689</v>
      </c>
      <c r="V28" s="728">
        <f>ROUND(CantidadesConsolidadas[[#This Row],[170222]]*$D28,0)</f>
        <v>6500192</v>
      </c>
      <c r="W28" s="728">
        <f>ROUND(CantidadesConsolidadas[[#This Row],[170229]]*$D28,0)</f>
        <v>677909</v>
      </c>
      <c r="X28" s="728">
        <f>ROUND(CantidadesConsolidadas[[#This Row],[170227]]*$D28,0)</f>
        <v>1868244</v>
      </c>
      <c r="Y28" s="728">
        <f>ROUND(CantidadesConsolidadas[[#This Row],[170226]]*$D28,0)</f>
        <v>1079499</v>
      </c>
      <c r="Z28" s="728">
        <f>ROUND(CantidadesConsolidadas[[#This Row],[171567]]*$D28,0)</f>
        <v>3130237</v>
      </c>
      <c r="AA28" s="728">
        <f>ROUND(CantidadesConsolidadas[[#This Row],[166632]]*$D28,0)</f>
        <v>3130237</v>
      </c>
      <c r="AB28" s="728">
        <f>ROUND(CantidadesConsolidadas[[#This Row],[170228]]*$D28,0)</f>
        <v>1964647</v>
      </c>
      <c r="AC28" s="728">
        <f>ROUND(CantidadesConsolidadas[[#This Row],[172926]]*$D28,0)</f>
        <v>1353756</v>
      </c>
      <c r="AD28" s="728">
        <f>ROUND(CantidadesConsolidadas[[#This Row],[171152]]*$D28,0)</f>
        <v>5253664</v>
      </c>
      <c r="AE28" s="728">
        <f>ROUND(CantidadesConsolidadas[[#This Row],[173058]]*$D28,0)</f>
        <v>3053425</v>
      </c>
      <c r="AF28" s="728">
        <f>ROUND(CantidadesConsolidadas[[#This Row],[174478]]*$D28,0)</f>
        <v>5357284</v>
      </c>
      <c r="AG28" s="728">
        <f>ROUND(CantidadesConsolidadas[[#This Row],[91010089]]*$D28,0)</f>
        <v>2854950</v>
      </c>
      <c r="AH28" s="728">
        <f>ROUND(CantidadesConsolidadas[[#This Row],[176122]]*$D28,0)</f>
        <v>5306247</v>
      </c>
      <c r="AI28" s="728">
        <f>ROUND(CantidadesConsolidadas[[#This Row],[168536]]*$D28,0)</f>
        <v>3737004</v>
      </c>
      <c r="AJ28" s="728">
        <f>ROUND(CantidadesConsolidadas[[#This Row],[166934]]*$D28,0)</f>
        <v>7827140</v>
      </c>
      <c r="AK28" s="728">
        <f>ROUND(CantidadesConsolidadas[[#This Row],[174353]]*$D28,0)</f>
        <v>5229435</v>
      </c>
      <c r="AL28" s="747">
        <f>ROUND(CantidadesConsolidadas[[#This Row],[52531]]*$D28,0)</f>
        <v>0</v>
      </c>
      <c r="AM28" s="746">
        <f>ROUND(CantidadesConsolidadas[[#This Row],[52456]]*$D28,0)</f>
        <v>0</v>
      </c>
      <c r="AN28" s="746">
        <f>ROUND(CantidadesConsolidadas[[#This Row],[92058103]]*$D28,0)</f>
        <v>0</v>
      </c>
      <c r="AO28" s="746">
        <f>ROUND(CantidadesConsolidadas[[#This Row],[20011114]]*$D28,0)</f>
        <v>0</v>
      </c>
      <c r="AP28" s="746">
        <f>ROUND(CantidadesConsolidadas[[#This Row],[20013540]]*$D28,0)</f>
        <v>0</v>
      </c>
      <c r="AQ28" s="746">
        <f>ROUND(CantidadesConsolidadas[[#This Row],[55337]]*$D28,0)</f>
        <v>0</v>
      </c>
      <c r="AR28" s="746">
        <f>ROUND(CantidadesConsolidadas[[#This Row],[92087422]]*$D28,0)</f>
        <v>0</v>
      </c>
      <c r="AS28" s="746">
        <f>ROUND(CantidadesConsolidadas[[#This Row],[55259]]*$D28,0)</f>
        <v>0</v>
      </c>
      <c r="AT28" s="746">
        <f>ROUND(CantidadesConsolidadas[[#This Row],[466904]]*$D28,0)</f>
        <v>0</v>
      </c>
      <c r="AU28" s="746">
        <f>ROUND(CantidadesConsolidadas[[#This Row],[48591]]*$D28,0)</f>
        <v>0</v>
      </c>
      <c r="AV28" s="746">
        <f>ROUND(CantidadesConsolidadas[[#This Row],[48590]]*$D28,0)</f>
        <v>0</v>
      </c>
      <c r="AW28" s="746">
        <f>ROUND(CantidadesConsolidadas[[#This Row],[48561]]*$D28,0)</f>
        <v>0</v>
      </c>
      <c r="AX28" s="746">
        <f>ROUND(CantidadesConsolidadas[[#This Row],[48560]]*$D28,0)</f>
        <v>0</v>
      </c>
      <c r="AY28" s="746">
        <f>ROUND(CantidadesConsolidadas[[#This Row],[48657]]*$D28,0)</f>
        <v>0</v>
      </c>
      <c r="AZ28" s="746">
        <f>ROUND(CantidadesConsolidadas[[#This Row],[48655]]*$D28,0)</f>
        <v>0</v>
      </c>
      <c r="BA28" s="806">
        <f>SUBTOTAL(9,CostoDirecto[[#This Row],[91013913]:[174353]])</f>
        <v>118472163</v>
      </c>
      <c r="BB28" s="806">
        <f>SUBTOTAL(9,CostoDirecto[[#This Row],[52531]:[48655]])</f>
        <v>0</v>
      </c>
    </row>
    <row r="29" spans="1:54" ht="28.8" x14ac:dyDescent="0.3">
      <c r="A29">
        <v>3723</v>
      </c>
      <c r="B29" s="606" t="str">
        <f>+_xlfn.XLOOKUP(CostoDirecto[[#This Row],[cod Idu]],APU_IDU[Código],APU_IDU[Nombre],"",0)</f>
        <v>LIMPIEZA DE POZOS (INCLUYE CARGUE, RETIRO Y DISPOSICIÓN FINAL DE SOBRANTES)</v>
      </c>
      <c r="C29" s="609" t="str">
        <f>+_xlfn.XLOOKUP(CostoDirecto[[#This Row],[cod Idu]],APU_IDU[Código],APU_IDU[UM],"",0)</f>
        <v>UN</v>
      </c>
      <c r="D29" s="745">
        <f>+_xlfn.XLOOKUP(CostoDirecto[[#This Row],[cod Idu]],APU_IDU[Código],APU_IDU[Valor],"",0)</f>
        <v>121246</v>
      </c>
      <c r="E29" s="728">
        <f>ROUND(CantidadesConsolidadas[[#This Row],[91013913]]*$D29,0)</f>
        <v>0</v>
      </c>
      <c r="F29" s="728">
        <f>ROUND(CantidadesConsolidadas[[#This Row],[472330]]*$D29,0)</f>
        <v>242492</v>
      </c>
      <c r="G29" s="728">
        <f>ROUND(CantidadesConsolidadas[[#This Row],[167810]]*$D29,0)</f>
        <v>242492</v>
      </c>
      <c r="H29" s="728">
        <f>ROUND(CantidadesConsolidadas[[#This Row],[166646]]*$D29,0)</f>
        <v>0</v>
      </c>
      <c r="I29" s="728">
        <f>ROUND(CantidadesConsolidadas[[#This Row],[167491]]*$D29,0)</f>
        <v>0</v>
      </c>
      <c r="J29" s="728">
        <f>ROUND(CantidadesConsolidadas[[#This Row],[167266]]*$D29,0)</f>
        <v>242492</v>
      </c>
      <c r="K29" s="728">
        <f>ROUND(CantidadesConsolidadas[[#This Row],[170896]]*$D29,0)</f>
        <v>242492</v>
      </c>
      <c r="L29" s="728">
        <f>ROUND(CantidadesConsolidadas[[#This Row],[170897]]*$D29,0)</f>
        <v>242492</v>
      </c>
      <c r="M29" s="728">
        <f>ROUND(CantidadesConsolidadas[[#This Row],[170898]]*$D29,0)</f>
        <v>121246</v>
      </c>
      <c r="N29" s="728">
        <f>ROUND(CantidadesConsolidadas[[#This Row],[91064150]]*$D29,0)</f>
        <v>242492</v>
      </c>
      <c r="O29" s="728">
        <f>ROUND(CantidadesConsolidadas[[#This Row],[168919]]*$D29,0)</f>
        <v>242492</v>
      </c>
      <c r="P29" s="728">
        <f>ROUND(CantidadesConsolidadas[[#This Row],[168426]]*$D29,0)</f>
        <v>242492</v>
      </c>
      <c r="Q29" s="728">
        <f>ROUND(CantidadesConsolidadas[[#This Row],[91020796]]*$D29,0)</f>
        <v>242492</v>
      </c>
      <c r="R29" s="728">
        <f>ROUND(CantidadesConsolidadas[[#This Row],[176184]]*$D29,0)</f>
        <v>242492</v>
      </c>
      <c r="S29" s="728">
        <f>ROUND(CantidadesConsolidadas[[#This Row],[167636]]*$D29,0)</f>
        <v>363738</v>
      </c>
      <c r="T29" s="728">
        <f>ROUND(CantidadesConsolidadas[[#This Row],[176730]]*$D29,0)</f>
        <v>0</v>
      </c>
      <c r="U29" s="728">
        <f>ROUND(CantidadesConsolidadas[[#This Row],[173038]]*$D29,0)</f>
        <v>242492</v>
      </c>
      <c r="V29" s="728">
        <f>ROUND(CantidadesConsolidadas[[#This Row],[170222]]*$D29,0)</f>
        <v>242492</v>
      </c>
      <c r="W29" s="728">
        <f>ROUND(CantidadesConsolidadas[[#This Row],[170229]]*$D29,0)</f>
        <v>363738</v>
      </c>
      <c r="X29" s="728">
        <f>ROUND(CantidadesConsolidadas[[#This Row],[170227]]*$D29,0)</f>
        <v>242492</v>
      </c>
      <c r="Y29" s="728">
        <f>ROUND(CantidadesConsolidadas[[#This Row],[170226]]*$D29,0)</f>
        <v>0</v>
      </c>
      <c r="Z29" s="728">
        <f>ROUND(CantidadesConsolidadas[[#This Row],[171567]]*$D29,0)</f>
        <v>242492</v>
      </c>
      <c r="AA29" s="728">
        <f>ROUND(CantidadesConsolidadas[[#This Row],[166632]]*$D29,0)</f>
        <v>242492</v>
      </c>
      <c r="AB29" s="728">
        <f>ROUND(CantidadesConsolidadas[[#This Row],[170228]]*$D29,0)</f>
        <v>0</v>
      </c>
      <c r="AC29" s="728">
        <f>ROUND(CantidadesConsolidadas[[#This Row],[172926]]*$D29,0)</f>
        <v>242492</v>
      </c>
      <c r="AD29" s="728">
        <f>ROUND(CantidadesConsolidadas[[#This Row],[171152]]*$D29,0)</f>
        <v>242492</v>
      </c>
      <c r="AE29" s="728">
        <f>ROUND(CantidadesConsolidadas[[#This Row],[173058]]*$D29,0)</f>
        <v>242492</v>
      </c>
      <c r="AF29" s="728">
        <f>ROUND(CantidadesConsolidadas[[#This Row],[174478]]*$D29,0)</f>
        <v>242492</v>
      </c>
      <c r="AG29" s="728">
        <f>ROUND(CantidadesConsolidadas[[#This Row],[91010089]]*$D29,0)</f>
        <v>242492</v>
      </c>
      <c r="AH29" s="728">
        <f>ROUND(CantidadesConsolidadas[[#This Row],[176122]]*$D29,0)</f>
        <v>242492</v>
      </c>
      <c r="AI29" s="728">
        <f>ROUND(CantidadesConsolidadas[[#This Row],[168536]]*$D29,0)</f>
        <v>242492</v>
      </c>
      <c r="AJ29" s="728">
        <f>ROUND(CantidadesConsolidadas[[#This Row],[166934]]*$D29,0)</f>
        <v>242492</v>
      </c>
      <c r="AK29" s="728">
        <f>ROUND(CantidadesConsolidadas[[#This Row],[174353]]*$D29,0)</f>
        <v>242492</v>
      </c>
      <c r="AL29" s="747">
        <f>ROUND(CantidadesConsolidadas[[#This Row],[52531]]*$D29,0)</f>
        <v>0</v>
      </c>
      <c r="AM29" s="746">
        <f>ROUND(CantidadesConsolidadas[[#This Row],[52456]]*$D29,0)</f>
        <v>0</v>
      </c>
      <c r="AN29" s="746">
        <f>ROUND(CantidadesConsolidadas[[#This Row],[92058103]]*$D29,0)</f>
        <v>0</v>
      </c>
      <c r="AO29" s="746">
        <f>ROUND(CantidadesConsolidadas[[#This Row],[20011114]]*$D29,0)</f>
        <v>0</v>
      </c>
      <c r="AP29" s="746">
        <f>ROUND(CantidadesConsolidadas[[#This Row],[20013540]]*$D29,0)</f>
        <v>0</v>
      </c>
      <c r="AQ29" s="746">
        <f>ROUND(CantidadesConsolidadas[[#This Row],[55337]]*$D29,0)</f>
        <v>0</v>
      </c>
      <c r="AR29" s="746">
        <f>ROUND(CantidadesConsolidadas[[#This Row],[92087422]]*$D29,0)</f>
        <v>0</v>
      </c>
      <c r="AS29" s="746">
        <f>ROUND(CantidadesConsolidadas[[#This Row],[55259]]*$D29,0)</f>
        <v>0</v>
      </c>
      <c r="AT29" s="746">
        <f>ROUND(CantidadesConsolidadas[[#This Row],[466904]]*$D29,0)</f>
        <v>0</v>
      </c>
      <c r="AU29" s="746">
        <f>ROUND(CantidadesConsolidadas[[#This Row],[48591]]*$D29,0)</f>
        <v>0</v>
      </c>
      <c r="AV29" s="746">
        <f>ROUND(CantidadesConsolidadas[[#This Row],[48590]]*$D29,0)</f>
        <v>0</v>
      </c>
      <c r="AW29" s="746">
        <f>ROUND(CantidadesConsolidadas[[#This Row],[48561]]*$D29,0)</f>
        <v>0</v>
      </c>
      <c r="AX29" s="746">
        <f>ROUND(CantidadesConsolidadas[[#This Row],[48560]]*$D29,0)</f>
        <v>0</v>
      </c>
      <c r="AY29" s="746">
        <f>ROUND(CantidadesConsolidadas[[#This Row],[48657]]*$D29,0)</f>
        <v>0</v>
      </c>
      <c r="AZ29" s="746">
        <f>ROUND(CantidadesConsolidadas[[#This Row],[48655]]*$D29,0)</f>
        <v>0</v>
      </c>
      <c r="BA29" s="806">
        <f>SUBTOTAL(9,CostoDirecto[[#This Row],[91013913]:[174353]])</f>
        <v>6668530</v>
      </c>
      <c r="BB29" s="806">
        <f>SUBTOTAL(9,CostoDirecto[[#This Row],[52531]:[48655]])</f>
        <v>0</v>
      </c>
    </row>
    <row r="30" spans="1:54" ht="28.8" x14ac:dyDescent="0.3">
      <c r="A30">
        <v>3724</v>
      </c>
      <c r="B30" s="606" t="str">
        <f>+_xlfn.XLOOKUP(CostoDirecto[[#This Row],[cod Idu]],APU_IDU[Código],APU_IDU[Nombre],"",0)</f>
        <v>LIMPIEZA DE SUMIDEROS (INCLUYE CARGUE, RETIRO Y DISPOSICIÓN FINAL DE SOBRANTES)</v>
      </c>
      <c r="C30" s="609" t="str">
        <f>+_xlfn.XLOOKUP(CostoDirecto[[#This Row],[cod Idu]],APU_IDU[Código],APU_IDU[UM],"",0)</f>
        <v>UN</v>
      </c>
      <c r="D30" s="745">
        <f>+_xlfn.XLOOKUP(CostoDirecto[[#This Row],[cod Idu]],APU_IDU[Código],APU_IDU[Valor],"",0)</f>
        <v>121246</v>
      </c>
      <c r="E30" s="728">
        <f>ROUND(CantidadesConsolidadas[[#This Row],[91013913]]*$D30,0)</f>
        <v>0</v>
      </c>
      <c r="F30" s="728">
        <f>ROUND(CantidadesConsolidadas[[#This Row],[472330]]*$D30,0)</f>
        <v>484984</v>
      </c>
      <c r="G30" s="728">
        <f>ROUND(CantidadesConsolidadas[[#This Row],[167810]]*$D30,0)</f>
        <v>242492</v>
      </c>
      <c r="H30" s="728">
        <f>ROUND(CantidadesConsolidadas[[#This Row],[166646]]*$D30,0)</f>
        <v>484984</v>
      </c>
      <c r="I30" s="728">
        <f>ROUND(CantidadesConsolidadas[[#This Row],[167491]]*$D30,0)</f>
        <v>484984</v>
      </c>
      <c r="J30" s="728">
        <f>ROUND(CantidadesConsolidadas[[#This Row],[167266]]*$D30,0)</f>
        <v>363738</v>
      </c>
      <c r="K30" s="728">
        <f>ROUND(CantidadesConsolidadas[[#This Row],[170896]]*$D30,0)</f>
        <v>0</v>
      </c>
      <c r="L30" s="728">
        <f>ROUND(CantidadesConsolidadas[[#This Row],[170897]]*$D30,0)</f>
        <v>484984</v>
      </c>
      <c r="M30" s="728">
        <f>ROUND(CantidadesConsolidadas[[#This Row],[170898]]*$D30,0)</f>
        <v>484984</v>
      </c>
      <c r="N30" s="728">
        <f>ROUND(CantidadesConsolidadas[[#This Row],[91064150]]*$D30,0)</f>
        <v>0</v>
      </c>
      <c r="O30" s="728">
        <f>ROUND(CantidadesConsolidadas[[#This Row],[168919]]*$D30,0)</f>
        <v>121246</v>
      </c>
      <c r="P30" s="728">
        <f>ROUND(CantidadesConsolidadas[[#This Row],[168426]]*$D30,0)</f>
        <v>363738</v>
      </c>
      <c r="Q30" s="728">
        <f>ROUND(CantidadesConsolidadas[[#This Row],[91020796]]*$D30,0)</f>
        <v>0</v>
      </c>
      <c r="R30" s="728">
        <f>ROUND(CantidadesConsolidadas[[#This Row],[176184]]*$D30,0)</f>
        <v>121246</v>
      </c>
      <c r="S30" s="728">
        <f>ROUND(CantidadesConsolidadas[[#This Row],[167636]]*$D30,0)</f>
        <v>0</v>
      </c>
      <c r="T30" s="728">
        <f>ROUND(CantidadesConsolidadas[[#This Row],[176730]]*$D30,0)</f>
        <v>121246</v>
      </c>
      <c r="U30" s="728">
        <f>ROUND(CantidadesConsolidadas[[#This Row],[173038]]*$D30,0)</f>
        <v>0</v>
      </c>
      <c r="V30" s="728">
        <f>ROUND(CantidadesConsolidadas[[#This Row],[170222]]*$D30,0)</f>
        <v>121246</v>
      </c>
      <c r="W30" s="728">
        <f>ROUND(CantidadesConsolidadas[[#This Row],[170229]]*$D30,0)</f>
        <v>363738</v>
      </c>
      <c r="X30" s="728">
        <f>ROUND(CantidadesConsolidadas[[#This Row],[170227]]*$D30,0)</f>
        <v>0</v>
      </c>
      <c r="Y30" s="728">
        <f>ROUND(CantidadesConsolidadas[[#This Row],[170226]]*$D30,0)</f>
        <v>121246</v>
      </c>
      <c r="Z30" s="728">
        <f>ROUND(CantidadesConsolidadas[[#This Row],[171567]]*$D30,0)</f>
        <v>0</v>
      </c>
      <c r="AA30" s="728">
        <f>ROUND(CantidadesConsolidadas[[#This Row],[166632]]*$D30,0)</f>
        <v>121246</v>
      </c>
      <c r="AB30" s="728">
        <f>ROUND(CantidadesConsolidadas[[#This Row],[170228]]*$D30,0)</f>
        <v>0</v>
      </c>
      <c r="AC30" s="728">
        <f>ROUND(CantidadesConsolidadas[[#This Row],[172926]]*$D30,0)</f>
        <v>484984</v>
      </c>
      <c r="AD30" s="728">
        <f>ROUND(CantidadesConsolidadas[[#This Row],[171152]]*$D30,0)</f>
        <v>484984</v>
      </c>
      <c r="AE30" s="728">
        <f>ROUND(CantidadesConsolidadas[[#This Row],[173058]]*$D30,0)</f>
        <v>484984</v>
      </c>
      <c r="AF30" s="728">
        <f>ROUND(CantidadesConsolidadas[[#This Row],[174478]]*$D30,0)</f>
        <v>484984</v>
      </c>
      <c r="AG30" s="728">
        <f>ROUND(CantidadesConsolidadas[[#This Row],[91010089]]*$D30,0)</f>
        <v>484984</v>
      </c>
      <c r="AH30" s="728">
        <f>ROUND(CantidadesConsolidadas[[#This Row],[176122]]*$D30,0)</f>
        <v>484984</v>
      </c>
      <c r="AI30" s="728">
        <f>ROUND(CantidadesConsolidadas[[#This Row],[168536]]*$D30,0)</f>
        <v>484984</v>
      </c>
      <c r="AJ30" s="728">
        <f>ROUND(CantidadesConsolidadas[[#This Row],[166934]]*$D30,0)</f>
        <v>484984</v>
      </c>
      <c r="AK30" s="728">
        <f>ROUND(CantidadesConsolidadas[[#This Row],[174353]]*$D30,0)</f>
        <v>484984</v>
      </c>
      <c r="AL30" s="747">
        <f>ROUND(CantidadesConsolidadas[[#This Row],[52531]]*$D30,0)</f>
        <v>0</v>
      </c>
      <c r="AM30" s="746">
        <f>ROUND(CantidadesConsolidadas[[#This Row],[52456]]*$D30,0)</f>
        <v>0</v>
      </c>
      <c r="AN30" s="746">
        <f>ROUND(CantidadesConsolidadas[[#This Row],[92058103]]*$D30,0)</f>
        <v>0</v>
      </c>
      <c r="AO30" s="746">
        <f>ROUND(CantidadesConsolidadas[[#This Row],[20011114]]*$D30,0)</f>
        <v>0</v>
      </c>
      <c r="AP30" s="746">
        <f>ROUND(CantidadesConsolidadas[[#This Row],[20013540]]*$D30,0)</f>
        <v>0</v>
      </c>
      <c r="AQ30" s="746">
        <f>ROUND(CantidadesConsolidadas[[#This Row],[55337]]*$D30,0)</f>
        <v>0</v>
      </c>
      <c r="AR30" s="746">
        <f>ROUND(CantidadesConsolidadas[[#This Row],[92087422]]*$D30,0)</f>
        <v>0</v>
      </c>
      <c r="AS30" s="746">
        <f>ROUND(CantidadesConsolidadas[[#This Row],[55259]]*$D30,0)</f>
        <v>0</v>
      </c>
      <c r="AT30" s="746">
        <f>ROUND(CantidadesConsolidadas[[#This Row],[466904]]*$D30,0)</f>
        <v>0</v>
      </c>
      <c r="AU30" s="746">
        <f>ROUND(CantidadesConsolidadas[[#This Row],[48591]]*$D30,0)</f>
        <v>0</v>
      </c>
      <c r="AV30" s="746">
        <f>ROUND(CantidadesConsolidadas[[#This Row],[48590]]*$D30,0)</f>
        <v>0</v>
      </c>
      <c r="AW30" s="746">
        <f>ROUND(CantidadesConsolidadas[[#This Row],[48561]]*$D30,0)</f>
        <v>0</v>
      </c>
      <c r="AX30" s="746">
        <f>ROUND(CantidadesConsolidadas[[#This Row],[48560]]*$D30,0)</f>
        <v>0</v>
      </c>
      <c r="AY30" s="746">
        <f>ROUND(CantidadesConsolidadas[[#This Row],[48657]]*$D30,0)</f>
        <v>0</v>
      </c>
      <c r="AZ30" s="746">
        <f>ROUND(CantidadesConsolidadas[[#This Row],[48655]]*$D30,0)</f>
        <v>0</v>
      </c>
      <c r="BA30" s="806">
        <f>SUBTOTAL(9,CostoDirecto[[#This Row],[91013913]:[174353]])</f>
        <v>8850958</v>
      </c>
      <c r="BB30" s="806">
        <f>SUBTOTAL(9,CostoDirecto[[#This Row],[52531]:[48655]])</f>
        <v>0</v>
      </c>
    </row>
    <row r="31" spans="1:54" ht="43.2" x14ac:dyDescent="0.3">
      <c r="A31">
        <v>3811</v>
      </c>
      <c r="B31" s="606" t="str">
        <f>+_xlfn.XLOOKUP(CostoDirecto[[#This Row],[cod Idu]],APU_IDU[Código],APU_IDU[Nombre],"",0)</f>
        <v>CORTE DE PAVIMENTO - INCLUYE EQUIPO: CORTADORA DE CONCRETO INCLUYE OPERARIO Y COMBUSTIBLE. INCLUYE DISCO DIAMANTADO ASFALTO-CONCRETO 350 MM, AGUA Y MANO DE OBRA</v>
      </c>
      <c r="C31" s="609" t="str">
        <f>+_xlfn.XLOOKUP(CostoDirecto[[#This Row],[cod Idu]],APU_IDU[Código],APU_IDU[UM],"",0)</f>
        <v>ML</v>
      </c>
      <c r="D31" s="745">
        <f>+_xlfn.XLOOKUP(CostoDirecto[[#This Row],[cod Idu]],APU_IDU[Código],APU_IDU[Valor],"",0)</f>
        <v>3156</v>
      </c>
      <c r="E31" s="728">
        <f>ROUND(CantidadesConsolidadas[[#This Row],[91013913]]*$D31,0)</f>
        <v>0</v>
      </c>
      <c r="F31" s="728">
        <f>ROUND(CantidadesConsolidadas[[#This Row],[472330]]*$D31,0)</f>
        <v>0</v>
      </c>
      <c r="G31" s="728">
        <f>ROUND(CantidadesConsolidadas[[#This Row],[167810]]*$D31,0)</f>
        <v>0</v>
      </c>
      <c r="H31" s="728">
        <f>ROUND(CantidadesConsolidadas[[#This Row],[166646]]*$D31,0)</f>
        <v>0</v>
      </c>
      <c r="I31" s="728">
        <f>ROUND(CantidadesConsolidadas[[#This Row],[167491]]*$D31,0)</f>
        <v>0</v>
      </c>
      <c r="J31" s="728">
        <f>ROUND(CantidadesConsolidadas[[#This Row],[167266]]*$D31,0)</f>
        <v>0</v>
      </c>
      <c r="K31" s="728">
        <f>ROUND(CantidadesConsolidadas[[#This Row],[170896]]*$D31,0)</f>
        <v>0</v>
      </c>
      <c r="L31" s="728">
        <f>ROUND(CantidadesConsolidadas[[#This Row],[170897]]*$D31,0)</f>
        <v>0</v>
      </c>
      <c r="M31" s="728">
        <f>ROUND(CantidadesConsolidadas[[#This Row],[170898]]*$D31,0)</f>
        <v>0</v>
      </c>
      <c r="N31" s="728">
        <f>ROUND(CantidadesConsolidadas[[#This Row],[91064150]]*$D31,0)</f>
        <v>0</v>
      </c>
      <c r="O31" s="728">
        <f>ROUND(CantidadesConsolidadas[[#This Row],[168919]]*$D31,0)</f>
        <v>0</v>
      </c>
      <c r="P31" s="728">
        <f>ROUND(CantidadesConsolidadas[[#This Row],[168426]]*$D31,0)</f>
        <v>0</v>
      </c>
      <c r="Q31" s="728">
        <f>ROUND(CantidadesConsolidadas[[#This Row],[91020796]]*$D31,0)</f>
        <v>0</v>
      </c>
      <c r="R31" s="728">
        <f>ROUND(CantidadesConsolidadas[[#This Row],[176184]]*$D31,0)</f>
        <v>0</v>
      </c>
      <c r="S31" s="728">
        <f>ROUND(CantidadesConsolidadas[[#This Row],[167636]]*$D31,0)</f>
        <v>0</v>
      </c>
      <c r="T31" s="728">
        <f>ROUND(CantidadesConsolidadas[[#This Row],[176730]]*$D31,0)</f>
        <v>0</v>
      </c>
      <c r="U31" s="728">
        <f>ROUND(CantidadesConsolidadas[[#This Row],[173038]]*$D31,0)</f>
        <v>0</v>
      </c>
      <c r="V31" s="728">
        <f>ROUND(CantidadesConsolidadas[[#This Row],[170222]]*$D31,0)</f>
        <v>0</v>
      </c>
      <c r="W31" s="728">
        <f>ROUND(CantidadesConsolidadas[[#This Row],[170229]]*$D31,0)</f>
        <v>0</v>
      </c>
      <c r="X31" s="728">
        <f>ROUND(CantidadesConsolidadas[[#This Row],[170227]]*$D31,0)</f>
        <v>0</v>
      </c>
      <c r="Y31" s="728">
        <f>ROUND(CantidadesConsolidadas[[#This Row],[170226]]*$D31,0)</f>
        <v>0</v>
      </c>
      <c r="Z31" s="728">
        <f>ROUND(CantidadesConsolidadas[[#This Row],[171567]]*$D31,0)</f>
        <v>330623</v>
      </c>
      <c r="AA31" s="728">
        <f>ROUND(CantidadesConsolidadas[[#This Row],[166632]]*$D31,0)</f>
        <v>0</v>
      </c>
      <c r="AB31" s="728">
        <f>ROUND(CantidadesConsolidadas[[#This Row],[170228]]*$D31,0)</f>
        <v>0</v>
      </c>
      <c r="AC31" s="728">
        <f>ROUND(CantidadesConsolidadas[[#This Row],[172926]]*$D31,0)</f>
        <v>0</v>
      </c>
      <c r="AD31" s="728">
        <f>ROUND(CantidadesConsolidadas[[#This Row],[171152]]*$D31,0)</f>
        <v>0</v>
      </c>
      <c r="AE31" s="728">
        <f>ROUND(CantidadesConsolidadas[[#This Row],[173058]]*$D31,0)</f>
        <v>0</v>
      </c>
      <c r="AF31" s="728">
        <f>ROUND(CantidadesConsolidadas[[#This Row],[174478]]*$D31,0)</f>
        <v>0</v>
      </c>
      <c r="AG31" s="728">
        <f>ROUND(CantidadesConsolidadas[[#This Row],[91010089]]*$D31,0)</f>
        <v>0</v>
      </c>
      <c r="AH31" s="728">
        <f>ROUND(CantidadesConsolidadas[[#This Row],[176122]]*$D31,0)</f>
        <v>0</v>
      </c>
      <c r="AI31" s="728">
        <f>ROUND(CantidadesConsolidadas[[#This Row],[168536]]*$D31,0)</f>
        <v>0</v>
      </c>
      <c r="AJ31" s="728">
        <f>ROUND(CantidadesConsolidadas[[#This Row],[166934]]*$D31,0)</f>
        <v>0</v>
      </c>
      <c r="AK31" s="728">
        <f>ROUND(CantidadesConsolidadas[[#This Row],[174353]]*$D31,0)</f>
        <v>0</v>
      </c>
      <c r="AL31" s="747">
        <f>ROUND(CantidadesConsolidadas[[#This Row],[52531]]*$D31,0)</f>
        <v>0</v>
      </c>
      <c r="AM31" s="746">
        <f>ROUND(CantidadesConsolidadas[[#This Row],[52456]]*$D31,0)</f>
        <v>0</v>
      </c>
      <c r="AN31" s="746">
        <f>ROUND(CantidadesConsolidadas[[#This Row],[92058103]]*$D31,0)</f>
        <v>0</v>
      </c>
      <c r="AO31" s="746">
        <f>ROUND(CantidadesConsolidadas[[#This Row],[20011114]]*$D31,0)</f>
        <v>0</v>
      </c>
      <c r="AP31" s="746">
        <f>ROUND(CantidadesConsolidadas[[#This Row],[20013540]]*$D31,0)</f>
        <v>0</v>
      </c>
      <c r="AQ31" s="746">
        <f>ROUND(CantidadesConsolidadas[[#This Row],[55337]]*$D31,0)</f>
        <v>0</v>
      </c>
      <c r="AR31" s="746">
        <f>ROUND(CantidadesConsolidadas[[#This Row],[92087422]]*$D31,0)</f>
        <v>0</v>
      </c>
      <c r="AS31" s="746">
        <f>ROUND(CantidadesConsolidadas[[#This Row],[55259]]*$D31,0)</f>
        <v>0</v>
      </c>
      <c r="AT31" s="746">
        <f>ROUND(CantidadesConsolidadas[[#This Row],[466904]]*$D31,0)</f>
        <v>0</v>
      </c>
      <c r="AU31" s="746">
        <f>ROUND(CantidadesConsolidadas[[#This Row],[48591]]*$D31,0)</f>
        <v>0</v>
      </c>
      <c r="AV31" s="746">
        <f>ROUND(CantidadesConsolidadas[[#This Row],[48590]]*$D31,0)</f>
        <v>0</v>
      </c>
      <c r="AW31" s="746">
        <f>ROUND(CantidadesConsolidadas[[#This Row],[48561]]*$D31,0)</f>
        <v>0</v>
      </c>
      <c r="AX31" s="746">
        <f>ROUND(CantidadesConsolidadas[[#This Row],[48560]]*$D31,0)</f>
        <v>0</v>
      </c>
      <c r="AY31" s="746">
        <f>ROUND(CantidadesConsolidadas[[#This Row],[48657]]*$D31,0)</f>
        <v>0</v>
      </c>
      <c r="AZ31" s="746">
        <f>ROUND(CantidadesConsolidadas[[#This Row],[48655]]*$D31,0)</f>
        <v>0</v>
      </c>
      <c r="BA31" s="806">
        <f>SUBTOTAL(9,CostoDirecto[[#This Row],[91013913]:[174353]])</f>
        <v>330623</v>
      </c>
      <c r="BB31" s="806">
        <f>SUBTOTAL(9,CostoDirecto[[#This Row],[52531]:[48655]])</f>
        <v>0</v>
      </c>
    </row>
    <row r="32" spans="1:54" ht="28.8" x14ac:dyDescent="0.3">
      <c r="A32">
        <v>3486</v>
      </c>
      <c r="B32" s="606" t="str">
        <f>+_xlfn.XLOOKUP(CostoDirecto[[#This Row],[cod Idu]],APU_IDU[Código],APU_IDU[Nombre],"",0)</f>
        <v>DEMOLICIÓN CONCRETO ESTRUCTURAL (INCLUYE CARGUE MANUAL). NO INCLUYE TRANSPORTE Y DISPOSICIÓN FINAL DE SOBRANTES.</v>
      </c>
      <c r="C32" s="609" t="str">
        <f>+_xlfn.XLOOKUP(CostoDirecto[[#This Row],[cod Idu]],APU_IDU[Código],APU_IDU[UM],"",0)</f>
        <v>M3</v>
      </c>
      <c r="D32" s="745">
        <f>+_xlfn.XLOOKUP(CostoDirecto[[#This Row],[cod Idu]],APU_IDU[Código],APU_IDU[Valor],"",0)</f>
        <v>197648</v>
      </c>
      <c r="E32" s="728">
        <f>ROUND(CantidadesConsolidadas[[#This Row],[91013913]]*$D32,0)</f>
        <v>0</v>
      </c>
      <c r="F32" s="728">
        <f>ROUND(CantidadesConsolidadas[[#This Row],[472330]]*$D32,0)</f>
        <v>0</v>
      </c>
      <c r="G32" s="728">
        <f>ROUND(CantidadesConsolidadas[[#This Row],[167810]]*$D32,0)</f>
        <v>0</v>
      </c>
      <c r="H32" s="728">
        <f>ROUND(CantidadesConsolidadas[[#This Row],[166646]]*$D32,0)</f>
        <v>0</v>
      </c>
      <c r="I32" s="728">
        <f>ROUND(CantidadesConsolidadas[[#This Row],[167491]]*$D32,0)</f>
        <v>0</v>
      </c>
      <c r="J32" s="728">
        <f>ROUND(CantidadesConsolidadas[[#This Row],[167266]]*$D32,0)</f>
        <v>0</v>
      </c>
      <c r="K32" s="728">
        <f>ROUND(CantidadesConsolidadas[[#This Row],[170896]]*$D32,0)</f>
        <v>0</v>
      </c>
      <c r="L32" s="728">
        <f>ROUND(CantidadesConsolidadas[[#This Row],[170897]]*$D32,0)</f>
        <v>0</v>
      </c>
      <c r="M32" s="728">
        <f>ROUND(CantidadesConsolidadas[[#This Row],[170898]]*$D32,0)</f>
        <v>0</v>
      </c>
      <c r="N32" s="728">
        <f>ROUND(CantidadesConsolidadas[[#This Row],[91064150]]*$D32,0)</f>
        <v>0</v>
      </c>
      <c r="O32" s="728">
        <f>ROUND(CantidadesConsolidadas[[#This Row],[168919]]*$D32,0)</f>
        <v>0</v>
      </c>
      <c r="P32" s="728">
        <f>ROUND(CantidadesConsolidadas[[#This Row],[168426]]*$D32,0)</f>
        <v>0</v>
      </c>
      <c r="Q32" s="728">
        <f>ROUND(CantidadesConsolidadas[[#This Row],[91020796]]*$D32,0)</f>
        <v>0</v>
      </c>
      <c r="R32" s="728">
        <f>ROUND(CantidadesConsolidadas[[#This Row],[176184]]*$D32,0)</f>
        <v>0</v>
      </c>
      <c r="S32" s="728">
        <f>ROUND(CantidadesConsolidadas[[#This Row],[167636]]*$D32,0)</f>
        <v>0</v>
      </c>
      <c r="T32" s="728">
        <f>ROUND(CantidadesConsolidadas[[#This Row],[176730]]*$D32,0)</f>
        <v>0</v>
      </c>
      <c r="U32" s="728">
        <f>ROUND(CantidadesConsolidadas[[#This Row],[173038]]*$D32,0)</f>
        <v>0</v>
      </c>
      <c r="V32" s="728">
        <f>ROUND(CantidadesConsolidadas[[#This Row],[170222]]*$D32,0)</f>
        <v>0</v>
      </c>
      <c r="W32" s="728">
        <f>ROUND(CantidadesConsolidadas[[#This Row],[170229]]*$D32,0)</f>
        <v>0</v>
      </c>
      <c r="X32" s="728">
        <f>ROUND(CantidadesConsolidadas[[#This Row],[170227]]*$D32,0)</f>
        <v>0</v>
      </c>
      <c r="Y32" s="728">
        <f>ROUND(CantidadesConsolidadas[[#This Row],[170226]]*$D32,0)</f>
        <v>0</v>
      </c>
      <c r="Z32" s="728">
        <f>ROUND(CantidadesConsolidadas[[#This Row],[171567]]*$D32,0)</f>
        <v>20691769</v>
      </c>
      <c r="AA32" s="728">
        <f>ROUND(CantidadesConsolidadas[[#This Row],[166632]]*$D32,0)</f>
        <v>0</v>
      </c>
      <c r="AB32" s="728">
        <f>ROUND(CantidadesConsolidadas[[#This Row],[170228]]*$D32,0)</f>
        <v>0</v>
      </c>
      <c r="AC32" s="728">
        <f>ROUND(CantidadesConsolidadas[[#This Row],[172926]]*$D32,0)</f>
        <v>0</v>
      </c>
      <c r="AD32" s="728">
        <f>ROUND(CantidadesConsolidadas[[#This Row],[171152]]*$D32,0)</f>
        <v>0</v>
      </c>
      <c r="AE32" s="728">
        <f>ROUND(CantidadesConsolidadas[[#This Row],[173058]]*$D32,0)</f>
        <v>0</v>
      </c>
      <c r="AF32" s="728">
        <f>ROUND(CantidadesConsolidadas[[#This Row],[174478]]*$D32,0)</f>
        <v>0</v>
      </c>
      <c r="AG32" s="728">
        <f>ROUND(CantidadesConsolidadas[[#This Row],[91010089]]*$D32,0)</f>
        <v>0</v>
      </c>
      <c r="AH32" s="728">
        <f>ROUND(CantidadesConsolidadas[[#This Row],[176122]]*$D32,0)</f>
        <v>0</v>
      </c>
      <c r="AI32" s="728">
        <f>ROUND(CantidadesConsolidadas[[#This Row],[168536]]*$D32,0)</f>
        <v>0</v>
      </c>
      <c r="AJ32" s="728">
        <f>ROUND(CantidadesConsolidadas[[#This Row],[166934]]*$D32,0)</f>
        <v>0</v>
      </c>
      <c r="AK32" s="728">
        <f>ROUND(CantidadesConsolidadas[[#This Row],[174353]]*$D32,0)</f>
        <v>0</v>
      </c>
      <c r="AL32" s="747">
        <f>ROUND(CantidadesConsolidadas[[#This Row],[52531]]*$D32,0)</f>
        <v>0</v>
      </c>
      <c r="AM32" s="746">
        <f>ROUND(CantidadesConsolidadas[[#This Row],[52456]]*$D32,0)</f>
        <v>0</v>
      </c>
      <c r="AN32" s="746">
        <f>ROUND(CantidadesConsolidadas[[#This Row],[92058103]]*$D32,0)</f>
        <v>0</v>
      </c>
      <c r="AO32" s="746">
        <f>ROUND(CantidadesConsolidadas[[#This Row],[20011114]]*$D32,0)</f>
        <v>0</v>
      </c>
      <c r="AP32" s="746">
        <f>ROUND(CantidadesConsolidadas[[#This Row],[20013540]]*$D32,0)</f>
        <v>0</v>
      </c>
      <c r="AQ32" s="746">
        <f>ROUND(CantidadesConsolidadas[[#This Row],[55337]]*$D32,0)</f>
        <v>0</v>
      </c>
      <c r="AR32" s="746">
        <f>ROUND(CantidadesConsolidadas[[#This Row],[92087422]]*$D32,0)</f>
        <v>0</v>
      </c>
      <c r="AS32" s="746">
        <f>ROUND(CantidadesConsolidadas[[#This Row],[55259]]*$D32,0)</f>
        <v>0</v>
      </c>
      <c r="AT32" s="746">
        <f>ROUND(CantidadesConsolidadas[[#This Row],[466904]]*$D32,0)</f>
        <v>0</v>
      </c>
      <c r="AU32" s="746">
        <f>ROUND(CantidadesConsolidadas[[#This Row],[48591]]*$D32,0)</f>
        <v>0</v>
      </c>
      <c r="AV32" s="746">
        <f>ROUND(CantidadesConsolidadas[[#This Row],[48590]]*$D32,0)</f>
        <v>0</v>
      </c>
      <c r="AW32" s="746">
        <f>ROUND(CantidadesConsolidadas[[#This Row],[48561]]*$D32,0)</f>
        <v>0</v>
      </c>
      <c r="AX32" s="746">
        <f>ROUND(CantidadesConsolidadas[[#This Row],[48560]]*$D32,0)</f>
        <v>0</v>
      </c>
      <c r="AY32" s="746">
        <f>ROUND(CantidadesConsolidadas[[#This Row],[48657]]*$D32,0)</f>
        <v>0</v>
      </c>
      <c r="AZ32" s="746">
        <f>ROUND(CantidadesConsolidadas[[#This Row],[48655]]*$D32,0)</f>
        <v>0</v>
      </c>
      <c r="BA32" s="806">
        <f>SUBTOTAL(9,CostoDirecto[[#This Row],[91013913]:[174353]])</f>
        <v>20691769</v>
      </c>
      <c r="BB32" s="806">
        <f>SUBTOTAL(9,CostoDirecto[[#This Row],[52531]:[48655]])</f>
        <v>0</v>
      </c>
    </row>
    <row r="33" spans="1:54" ht="43.2" x14ac:dyDescent="0.3">
      <c r="A33">
        <v>4161</v>
      </c>
      <c r="B33" s="606" t="str">
        <f>+_xlfn.XLOOKUP(CostoDirecto[[#This Row],[cod Idu]],APU_IDU[Código],APU_IDU[Nombre],"",0)</f>
        <v>SUBBASE GRANULAR CLASE A (SBG_A) (SUMINISTRO, EXTENDIDO, NIVELACIÓN, HUMEDECIMIENTO Y COMPACTACIÓN CON VIBROCOMPACTADOR)</v>
      </c>
      <c r="C33" s="609" t="str">
        <f>+_xlfn.XLOOKUP(CostoDirecto[[#This Row],[cod Idu]],APU_IDU[Código],APU_IDU[UM],"",0)</f>
        <v>M3</v>
      </c>
      <c r="D33" s="745">
        <f>+_xlfn.XLOOKUP(CostoDirecto[[#This Row],[cod Idu]],APU_IDU[Código],APU_IDU[Valor],"",0)</f>
        <v>208914</v>
      </c>
      <c r="E33" s="728">
        <f>ROUND(CantidadesConsolidadas[[#This Row],[91013913]]*$D33,0)</f>
        <v>0</v>
      </c>
      <c r="F33" s="728">
        <f>ROUND(CantidadesConsolidadas[[#This Row],[472330]]*$D33,0)</f>
        <v>0</v>
      </c>
      <c r="G33" s="728">
        <f>ROUND(CantidadesConsolidadas[[#This Row],[167810]]*$D33,0)</f>
        <v>0</v>
      </c>
      <c r="H33" s="728">
        <f>ROUND(CantidadesConsolidadas[[#This Row],[166646]]*$D33,0)</f>
        <v>0</v>
      </c>
      <c r="I33" s="728">
        <f>ROUND(CantidadesConsolidadas[[#This Row],[167491]]*$D33,0)</f>
        <v>0</v>
      </c>
      <c r="J33" s="728">
        <f>ROUND(CantidadesConsolidadas[[#This Row],[167266]]*$D33,0)</f>
        <v>0</v>
      </c>
      <c r="K33" s="728">
        <f>ROUND(CantidadesConsolidadas[[#This Row],[170896]]*$D33,0)</f>
        <v>0</v>
      </c>
      <c r="L33" s="728">
        <f>ROUND(CantidadesConsolidadas[[#This Row],[170897]]*$D33,0)</f>
        <v>0</v>
      </c>
      <c r="M33" s="728">
        <f>ROUND(CantidadesConsolidadas[[#This Row],[170898]]*$D33,0)</f>
        <v>0</v>
      </c>
      <c r="N33" s="728">
        <f>ROUND(CantidadesConsolidadas[[#This Row],[91064150]]*$D33,0)</f>
        <v>0</v>
      </c>
      <c r="O33" s="728">
        <f>ROUND(CantidadesConsolidadas[[#This Row],[168919]]*$D33,0)</f>
        <v>0</v>
      </c>
      <c r="P33" s="728">
        <f>ROUND(CantidadesConsolidadas[[#This Row],[168426]]*$D33,0)</f>
        <v>0</v>
      </c>
      <c r="Q33" s="728">
        <f>ROUND(CantidadesConsolidadas[[#This Row],[91020796]]*$D33,0)</f>
        <v>0</v>
      </c>
      <c r="R33" s="728">
        <f>ROUND(CantidadesConsolidadas[[#This Row],[176184]]*$D33,0)</f>
        <v>0</v>
      </c>
      <c r="S33" s="728">
        <f>ROUND(CantidadesConsolidadas[[#This Row],[167636]]*$D33,0)</f>
        <v>0</v>
      </c>
      <c r="T33" s="728">
        <f>ROUND(CantidadesConsolidadas[[#This Row],[176730]]*$D33,0)</f>
        <v>0</v>
      </c>
      <c r="U33" s="728">
        <f>ROUND(CantidadesConsolidadas[[#This Row],[173038]]*$D33,0)</f>
        <v>0</v>
      </c>
      <c r="V33" s="728">
        <f>ROUND(CantidadesConsolidadas[[#This Row],[170222]]*$D33,0)</f>
        <v>0</v>
      </c>
      <c r="W33" s="728">
        <f>ROUND(CantidadesConsolidadas[[#This Row],[170229]]*$D33,0)</f>
        <v>0</v>
      </c>
      <c r="X33" s="728">
        <f>ROUND(CantidadesConsolidadas[[#This Row],[170227]]*$D33,0)</f>
        <v>0</v>
      </c>
      <c r="Y33" s="728">
        <f>ROUND(CantidadesConsolidadas[[#This Row],[170226]]*$D33,0)</f>
        <v>0</v>
      </c>
      <c r="Z33" s="728">
        <f>ROUND(CantidadesConsolidadas[[#This Row],[171567]]*$D33,0)</f>
        <v>109420797</v>
      </c>
      <c r="AA33" s="728">
        <f>ROUND(CantidadesConsolidadas[[#This Row],[166632]]*$D33,0)</f>
        <v>0</v>
      </c>
      <c r="AB33" s="728">
        <f>ROUND(CantidadesConsolidadas[[#This Row],[170228]]*$D33,0)</f>
        <v>0</v>
      </c>
      <c r="AC33" s="728">
        <f>ROUND(CantidadesConsolidadas[[#This Row],[172926]]*$D33,0)</f>
        <v>0</v>
      </c>
      <c r="AD33" s="728">
        <f>ROUND(CantidadesConsolidadas[[#This Row],[171152]]*$D33,0)</f>
        <v>0</v>
      </c>
      <c r="AE33" s="728">
        <f>ROUND(CantidadesConsolidadas[[#This Row],[173058]]*$D33,0)</f>
        <v>0</v>
      </c>
      <c r="AF33" s="728">
        <f>ROUND(CantidadesConsolidadas[[#This Row],[174478]]*$D33,0)</f>
        <v>0</v>
      </c>
      <c r="AG33" s="728">
        <f>ROUND(CantidadesConsolidadas[[#This Row],[91010089]]*$D33,0)</f>
        <v>0</v>
      </c>
      <c r="AH33" s="728">
        <f>ROUND(CantidadesConsolidadas[[#This Row],[176122]]*$D33,0)</f>
        <v>0</v>
      </c>
      <c r="AI33" s="728">
        <f>ROUND(CantidadesConsolidadas[[#This Row],[168536]]*$D33,0)</f>
        <v>0</v>
      </c>
      <c r="AJ33" s="728">
        <f>ROUND(CantidadesConsolidadas[[#This Row],[166934]]*$D33,0)</f>
        <v>0</v>
      </c>
      <c r="AK33" s="728">
        <f>ROUND(CantidadesConsolidadas[[#This Row],[174353]]*$D33,0)</f>
        <v>0</v>
      </c>
      <c r="AL33" s="747">
        <f>ROUND(CantidadesConsolidadas[[#This Row],[52531]]*$D33,0)</f>
        <v>0</v>
      </c>
      <c r="AM33" s="746">
        <f>ROUND(CantidadesConsolidadas[[#This Row],[52456]]*$D33,0)</f>
        <v>0</v>
      </c>
      <c r="AN33" s="746">
        <f>ROUND(CantidadesConsolidadas[[#This Row],[92058103]]*$D33,0)</f>
        <v>0</v>
      </c>
      <c r="AO33" s="746">
        <f>ROUND(CantidadesConsolidadas[[#This Row],[20011114]]*$D33,0)</f>
        <v>0</v>
      </c>
      <c r="AP33" s="746">
        <f>ROUND(CantidadesConsolidadas[[#This Row],[20013540]]*$D33,0)</f>
        <v>0</v>
      </c>
      <c r="AQ33" s="746">
        <f>ROUND(CantidadesConsolidadas[[#This Row],[55337]]*$D33,0)</f>
        <v>0</v>
      </c>
      <c r="AR33" s="746">
        <f>ROUND(CantidadesConsolidadas[[#This Row],[92087422]]*$D33,0)</f>
        <v>0</v>
      </c>
      <c r="AS33" s="746">
        <f>ROUND(CantidadesConsolidadas[[#This Row],[55259]]*$D33,0)</f>
        <v>0</v>
      </c>
      <c r="AT33" s="746">
        <f>ROUND(CantidadesConsolidadas[[#This Row],[466904]]*$D33,0)</f>
        <v>0</v>
      </c>
      <c r="AU33" s="746">
        <f>ROUND(CantidadesConsolidadas[[#This Row],[48591]]*$D33,0)</f>
        <v>0</v>
      </c>
      <c r="AV33" s="746">
        <f>ROUND(CantidadesConsolidadas[[#This Row],[48590]]*$D33,0)</f>
        <v>0</v>
      </c>
      <c r="AW33" s="746">
        <f>ROUND(CantidadesConsolidadas[[#This Row],[48561]]*$D33,0)</f>
        <v>0</v>
      </c>
      <c r="AX33" s="746">
        <f>ROUND(CantidadesConsolidadas[[#This Row],[48560]]*$D33,0)</f>
        <v>0</v>
      </c>
      <c r="AY33" s="746">
        <f>ROUND(CantidadesConsolidadas[[#This Row],[48657]]*$D33,0)</f>
        <v>0</v>
      </c>
      <c r="AZ33" s="746">
        <f>ROUND(CantidadesConsolidadas[[#This Row],[48655]]*$D33,0)</f>
        <v>0</v>
      </c>
      <c r="BA33" s="806">
        <f>SUBTOTAL(9,CostoDirecto[[#This Row],[91013913]:[174353]])</f>
        <v>109420797</v>
      </c>
      <c r="BB33" s="806">
        <f>SUBTOTAL(9,CostoDirecto[[#This Row],[52531]:[48655]])</f>
        <v>0</v>
      </c>
    </row>
    <row r="34" spans="1:54" ht="43.2" x14ac:dyDescent="0.3">
      <c r="A34">
        <v>4158</v>
      </c>
      <c r="B34" s="606" t="str">
        <f>+_xlfn.XLOOKUP(CostoDirecto[[#This Row],[cod Idu]],APU_IDU[Código],APU_IDU[Nombre],"",0)</f>
        <v>BASE GRANULAR CLASE A (BG_A) (SUMINISTRO, EXTENDIDO, NIVELACIÓN, HUMEDECIMIENTO Y COMPACTACIÓN CON VIBROCOMPACTADOR)</v>
      </c>
      <c r="C34" s="609" t="str">
        <f>+_xlfn.XLOOKUP(CostoDirecto[[#This Row],[cod Idu]],APU_IDU[Código],APU_IDU[UM],"",0)</f>
        <v>M3</v>
      </c>
      <c r="D34" s="745">
        <f>+_xlfn.XLOOKUP(CostoDirecto[[#This Row],[cod Idu]],APU_IDU[Código],APU_IDU[Valor],"",0)</f>
        <v>244495</v>
      </c>
      <c r="E34" s="728">
        <f>ROUND(CantidadesConsolidadas[[#This Row],[91013913]]*$D34,0)</f>
        <v>0</v>
      </c>
      <c r="F34" s="728">
        <f>ROUND(CantidadesConsolidadas[[#This Row],[472330]]*$D34,0)</f>
        <v>0</v>
      </c>
      <c r="G34" s="728">
        <f>ROUND(CantidadesConsolidadas[[#This Row],[167810]]*$D34,0)</f>
        <v>0</v>
      </c>
      <c r="H34" s="728">
        <f>ROUND(CantidadesConsolidadas[[#This Row],[166646]]*$D34,0)</f>
        <v>0</v>
      </c>
      <c r="I34" s="728">
        <f>ROUND(CantidadesConsolidadas[[#This Row],[167491]]*$D34,0)</f>
        <v>0</v>
      </c>
      <c r="J34" s="728">
        <f>ROUND(CantidadesConsolidadas[[#This Row],[167266]]*$D34,0)</f>
        <v>0</v>
      </c>
      <c r="K34" s="728">
        <f>ROUND(CantidadesConsolidadas[[#This Row],[170896]]*$D34,0)</f>
        <v>0</v>
      </c>
      <c r="L34" s="728">
        <f>ROUND(CantidadesConsolidadas[[#This Row],[170897]]*$D34,0)</f>
        <v>0</v>
      </c>
      <c r="M34" s="728">
        <f>ROUND(CantidadesConsolidadas[[#This Row],[170898]]*$D34,0)</f>
        <v>0</v>
      </c>
      <c r="N34" s="728">
        <f>ROUND(CantidadesConsolidadas[[#This Row],[91064150]]*$D34,0)</f>
        <v>0</v>
      </c>
      <c r="O34" s="728">
        <f>ROUND(CantidadesConsolidadas[[#This Row],[168919]]*$D34,0)</f>
        <v>0</v>
      </c>
      <c r="P34" s="728">
        <f>ROUND(CantidadesConsolidadas[[#This Row],[168426]]*$D34,0)</f>
        <v>0</v>
      </c>
      <c r="Q34" s="728">
        <f>ROUND(CantidadesConsolidadas[[#This Row],[91020796]]*$D34,0)</f>
        <v>0</v>
      </c>
      <c r="R34" s="728">
        <f>ROUND(CantidadesConsolidadas[[#This Row],[176184]]*$D34,0)</f>
        <v>0</v>
      </c>
      <c r="S34" s="728">
        <f>ROUND(CantidadesConsolidadas[[#This Row],[167636]]*$D34,0)</f>
        <v>0</v>
      </c>
      <c r="T34" s="728">
        <f>ROUND(CantidadesConsolidadas[[#This Row],[176730]]*$D34,0)</f>
        <v>0</v>
      </c>
      <c r="U34" s="728">
        <f>ROUND(CantidadesConsolidadas[[#This Row],[173038]]*$D34,0)</f>
        <v>0</v>
      </c>
      <c r="V34" s="728">
        <f>ROUND(CantidadesConsolidadas[[#This Row],[170222]]*$D34,0)</f>
        <v>0</v>
      </c>
      <c r="W34" s="728">
        <f>ROUND(CantidadesConsolidadas[[#This Row],[170229]]*$D34,0)</f>
        <v>0</v>
      </c>
      <c r="X34" s="728">
        <f>ROUND(CantidadesConsolidadas[[#This Row],[170227]]*$D34,0)</f>
        <v>0</v>
      </c>
      <c r="Y34" s="728">
        <f>ROUND(CantidadesConsolidadas[[#This Row],[170226]]*$D34,0)</f>
        <v>0</v>
      </c>
      <c r="Z34" s="728">
        <f>ROUND(CantidadesConsolidadas[[#This Row],[171567]]*$D34,0)</f>
        <v>128044476</v>
      </c>
      <c r="AA34" s="728">
        <f>ROUND(CantidadesConsolidadas[[#This Row],[166632]]*$D34,0)</f>
        <v>0</v>
      </c>
      <c r="AB34" s="728">
        <f>ROUND(CantidadesConsolidadas[[#This Row],[170228]]*$D34,0)</f>
        <v>0</v>
      </c>
      <c r="AC34" s="728">
        <f>ROUND(CantidadesConsolidadas[[#This Row],[172926]]*$D34,0)</f>
        <v>0</v>
      </c>
      <c r="AD34" s="728">
        <f>ROUND(CantidadesConsolidadas[[#This Row],[171152]]*$D34,0)</f>
        <v>0</v>
      </c>
      <c r="AE34" s="728">
        <f>ROUND(CantidadesConsolidadas[[#This Row],[173058]]*$D34,0)</f>
        <v>0</v>
      </c>
      <c r="AF34" s="728">
        <f>ROUND(CantidadesConsolidadas[[#This Row],[174478]]*$D34,0)</f>
        <v>0</v>
      </c>
      <c r="AG34" s="728">
        <f>ROUND(CantidadesConsolidadas[[#This Row],[91010089]]*$D34,0)</f>
        <v>0</v>
      </c>
      <c r="AH34" s="728">
        <f>ROUND(CantidadesConsolidadas[[#This Row],[176122]]*$D34,0)</f>
        <v>0</v>
      </c>
      <c r="AI34" s="728">
        <f>ROUND(CantidadesConsolidadas[[#This Row],[168536]]*$D34,0)</f>
        <v>0</v>
      </c>
      <c r="AJ34" s="728">
        <f>ROUND(CantidadesConsolidadas[[#This Row],[166934]]*$D34,0)</f>
        <v>0</v>
      </c>
      <c r="AK34" s="728">
        <f>ROUND(CantidadesConsolidadas[[#This Row],[174353]]*$D34,0)</f>
        <v>0</v>
      </c>
      <c r="AL34" s="747">
        <f>ROUND(CantidadesConsolidadas[[#This Row],[52531]]*$D34,0)</f>
        <v>0</v>
      </c>
      <c r="AM34" s="746">
        <f>ROUND(CantidadesConsolidadas[[#This Row],[52456]]*$D34,0)</f>
        <v>0</v>
      </c>
      <c r="AN34" s="746">
        <f>ROUND(CantidadesConsolidadas[[#This Row],[92058103]]*$D34,0)</f>
        <v>0</v>
      </c>
      <c r="AO34" s="746">
        <f>ROUND(CantidadesConsolidadas[[#This Row],[20011114]]*$D34,0)</f>
        <v>0</v>
      </c>
      <c r="AP34" s="746">
        <f>ROUND(CantidadesConsolidadas[[#This Row],[20013540]]*$D34,0)</f>
        <v>0</v>
      </c>
      <c r="AQ34" s="746">
        <f>ROUND(CantidadesConsolidadas[[#This Row],[55337]]*$D34,0)</f>
        <v>0</v>
      </c>
      <c r="AR34" s="746">
        <f>ROUND(CantidadesConsolidadas[[#This Row],[92087422]]*$D34,0)</f>
        <v>0</v>
      </c>
      <c r="AS34" s="746">
        <f>ROUND(CantidadesConsolidadas[[#This Row],[55259]]*$D34,0)</f>
        <v>0</v>
      </c>
      <c r="AT34" s="746">
        <f>ROUND(CantidadesConsolidadas[[#This Row],[466904]]*$D34,0)</f>
        <v>0</v>
      </c>
      <c r="AU34" s="746">
        <f>ROUND(CantidadesConsolidadas[[#This Row],[48591]]*$D34,0)</f>
        <v>0</v>
      </c>
      <c r="AV34" s="746">
        <f>ROUND(CantidadesConsolidadas[[#This Row],[48590]]*$D34,0)</f>
        <v>0</v>
      </c>
      <c r="AW34" s="746">
        <f>ROUND(CantidadesConsolidadas[[#This Row],[48561]]*$D34,0)</f>
        <v>0</v>
      </c>
      <c r="AX34" s="746">
        <f>ROUND(CantidadesConsolidadas[[#This Row],[48560]]*$D34,0)</f>
        <v>0</v>
      </c>
      <c r="AY34" s="746">
        <f>ROUND(CantidadesConsolidadas[[#This Row],[48657]]*$D34,0)</f>
        <v>0</v>
      </c>
      <c r="AZ34" s="746">
        <f>ROUND(CantidadesConsolidadas[[#This Row],[48655]]*$D34,0)</f>
        <v>0</v>
      </c>
      <c r="BA34" s="806">
        <f>SUBTOTAL(9,CostoDirecto[[#This Row],[91013913]:[174353]])</f>
        <v>128044476</v>
      </c>
      <c r="BB34" s="806">
        <f>SUBTOTAL(9,CostoDirecto[[#This Row],[52531]:[48655]])</f>
        <v>0</v>
      </c>
    </row>
    <row r="35" spans="1:54" ht="28.8" x14ac:dyDescent="0.3">
      <c r="A35">
        <v>4667</v>
      </c>
      <c r="B35" s="606" t="str">
        <f>+_xlfn.XLOOKUP(CostoDirecto[[#This Row],[cod Idu]],APU_IDU[Código],APU_IDU[Nombre],"",0)</f>
        <v>CONSTRUCCIÓN DE PAVIMENTO RÍGIDO: LOSAS EN CONCRETO HIDRÁULICO MR45 E=0.20M (NO INCLUYE SARDINEL)</v>
      </c>
      <c r="C35" s="609" t="str">
        <f>+_xlfn.XLOOKUP(CostoDirecto[[#This Row],[cod Idu]],APU_IDU[Código],APU_IDU[UM],"",0)</f>
        <v>M2</v>
      </c>
      <c r="D35" s="745">
        <f>+_xlfn.XLOOKUP(CostoDirecto[[#This Row],[cod Idu]],APU_IDU[Código],APU_IDU[Valor],"",0)</f>
        <v>434307</v>
      </c>
      <c r="E35" s="728">
        <f>ROUND(CantidadesConsolidadas[[#This Row],[91013913]]*$D35,0)</f>
        <v>0</v>
      </c>
      <c r="F35" s="728">
        <f>ROUND(CantidadesConsolidadas[[#This Row],[472330]]*$D35,0)</f>
        <v>0</v>
      </c>
      <c r="G35" s="728">
        <f>ROUND(CantidadesConsolidadas[[#This Row],[167810]]*$D35,0)</f>
        <v>0</v>
      </c>
      <c r="H35" s="728">
        <f>ROUND(CantidadesConsolidadas[[#This Row],[166646]]*$D35,0)</f>
        <v>0</v>
      </c>
      <c r="I35" s="728">
        <f>ROUND(CantidadesConsolidadas[[#This Row],[167491]]*$D35,0)</f>
        <v>0</v>
      </c>
      <c r="J35" s="728">
        <f>ROUND(CantidadesConsolidadas[[#This Row],[167266]]*$D35,0)</f>
        <v>0</v>
      </c>
      <c r="K35" s="728">
        <f>ROUND(CantidadesConsolidadas[[#This Row],[170896]]*$D35,0)</f>
        <v>0</v>
      </c>
      <c r="L35" s="728">
        <f>ROUND(CantidadesConsolidadas[[#This Row],[170897]]*$D35,0)</f>
        <v>0</v>
      </c>
      <c r="M35" s="728">
        <f>ROUND(CantidadesConsolidadas[[#This Row],[170898]]*$D35,0)</f>
        <v>0</v>
      </c>
      <c r="N35" s="728">
        <f>ROUND(CantidadesConsolidadas[[#This Row],[91064150]]*$D35,0)</f>
        <v>0</v>
      </c>
      <c r="O35" s="728">
        <f>ROUND(CantidadesConsolidadas[[#This Row],[168919]]*$D35,0)</f>
        <v>0</v>
      </c>
      <c r="P35" s="728">
        <f>ROUND(CantidadesConsolidadas[[#This Row],[168426]]*$D35,0)</f>
        <v>0</v>
      </c>
      <c r="Q35" s="728">
        <f>ROUND(CantidadesConsolidadas[[#This Row],[91020796]]*$D35,0)</f>
        <v>0</v>
      </c>
      <c r="R35" s="728">
        <f>ROUND(CantidadesConsolidadas[[#This Row],[176184]]*$D35,0)</f>
        <v>0</v>
      </c>
      <c r="S35" s="728">
        <f>ROUND(CantidadesConsolidadas[[#This Row],[167636]]*$D35,0)</f>
        <v>0</v>
      </c>
      <c r="T35" s="728">
        <f>ROUND(CantidadesConsolidadas[[#This Row],[176730]]*$D35,0)</f>
        <v>0</v>
      </c>
      <c r="U35" s="728">
        <f>ROUND(CantidadesConsolidadas[[#This Row],[173038]]*$D35,0)</f>
        <v>0</v>
      </c>
      <c r="V35" s="728">
        <f>ROUND(CantidadesConsolidadas[[#This Row],[170222]]*$D35,0)</f>
        <v>0</v>
      </c>
      <c r="W35" s="728">
        <f>ROUND(CantidadesConsolidadas[[#This Row],[170229]]*$D35,0)</f>
        <v>0</v>
      </c>
      <c r="X35" s="728">
        <f>ROUND(CantidadesConsolidadas[[#This Row],[170227]]*$D35,0)</f>
        <v>0</v>
      </c>
      <c r="Y35" s="728">
        <f>ROUND(CantidadesConsolidadas[[#This Row],[170226]]*$D35,0)</f>
        <v>0</v>
      </c>
      <c r="Z35" s="728">
        <f>ROUND(CantidadesConsolidadas[[#This Row],[171567]]*$D35,0)</f>
        <v>227342342</v>
      </c>
      <c r="AA35" s="728">
        <f>ROUND(CantidadesConsolidadas[[#This Row],[166632]]*$D35,0)</f>
        <v>0</v>
      </c>
      <c r="AB35" s="728">
        <f>ROUND(CantidadesConsolidadas[[#This Row],[170228]]*$D35,0)</f>
        <v>0</v>
      </c>
      <c r="AC35" s="728">
        <f>ROUND(CantidadesConsolidadas[[#This Row],[172926]]*$D35,0)</f>
        <v>0</v>
      </c>
      <c r="AD35" s="728">
        <f>ROUND(CantidadesConsolidadas[[#This Row],[171152]]*$D35,0)</f>
        <v>0</v>
      </c>
      <c r="AE35" s="728">
        <f>ROUND(CantidadesConsolidadas[[#This Row],[173058]]*$D35,0)</f>
        <v>0</v>
      </c>
      <c r="AF35" s="728">
        <f>ROUND(CantidadesConsolidadas[[#This Row],[174478]]*$D35,0)</f>
        <v>0</v>
      </c>
      <c r="AG35" s="728">
        <f>ROUND(CantidadesConsolidadas[[#This Row],[91010089]]*$D35,0)</f>
        <v>0</v>
      </c>
      <c r="AH35" s="728">
        <f>ROUND(CantidadesConsolidadas[[#This Row],[176122]]*$D35,0)</f>
        <v>0</v>
      </c>
      <c r="AI35" s="728">
        <f>ROUND(CantidadesConsolidadas[[#This Row],[168536]]*$D35,0)</f>
        <v>0</v>
      </c>
      <c r="AJ35" s="728">
        <f>ROUND(CantidadesConsolidadas[[#This Row],[166934]]*$D35,0)</f>
        <v>0</v>
      </c>
      <c r="AK35" s="728">
        <f>ROUND(CantidadesConsolidadas[[#This Row],[174353]]*$D35,0)</f>
        <v>0</v>
      </c>
      <c r="AL35" s="747">
        <f>ROUND(CantidadesConsolidadas[[#This Row],[52531]]*$D35,0)</f>
        <v>0</v>
      </c>
      <c r="AM35" s="746">
        <f>ROUND(CantidadesConsolidadas[[#This Row],[52456]]*$D35,0)</f>
        <v>0</v>
      </c>
      <c r="AN35" s="746">
        <f>ROUND(CantidadesConsolidadas[[#This Row],[92058103]]*$D35,0)</f>
        <v>0</v>
      </c>
      <c r="AO35" s="746">
        <f>ROUND(CantidadesConsolidadas[[#This Row],[20011114]]*$D35,0)</f>
        <v>0</v>
      </c>
      <c r="AP35" s="746">
        <f>ROUND(CantidadesConsolidadas[[#This Row],[20013540]]*$D35,0)</f>
        <v>0</v>
      </c>
      <c r="AQ35" s="746">
        <f>ROUND(CantidadesConsolidadas[[#This Row],[55337]]*$D35,0)</f>
        <v>0</v>
      </c>
      <c r="AR35" s="746">
        <f>ROUND(CantidadesConsolidadas[[#This Row],[92087422]]*$D35,0)</f>
        <v>0</v>
      </c>
      <c r="AS35" s="746">
        <f>ROUND(CantidadesConsolidadas[[#This Row],[55259]]*$D35,0)</f>
        <v>0</v>
      </c>
      <c r="AT35" s="746">
        <f>ROUND(CantidadesConsolidadas[[#This Row],[466904]]*$D35,0)</f>
        <v>0</v>
      </c>
      <c r="AU35" s="746">
        <f>ROUND(CantidadesConsolidadas[[#This Row],[48591]]*$D35,0)</f>
        <v>0</v>
      </c>
      <c r="AV35" s="746">
        <f>ROUND(CantidadesConsolidadas[[#This Row],[48590]]*$D35,0)</f>
        <v>0</v>
      </c>
      <c r="AW35" s="746">
        <f>ROUND(CantidadesConsolidadas[[#This Row],[48561]]*$D35,0)</f>
        <v>0</v>
      </c>
      <c r="AX35" s="746">
        <f>ROUND(CantidadesConsolidadas[[#This Row],[48560]]*$D35,0)</f>
        <v>0</v>
      </c>
      <c r="AY35" s="746">
        <f>ROUND(CantidadesConsolidadas[[#This Row],[48657]]*$D35,0)</f>
        <v>0</v>
      </c>
      <c r="AZ35" s="746">
        <f>ROUND(CantidadesConsolidadas[[#This Row],[48655]]*$D35,0)</f>
        <v>0</v>
      </c>
      <c r="BA35" s="806">
        <f>SUBTOTAL(9,CostoDirecto[[#This Row],[91013913]:[174353]])</f>
        <v>227342342</v>
      </c>
      <c r="BB35" s="806">
        <f>SUBTOTAL(9,CostoDirecto[[#This Row],[52531]:[48655]])</f>
        <v>0</v>
      </c>
    </row>
    <row r="36" spans="1:54" ht="86.4" x14ac:dyDescent="0.3">
      <c r="A36">
        <v>3708</v>
      </c>
      <c r="B36" s="606" t="str">
        <f>+_xlfn.XLOOKUP(CostoDirecto[[#This Row],[cod Idu]],APU_IDU[Código],APU_IDU[Nombre],"",0)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C36" s="609" t="str">
        <f>+_xlfn.XLOOKUP(CostoDirecto[[#This Row],[cod Idu]],APU_IDU[Código],APU_IDU[UM],"",0)</f>
        <v>KG</v>
      </c>
      <c r="D36" s="745">
        <f>+_xlfn.XLOOKUP(CostoDirecto[[#This Row],[cod Idu]],APU_IDU[Código],APU_IDU[Valor],"",0)</f>
        <v>5794</v>
      </c>
      <c r="E36" s="728">
        <f>ROUND(CantidadesConsolidadas[[#This Row],[91013913]]*$D36,0)</f>
        <v>0</v>
      </c>
      <c r="F36" s="728">
        <f>ROUND(CantidadesConsolidadas[[#This Row],[472330]]*$D36,0)</f>
        <v>0</v>
      </c>
      <c r="G36" s="728">
        <f>ROUND(CantidadesConsolidadas[[#This Row],[167810]]*$D36,0)</f>
        <v>0</v>
      </c>
      <c r="H36" s="728">
        <f>ROUND(CantidadesConsolidadas[[#This Row],[166646]]*$D36,0)</f>
        <v>0</v>
      </c>
      <c r="I36" s="728">
        <f>ROUND(CantidadesConsolidadas[[#This Row],[167491]]*$D36,0)</f>
        <v>0</v>
      </c>
      <c r="J36" s="728">
        <f>ROUND(CantidadesConsolidadas[[#This Row],[167266]]*$D36,0)</f>
        <v>0</v>
      </c>
      <c r="K36" s="728">
        <f>ROUND(CantidadesConsolidadas[[#This Row],[170896]]*$D36,0)</f>
        <v>0</v>
      </c>
      <c r="L36" s="728">
        <f>ROUND(CantidadesConsolidadas[[#This Row],[170897]]*$D36,0)</f>
        <v>0</v>
      </c>
      <c r="M36" s="728">
        <f>ROUND(CantidadesConsolidadas[[#This Row],[170898]]*$D36,0)</f>
        <v>0</v>
      </c>
      <c r="N36" s="728">
        <f>ROUND(CantidadesConsolidadas[[#This Row],[91064150]]*$D36,0)</f>
        <v>0</v>
      </c>
      <c r="O36" s="728">
        <f>ROUND(CantidadesConsolidadas[[#This Row],[168919]]*$D36,0)</f>
        <v>0</v>
      </c>
      <c r="P36" s="728">
        <f>ROUND(CantidadesConsolidadas[[#This Row],[168426]]*$D36,0)</f>
        <v>0</v>
      </c>
      <c r="Q36" s="728">
        <f>ROUND(CantidadesConsolidadas[[#This Row],[91020796]]*$D36,0)</f>
        <v>0</v>
      </c>
      <c r="R36" s="728">
        <f>ROUND(CantidadesConsolidadas[[#This Row],[176184]]*$D36,0)</f>
        <v>0</v>
      </c>
      <c r="S36" s="728">
        <f>ROUND(CantidadesConsolidadas[[#This Row],[167636]]*$D36,0)</f>
        <v>0</v>
      </c>
      <c r="T36" s="728">
        <f>ROUND(CantidadesConsolidadas[[#This Row],[176730]]*$D36,0)</f>
        <v>0</v>
      </c>
      <c r="U36" s="728">
        <f>ROUND(CantidadesConsolidadas[[#This Row],[173038]]*$D36,0)</f>
        <v>0</v>
      </c>
      <c r="V36" s="728">
        <f>ROUND(CantidadesConsolidadas[[#This Row],[170222]]*$D36,0)</f>
        <v>0</v>
      </c>
      <c r="W36" s="728">
        <f>ROUND(CantidadesConsolidadas[[#This Row],[170229]]*$D36,0)</f>
        <v>0</v>
      </c>
      <c r="X36" s="728">
        <f>ROUND(CantidadesConsolidadas[[#This Row],[170227]]*$D36,0)</f>
        <v>0</v>
      </c>
      <c r="Y36" s="728">
        <f>ROUND(CantidadesConsolidadas[[#This Row],[170226]]*$D36,0)</f>
        <v>0</v>
      </c>
      <c r="Z36" s="728">
        <f>ROUND(CantidadesConsolidadas[[#This Row],[171567]]*$D36,0)</f>
        <v>12131709</v>
      </c>
      <c r="AA36" s="728">
        <f>ROUND(CantidadesConsolidadas[[#This Row],[166632]]*$D36,0)</f>
        <v>0</v>
      </c>
      <c r="AB36" s="728">
        <f>ROUND(CantidadesConsolidadas[[#This Row],[170228]]*$D36,0)</f>
        <v>0</v>
      </c>
      <c r="AC36" s="728">
        <f>ROUND(CantidadesConsolidadas[[#This Row],[172926]]*$D36,0)</f>
        <v>0</v>
      </c>
      <c r="AD36" s="728">
        <f>ROUND(CantidadesConsolidadas[[#This Row],[171152]]*$D36,0)</f>
        <v>0</v>
      </c>
      <c r="AE36" s="728">
        <f>ROUND(CantidadesConsolidadas[[#This Row],[173058]]*$D36,0)</f>
        <v>0</v>
      </c>
      <c r="AF36" s="728">
        <f>ROUND(CantidadesConsolidadas[[#This Row],[174478]]*$D36,0)</f>
        <v>0</v>
      </c>
      <c r="AG36" s="728">
        <f>ROUND(CantidadesConsolidadas[[#This Row],[91010089]]*$D36,0)</f>
        <v>0</v>
      </c>
      <c r="AH36" s="728">
        <f>ROUND(CantidadesConsolidadas[[#This Row],[176122]]*$D36,0)</f>
        <v>0</v>
      </c>
      <c r="AI36" s="728">
        <f>ROUND(CantidadesConsolidadas[[#This Row],[168536]]*$D36,0)</f>
        <v>0</v>
      </c>
      <c r="AJ36" s="728">
        <f>ROUND(CantidadesConsolidadas[[#This Row],[166934]]*$D36,0)</f>
        <v>0</v>
      </c>
      <c r="AK36" s="728">
        <f>ROUND(CantidadesConsolidadas[[#This Row],[174353]]*$D36,0)</f>
        <v>0</v>
      </c>
      <c r="AL36" s="747">
        <f>ROUND(CantidadesConsolidadas[[#This Row],[52531]]*$D36,0)</f>
        <v>0</v>
      </c>
      <c r="AM36" s="746">
        <f>ROUND(CantidadesConsolidadas[[#This Row],[52456]]*$D36,0)</f>
        <v>0</v>
      </c>
      <c r="AN36" s="746">
        <f>ROUND(CantidadesConsolidadas[[#This Row],[92058103]]*$D36,0)</f>
        <v>0</v>
      </c>
      <c r="AO36" s="746">
        <f>ROUND(CantidadesConsolidadas[[#This Row],[20011114]]*$D36,0)</f>
        <v>0</v>
      </c>
      <c r="AP36" s="746">
        <f>ROUND(CantidadesConsolidadas[[#This Row],[20013540]]*$D36,0)</f>
        <v>0</v>
      </c>
      <c r="AQ36" s="746">
        <f>ROUND(CantidadesConsolidadas[[#This Row],[55337]]*$D36,0)</f>
        <v>0</v>
      </c>
      <c r="AR36" s="746">
        <f>ROUND(CantidadesConsolidadas[[#This Row],[92087422]]*$D36,0)</f>
        <v>0</v>
      </c>
      <c r="AS36" s="746">
        <f>ROUND(CantidadesConsolidadas[[#This Row],[55259]]*$D36,0)</f>
        <v>0</v>
      </c>
      <c r="AT36" s="746">
        <f>ROUND(CantidadesConsolidadas[[#This Row],[466904]]*$D36,0)</f>
        <v>0</v>
      </c>
      <c r="AU36" s="746">
        <f>ROUND(CantidadesConsolidadas[[#This Row],[48591]]*$D36,0)</f>
        <v>0</v>
      </c>
      <c r="AV36" s="746">
        <f>ROUND(CantidadesConsolidadas[[#This Row],[48590]]*$D36,0)</f>
        <v>0</v>
      </c>
      <c r="AW36" s="746">
        <f>ROUND(CantidadesConsolidadas[[#This Row],[48561]]*$D36,0)</f>
        <v>0</v>
      </c>
      <c r="AX36" s="746">
        <f>ROUND(CantidadesConsolidadas[[#This Row],[48560]]*$D36,0)</f>
        <v>0</v>
      </c>
      <c r="AY36" s="746">
        <f>ROUND(CantidadesConsolidadas[[#This Row],[48657]]*$D36,0)</f>
        <v>0</v>
      </c>
      <c r="AZ36" s="746">
        <f>ROUND(CantidadesConsolidadas[[#This Row],[48655]]*$D36,0)</f>
        <v>0</v>
      </c>
      <c r="BA36" s="806">
        <f>SUBTOTAL(9,CostoDirecto[[#This Row],[91013913]:[174353]])</f>
        <v>12131709</v>
      </c>
      <c r="BB36" s="806">
        <f>SUBTOTAL(9,CostoDirecto[[#This Row],[52531]:[48655]])</f>
        <v>0</v>
      </c>
    </row>
    <row r="37" spans="1:54" x14ac:dyDescent="0.3">
      <c r="A37">
        <v>5404</v>
      </c>
      <c r="B37" s="606" t="str">
        <f>+_xlfn.XLOOKUP(CostoDirecto[[#This Row],[cod Idu]],APU_IDU[Código],APU_IDU[Nombre],"",0)</f>
        <v>CANASTILLA PASAJUNTAS (INCLUYE SUMINISTRO Y FIJACIÓN)</v>
      </c>
      <c r="C37" s="609" t="str">
        <f>+_xlfn.XLOOKUP(CostoDirecto[[#This Row],[cod Idu]],APU_IDU[Código],APU_IDU[UM],"",0)</f>
        <v>KG</v>
      </c>
      <c r="D37" s="745">
        <f>+_xlfn.XLOOKUP(CostoDirecto[[#This Row],[cod Idu]],APU_IDU[Código],APU_IDU[Valor],"",0)</f>
        <v>10706</v>
      </c>
      <c r="E37" s="728">
        <f>ROUND(CantidadesConsolidadas[[#This Row],[91013913]]*$D37,0)</f>
        <v>0</v>
      </c>
      <c r="F37" s="728">
        <f>ROUND(CantidadesConsolidadas[[#This Row],[472330]]*$D37,0)</f>
        <v>0</v>
      </c>
      <c r="G37" s="728">
        <f>ROUND(CantidadesConsolidadas[[#This Row],[167810]]*$D37,0)</f>
        <v>0</v>
      </c>
      <c r="H37" s="728">
        <f>ROUND(CantidadesConsolidadas[[#This Row],[166646]]*$D37,0)</f>
        <v>0</v>
      </c>
      <c r="I37" s="728">
        <f>ROUND(CantidadesConsolidadas[[#This Row],[167491]]*$D37,0)</f>
        <v>0</v>
      </c>
      <c r="J37" s="728">
        <f>ROUND(CantidadesConsolidadas[[#This Row],[167266]]*$D37,0)</f>
        <v>0</v>
      </c>
      <c r="K37" s="728">
        <f>ROUND(CantidadesConsolidadas[[#This Row],[170896]]*$D37,0)</f>
        <v>0</v>
      </c>
      <c r="L37" s="728">
        <f>ROUND(CantidadesConsolidadas[[#This Row],[170897]]*$D37,0)</f>
        <v>0</v>
      </c>
      <c r="M37" s="728">
        <f>ROUND(CantidadesConsolidadas[[#This Row],[170898]]*$D37,0)</f>
        <v>0</v>
      </c>
      <c r="N37" s="728">
        <f>ROUND(CantidadesConsolidadas[[#This Row],[91064150]]*$D37,0)</f>
        <v>0</v>
      </c>
      <c r="O37" s="728">
        <f>ROUND(CantidadesConsolidadas[[#This Row],[168919]]*$D37,0)</f>
        <v>0</v>
      </c>
      <c r="P37" s="728">
        <f>ROUND(CantidadesConsolidadas[[#This Row],[168426]]*$D37,0)</f>
        <v>0</v>
      </c>
      <c r="Q37" s="728">
        <f>ROUND(CantidadesConsolidadas[[#This Row],[91020796]]*$D37,0)</f>
        <v>0</v>
      </c>
      <c r="R37" s="728">
        <f>ROUND(CantidadesConsolidadas[[#This Row],[176184]]*$D37,0)</f>
        <v>0</v>
      </c>
      <c r="S37" s="728">
        <f>ROUND(CantidadesConsolidadas[[#This Row],[167636]]*$D37,0)</f>
        <v>0</v>
      </c>
      <c r="T37" s="728">
        <f>ROUND(CantidadesConsolidadas[[#This Row],[176730]]*$D37,0)</f>
        <v>0</v>
      </c>
      <c r="U37" s="728">
        <f>ROUND(CantidadesConsolidadas[[#This Row],[173038]]*$D37,0)</f>
        <v>0</v>
      </c>
      <c r="V37" s="728">
        <f>ROUND(CantidadesConsolidadas[[#This Row],[170222]]*$D37,0)</f>
        <v>0</v>
      </c>
      <c r="W37" s="728">
        <f>ROUND(CantidadesConsolidadas[[#This Row],[170229]]*$D37,0)</f>
        <v>0</v>
      </c>
      <c r="X37" s="728">
        <f>ROUND(CantidadesConsolidadas[[#This Row],[170227]]*$D37,0)</f>
        <v>0</v>
      </c>
      <c r="Y37" s="728">
        <f>ROUND(CantidadesConsolidadas[[#This Row],[170226]]*$D37,0)</f>
        <v>0</v>
      </c>
      <c r="Z37" s="728">
        <f>ROUND(CantidadesConsolidadas[[#This Row],[171567]]*$D37,0)</f>
        <v>321180</v>
      </c>
      <c r="AA37" s="728">
        <f>ROUND(CantidadesConsolidadas[[#This Row],[166632]]*$D37,0)</f>
        <v>0</v>
      </c>
      <c r="AB37" s="728">
        <f>ROUND(CantidadesConsolidadas[[#This Row],[170228]]*$D37,0)</f>
        <v>0</v>
      </c>
      <c r="AC37" s="728">
        <f>ROUND(CantidadesConsolidadas[[#This Row],[172926]]*$D37,0)</f>
        <v>0</v>
      </c>
      <c r="AD37" s="728">
        <f>ROUND(CantidadesConsolidadas[[#This Row],[171152]]*$D37,0)</f>
        <v>0</v>
      </c>
      <c r="AE37" s="728">
        <f>ROUND(CantidadesConsolidadas[[#This Row],[173058]]*$D37,0)</f>
        <v>0</v>
      </c>
      <c r="AF37" s="728">
        <f>ROUND(CantidadesConsolidadas[[#This Row],[174478]]*$D37,0)</f>
        <v>0</v>
      </c>
      <c r="AG37" s="728">
        <f>ROUND(CantidadesConsolidadas[[#This Row],[91010089]]*$D37,0)</f>
        <v>0</v>
      </c>
      <c r="AH37" s="728">
        <f>ROUND(CantidadesConsolidadas[[#This Row],[176122]]*$D37,0)</f>
        <v>0</v>
      </c>
      <c r="AI37" s="728">
        <f>ROUND(CantidadesConsolidadas[[#This Row],[168536]]*$D37,0)</f>
        <v>0</v>
      </c>
      <c r="AJ37" s="728">
        <f>ROUND(CantidadesConsolidadas[[#This Row],[166934]]*$D37,0)</f>
        <v>0</v>
      </c>
      <c r="AK37" s="728">
        <f>ROUND(CantidadesConsolidadas[[#This Row],[174353]]*$D37,0)</f>
        <v>0</v>
      </c>
      <c r="AL37" s="747">
        <f>ROUND(CantidadesConsolidadas[[#This Row],[52531]]*$D37,0)</f>
        <v>0</v>
      </c>
      <c r="AM37" s="746">
        <f>ROUND(CantidadesConsolidadas[[#This Row],[52456]]*$D37,0)</f>
        <v>0</v>
      </c>
      <c r="AN37" s="746">
        <f>ROUND(CantidadesConsolidadas[[#This Row],[92058103]]*$D37,0)</f>
        <v>0</v>
      </c>
      <c r="AO37" s="746">
        <f>ROUND(CantidadesConsolidadas[[#This Row],[20011114]]*$D37,0)</f>
        <v>0</v>
      </c>
      <c r="AP37" s="746">
        <f>ROUND(CantidadesConsolidadas[[#This Row],[20013540]]*$D37,0)</f>
        <v>0</v>
      </c>
      <c r="AQ37" s="746">
        <f>ROUND(CantidadesConsolidadas[[#This Row],[55337]]*$D37,0)</f>
        <v>0</v>
      </c>
      <c r="AR37" s="746">
        <f>ROUND(CantidadesConsolidadas[[#This Row],[92087422]]*$D37,0)</f>
        <v>0</v>
      </c>
      <c r="AS37" s="746">
        <f>ROUND(CantidadesConsolidadas[[#This Row],[55259]]*$D37,0)</f>
        <v>0</v>
      </c>
      <c r="AT37" s="746">
        <f>ROUND(CantidadesConsolidadas[[#This Row],[466904]]*$D37,0)</f>
        <v>0</v>
      </c>
      <c r="AU37" s="746">
        <f>ROUND(CantidadesConsolidadas[[#This Row],[48591]]*$D37,0)</f>
        <v>0</v>
      </c>
      <c r="AV37" s="746">
        <f>ROUND(CantidadesConsolidadas[[#This Row],[48590]]*$D37,0)</f>
        <v>0</v>
      </c>
      <c r="AW37" s="746">
        <f>ROUND(CantidadesConsolidadas[[#This Row],[48561]]*$D37,0)</f>
        <v>0</v>
      </c>
      <c r="AX37" s="746">
        <f>ROUND(CantidadesConsolidadas[[#This Row],[48560]]*$D37,0)</f>
        <v>0</v>
      </c>
      <c r="AY37" s="746">
        <f>ROUND(CantidadesConsolidadas[[#This Row],[48657]]*$D37,0)</f>
        <v>0</v>
      </c>
      <c r="AZ37" s="746">
        <f>ROUND(CantidadesConsolidadas[[#This Row],[48655]]*$D37,0)</f>
        <v>0</v>
      </c>
      <c r="BA37" s="806">
        <f>SUBTOTAL(9,CostoDirecto[[#This Row],[91013913]:[174353]])</f>
        <v>321180</v>
      </c>
      <c r="BB37" s="806">
        <f>SUBTOTAL(9,CostoDirecto[[#This Row],[52531]:[48655]])</f>
        <v>0</v>
      </c>
    </row>
    <row r="38" spans="1:54" ht="28.8" x14ac:dyDescent="0.3">
      <c r="A38">
        <v>7714</v>
      </c>
      <c r="B38" s="606" t="str">
        <f>+_xlfn.XLOOKUP(CostoDirecto[[#This Row],[cod Idu]],APU_IDU[Código],APU_IDU[Nombre],"",0)</f>
        <v>(DOVELAS) ACERO LISO PARA TRANSFERENCIA DE LOSAS D= 1" (NO INCLUYE CANASTILLA). SUMINISTRO E INSTALACIÓN.</v>
      </c>
      <c r="C38" s="609" t="str">
        <f>+_xlfn.XLOOKUP(CostoDirecto[[#This Row],[cod Idu]],APU_IDU[Código],APU_IDU[UM],"",0)</f>
        <v>KG</v>
      </c>
      <c r="D38" s="745">
        <f>+_xlfn.XLOOKUP(CostoDirecto[[#This Row],[cod Idu]],APU_IDU[Código],APU_IDU[Valor],"",0)</f>
        <v>8071</v>
      </c>
      <c r="E38" s="728">
        <f>ROUND(CantidadesConsolidadas[[#This Row],[91013913]]*$D38,0)</f>
        <v>0</v>
      </c>
      <c r="F38" s="728">
        <f>ROUND(CantidadesConsolidadas[[#This Row],[472330]]*$D38,0)</f>
        <v>0</v>
      </c>
      <c r="G38" s="728">
        <f>ROUND(CantidadesConsolidadas[[#This Row],[167810]]*$D38,0)</f>
        <v>0</v>
      </c>
      <c r="H38" s="728">
        <f>ROUND(CantidadesConsolidadas[[#This Row],[166646]]*$D38,0)</f>
        <v>0</v>
      </c>
      <c r="I38" s="728">
        <f>ROUND(CantidadesConsolidadas[[#This Row],[167491]]*$D38,0)</f>
        <v>0</v>
      </c>
      <c r="J38" s="728">
        <f>ROUND(CantidadesConsolidadas[[#This Row],[167266]]*$D38,0)</f>
        <v>0</v>
      </c>
      <c r="K38" s="728">
        <f>ROUND(CantidadesConsolidadas[[#This Row],[170896]]*$D38,0)</f>
        <v>0</v>
      </c>
      <c r="L38" s="728">
        <f>ROUND(CantidadesConsolidadas[[#This Row],[170897]]*$D38,0)</f>
        <v>0</v>
      </c>
      <c r="M38" s="728">
        <f>ROUND(CantidadesConsolidadas[[#This Row],[170898]]*$D38,0)</f>
        <v>0</v>
      </c>
      <c r="N38" s="728">
        <f>ROUND(CantidadesConsolidadas[[#This Row],[91064150]]*$D38,0)</f>
        <v>0</v>
      </c>
      <c r="O38" s="728">
        <f>ROUND(CantidadesConsolidadas[[#This Row],[168919]]*$D38,0)</f>
        <v>0</v>
      </c>
      <c r="P38" s="728">
        <f>ROUND(CantidadesConsolidadas[[#This Row],[168426]]*$D38,0)</f>
        <v>0</v>
      </c>
      <c r="Q38" s="728">
        <f>ROUND(CantidadesConsolidadas[[#This Row],[91020796]]*$D38,0)</f>
        <v>0</v>
      </c>
      <c r="R38" s="728">
        <f>ROUND(CantidadesConsolidadas[[#This Row],[176184]]*$D38,0)</f>
        <v>0</v>
      </c>
      <c r="S38" s="728">
        <f>ROUND(CantidadesConsolidadas[[#This Row],[167636]]*$D38,0)</f>
        <v>0</v>
      </c>
      <c r="T38" s="728">
        <f>ROUND(CantidadesConsolidadas[[#This Row],[176730]]*$D38,0)</f>
        <v>0</v>
      </c>
      <c r="U38" s="728">
        <f>ROUND(CantidadesConsolidadas[[#This Row],[173038]]*$D38,0)</f>
        <v>0</v>
      </c>
      <c r="V38" s="728">
        <f>ROUND(CantidadesConsolidadas[[#This Row],[170222]]*$D38,0)</f>
        <v>0</v>
      </c>
      <c r="W38" s="728">
        <f>ROUND(CantidadesConsolidadas[[#This Row],[170229]]*$D38,0)</f>
        <v>0</v>
      </c>
      <c r="X38" s="728">
        <f>ROUND(CantidadesConsolidadas[[#This Row],[170227]]*$D38,0)</f>
        <v>0</v>
      </c>
      <c r="Y38" s="728">
        <f>ROUND(CantidadesConsolidadas[[#This Row],[170226]]*$D38,0)</f>
        <v>0</v>
      </c>
      <c r="Z38" s="728">
        <f>ROUND(CantidadesConsolidadas[[#This Row],[171567]]*$D38,0)</f>
        <v>564970</v>
      </c>
      <c r="AA38" s="728">
        <f>ROUND(CantidadesConsolidadas[[#This Row],[166632]]*$D38,0)</f>
        <v>0</v>
      </c>
      <c r="AB38" s="728">
        <f>ROUND(CantidadesConsolidadas[[#This Row],[170228]]*$D38,0)</f>
        <v>0</v>
      </c>
      <c r="AC38" s="728">
        <f>ROUND(CantidadesConsolidadas[[#This Row],[172926]]*$D38,0)</f>
        <v>0</v>
      </c>
      <c r="AD38" s="728">
        <f>ROUND(CantidadesConsolidadas[[#This Row],[171152]]*$D38,0)</f>
        <v>0</v>
      </c>
      <c r="AE38" s="728">
        <f>ROUND(CantidadesConsolidadas[[#This Row],[173058]]*$D38,0)</f>
        <v>0</v>
      </c>
      <c r="AF38" s="728">
        <f>ROUND(CantidadesConsolidadas[[#This Row],[174478]]*$D38,0)</f>
        <v>0</v>
      </c>
      <c r="AG38" s="728">
        <f>ROUND(CantidadesConsolidadas[[#This Row],[91010089]]*$D38,0)</f>
        <v>0</v>
      </c>
      <c r="AH38" s="728">
        <f>ROUND(CantidadesConsolidadas[[#This Row],[176122]]*$D38,0)</f>
        <v>0</v>
      </c>
      <c r="AI38" s="728">
        <f>ROUND(CantidadesConsolidadas[[#This Row],[168536]]*$D38,0)</f>
        <v>0</v>
      </c>
      <c r="AJ38" s="728">
        <f>ROUND(CantidadesConsolidadas[[#This Row],[166934]]*$D38,0)</f>
        <v>0</v>
      </c>
      <c r="AK38" s="728">
        <f>ROUND(CantidadesConsolidadas[[#This Row],[174353]]*$D38,0)</f>
        <v>0</v>
      </c>
      <c r="AL38" s="747">
        <f>ROUND(CantidadesConsolidadas[[#This Row],[52531]]*$D38,0)</f>
        <v>0</v>
      </c>
      <c r="AM38" s="746">
        <f>ROUND(CantidadesConsolidadas[[#This Row],[52456]]*$D38,0)</f>
        <v>0</v>
      </c>
      <c r="AN38" s="746">
        <f>ROUND(CantidadesConsolidadas[[#This Row],[92058103]]*$D38,0)</f>
        <v>0</v>
      </c>
      <c r="AO38" s="746">
        <f>ROUND(CantidadesConsolidadas[[#This Row],[20011114]]*$D38,0)</f>
        <v>0</v>
      </c>
      <c r="AP38" s="746">
        <f>ROUND(CantidadesConsolidadas[[#This Row],[20013540]]*$D38,0)</f>
        <v>0</v>
      </c>
      <c r="AQ38" s="746">
        <f>ROUND(CantidadesConsolidadas[[#This Row],[55337]]*$D38,0)</f>
        <v>0</v>
      </c>
      <c r="AR38" s="746">
        <f>ROUND(CantidadesConsolidadas[[#This Row],[92087422]]*$D38,0)</f>
        <v>0</v>
      </c>
      <c r="AS38" s="746">
        <f>ROUND(CantidadesConsolidadas[[#This Row],[55259]]*$D38,0)</f>
        <v>0</v>
      </c>
      <c r="AT38" s="746">
        <f>ROUND(CantidadesConsolidadas[[#This Row],[466904]]*$D38,0)</f>
        <v>0</v>
      </c>
      <c r="AU38" s="746">
        <f>ROUND(CantidadesConsolidadas[[#This Row],[48591]]*$D38,0)</f>
        <v>0</v>
      </c>
      <c r="AV38" s="746">
        <f>ROUND(CantidadesConsolidadas[[#This Row],[48590]]*$D38,0)</f>
        <v>0</v>
      </c>
      <c r="AW38" s="746">
        <f>ROUND(CantidadesConsolidadas[[#This Row],[48561]]*$D38,0)</f>
        <v>0</v>
      </c>
      <c r="AX38" s="746">
        <f>ROUND(CantidadesConsolidadas[[#This Row],[48560]]*$D38,0)</f>
        <v>0</v>
      </c>
      <c r="AY38" s="746">
        <f>ROUND(CantidadesConsolidadas[[#This Row],[48657]]*$D38,0)</f>
        <v>0</v>
      </c>
      <c r="AZ38" s="746">
        <f>ROUND(CantidadesConsolidadas[[#This Row],[48655]]*$D38,0)</f>
        <v>0</v>
      </c>
      <c r="BA38" s="806">
        <f>SUBTOTAL(9,CostoDirecto[[#This Row],[91013913]:[174353]])</f>
        <v>564970</v>
      </c>
      <c r="BB38" s="806">
        <f>SUBTOTAL(9,CostoDirecto[[#This Row],[52531]:[48655]])</f>
        <v>0</v>
      </c>
    </row>
    <row r="39" spans="1:54" x14ac:dyDescent="0.3">
      <c r="A39">
        <v>3806</v>
      </c>
      <c r="B39" s="606" t="str">
        <f>+_xlfn.XLOOKUP(CostoDirecto[[#This Row],[cod Idu]],APU_IDU[Código],APU_IDU[Nombre],"",0)</f>
        <v>CURADO DE LOSAS DE CONCRETO (SUMINISTRO Y APLICACIÓN)</v>
      </c>
      <c r="C39" s="609" t="str">
        <f>+_xlfn.XLOOKUP(CostoDirecto[[#This Row],[cod Idu]],APU_IDU[Código],APU_IDU[UM],"",0)</f>
        <v>M2</v>
      </c>
      <c r="D39" s="745">
        <f>+_xlfn.XLOOKUP(CostoDirecto[[#This Row],[cod Idu]],APU_IDU[Código],APU_IDU[Valor],"",0)</f>
        <v>3405</v>
      </c>
      <c r="E39" s="728">
        <f>ROUND(CantidadesConsolidadas[[#This Row],[91013913]]*$D39,0)</f>
        <v>0</v>
      </c>
      <c r="F39" s="728">
        <f>ROUND(CantidadesConsolidadas[[#This Row],[472330]]*$D39,0)</f>
        <v>0</v>
      </c>
      <c r="G39" s="728">
        <f>ROUND(CantidadesConsolidadas[[#This Row],[167810]]*$D39,0)</f>
        <v>0</v>
      </c>
      <c r="H39" s="728">
        <f>ROUND(CantidadesConsolidadas[[#This Row],[166646]]*$D39,0)</f>
        <v>0</v>
      </c>
      <c r="I39" s="728">
        <f>ROUND(CantidadesConsolidadas[[#This Row],[167491]]*$D39,0)</f>
        <v>0</v>
      </c>
      <c r="J39" s="728">
        <f>ROUND(CantidadesConsolidadas[[#This Row],[167266]]*$D39,0)</f>
        <v>0</v>
      </c>
      <c r="K39" s="728">
        <f>ROUND(CantidadesConsolidadas[[#This Row],[170896]]*$D39,0)</f>
        <v>0</v>
      </c>
      <c r="L39" s="728">
        <f>ROUND(CantidadesConsolidadas[[#This Row],[170897]]*$D39,0)</f>
        <v>0</v>
      </c>
      <c r="M39" s="728">
        <f>ROUND(CantidadesConsolidadas[[#This Row],[170898]]*$D39,0)</f>
        <v>0</v>
      </c>
      <c r="N39" s="728">
        <f>ROUND(CantidadesConsolidadas[[#This Row],[91064150]]*$D39,0)</f>
        <v>0</v>
      </c>
      <c r="O39" s="728">
        <f>ROUND(CantidadesConsolidadas[[#This Row],[168919]]*$D39,0)</f>
        <v>0</v>
      </c>
      <c r="P39" s="728">
        <f>ROUND(CantidadesConsolidadas[[#This Row],[168426]]*$D39,0)</f>
        <v>0</v>
      </c>
      <c r="Q39" s="728">
        <f>ROUND(CantidadesConsolidadas[[#This Row],[91020796]]*$D39,0)</f>
        <v>0</v>
      </c>
      <c r="R39" s="728">
        <f>ROUND(CantidadesConsolidadas[[#This Row],[176184]]*$D39,0)</f>
        <v>0</v>
      </c>
      <c r="S39" s="728">
        <f>ROUND(CantidadesConsolidadas[[#This Row],[167636]]*$D39,0)</f>
        <v>0</v>
      </c>
      <c r="T39" s="728">
        <f>ROUND(CantidadesConsolidadas[[#This Row],[176730]]*$D39,0)</f>
        <v>0</v>
      </c>
      <c r="U39" s="728">
        <f>ROUND(CantidadesConsolidadas[[#This Row],[173038]]*$D39,0)</f>
        <v>0</v>
      </c>
      <c r="V39" s="728">
        <f>ROUND(CantidadesConsolidadas[[#This Row],[170222]]*$D39,0)</f>
        <v>0</v>
      </c>
      <c r="W39" s="728">
        <f>ROUND(CantidadesConsolidadas[[#This Row],[170229]]*$D39,0)</f>
        <v>0</v>
      </c>
      <c r="X39" s="728">
        <f>ROUND(CantidadesConsolidadas[[#This Row],[170227]]*$D39,0)</f>
        <v>0</v>
      </c>
      <c r="Y39" s="728">
        <f>ROUND(CantidadesConsolidadas[[#This Row],[170226]]*$D39,0)</f>
        <v>0</v>
      </c>
      <c r="Z39" s="728">
        <f>ROUND(CantidadesConsolidadas[[#This Row],[171567]]*$D39,0)</f>
        <v>1782381</v>
      </c>
      <c r="AA39" s="728">
        <f>ROUND(CantidadesConsolidadas[[#This Row],[166632]]*$D39,0)</f>
        <v>0</v>
      </c>
      <c r="AB39" s="728">
        <f>ROUND(CantidadesConsolidadas[[#This Row],[170228]]*$D39,0)</f>
        <v>0</v>
      </c>
      <c r="AC39" s="728">
        <f>ROUND(CantidadesConsolidadas[[#This Row],[172926]]*$D39,0)</f>
        <v>0</v>
      </c>
      <c r="AD39" s="728">
        <f>ROUND(CantidadesConsolidadas[[#This Row],[171152]]*$D39,0)</f>
        <v>0</v>
      </c>
      <c r="AE39" s="728">
        <f>ROUND(CantidadesConsolidadas[[#This Row],[173058]]*$D39,0)</f>
        <v>0</v>
      </c>
      <c r="AF39" s="728">
        <f>ROUND(CantidadesConsolidadas[[#This Row],[174478]]*$D39,0)</f>
        <v>0</v>
      </c>
      <c r="AG39" s="728">
        <f>ROUND(CantidadesConsolidadas[[#This Row],[91010089]]*$D39,0)</f>
        <v>0</v>
      </c>
      <c r="AH39" s="728">
        <f>ROUND(CantidadesConsolidadas[[#This Row],[176122]]*$D39,0)</f>
        <v>0</v>
      </c>
      <c r="AI39" s="728">
        <f>ROUND(CantidadesConsolidadas[[#This Row],[168536]]*$D39,0)</f>
        <v>0</v>
      </c>
      <c r="AJ39" s="728">
        <f>ROUND(CantidadesConsolidadas[[#This Row],[166934]]*$D39,0)</f>
        <v>0</v>
      </c>
      <c r="AK39" s="728">
        <f>ROUND(CantidadesConsolidadas[[#This Row],[174353]]*$D39,0)</f>
        <v>0</v>
      </c>
      <c r="AL39" s="747">
        <f>ROUND(CantidadesConsolidadas[[#This Row],[52531]]*$D39,0)</f>
        <v>0</v>
      </c>
      <c r="AM39" s="746">
        <f>ROUND(CantidadesConsolidadas[[#This Row],[52456]]*$D39,0)</f>
        <v>0</v>
      </c>
      <c r="AN39" s="746">
        <f>ROUND(CantidadesConsolidadas[[#This Row],[92058103]]*$D39,0)</f>
        <v>0</v>
      </c>
      <c r="AO39" s="746">
        <f>ROUND(CantidadesConsolidadas[[#This Row],[20011114]]*$D39,0)</f>
        <v>0</v>
      </c>
      <c r="AP39" s="746">
        <f>ROUND(CantidadesConsolidadas[[#This Row],[20013540]]*$D39,0)</f>
        <v>0</v>
      </c>
      <c r="AQ39" s="746">
        <f>ROUND(CantidadesConsolidadas[[#This Row],[55337]]*$D39,0)</f>
        <v>0</v>
      </c>
      <c r="AR39" s="746">
        <f>ROUND(CantidadesConsolidadas[[#This Row],[92087422]]*$D39,0)</f>
        <v>0</v>
      </c>
      <c r="AS39" s="746">
        <f>ROUND(CantidadesConsolidadas[[#This Row],[55259]]*$D39,0)</f>
        <v>0</v>
      </c>
      <c r="AT39" s="746">
        <f>ROUND(CantidadesConsolidadas[[#This Row],[466904]]*$D39,0)</f>
        <v>0</v>
      </c>
      <c r="AU39" s="746">
        <f>ROUND(CantidadesConsolidadas[[#This Row],[48591]]*$D39,0)</f>
        <v>0</v>
      </c>
      <c r="AV39" s="746">
        <f>ROUND(CantidadesConsolidadas[[#This Row],[48590]]*$D39,0)</f>
        <v>0</v>
      </c>
      <c r="AW39" s="746">
        <f>ROUND(CantidadesConsolidadas[[#This Row],[48561]]*$D39,0)</f>
        <v>0</v>
      </c>
      <c r="AX39" s="746">
        <f>ROUND(CantidadesConsolidadas[[#This Row],[48560]]*$D39,0)</f>
        <v>0</v>
      </c>
      <c r="AY39" s="746">
        <f>ROUND(CantidadesConsolidadas[[#This Row],[48657]]*$D39,0)</f>
        <v>0</v>
      </c>
      <c r="AZ39" s="746">
        <f>ROUND(CantidadesConsolidadas[[#This Row],[48655]]*$D39,0)</f>
        <v>0</v>
      </c>
      <c r="BA39" s="806">
        <f>SUBTOTAL(9,CostoDirecto[[#This Row],[91013913]:[174353]])</f>
        <v>1782381</v>
      </c>
      <c r="BB39" s="806">
        <f>SUBTOTAL(9,CostoDirecto[[#This Row],[52531]:[48655]])</f>
        <v>0</v>
      </c>
    </row>
    <row r="40" spans="1:54" ht="28.8" x14ac:dyDescent="0.3">
      <c r="A40">
        <v>3837</v>
      </c>
      <c r="B40" s="606" t="str">
        <f>+_xlfn.XLOOKUP(CostoDirecto[[#This Row],[cod Idu]],APU_IDU[Código],APU_IDU[Nombre],"",0)</f>
        <v>SELLADO DE JUNTAS EN PAVIMENTO DE CONCRETO HIDRAULICO (INCLUYE LIMPIEZA, SUMINISTRO E INSTALACIÓN DE FONDO Y SELLANTE)</v>
      </c>
      <c r="C40" s="609" t="str">
        <f>+_xlfn.XLOOKUP(CostoDirecto[[#This Row],[cod Idu]],APU_IDU[Código],APU_IDU[UM],"",0)</f>
        <v>ML</v>
      </c>
      <c r="D40" s="745">
        <f>+_xlfn.XLOOKUP(CostoDirecto[[#This Row],[cod Idu]],APU_IDU[Código],APU_IDU[Valor],"",0)</f>
        <v>15321</v>
      </c>
      <c r="E40" s="728">
        <f>ROUND(CantidadesConsolidadas[[#This Row],[91013913]]*$D40,0)</f>
        <v>0</v>
      </c>
      <c r="F40" s="728">
        <f>ROUND(CantidadesConsolidadas[[#This Row],[472330]]*$D40,0)</f>
        <v>0</v>
      </c>
      <c r="G40" s="728">
        <f>ROUND(CantidadesConsolidadas[[#This Row],[167810]]*$D40,0)</f>
        <v>0</v>
      </c>
      <c r="H40" s="728">
        <f>ROUND(CantidadesConsolidadas[[#This Row],[166646]]*$D40,0)</f>
        <v>0</v>
      </c>
      <c r="I40" s="728">
        <f>ROUND(CantidadesConsolidadas[[#This Row],[167491]]*$D40,0)</f>
        <v>0</v>
      </c>
      <c r="J40" s="728">
        <f>ROUND(CantidadesConsolidadas[[#This Row],[167266]]*$D40,0)</f>
        <v>0</v>
      </c>
      <c r="K40" s="728">
        <f>ROUND(CantidadesConsolidadas[[#This Row],[170896]]*$D40,0)</f>
        <v>0</v>
      </c>
      <c r="L40" s="728">
        <f>ROUND(CantidadesConsolidadas[[#This Row],[170897]]*$D40,0)</f>
        <v>0</v>
      </c>
      <c r="M40" s="728">
        <f>ROUND(CantidadesConsolidadas[[#This Row],[170898]]*$D40,0)</f>
        <v>0</v>
      </c>
      <c r="N40" s="728">
        <f>ROUND(CantidadesConsolidadas[[#This Row],[91064150]]*$D40,0)</f>
        <v>0</v>
      </c>
      <c r="O40" s="728">
        <f>ROUND(CantidadesConsolidadas[[#This Row],[168919]]*$D40,0)</f>
        <v>0</v>
      </c>
      <c r="P40" s="728">
        <f>ROUND(CantidadesConsolidadas[[#This Row],[168426]]*$D40,0)</f>
        <v>0</v>
      </c>
      <c r="Q40" s="728">
        <f>ROUND(CantidadesConsolidadas[[#This Row],[91020796]]*$D40,0)</f>
        <v>0</v>
      </c>
      <c r="R40" s="728">
        <f>ROUND(CantidadesConsolidadas[[#This Row],[176184]]*$D40,0)</f>
        <v>0</v>
      </c>
      <c r="S40" s="728">
        <f>ROUND(CantidadesConsolidadas[[#This Row],[167636]]*$D40,0)</f>
        <v>0</v>
      </c>
      <c r="T40" s="728">
        <f>ROUND(CantidadesConsolidadas[[#This Row],[176730]]*$D40,0)</f>
        <v>0</v>
      </c>
      <c r="U40" s="728">
        <f>ROUND(CantidadesConsolidadas[[#This Row],[173038]]*$D40,0)</f>
        <v>0</v>
      </c>
      <c r="V40" s="728">
        <f>ROUND(CantidadesConsolidadas[[#This Row],[170222]]*$D40,0)</f>
        <v>0</v>
      </c>
      <c r="W40" s="728">
        <f>ROUND(CantidadesConsolidadas[[#This Row],[170229]]*$D40,0)</f>
        <v>0</v>
      </c>
      <c r="X40" s="728">
        <f>ROUND(CantidadesConsolidadas[[#This Row],[170227]]*$D40,0)</f>
        <v>0</v>
      </c>
      <c r="Y40" s="728">
        <f>ROUND(CantidadesConsolidadas[[#This Row],[170226]]*$D40,0)</f>
        <v>0</v>
      </c>
      <c r="Z40" s="728">
        <f>ROUND(CantidadesConsolidadas[[#This Row],[171567]]*$D40,0)</f>
        <v>1605028</v>
      </c>
      <c r="AA40" s="728">
        <f>ROUND(CantidadesConsolidadas[[#This Row],[166632]]*$D40,0)</f>
        <v>0</v>
      </c>
      <c r="AB40" s="728">
        <f>ROUND(CantidadesConsolidadas[[#This Row],[170228]]*$D40,0)</f>
        <v>0</v>
      </c>
      <c r="AC40" s="728">
        <f>ROUND(CantidadesConsolidadas[[#This Row],[172926]]*$D40,0)</f>
        <v>0</v>
      </c>
      <c r="AD40" s="728">
        <f>ROUND(CantidadesConsolidadas[[#This Row],[171152]]*$D40,0)</f>
        <v>0</v>
      </c>
      <c r="AE40" s="728">
        <f>ROUND(CantidadesConsolidadas[[#This Row],[173058]]*$D40,0)</f>
        <v>0</v>
      </c>
      <c r="AF40" s="728">
        <f>ROUND(CantidadesConsolidadas[[#This Row],[174478]]*$D40,0)</f>
        <v>0</v>
      </c>
      <c r="AG40" s="728">
        <f>ROUND(CantidadesConsolidadas[[#This Row],[91010089]]*$D40,0)</f>
        <v>0</v>
      </c>
      <c r="AH40" s="728">
        <f>ROUND(CantidadesConsolidadas[[#This Row],[176122]]*$D40,0)</f>
        <v>0</v>
      </c>
      <c r="AI40" s="728">
        <f>ROUND(CantidadesConsolidadas[[#This Row],[168536]]*$D40,0)</f>
        <v>0</v>
      </c>
      <c r="AJ40" s="728">
        <f>ROUND(CantidadesConsolidadas[[#This Row],[166934]]*$D40,0)</f>
        <v>0</v>
      </c>
      <c r="AK40" s="728">
        <f>ROUND(CantidadesConsolidadas[[#This Row],[174353]]*$D40,0)</f>
        <v>0</v>
      </c>
      <c r="AL40" s="747">
        <f>ROUND(CantidadesConsolidadas[[#This Row],[52531]]*$D40,0)</f>
        <v>0</v>
      </c>
      <c r="AM40" s="746">
        <f>ROUND(CantidadesConsolidadas[[#This Row],[52456]]*$D40,0)</f>
        <v>0</v>
      </c>
      <c r="AN40" s="746">
        <f>ROUND(CantidadesConsolidadas[[#This Row],[92058103]]*$D40,0)</f>
        <v>0</v>
      </c>
      <c r="AO40" s="746">
        <f>ROUND(CantidadesConsolidadas[[#This Row],[20011114]]*$D40,0)</f>
        <v>0</v>
      </c>
      <c r="AP40" s="746">
        <f>ROUND(CantidadesConsolidadas[[#This Row],[20013540]]*$D40,0)</f>
        <v>0</v>
      </c>
      <c r="AQ40" s="746">
        <f>ROUND(CantidadesConsolidadas[[#This Row],[55337]]*$D40,0)</f>
        <v>0</v>
      </c>
      <c r="AR40" s="746">
        <f>ROUND(CantidadesConsolidadas[[#This Row],[92087422]]*$D40,0)</f>
        <v>0</v>
      </c>
      <c r="AS40" s="746">
        <f>ROUND(CantidadesConsolidadas[[#This Row],[55259]]*$D40,0)</f>
        <v>0</v>
      </c>
      <c r="AT40" s="746">
        <f>ROUND(CantidadesConsolidadas[[#This Row],[466904]]*$D40,0)</f>
        <v>0</v>
      </c>
      <c r="AU40" s="746">
        <f>ROUND(CantidadesConsolidadas[[#This Row],[48591]]*$D40,0)</f>
        <v>0</v>
      </c>
      <c r="AV40" s="746">
        <f>ROUND(CantidadesConsolidadas[[#This Row],[48590]]*$D40,0)</f>
        <v>0</v>
      </c>
      <c r="AW40" s="746">
        <f>ROUND(CantidadesConsolidadas[[#This Row],[48561]]*$D40,0)</f>
        <v>0</v>
      </c>
      <c r="AX40" s="746">
        <f>ROUND(CantidadesConsolidadas[[#This Row],[48560]]*$D40,0)</f>
        <v>0</v>
      </c>
      <c r="AY40" s="746">
        <f>ROUND(CantidadesConsolidadas[[#This Row],[48657]]*$D40,0)</f>
        <v>0</v>
      </c>
      <c r="AZ40" s="746">
        <f>ROUND(CantidadesConsolidadas[[#This Row],[48655]]*$D40,0)</f>
        <v>0</v>
      </c>
      <c r="BA40" s="806">
        <f>SUBTOTAL(9,CostoDirecto[[#This Row],[91013913]:[174353]])</f>
        <v>1605028</v>
      </c>
      <c r="BB40" s="806">
        <f>SUBTOTAL(9,CostoDirecto[[#This Row],[52531]:[48655]])</f>
        <v>0</v>
      </c>
    </row>
    <row r="41" spans="1:54" ht="43.2" x14ac:dyDescent="0.3">
      <c r="A41">
        <v>4243</v>
      </c>
      <c r="B41" s="606" t="str">
        <f>+_xlfn.XLOOKUP(CostoDirecto[[#This Row],[cod Idu]],APU_IDU[Código],APU_IDU[Nombre],"",0)</f>
        <v>DEMARCACION LINEA DISCONTINUA A=0.15M (E=2.3MM,TERMOPLÁSTICA. INC. SUMINISTRO Y APLICACIÓN CON EQUIPO. INC MICROESFERAS)</v>
      </c>
      <c r="C41" s="609" t="str">
        <f>+_xlfn.XLOOKUP(CostoDirecto[[#This Row],[cod Idu]],APU_IDU[Código],APU_IDU[UM],"",0)</f>
        <v>ML</v>
      </c>
      <c r="D41" s="745">
        <f>+_xlfn.XLOOKUP(CostoDirecto[[#This Row],[cod Idu]],APU_IDU[Código],APU_IDU[Valor],"",0)</f>
        <v>25776</v>
      </c>
      <c r="E41" s="728">
        <f>ROUND(CantidadesConsolidadas[[#This Row],[91013913]]*$D41,0)</f>
        <v>0</v>
      </c>
      <c r="F41" s="728">
        <f>ROUND(CantidadesConsolidadas[[#This Row],[472330]]*$D41,0)</f>
        <v>0</v>
      </c>
      <c r="G41" s="728">
        <f>ROUND(CantidadesConsolidadas[[#This Row],[167810]]*$D41,0)</f>
        <v>0</v>
      </c>
      <c r="H41" s="728">
        <f>ROUND(CantidadesConsolidadas[[#This Row],[166646]]*$D41,0)</f>
        <v>0</v>
      </c>
      <c r="I41" s="728">
        <f>ROUND(CantidadesConsolidadas[[#This Row],[167491]]*$D41,0)</f>
        <v>0</v>
      </c>
      <c r="J41" s="728">
        <f>ROUND(CantidadesConsolidadas[[#This Row],[167266]]*$D41,0)</f>
        <v>0</v>
      </c>
      <c r="K41" s="728">
        <f>ROUND(CantidadesConsolidadas[[#This Row],[170896]]*$D41,0)</f>
        <v>0</v>
      </c>
      <c r="L41" s="728">
        <f>ROUND(CantidadesConsolidadas[[#This Row],[170897]]*$D41,0)</f>
        <v>0</v>
      </c>
      <c r="M41" s="728">
        <f>ROUND(CantidadesConsolidadas[[#This Row],[170898]]*$D41,0)</f>
        <v>0</v>
      </c>
      <c r="N41" s="728">
        <f>ROUND(CantidadesConsolidadas[[#This Row],[91064150]]*$D41,0)</f>
        <v>0</v>
      </c>
      <c r="O41" s="728">
        <f>ROUND(CantidadesConsolidadas[[#This Row],[168919]]*$D41,0)</f>
        <v>0</v>
      </c>
      <c r="P41" s="728">
        <f>ROUND(CantidadesConsolidadas[[#This Row],[168426]]*$D41,0)</f>
        <v>0</v>
      </c>
      <c r="Q41" s="728">
        <f>ROUND(CantidadesConsolidadas[[#This Row],[91020796]]*$D41,0)</f>
        <v>0</v>
      </c>
      <c r="R41" s="728">
        <f>ROUND(CantidadesConsolidadas[[#This Row],[176184]]*$D41,0)</f>
        <v>0</v>
      </c>
      <c r="S41" s="728">
        <f>ROUND(CantidadesConsolidadas[[#This Row],[167636]]*$D41,0)</f>
        <v>0</v>
      </c>
      <c r="T41" s="728">
        <f>ROUND(CantidadesConsolidadas[[#This Row],[176730]]*$D41,0)</f>
        <v>0</v>
      </c>
      <c r="U41" s="728">
        <f>ROUND(CantidadesConsolidadas[[#This Row],[173038]]*$D41,0)</f>
        <v>0</v>
      </c>
      <c r="V41" s="728">
        <f>ROUND(CantidadesConsolidadas[[#This Row],[170222]]*$D41,0)</f>
        <v>0</v>
      </c>
      <c r="W41" s="728">
        <f>ROUND(CantidadesConsolidadas[[#This Row],[170229]]*$D41,0)</f>
        <v>0</v>
      </c>
      <c r="X41" s="728">
        <f>ROUND(CantidadesConsolidadas[[#This Row],[170227]]*$D41,0)</f>
        <v>0</v>
      </c>
      <c r="Y41" s="728">
        <f>ROUND(CantidadesConsolidadas[[#This Row],[170226]]*$D41,0)</f>
        <v>0</v>
      </c>
      <c r="Z41" s="728">
        <f>ROUND(CantidadesConsolidadas[[#This Row],[171567]]*$D41,0)</f>
        <v>1565119</v>
      </c>
      <c r="AA41" s="728">
        <f>ROUND(CantidadesConsolidadas[[#This Row],[166632]]*$D41,0)</f>
        <v>0</v>
      </c>
      <c r="AB41" s="728">
        <f>ROUND(CantidadesConsolidadas[[#This Row],[170228]]*$D41,0)</f>
        <v>0</v>
      </c>
      <c r="AC41" s="728">
        <f>ROUND(CantidadesConsolidadas[[#This Row],[172926]]*$D41,0)</f>
        <v>0</v>
      </c>
      <c r="AD41" s="728">
        <f>ROUND(CantidadesConsolidadas[[#This Row],[171152]]*$D41,0)</f>
        <v>0</v>
      </c>
      <c r="AE41" s="728">
        <f>ROUND(CantidadesConsolidadas[[#This Row],[173058]]*$D41,0)</f>
        <v>0</v>
      </c>
      <c r="AF41" s="728">
        <f>ROUND(CantidadesConsolidadas[[#This Row],[174478]]*$D41,0)</f>
        <v>0</v>
      </c>
      <c r="AG41" s="728">
        <f>ROUND(CantidadesConsolidadas[[#This Row],[91010089]]*$D41,0)</f>
        <v>0</v>
      </c>
      <c r="AH41" s="728">
        <f>ROUND(CantidadesConsolidadas[[#This Row],[176122]]*$D41,0)</f>
        <v>0</v>
      </c>
      <c r="AI41" s="728">
        <f>ROUND(CantidadesConsolidadas[[#This Row],[168536]]*$D41,0)</f>
        <v>0</v>
      </c>
      <c r="AJ41" s="728">
        <f>ROUND(CantidadesConsolidadas[[#This Row],[166934]]*$D41,0)</f>
        <v>0</v>
      </c>
      <c r="AK41" s="728">
        <f>ROUND(CantidadesConsolidadas[[#This Row],[174353]]*$D41,0)</f>
        <v>0</v>
      </c>
      <c r="AL41" s="747">
        <f>ROUND(CantidadesConsolidadas[[#This Row],[52531]]*$D41,0)</f>
        <v>0</v>
      </c>
      <c r="AM41" s="746">
        <f>ROUND(CantidadesConsolidadas[[#This Row],[52456]]*$D41,0)</f>
        <v>0</v>
      </c>
      <c r="AN41" s="746">
        <f>ROUND(CantidadesConsolidadas[[#This Row],[92058103]]*$D41,0)</f>
        <v>0</v>
      </c>
      <c r="AO41" s="746">
        <f>ROUND(CantidadesConsolidadas[[#This Row],[20011114]]*$D41,0)</f>
        <v>0</v>
      </c>
      <c r="AP41" s="746">
        <f>ROUND(CantidadesConsolidadas[[#This Row],[20013540]]*$D41,0)</f>
        <v>0</v>
      </c>
      <c r="AQ41" s="746">
        <f>ROUND(CantidadesConsolidadas[[#This Row],[55337]]*$D41,0)</f>
        <v>0</v>
      </c>
      <c r="AR41" s="746">
        <f>ROUND(CantidadesConsolidadas[[#This Row],[92087422]]*$D41,0)</f>
        <v>0</v>
      </c>
      <c r="AS41" s="746">
        <f>ROUND(CantidadesConsolidadas[[#This Row],[55259]]*$D41,0)</f>
        <v>0</v>
      </c>
      <c r="AT41" s="746">
        <f>ROUND(CantidadesConsolidadas[[#This Row],[466904]]*$D41,0)</f>
        <v>0</v>
      </c>
      <c r="AU41" s="746">
        <f>ROUND(CantidadesConsolidadas[[#This Row],[48591]]*$D41,0)</f>
        <v>0</v>
      </c>
      <c r="AV41" s="746">
        <f>ROUND(CantidadesConsolidadas[[#This Row],[48590]]*$D41,0)</f>
        <v>0</v>
      </c>
      <c r="AW41" s="746">
        <f>ROUND(CantidadesConsolidadas[[#This Row],[48561]]*$D41,0)</f>
        <v>0</v>
      </c>
      <c r="AX41" s="746">
        <f>ROUND(CantidadesConsolidadas[[#This Row],[48560]]*$D41,0)</f>
        <v>0</v>
      </c>
      <c r="AY41" s="746">
        <f>ROUND(CantidadesConsolidadas[[#This Row],[48657]]*$D41,0)</f>
        <v>0</v>
      </c>
      <c r="AZ41" s="746">
        <f>ROUND(CantidadesConsolidadas[[#This Row],[48655]]*$D41,0)</f>
        <v>0</v>
      </c>
      <c r="BA41" s="806">
        <f>SUBTOTAL(9,CostoDirecto[[#This Row],[91013913]:[174353]])</f>
        <v>1565119</v>
      </c>
      <c r="BB41" s="806">
        <f>SUBTOTAL(9,CostoDirecto[[#This Row],[52531]:[48655]])</f>
        <v>0</v>
      </c>
    </row>
    <row r="42" spans="1:54" x14ac:dyDescent="0.3">
      <c r="A42">
        <v>3224</v>
      </c>
      <c r="B42" s="606" t="str">
        <f>+_xlfn.XLOOKUP(CostoDirecto[[#This Row],[cod Idu]],APU_IDU[Código],APU_IDU[Nombre],"",0)</f>
        <v>TUBERIA PVC D=2 1/2" TIPO U.M. RDE 21 (SUMINISTRO E INSTALACIÓN)</v>
      </c>
      <c r="C42" s="609" t="str">
        <f>+_xlfn.XLOOKUP(CostoDirecto[[#This Row],[cod Idu]],APU_IDU[Código],APU_IDU[UM],"",0)</f>
        <v>ML</v>
      </c>
      <c r="D42" s="745">
        <f>+_xlfn.XLOOKUP(CostoDirecto[[#This Row],[cod Idu]],APU_IDU[Código],APU_IDU[Valor],"",0)</f>
        <v>36526</v>
      </c>
      <c r="E42" s="728">
        <f>ROUND(CantidadesConsolidadas[[#This Row],[91013913]]*$D42,0)</f>
        <v>0</v>
      </c>
      <c r="F42" s="728">
        <f>ROUND(CantidadesConsolidadas[[#This Row],[472330]]*$D42,0)</f>
        <v>0</v>
      </c>
      <c r="G42" s="728">
        <f>ROUND(CantidadesConsolidadas[[#This Row],[167810]]*$D42,0)</f>
        <v>0</v>
      </c>
      <c r="H42" s="728">
        <f>ROUND(CantidadesConsolidadas[[#This Row],[166646]]*$D42,0)</f>
        <v>0</v>
      </c>
      <c r="I42" s="728">
        <f>ROUND(CantidadesConsolidadas[[#This Row],[167491]]*$D42,0)</f>
        <v>0</v>
      </c>
      <c r="J42" s="728">
        <f>ROUND(CantidadesConsolidadas[[#This Row],[167266]]*$D42,0)</f>
        <v>0</v>
      </c>
      <c r="K42" s="728">
        <f>ROUND(CantidadesConsolidadas[[#This Row],[170896]]*$D42,0)</f>
        <v>0</v>
      </c>
      <c r="L42" s="728">
        <f>ROUND(CantidadesConsolidadas[[#This Row],[170897]]*$D42,0)</f>
        <v>0</v>
      </c>
      <c r="M42" s="728">
        <f>ROUND(CantidadesConsolidadas[[#This Row],[170898]]*$D42,0)</f>
        <v>0</v>
      </c>
      <c r="N42" s="728">
        <f>ROUND(CantidadesConsolidadas[[#This Row],[91064150]]*$D42,0)</f>
        <v>937988</v>
      </c>
      <c r="O42" s="728">
        <f>ROUND(CantidadesConsolidadas[[#This Row],[168919]]*$D42,0)</f>
        <v>0</v>
      </c>
      <c r="P42" s="728">
        <f>ROUND(CantidadesConsolidadas[[#This Row],[168426]]*$D42,0)</f>
        <v>0</v>
      </c>
      <c r="Q42" s="728">
        <f>ROUND(CantidadesConsolidadas[[#This Row],[91020796]]*$D42,0)</f>
        <v>0</v>
      </c>
      <c r="R42" s="728">
        <f>ROUND(CantidadesConsolidadas[[#This Row],[176184]]*$D42,0)</f>
        <v>0</v>
      </c>
      <c r="S42" s="728">
        <f>ROUND(CantidadesConsolidadas[[#This Row],[167636]]*$D42,0)</f>
        <v>0</v>
      </c>
      <c r="T42" s="728">
        <f>ROUND(CantidadesConsolidadas[[#This Row],[176730]]*$D42,0)</f>
        <v>0</v>
      </c>
      <c r="U42" s="728">
        <f>ROUND(CantidadesConsolidadas[[#This Row],[173038]]*$D42,0)</f>
        <v>0</v>
      </c>
      <c r="V42" s="728">
        <f>ROUND(CantidadesConsolidadas[[#This Row],[170222]]*$D42,0)</f>
        <v>0</v>
      </c>
      <c r="W42" s="728">
        <f>ROUND(CantidadesConsolidadas[[#This Row],[170229]]*$D42,0)</f>
        <v>0</v>
      </c>
      <c r="X42" s="728">
        <f>ROUND(CantidadesConsolidadas[[#This Row],[170227]]*$D42,0)</f>
        <v>1095780</v>
      </c>
      <c r="Y42" s="728">
        <f>ROUND(CantidadesConsolidadas[[#This Row],[170226]]*$D42,0)</f>
        <v>0</v>
      </c>
      <c r="Z42" s="728">
        <f>ROUND(CantidadesConsolidadas[[#This Row],[171567]]*$D42,0)</f>
        <v>0</v>
      </c>
      <c r="AA42" s="728">
        <f>ROUND(CantidadesConsolidadas[[#This Row],[166632]]*$D42,0)</f>
        <v>0</v>
      </c>
      <c r="AB42" s="728">
        <f>ROUND(CantidadesConsolidadas[[#This Row],[170228]]*$D42,0)</f>
        <v>0</v>
      </c>
      <c r="AC42" s="728">
        <f>ROUND(CantidadesConsolidadas[[#This Row],[172926]]*$D42,0)</f>
        <v>0</v>
      </c>
      <c r="AD42" s="728">
        <f>ROUND(CantidadesConsolidadas[[#This Row],[171152]]*$D42,0)</f>
        <v>0</v>
      </c>
      <c r="AE42" s="728">
        <f>ROUND(CantidadesConsolidadas[[#This Row],[173058]]*$D42,0)</f>
        <v>0</v>
      </c>
      <c r="AF42" s="728">
        <f>ROUND(CantidadesConsolidadas[[#This Row],[174478]]*$D42,0)</f>
        <v>0</v>
      </c>
      <c r="AG42" s="728">
        <f>ROUND(CantidadesConsolidadas[[#This Row],[91010089]]*$D42,0)</f>
        <v>0</v>
      </c>
      <c r="AH42" s="728">
        <f>ROUND(CantidadesConsolidadas[[#This Row],[176122]]*$D42,0)</f>
        <v>0</v>
      </c>
      <c r="AI42" s="728">
        <f>ROUND(CantidadesConsolidadas[[#This Row],[168536]]*$D42,0)</f>
        <v>0</v>
      </c>
      <c r="AJ42" s="728">
        <f>ROUND(CantidadesConsolidadas[[#This Row],[166934]]*$D42,0)</f>
        <v>0</v>
      </c>
      <c r="AK42" s="728">
        <f>ROUND(CantidadesConsolidadas[[#This Row],[174353]]*$D42,0)</f>
        <v>0</v>
      </c>
      <c r="AL42" s="747">
        <f>ROUND(CantidadesConsolidadas[[#This Row],[52531]]*$D42,0)</f>
        <v>0</v>
      </c>
      <c r="AM42" s="746">
        <f>ROUND(CantidadesConsolidadas[[#This Row],[52456]]*$D42,0)</f>
        <v>0</v>
      </c>
      <c r="AN42" s="746">
        <f>ROUND(CantidadesConsolidadas[[#This Row],[92058103]]*$D42,0)</f>
        <v>0</v>
      </c>
      <c r="AO42" s="746">
        <f>ROUND(CantidadesConsolidadas[[#This Row],[20011114]]*$D42,0)</f>
        <v>0</v>
      </c>
      <c r="AP42" s="746">
        <f>ROUND(CantidadesConsolidadas[[#This Row],[20013540]]*$D42,0)</f>
        <v>0</v>
      </c>
      <c r="AQ42" s="746">
        <f>ROUND(CantidadesConsolidadas[[#This Row],[55337]]*$D42,0)</f>
        <v>0</v>
      </c>
      <c r="AR42" s="746">
        <f>ROUND(CantidadesConsolidadas[[#This Row],[92087422]]*$D42,0)</f>
        <v>0</v>
      </c>
      <c r="AS42" s="746">
        <f>ROUND(CantidadesConsolidadas[[#This Row],[55259]]*$D42,0)</f>
        <v>0</v>
      </c>
      <c r="AT42" s="746">
        <f>ROUND(CantidadesConsolidadas[[#This Row],[466904]]*$D42,0)</f>
        <v>0</v>
      </c>
      <c r="AU42" s="746">
        <f>ROUND(CantidadesConsolidadas[[#This Row],[48591]]*$D42,0)</f>
        <v>0</v>
      </c>
      <c r="AV42" s="746">
        <f>ROUND(CantidadesConsolidadas[[#This Row],[48590]]*$D42,0)</f>
        <v>0</v>
      </c>
      <c r="AW42" s="746">
        <f>ROUND(CantidadesConsolidadas[[#This Row],[48561]]*$D42,0)</f>
        <v>0</v>
      </c>
      <c r="AX42" s="746">
        <f>ROUND(CantidadesConsolidadas[[#This Row],[48560]]*$D42,0)</f>
        <v>0</v>
      </c>
      <c r="AY42" s="746">
        <f>ROUND(CantidadesConsolidadas[[#This Row],[48657]]*$D42,0)</f>
        <v>0</v>
      </c>
      <c r="AZ42" s="746">
        <f>ROUND(CantidadesConsolidadas[[#This Row],[48655]]*$D42,0)</f>
        <v>0</v>
      </c>
      <c r="BA42" s="806">
        <f>SUBTOTAL(9,CostoDirecto[[#This Row],[91013913]:[174353]])</f>
        <v>2033768</v>
      </c>
      <c r="BB42" s="806">
        <f>SUBTOTAL(9,CostoDirecto[[#This Row],[52531]:[48655]])</f>
        <v>0</v>
      </c>
    </row>
    <row r="43" spans="1:54" x14ac:dyDescent="0.3">
      <c r="A43">
        <v>3226</v>
      </c>
      <c r="B43" s="606" t="str">
        <f>+_xlfn.XLOOKUP(CostoDirecto[[#This Row],[cod Idu]],APU_IDU[Código],APU_IDU[Nombre],"",0)</f>
        <v>TUBERIA PVC D=4" TIPO U.M. RDE 21 (SUMINISTRO E INSTALACIÓN)</v>
      </c>
      <c r="C43" s="609" t="str">
        <f>+_xlfn.XLOOKUP(CostoDirecto[[#This Row],[cod Idu]],APU_IDU[Código],APU_IDU[UM],"",0)</f>
        <v>ML</v>
      </c>
      <c r="D43" s="745">
        <f>+_xlfn.XLOOKUP(CostoDirecto[[#This Row],[cod Idu]],APU_IDU[Código],APU_IDU[Valor],"",0)</f>
        <v>76083</v>
      </c>
      <c r="E43" s="728">
        <f>ROUND(CantidadesConsolidadas[[#This Row],[91013913]]*$D43,0)</f>
        <v>0</v>
      </c>
      <c r="F43" s="728">
        <f>ROUND(CantidadesConsolidadas[[#This Row],[472330]]*$D43,0)</f>
        <v>0</v>
      </c>
      <c r="G43" s="728">
        <f>ROUND(CantidadesConsolidadas[[#This Row],[167810]]*$D43,0)</f>
        <v>0</v>
      </c>
      <c r="H43" s="728">
        <f>ROUND(CantidadesConsolidadas[[#This Row],[166646]]*$D43,0)</f>
        <v>0</v>
      </c>
      <c r="I43" s="728">
        <f>ROUND(CantidadesConsolidadas[[#This Row],[167491]]*$D43,0)</f>
        <v>0</v>
      </c>
      <c r="J43" s="728">
        <f>ROUND(CantidadesConsolidadas[[#This Row],[167266]]*$D43,0)</f>
        <v>0</v>
      </c>
      <c r="K43" s="728">
        <f>ROUND(CantidadesConsolidadas[[#This Row],[170896]]*$D43,0)</f>
        <v>0</v>
      </c>
      <c r="L43" s="728">
        <f>ROUND(CantidadesConsolidadas[[#This Row],[170897]]*$D43,0)</f>
        <v>0</v>
      </c>
      <c r="M43" s="728">
        <f>ROUND(CantidadesConsolidadas[[#This Row],[170898]]*$D43,0)</f>
        <v>0</v>
      </c>
      <c r="N43" s="728">
        <f>ROUND(CantidadesConsolidadas[[#This Row],[91064150]]*$D43,0)</f>
        <v>0</v>
      </c>
      <c r="O43" s="728">
        <f>ROUND(CantidadesConsolidadas[[#This Row],[168919]]*$D43,0)</f>
        <v>0</v>
      </c>
      <c r="P43" s="728">
        <f>ROUND(CantidadesConsolidadas[[#This Row],[168426]]*$D43,0)</f>
        <v>0</v>
      </c>
      <c r="Q43" s="728">
        <f>ROUND(CantidadesConsolidadas[[#This Row],[91020796]]*$D43,0)</f>
        <v>1135158</v>
      </c>
      <c r="R43" s="728">
        <f>ROUND(CantidadesConsolidadas[[#This Row],[176184]]*$D43,0)</f>
        <v>0</v>
      </c>
      <c r="S43" s="728">
        <f>ROUND(CantidadesConsolidadas[[#This Row],[167636]]*$D43,0)</f>
        <v>0</v>
      </c>
      <c r="T43" s="728">
        <f>ROUND(CantidadesConsolidadas[[#This Row],[176730]]*$D43,0)</f>
        <v>0</v>
      </c>
      <c r="U43" s="728">
        <f>ROUND(CantidadesConsolidadas[[#This Row],[173038]]*$D43,0)</f>
        <v>0</v>
      </c>
      <c r="V43" s="728">
        <f>ROUND(CantidadesConsolidadas[[#This Row],[170222]]*$D43,0)</f>
        <v>0</v>
      </c>
      <c r="W43" s="728">
        <f>ROUND(CantidadesConsolidadas[[#This Row],[170229]]*$D43,0)</f>
        <v>0</v>
      </c>
      <c r="X43" s="728">
        <f>ROUND(CantidadesConsolidadas[[#This Row],[170227]]*$D43,0)</f>
        <v>0</v>
      </c>
      <c r="Y43" s="728">
        <f>ROUND(CantidadesConsolidadas[[#This Row],[170226]]*$D43,0)</f>
        <v>0</v>
      </c>
      <c r="Z43" s="728">
        <f>ROUND(CantidadesConsolidadas[[#This Row],[171567]]*$D43,0)</f>
        <v>0</v>
      </c>
      <c r="AA43" s="728">
        <f>ROUND(CantidadesConsolidadas[[#This Row],[166632]]*$D43,0)</f>
        <v>0</v>
      </c>
      <c r="AB43" s="728">
        <f>ROUND(CantidadesConsolidadas[[#This Row],[170228]]*$D43,0)</f>
        <v>0</v>
      </c>
      <c r="AC43" s="728">
        <f>ROUND(CantidadesConsolidadas[[#This Row],[172926]]*$D43,0)</f>
        <v>0</v>
      </c>
      <c r="AD43" s="728">
        <f>ROUND(CantidadesConsolidadas[[#This Row],[171152]]*$D43,0)</f>
        <v>0</v>
      </c>
      <c r="AE43" s="728">
        <f>ROUND(CantidadesConsolidadas[[#This Row],[173058]]*$D43,0)</f>
        <v>0</v>
      </c>
      <c r="AF43" s="728">
        <f>ROUND(CantidadesConsolidadas[[#This Row],[174478]]*$D43,0)</f>
        <v>0</v>
      </c>
      <c r="AG43" s="728">
        <f>ROUND(CantidadesConsolidadas[[#This Row],[91010089]]*$D43,0)</f>
        <v>0</v>
      </c>
      <c r="AH43" s="728">
        <f>ROUND(CantidadesConsolidadas[[#This Row],[176122]]*$D43,0)</f>
        <v>0</v>
      </c>
      <c r="AI43" s="728">
        <f>ROUND(CantidadesConsolidadas[[#This Row],[168536]]*$D43,0)</f>
        <v>0</v>
      </c>
      <c r="AJ43" s="728">
        <f>ROUND(CantidadesConsolidadas[[#This Row],[166934]]*$D43,0)</f>
        <v>0</v>
      </c>
      <c r="AK43" s="728">
        <f>ROUND(CantidadesConsolidadas[[#This Row],[174353]]*$D43,0)</f>
        <v>0</v>
      </c>
      <c r="AL43" s="747">
        <f>ROUND(CantidadesConsolidadas[[#This Row],[52531]]*$D43,0)</f>
        <v>0</v>
      </c>
      <c r="AM43" s="746">
        <f>ROUND(CantidadesConsolidadas[[#This Row],[52456]]*$D43,0)</f>
        <v>0</v>
      </c>
      <c r="AN43" s="746">
        <f>ROUND(CantidadesConsolidadas[[#This Row],[92058103]]*$D43,0)</f>
        <v>0</v>
      </c>
      <c r="AO43" s="746">
        <f>ROUND(CantidadesConsolidadas[[#This Row],[20011114]]*$D43,0)</f>
        <v>0</v>
      </c>
      <c r="AP43" s="746">
        <f>ROUND(CantidadesConsolidadas[[#This Row],[20013540]]*$D43,0)</f>
        <v>0</v>
      </c>
      <c r="AQ43" s="746">
        <f>ROUND(CantidadesConsolidadas[[#This Row],[55337]]*$D43,0)</f>
        <v>0</v>
      </c>
      <c r="AR43" s="746">
        <f>ROUND(CantidadesConsolidadas[[#This Row],[92087422]]*$D43,0)</f>
        <v>0</v>
      </c>
      <c r="AS43" s="746">
        <f>ROUND(CantidadesConsolidadas[[#This Row],[55259]]*$D43,0)</f>
        <v>0</v>
      </c>
      <c r="AT43" s="746">
        <f>ROUND(CantidadesConsolidadas[[#This Row],[466904]]*$D43,0)</f>
        <v>0</v>
      </c>
      <c r="AU43" s="746">
        <f>ROUND(CantidadesConsolidadas[[#This Row],[48591]]*$D43,0)</f>
        <v>0</v>
      </c>
      <c r="AV43" s="746">
        <f>ROUND(CantidadesConsolidadas[[#This Row],[48590]]*$D43,0)</f>
        <v>0</v>
      </c>
      <c r="AW43" s="746">
        <f>ROUND(CantidadesConsolidadas[[#This Row],[48561]]*$D43,0)</f>
        <v>0</v>
      </c>
      <c r="AX43" s="746">
        <f>ROUND(CantidadesConsolidadas[[#This Row],[48560]]*$D43,0)</f>
        <v>0</v>
      </c>
      <c r="AY43" s="746">
        <f>ROUND(CantidadesConsolidadas[[#This Row],[48657]]*$D43,0)</f>
        <v>0</v>
      </c>
      <c r="AZ43" s="746">
        <f>ROUND(CantidadesConsolidadas[[#This Row],[48655]]*$D43,0)</f>
        <v>0</v>
      </c>
      <c r="BA43" s="806">
        <f>SUBTOTAL(9,CostoDirecto[[#This Row],[91013913]:[174353]])</f>
        <v>1135158</v>
      </c>
      <c r="BB43" s="806">
        <f>SUBTOTAL(9,CostoDirecto[[#This Row],[52531]:[48655]])</f>
        <v>0</v>
      </c>
    </row>
    <row r="44" spans="1:54" x14ac:dyDescent="0.3">
      <c r="A44">
        <v>3227</v>
      </c>
      <c r="B44" s="606" t="str">
        <f>+_xlfn.XLOOKUP(CostoDirecto[[#This Row],[cod Idu]],APU_IDU[Código],APU_IDU[Nombre],"",0)</f>
        <v>TUBERIA PVC D=6" TIPO U.M. RDE 21 (SUMINISTRO E INSTALACIÓN)</v>
      </c>
      <c r="C44" s="609" t="str">
        <f>+_xlfn.XLOOKUP(CostoDirecto[[#This Row],[cod Idu]],APU_IDU[Código],APU_IDU[UM],"",0)</f>
        <v>ML</v>
      </c>
      <c r="D44" s="745">
        <f>+_xlfn.XLOOKUP(CostoDirecto[[#This Row],[cod Idu]],APU_IDU[Código],APU_IDU[Valor],"",0)</f>
        <v>151759</v>
      </c>
      <c r="E44" s="728">
        <f>ROUND(CantidadesConsolidadas[[#This Row],[91013913]]*$D44,0)</f>
        <v>0</v>
      </c>
      <c r="F44" s="728">
        <f>ROUND(CantidadesConsolidadas[[#This Row],[472330]]*$D44,0)</f>
        <v>0</v>
      </c>
      <c r="G44" s="728">
        <f>ROUND(CantidadesConsolidadas[[#This Row],[167810]]*$D44,0)</f>
        <v>0</v>
      </c>
      <c r="H44" s="728">
        <f>ROUND(CantidadesConsolidadas[[#This Row],[166646]]*$D44,0)</f>
        <v>0</v>
      </c>
      <c r="I44" s="728">
        <f>ROUND(CantidadesConsolidadas[[#This Row],[167491]]*$D44,0)</f>
        <v>0</v>
      </c>
      <c r="J44" s="728">
        <f>ROUND(CantidadesConsolidadas[[#This Row],[167266]]*$D44,0)</f>
        <v>0</v>
      </c>
      <c r="K44" s="728">
        <f>ROUND(CantidadesConsolidadas[[#This Row],[170896]]*$D44,0)</f>
        <v>0</v>
      </c>
      <c r="L44" s="728">
        <f>ROUND(CantidadesConsolidadas[[#This Row],[170897]]*$D44,0)</f>
        <v>0</v>
      </c>
      <c r="M44" s="728">
        <f>ROUND(CantidadesConsolidadas[[#This Row],[170898]]*$D44,0)</f>
        <v>0</v>
      </c>
      <c r="N44" s="728">
        <f>ROUND(CantidadesConsolidadas[[#This Row],[91064150]]*$D44,0)</f>
        <v>0</v>
      </c>
      <c r="O44" s="728">
        <f>ROUND(CantidadesConsolidadas[[#This Row],[168919]]*$D44,0)</f>
        <v>0</v>
      </c>
      <c r="P44" s="728">
        <f>ROUND(CantidadesConsolidadas[[#This Row],[168426]]*$D44,0)</f>
        <v>0</v>
      </c>
      <c r="Q44" s="728">
        <f>ROUND(CantidadesConsolidadas[[#This Row],[91020796]]*$D44,0)</f>
        <v>0</v>
      </c>
      <c r="R44" s="728">
        <f>ROUND(CantidadesConsolidadas[[#This Row],[176184]]*$D44,0)</f>
        <v>0</v>
      </c>
      <c r="S44" s="728">
        <f>ROUND(CantidadesConsolidadas[[#This Row],[167636]]*$D44,0)</f>
        <v>0</v>
      </c>
      <c r="T44" s="728">
        <f>ROUND(CantidadesConsolidadas[[#This Row],[176730]]*$D44,0)</f>
        <v>0</v>
      </c>
      <c r="U44" s="728">
        <f>ROUND(CantidadesConsolidadas[[#This Row],[173038]]*$D44,0)</f>
        <v>0</v>
      </c>
      <c r="V44" s="728">
        <f>ROUND(CantidadesConsolidadas[[#This Row],[170222]]*$D44,0)</f>
        <v>576684</v>
      </c>
      <c r="W44" s="728">
        <f>ROUND(CantidadesConsolidadas[[#This Row],[170229]]*$D44,0)</f>
        <v>0</v>
      </c>
      <c r="X44" s="728">
        <f>ROUND(CantidadesConsolidadas[[#This Row],[170227]]*$D44,0)</f>
        <v>0</v>
      </c>
      <c r="Y44" s="728">
        <f>ROUND(CantidadesConsolidadas[[#This Row],[170226]]*$D44,0)</f>
        <v>0</v>
      </c>
      <c r="Z44" s="728">
        <f>ROUND(CantidadesConsolidadas[[#This Row],[171567]]*$D44,0)</f>
        <v>0</v>
      </c>
      <c r="AA44" s="728">
        <f>ROUND(CantidadesConsolidadas[[#This Row],[166632]]*$D44,0)</f>
        <v>0</v>
      </c>
      <c r="AB44" s="728">
        <f>ROUND(CantidadesConsolidadas[[#This Row],[170228]]*$D44,0)</f>
        <v>0</v>
      </c>
      <c r="AC44" s="728">
        <f>ROUND(CantidadesConsolidadas[[#This Row],[172926]]*$D44,0)</f>
        <v>0</v>
      </c>
      <c r="AD44" s="728">
        <f>ROUND(CantidadesConsolidadas[[#This Row],[171152]]*$D44,0)</f>
        <v>0</v>
      </c>
      <c r="AE44" s="728">
        <f>ROUND(CantidadesConsolidadas[[#This Row],[173058]]*$D44,0)</f>
        <v>0</v>
      </c>
      <c r="AF44" s="728">
        <f>ROUND(CantidadesConsolidadas[[#This Row],[174478]]*$D44,0)</f>
        <v>0</v>
      </c>
      <c r="AG44" s="728">
        <f>ROUND(CantidadesConsolidadas[[#This Row],[91010089]]*$D44,0)</f>
        <v>0</v>
      </c>
      <c r="AH44" s="728">
        <f>ROUND(CantidadesConsolidadas[[#This Row],[176122]]*$D44,0)</f>
        <v>0</v>
      </c>
      <c r="AI44" s="728">
        <f>ROUND(CantidadesConsolidadas[[#This Row],[168536]]*$D44,0)</f>
        <v>0</v>
      </c>
      <c r="AJ44" s="728">
        <f>ROUND(CantidadesConsolidadas[[#This Row],[166934]]*$D44,0)</f>
        <v>0</v>
      </c>
      <c r="AK44" s="728">
        <f>ROUND(CantidadesConsolidadas[[#This Row],[174353]]*$D44,0)</f>
        <v>0</v>
      </c>
      <c r="AL44" s="747">
        <f>ROUND(CantidadesConsolidadas[[#This Row],[52531]]*$D44,0)</f>
        <v>0</v>
      </c>
      <c r="AM44" s="746">
        <f>ROUND(CantidadesConsolidadas[[#This Row],[52456]]*$D44,0)</f>
        <v>0</v>
      </c>
      <c r="AN44" s="746">
        <f>ROUND(CantidadesConsolidadas[[#This Row],[92058103]]*$D44,0)</f>
        <v>0</v>
      </c>
      <c r="AO44" s="746">
        <f>ROUND(CantidadesConsolidadas[[#This Row],[20011114]]*$D44,0)</f>
        <v>0</v>
      </c>
      <c r="AP44" s="746">
        <f>ROUND(CantidadesConsolidadas[[#This Row],[20013540]]*$D44,0)</f>
        <v>0</v>
      </c>
      <c r="AQ44" s="746">
        <f>ROUND(CantidadesConsolidadas[[#This Row],[55337]]*$D44,0)</f>
        <v>0</v>
      </c>
      <c r="AR44" s="746">
        <f>ROUND(CantidadesConsolidadas[[#This Row],[92087422]]*$D44,0)</f>
        <v>0</v>
      </c>
      <c r="AS44" s="746">
        <f>ROUND(CantidadesConsolidadas[[#This Row],[55259]]*$D44,0)</f>
        <v>0</v>
      </c>
      <c r="AT44" s="746">
        <f>ROUND(CantidadesConsolidadas[[#This Row],[466904]]*$D44,0)</f>
        <v>0</v>
      </c>
      <c r="AU44" s="746">
        <f>ROUND(CantidadesConsolidadas[[#This Row],[48591]]*$D44,0)</f>
        <v>0</v>
      </c>
      <c r="AV44" s="746">
        <f>ROUND(CantidadesConsolidadas[[#This Row],[48590]]*$D44,0)</f>
        <v>0</v>
      </c>
      <c r="AW44" s="746">
        <f>ROUND(CantidadesConsolidadas[[#This Row],[48561]]*$D44,0)</f>
        <v>0</v>
      </c>
      <c r="AX44" s="746">
        <f>ROUND(CantidadesConsolidadas[[#This Row],[48560]]*$D44,0)</f>
        <v>0</v>
      </c>
      <c r="AY44" s="746">
        <f>ROUND(CantidadesConsolidadas[[#This Row],[48657]]*$D44,0)</f>
        <v>0</v>
      </c>
      <c r="AZ44" s="746">
        <f>ROUND(CantidadesConsolidadas[[#This Row],[48655]]*$D44,0)</f>
        <v>0</v>
      </c>
      <c r="BA44" s="806">
        <f>SUBTOTAL(9,CostoDirecto[[#This Row],[91013913]:[174353]])</f>
        <v>576684</v>
      </c>
      <c r="BB44" s="806">
        <f>SUBTOTAL(9,CostoDirecto[[#This Row],[52531]:[48655]])</f>
        <v>0</v>
      </c>
    </row>
    <row r="45" spans="1:54" ht="28.8" x14ac:dyDescent="0.3">
      <c r="A45">
        <v>3391</v>
      </c>
      <c r="B45" s="606" t="str">
        <f>+_xlfn.XLOOKUP(CostoDirecto[[#This Row],[cod Idu]],APU_IDU[Código],APU_IDU[Nombre],"",0)</f>
        <v>CODO HD 22.5° EXTREMO LISO PARA PVC D=4" (SUMINISTRO E INSTALACIÓN)</v>
      </c>
      <c r="C45" s="609" t="str">
        <f>+_xlfn.XLOOKUP(CostoDirecto[[#This Row],[cod Idu]],APU_IDU[Código],APU_IDU[UM],"",0)</f>
        <v>UN</v>
      </c>
      <c r="D45" s="745">
        <f>+_xlfn.XLOOKUP(CostoDirecto[[#This Row],[cod Idu]],APU_IDU[Código],APU_IDU[Valor],"",0)</f>
        <v>329719</v>
      </c>
      <c r="E45" s="728">
        <f>ROUND(CantidadesConsolidadas[[#This Row],[91013913]]*$D45,0)</f>
        <v>0</v>
      </c>
      <c r="F45" s="728">
        <f>ROUND(CantidadesConsolidadas[[#This Row],[472330]]*$D45,0)</f>
        <v>0</v>
      </c>
      <c r="G45" s="728">
        <f>ROUND(CantidadesConsolidadas[[#This Row],[167810]]*$D45,0)</f>
        <v>0</v>
      </c>
      <c r="H45" s="728">
        <f>ROUND(CantidadesConsolidadas[[#This Row],[166646]]*$D45,0)</f>
        <v>0</v>
      </c>
      <c r="I45" s="728">
        <f>ROUND(CantidadesConsolidadas[[#This Row],[167491]]*$D45,0)</f>
        <v>0</v>
      </c>
      <c r="J45" s="728">
        <f>ROUND(CantidadesConsolidadas[[#This Row],[167266]]*$D45,0)</f>
        <v>0</v>
      </c>
      <c r="K45" s="728">
        <f>ROUND(CantidadesConsolidadas[[#This Row],[170896]]*$D45,0)</f>
        <v>0</v>
      </c>
      <c r="L45" s="728">
        <f>ROUND(CantidadesConsolidadas[[#This Row],[170897]]*$D45,0)</f>
        <v>0</v>
      </c>
      <c r="M45" s="728">
        <f>ROUND(CantidadesConsolidadas[[#This Row],[170898]]*$D45,0)</f>
        <v>659438</v>
      </c>
      <c r="N45" s="728">
        <f>ROUND(CantidadesConsolidadas[[#This Row],[91064150]]*$D45,0)</f>
        <v>0</v>
      </c>
      <c r="O45" s="728">
        <f>ROUND(CantidadesConsolidadas[[#This Row],[168919]]*$D45,0)</f>
        <v>0</v>
      </c>
      <c r="P45" s="728">
        <f>ROUND(CantidadesConsolidadas[[#This Row],[168426]]*$D45,0)</f>
        <v>0</v>
      </c>
      <c r="Q45" s="728">
        <f>ROUND(CantidadesConsolidadas[[#This Row],[91020796]]*$D45,0)</f>
        <v>0</v>
      </c>
      <c r="R45" s="728">
        <f>ROUND(CantidadesConsolidadas[[#This Row],[176184]]*$D45,0)</f>
        <v>0</v>
      </c>
      <c r="S45" s="728">
        <f>ROUND(CantidadesConsolidadas[[#This Row],[167636]]*$D45,0)</f>
        <v>0</v>
      </c>
      <c r="T45" s="728">
        <f>ROUND(CantidadesConsolidadas[[#This Row],[176730]]*$D45,0)</f>
        <v>0</v>
      </c>
      <c r="U45" s="728">
        <f>ROUND(CantidadesConsolidadas[[#This Row],[173038]]*$D45,0)</f>
        <v>0</v>
      </c>
      <c r="V45" s="728">
        <f>ROUND(CantidadesConsolidadas[[#This Row],[170222]]*$D45,0)</f>
        <v>0</v>
      </c>
      <c r="W45" s="728">
        <f>ROUND(CantidadesConsolidadas[[#This Row],[170229]]*$D45,0)</f>
        <v>0</v>
      </c>
      <c r="X45" s="728">
        <f>ROUND(CantidadesConsolidadas[[#This Row],[170227]]*$D45,0)</f>
        <v>0</v>
      </c>
      <c r="Y45" s="728">
        <f>ROUND(CantidadesConsolidadas[[#This Row],[170226]]*$D45,0)</f>
        <v>0</v>
      </c>
      <c r="Z45" s="728">
        <f>ROUND(CantidadesConsolidadas[[#This Row],[171567]]*$D45,0)</f>
        <v>0</v>
      </c>
      <c r="AA45" s="728">
        <f>ROUND(CantidadesConsolidadas[[#This Row],[166632]]*$D45,0)</f>
        <v>0</v>
      </c>
      <c r="AB45" s="728">
        <f>ROUND(CantidadesConsolidadas[[#This Row],[170228]]*$D45,0)</f>
        <v>0</v>
      </c>
      <c r="AC45" s="728">
        <f>ROUND(CantidadesConsolidadas[[#This Row],[172926]]*$D45,0)</f>
        <v>0</v>
      </c>
      <c r="AD45" s="728">
        <f>ROUND(CantidadesConsolidadas[[#This Row],[171152]]*$D45,0)</f>
        <v>0</v>
      </c>
      <c r="AE45" s="728">
        <f>ROUND(CantidadesConsolidadas[[#This Row],[173058]]*$D45,0)</f>
        <v>0</v>
      </c>
      <c r="AF45" s="728">
        <f>ROUND(CantidadesConsolidadas[[#This Row],[174478]]*$D45,0)</f>
        <v>0</v>
      </c>
      <c r="AG45" s="728">
        <f>ROUND(CantidadesConsolidadas[[#This Row],[91010089]]*$D45,0)</f>
        <v>0</v>
      </c>
      <c r="AH45" s="728">
        <f>ROUND(CantidadesConsolidadas[[#This Row],[176122]]*$D45,0)</f>
        <v>0</v>
      </c>
      <c r="AI45" s="728">
        <f>ROUND(CantidadesConsolidadas[[#This Row],[168536]]*$D45,0)</f>
        <v>0</v>
      </c>
      <c r="AJ45" s="728">
        <f>ROUND(CantidadesConsolidadas[[#This Row],[166934]]*$D45,0)</f>
        <v>0</v>
      </c>
      <c r="AK45" s="728">
        <f>ROUND(CantidadesConsolidadas[[#This Row],[174353]]*$D45,0)</f>
        <v>0</v>
      </c>
      <c r="AL45" s="747">
        <f>ROUND(CantidadesConsolidadas[[#This Row],[52531]]*$D45,0)</f>
        <v>0</v>
      </c>
      <c r="AM45" s="746">
        <f>ROUND(CantidadesConsolidadas[[#This Row],[52456]]*$D45,0)</f>
        <v>0</v>
      </c>
      <c r="AN45" s="746">
        <f>ROUND(CantidadesConsolidadas[[#This Row],[92058103]]*$D45,0)</f>
        <v>0</v>
      </c>
      <c r="AO45" s="746">
        <f>ROUND(CantidadesConsolidadas[[#This Row],[20011114]]*$D45,0)</f>
        <v>0</v>
      </c>
      <c r="AP45" s="746">
        <f>ROUND(CantidadesConsolidadas[[#This Row],[20013540]]*$D45,0)</f>
        <v>0</v>
      </c>
      <c r="AQ45" s="746">
        <f>ROUND(CantidadesConsolidadas[[#This Row],[55337]]*$D45,0)</f>
        <v>0</v>
      </c>
      <c r="AR45" s="746">
        <f>ROUND(CantidadesConsolidadas[[#This Row],[92087422]]*$D45,0)</f>
        <v>0</v>
      </c>
      <c r="AS45" s="746">
        <f>ROUND(CantidadesConsolidadas[[#This Row],[55259]]*$D45,0)</f>
        <v>0</v>
      </c>
      <c r="AT45" s="746">
        <f>ROUND(CantidadesConsolidadas[[#This Row],[466904]]*$D45,0)</f>
        <v>0</v>
      </c>
      <c r="AU45" s="746">
        <f>ROUND(CantidadesConsolidadas[[#This Row],[48591]]*$D45,0)</f>
        <v>0</v>
      </c>
      <c r="AV45" s="746">
        <f>ROUND(CantidadesConsolidadas[[#This Row],[48590]]*$D45,0)</f>
        <v>0</v>
      </c>
      <c r="AW45" s="746">
        <f>ROUND(CantidadesConsolidadas[[#This Row],[48561]]*$D45,0)</f>
        <v>0</v>
      </c>
      <c r="AX45" s="746">
        <f>ROUND(CantidadesConsolidadas[[#This Row],[48560]]*$D45,0)</f>
        <v>0</v>
      </c>
      <c r="AY45" s="746">
        <f>ROUND(CantidadesConsolidadas[[#This Row],[48657]]*$D45,0)</f>
        <v>0</v>
      </c>
      <c r="AZ45" s="746">
        <f>ROUND(CantidadesConsolidadas[[#This Row],[48655]]*$D45,0)</f>
        <v>0</v>
      </c>
      <c r="BA45" s="806">
        <f>SUBTOTAL(9,CostoDirecto[[#This Row],[91013913]:[174353]])</f>
        <v>659438</v>
      </c>
      <c r="BB45" s="806">
        <f>SUBTOTAL(9,CostoDirecto[[#This Row],[52531]:[48655]])</f>
        <v>0</v>
      </c>
    </row>
    <row r="46" spans="1:54" x14ac:dyDescent="0.3">
      <c r="A46">
        <v>3523</v>
      </c>
      <c r="B46" s="606" t="str">
        <f>+_xlfn.XLOOKUP(CostoDirecto[[#This Row],[cod Idu]],APU_IDU[Código],APU_IDU[Nombre],"",0)</f>
        <v>CODO G.RAD. PVC 45º TIPO U.M. D=4" (SUMINISTRO E INSTALACIÓN)</v>
      </c>
      <c r="C46" s="609" t="str">
        <f>+_xlfn.XLOOKUP(CostoDirecto[[#This Row],[cod Idu]],APU_IDU[Código],APU_IDU[UM],"",0)</f>
        <v>UN</v>
      </c>
      <c r="D46" s="745">
        <f>+_xlfn.XLOOKUP(CostoDirecto[[#This Row],[cod Idu]],APU_IDU[Código],APU_IDU[Valor],"",0)</f>
        <v>176892</v>
      </c>
      <c r="E46" s="728">
        <f>ROUND(CantidadesConsolidadas[[#This Row],[91013913]]*$D46,0)</f>
        <v>0</v>
      </c>
      <c r="F46" s="728">
        <f>ROUND(CantidadesConsolidadas[[#This Row],[472330]]*$D46,0)</f>
        <v>0</v>
      </c>
      <c r="G46" s="728">
        <f>ROUND(CantidadesConsolidadas[[#This Row],[167810]]*$D46,0)</f>
        <v>0</v>
      </c>
      <c r="H46" s="728">
        <f>ROUND(CantidadesConsolidadas[[#This Row],[166646]]*$D46,0)</f>
        <v>176892</v>
      </c>
      <c r="I46" s="728">
        <f>ROUND(CantidadesConsolidadas[[#This Row],[167491]]*$D46,0)</f>
        <v>0</v>
      </c>
      <c r="J46" s="728">
        <f>ROUND(CantidadesConsolidadas[[#This Row],[167266]]*$D46,0)</f>
        <v>176892</v>
      </c>
      <c r="K46" s="728">
        <f>ROUND(CantidadesConsolidadas[[#This Row],[170896]]*$D46,0)</f>
        <v>0</v>
      </c>
      <c r="L46" s="728">
        <f>ROUND(CantidadesConsolidadas[[#This Row],[170897]]*$D46,0)</f>
        <v>0</v>
      </c>
      <c r="M46" s="728">
        <f>ROUND(CantidadesConsolidadas[[#This Row],[170898]]*$D46,0)</f>
        <v>0</v>
      </c>
      <c r="N46" s="728">
        <f>ROUND(CantidadesConsolidadas[[#This Row],[91064150]]*$D46,0)</f>
        <v>0</v>
      </c>
      <c r="O46" s="728">
        <f>ROUND(CantidadesConsolidadas[[#This Row],[168919]]*$D46,0)</f>
        <v>0</v>
      </c>
      <c r="P46" s="728">
        <f>ROUND(CantidadesConsolidadas[[#This Row],[168426]]*$D46,0)</f>
        <v>176892</v>
      </c>
      <c r="Q46" s="728">
        <f>ROUND(CantidadesConsolidadas[[#This Row],[91020796]]*$D46,0)</f>
        <v>0</v>
      </c>
      <c r="R46" s="728">
        <f>ROUND(CantidadesConsolidadas[[#This Row],[176184]]*$D46,0)</f>
        <v>0</v>
      </c>
      <c r="S46" s="728">
        <f>ROUND(CantidadesConsolidadas[[#This Row],[167636]]*$D46,0)</f>
        <v>0</v>
      </c>
      <c r="T46" s="728">
        <f>ROUND(CantidadesConsolidadas[[#This Row],[176730]]*$D46,0)</f>
        <v>176892</v>
      </c>
      <c r="U46" s="728">
        <f>ROUND(CantidadesConsolidadas[[#This Row],[173038]]*$D46,0)</f>
        <v>0</v>
      </c>
      <c r="V46" s="728">
        <f>ROUND(CantidadesConsolidadas[[#This Row],[170222]]*$D46,0)</f>
        <v>0</v>
      </c>
      <c r="W46" s="728">
        <f>ROUND(CantidadesConsolidadas[[#This Row],[170229]]*$D46,0)</f>
        <v>0</v>
      </c>
      <c r="X46" s="728">
        <f>ROUND(CantidadesConsolidadas[[#This Row],[170227]]*$D46,0)</f>
        <v>0</v>
      </c>
      <c r="Y46" s="728">
        <f>ROUND(CantidadesConsolidadas[[#This Row],[170226]]*$D46,0)</f>
        <v>0</v>
      </c>
      <c r="Z46" s="728">
        <f>ROUND(CantidadesConsolidadas[[#This Row],[171567]]*$D46,0)</f>
        <v>0</v>
      </c>
      <c r="AA46" s="728">
        <f>ROUND(CantidadesConsolidadas[[#This Row],[166632]]*$D46,0)</f>
        <v>0</v>
      </c>
      <c r="AB46" s="728">
        <f>ROUND(CantidadesConsolidadas[[#This Row],[170228]]*$D46,0)</f>
        <v>0</v>
      </c>
      <c r="AC46" s="728">
        <f>ROUND(CantidadesConsolidadas[[#This Row],[172926]]*$D46,0)</f>
        <v>0</v>
      </c>
      <c r="AD46" s="728">
        <f>ROUND(CantidadesConsolidadas[[#This Row],[171152]]*$D46,0)</f>
        <v>0</v>
      </c>
      <c r="AE46" s="728">
        <f>ROUND(CantidadesConsolidadas[[#This Row],[173058]]*$D46,0)</f>
        <v>0</v>
      </c>
      <c r="AF46" s="728">
        <f>ROUND(CantidadesConsolidadas[[#This Row],[174478]]*$D46,0)</f>
        <v>0</v>
      </c>
      <c r="AG46" s="728">
        <f>ROUND(CantidadesConsolidadas[[#This Row],[91010089]]*$D46,0)</f>
        <v>0</v>
      </c>
      <c r="AH46" s="728">
        <f>ROUND(CantidadesConsolidadas[[#This Row],[176122]]*$D46,0)</f>
        <v>0</v>
      </c>
      <c r="AI46" s="728">
        <f>ROUND(CantidadesConsolidadas[[#This Row],[168536]]*$D46,0)</f>
        <v>0</v>
      </c>
      <c r="AJ46" s="728">
        <f>ROUND(CantidadesConsolidadas[[#This Row],[166934]]*$D46,0)</f>
        <v>0</v>
      </c>
      <c r="AK46" s="728">
        <f>ROUND(CantidadesConsolidadas[[#This Row],[174353]]*$D46,0)</f>
        <v>0</v>
      </c>
      <c r="AL46" s="747">
        <f>ROUND(CantidadesConsolidadas[[#This Row],[52531]]*$D46,0)</f>
        <v>0</v>
      </c>
      <c r="AM46" s="746">
        <f>ROUND(CantidadesConsolidadas[[#This Row],[52456]]*$D46,0)</f>
        <v>0</v>
      </c>
      <c r="AN46" s="746">
        <f>ROUND(CantidadesConsolidadas[[#This Row],[92058103]]*$D46,0)</f>
        <v>0</v>
      </c>
      <c r="AO46" s="746">
        <f>ROUND(CantidadesConsolidadas[[#This Row],[20011114]]*$D46,0)</f>
        <v>0</v>
      </c>
      <c r="AP46" s="746">
        <f>ROUND(CantidadesConsolidadas[[#This Row],[20013540]]*$D46,0)</f>
        <v>0</v>
      </c>
      <c r="AQ46" s="746">
        <f>ROUND(CantidadesConsolidadas[[#This Row],[55337]]*$D46,0)</f>
        <v>0</v>
      </c>
      <c r="AR46" s="746">
        <f>ROUND(CantidadesConsolidadas[[#This Row],[92087422]]*$D46,0)</f>
        <v>0</v>
      </c>
      <c r="AS46" s="746">
        <f>ROUND(CantidadesConsolidadas[[#This Row],[55259]]*$D46,0)</f>
        <v>0</v>
      </c>
      <c r="AT46" s="746">
        <f>ROUND(CantidadesConsolidadas[[#This Row],[466904]]*$D46,0)</f>
        <v>0</v>
      </c>
      <c r="AU46" s="746">
        <f>ROUND(CantidadesConsolidadas[[#This Row],[48591]]*$D46,0)</f>
        <v>0</v>
      </c>
      <c r="AV46" s="746">
        <f>ROUND(CantidadesConsolidadas[[#This Row],[48590]]*$D46,0)</f>
        <v>0</v>
      </c>
      <c r="AW46" s="746">
        <f>ROUND(CantidadesConsolidadas[[#This Row],[48561]]*$D46,0)</f>
        <v>0</v>
      </c>
      <c r="AX46" s="746">
        <f>ROUND(CantidadesConsolidadas[[#This Row],[48560]]*$D46,0)</f>
        <v>0</v>
      </c>
      <c r="AY46" s="746">
        <f>ROUND(CantidadesConsolidadas[[#This Row],[48657]]*$D46,0)</f>
        <v>0</v>
      </c>
      <c r="AZ46" s="746">
        <f>ROUND(CantidadesConsolidadas[[#This Row],[48655]]*$D46,0)</f>
        <v>0</v>
      </c>
      <c r="BA46" s="806">
        <f>SUBTOTAL(9,CostoDirecto[[#This Row],[91013913]:[174353]])</f>
        <v>707568</v>
      </c>
      <c r="BB46" s="806">
        <f>SUBTOTAL(9,CostoDirecto[[#This Row],[52531]:[48655]])</f>
        <v>0</v>
      </c>
    </row>
    <row r="47" spans="1:54" x14ac:dyDescent="0.3">
      <c r="A47">
        <v>3532</v>
      </c>
      <c r="B47" s="606" t="str">
        <f>+_xlfn.XLOOKUP(CostoDirecto[[#This Row],[cod Idu]],APU_IDU[Código],APU_IDU[Nombre],"",0)</f>
        <v>CODO G.RAD. PVC 22.5° TIPO U.M D=6" (SUMINISTRO E INSTALACIÓN)</v>
      </c>
      <c r="C47" s="609" t="str">
        <f>+_xlfn.XLOOKUP(CostoDirecto[[#This Row],[cod Idu]],APU_IDU[Código],APU_IDU[UM],"",0)</f>
        <v>UN</v>
      </c>
      <c r="D47" s="745">
        <f>+_xlfn.XLOOKUP(CostoDirecto[[#This Row],[cod Idu]],APU_IDU[Código],APU_IDU[Valor],"",0)</f>
        <v>338771</v>
      </c>
      <c r="E47" s="728">
        <f>ROUND(CantidadesConsolidadas[[#This Row],[91013913]]*$D47,0)</f>
        <v>0</v>
      </c>
      <c r="F47" s="728">
        <f>ROUND(CantidadesConsolidadas[[#This Row],[472330]]*$D47,0)</f>
        <v>338771</v>
      </c>
      <c r="G47" s="728">
        <f>ROUND(CantidadesConsolidadas[[#This Row],[167810]]*$D47,0)</f>
        <v>0</v>
      </c>
      <c r="H47" s="728">
        <f>ROUND(CantidadesConsolidadas[[#This Row],[166646]]*$D47,0)</f>
        <v>0</v>
      </c>
      <c r="I47" s="728">
        <f>ROUND(CantidadesConsolidadas[[#This Row],[167491]]*$D47,0)</f>
        <v>0</v>
      </c>
      <c r="J47" s="728">
        <f>ROUND(CantidadesConsolidadas[[#This Row],[167266]]*$D47,0)</f>
        <v>0</v>
      </c>
      <c r="K47" s="728">
        <f>ROUND(CantidadesConsolidadas[[#This Row],[170896]]*$D47,0)</f>
        <v>0</v>
      </c>
      <c r="L47" s="728">
        <f>ROUND(CantidadesConsolidadas[[#This Row],[170897]]*$D47,0)</f>
        <v>0</v>
      </c>
      <c r="M47" s="728">
        <f>ROUND(CantidadesConsolidadas[[#This Row],[170898]]*$D47,0)</f>
        <v>0</v>
      </c>
      <c r="N47" s="728">
        <f>ROUND(CantidadesConsolidadas[[#This Row],[91064150]]*$D47,0)</f>
        <v>0</v>
      </c>
      <c r="O47" s="728">
        <f>ROUND(CantidadesConsolidadas[[#This Row],[168919]]*$D47,0)</f>
        <v>0</v>
      </c>
      <c r="P47" s="728">
        <f>ROUND(CantidadesConsolidadas[[#This Row],[168426]]*$D47,0)</f>
        <v>0</v>
      </c>
      <c r="Q47" s="728">
        <f>ROUND(CantidadesConsolidadas[[#This Row],[91020796]]*$D47,0)</f>
        <v>0</v>
      </c>
      <c r="R47" s="728">
        <f>ROUND(CantidadesConsolidadas[[#This Row],[176184]]*$D47,0)</f>
        <v>0</v>
      </c>
      <c r="S47" s="728">
        <f>ROUND(CantidadesConsolidadas[[#This Row],[167636]]*$D47,0)</f>
        <v>0</v>
      </c>
      <c r="T47" s="728">
        <f>ROUND(CantidadesConsolidadas[[#This Row],[176730]]*$D47,0)</f>
        <v>0</v>
      </c>
      <c r="U47" s="728">
        <f>ROUND(CantidadesConsolidadas[[#This Row],[173038]]*$D47,0)</f>
        <v>0</v>
      </c>
      <c r="V47" s="728">
        <f>ROUND(CantidadesConsolidadas[[#This Row],[170222]]*$D47,0)</f>
        <v>0</v>
      </c>
      <c r="W47" s="728">
        <f>ROUND(CantidadesConsolidadas[[#This Row],[170229]]*$D47,0)</f>
        <v>0</v>
      </c>
      <c r="X47" s="728">
        <f>ROUND(CantidadesConsolidadas[[#This Row],[170227]]*$D47,0)</f>
        <v>0</v>
      </c>
      <c r="Y47" s="728">
        <f>ROUND(CantidadesConsolidadas[[#This Row],[170226]]*$D47,0)</f>
        <v>0</v>
      </c>
      <c r="Z47" s="728">
        <f>ROUND(CantidadesConsolidadas[[#This Row],[171567]]*$D47,0)</f>
        <v>0</v>
      </c>
      <c r="AA47" s="728">
        <f>ROUND(CantidadesConsolidadas[[#This Row],[166632]]*$D47,0)</f>
        <v>0</v>
      </c>
      <c r="AB47" s="728">
        <f>ROUND(CantidadesConsolidadas[[#This Row],[170228]]*$D47,0)</f>
        <v>0</v>
      </c>
      <c r="AC47" s="728">
        <f>ROUND(CantidadesConsolidadas[[#This Row],[172926]]*$D47,0)</f>
        <v>0</v>
      </c>
      <c r="AD47" s="728">
        <f>ROUND(CantidadesConsolidadas[[#This Row],[171152]]*$D47,0)</f>
        <v>0</v>
      </c>
      <c r="AE47" s="728">
        <f>ROUND(CantidadesConsolidadas[[#This Row],[173058]]*$D47,0)</f>
        <v>0</v>
      </c>
      <c r="AF47" s="728">
        <f>ROUND(CantidadesConsolidadas[[#This Row],[174478]]*$D47,0)</f>
        <v>0</v>
      </c>
      <c r="AG47" s="728">
        <f>ROUND(CantidadesConsolidadas[[#This Row],[91010089]]*$D47,0)</f>
        <v>0</v>
      </c>
      <c r="AH47" s="728">
        <f>ROUND(CantidadesConsolidadas[[#This Row],[176122]]*$D47,0)</f>
        <v>0</v>
      </c>
      <c r="AI47" s="728">
        <f>ROUND(CantidadesConsolidadas[[#This Row],[168536]]*$D47,0)</f>
        <v>0</v>
      </c>
      <c r="AJ47" s="728">
        <f>ROUND(CantidadesConsolidadas[[#This Row],[166934]]*$D47,0)</f>
        <v>338771</v>
      </c>
      <c r="AK47" s="728">
        <f>ROUND(CantidadesConsolidadas[[#This Row],[174353]]*$D47,0)</f>
        <v>338771</v>
      </c>
      <c r="AL47" s="747">
        <f>ROUND(CantidadesConsolidadas[[#This Row],[52531]]*$D47,0)</f>
        <v>0</v>
      </c>
      <c r="AM47" s="746">
        <f>ROUND(CantidadesConsolidadas[[#This Row],[52456]]*$D47,0)</f>
        <v>0</v>
      </c>
      <c r="AN47" s="746">
        <f>ROUND(CantidadesConsolidadas[[#This Row],[92058103]]*$D47,0)</f>
        <v>0</v>
      </c>
      <c r="AO47" s="746">
        <f>ROUND(CantidadesConsolidadas[[#This Row],[20011114]]*$D47,0)</f>
        <v>0</v>
      </c>
      <c r="AP47" s="746">
        <f>ROUND(CantidadesConsolidadas[[#This Row],[20013540]]*$D47,0)</f>
        <v>0</v>
      </c>
      <c r="AQ47" s="746">
        <f>ROUND(CantidadesConsolidadas[[#This Row],[55337]]*$D47,0)</f>
        <v>0</v>
      </c>
      <c r="AR47" s="746">
        <f>ROUND(CantidadesConsolidadas[[#This Row],[92087422]]*$D47,0)</f>
        <v>0</v>
      </c>
      <c r="AS47" s="746">
        <f>ROUND(CantidadesConsolidadas[[#This Row],[55259]]*$D47,0)</f>
        <v>0</v>
      </c>
      <c r="AT47" s="746">
        <f>ROUND(CantidadesConsolidadas[[#This Row],[466904]]*$D47,0)</f>
        <v>0</v>
      </c>
      <c r="AU47" s="746">
        <f>ROUND(CantidadesConsolidadas[[#This Row],[48591]]*$D47,0)</f>
        <v>0</v>
      </c>
      <c r="AV47" s="746">
        <f>ROUND(CantidadesConsolidadas[[#This Row],[48590]]*$D47,0)</f>
        <v>0</v>
      </c>
      <c r="AW47" s="746">
        <f>ROUND(CantidadesConsolidadas[[#This Row],[48561]]*$D47,0)</f>
        <v>0</v>
      </c>
      <c r="AX47" s="746">
        <f>ROUND(CantidadesConsolidadas[[#This Row],[48560]]*$D47,0)</f>
        <v>0</v>
      </c>
      <c r="AY47" s="746">
        <f>ROUND(CantidadesConsolidadas[[#This Row],[48657]]*$D47,0)</f>
        <v>0</v>
      </c>
      <c r="AZ47" s="746">
        <f>ROUND(CantidadesConsolidadas[[#This Row],[48655]]*$D47,0)</f>
        <v>0</v>
      </c>
      <c r="BA47" s="806">
        <f>SUBTOTAL(9,CostoDirecto[[#This Row],[91013913]:[174353]])</f>
        <v>1016313</v>
      </c>
      <c r="BB47" s="806">
        <f>SUBTOTAL(9,CostoDirecto[[#This Row],[52531]:[48655]])</f>
        <v>0</v>
      </c>
    </row>
    <row r="48" spans="1:54" x14ac:dyDescent="0.3">
      <c r="A48">
        <v>3535</v>
      </c>
      <c r="B48" s="606" t="str">
        <f>+_xlfn.XLOOKUP(CostoDirecto[[#This Row],[cod Idu]],APU_IDU[Código],APU_IDU[Nombre],"",0)</f>
        <v>CODO G.RAD. PVC 22.5° TIPO U.M. D=12" (SUMINISTRO E INSTALACIÓN)</v>
      </c>
      <c r="C48" s="609" t="str">
        <f>+_xlfn.XLOOKUP(CostoDirecto[[#This Row],[cod Idu]],APU_IDU[Código],APU_IDU[UM],"",0)</f>
        <v>UN</v>
      </c>
      <c r="D48" s="745">
        <f>+_xlfn.XLOOKUP(CostoDirecto[[#This Row],[cod Idu]],APU_IDU[Código],APU_IDU[Valor],"",0)</f>
        <v>2095131</v>
      </c>
      <c r="E48" s="728">
        <f>ROUND(CantidadesConsolidadas[[#This Row],[91013913]]*$D48,0)</f>
        <v>0</v>
      </c>
      <c r="F48" s="728">
        <f>ROUND(CantidadesConsolidadas[[#This Row],[472330]]*$D48,0)</f>
        <v>0</v>
      </c>
      <c r="G48" s="728">
        <f>ROUND(CantidadesConsolidadas[[#This Row],[167810]]*$D48,0)</f>
        <v>0</v>
      </c>
      <c r="H48" s="728">
        <f>ROUND(CantidadesConsolidadas[[#This Row],[166646]]*$D48,0)</f>
        <v>0</v>
      </c>
      <c r="I48" s="728">
        <f>ROUND(CantidadesConsolidadas[[#This Row],[167491]]*$D48,0)</f>
        <v>0</v>
      </c>
      <c r="J48" s="728">
        <f>ROUND(CantidadesConsolidadas[[#This Row],[167266]]*$D48,0)</f>
        <v>0</v>
      </c>
      <c r="K48" s="728">
        <f>ROUND(CantidadesConsolidadas[[#This Row],[170896]]*$D48,0)</f>
        <v>0</v>
      </c>
      <c r="L48" s="728">
        <f>ROUND(CantidadesConsolidadas[[#This Row],[170897]]*$D48,0)</f>
        <v>0</v>
      </c>
      <c r="M48" s="728">
        <f>ROUND(CantidadesConsolidadas[[#This Row],[170898]]*$D48,0)</f>
        <v>0</v>
      </c>
      <c r="N48" s="728">
        <f>ROUND(CantidadesConsolidadas[[#This Row],[91064150]]*$D48,0)</f>
        <v>0</v>
      </c>
      <c r="O48" s="728">
        <f>ROUND(CantidadesConsolidadas[[#This Row],[168919]]*$D48,0)</f>
        <v>2095131</v>
      </c>
      <c r="P48" s="728">
        <f>ROUND(CantidadesConsolidadas[[#This Row],[168426]]*$D48,0)</f>
        <v>0</v>
      </c>
      <c r="Q48" s="728">
        <f>ROUND(CantidadesConsolidadas[[#This Row],[91020796]]*$D48,0)</f>
        <v>0</v>
      </c>
      <c r="R48" s="728">
        <f>ROUND(CantidadesConsolidadas[[#This Row],[176184]]*$D48,0)</f>
        <v>0</v>
      </c>
      <c r="S48" s="728">
        <f>ROUND(CantidadesConsolidadas[[#This Row],[167636]]*$D48,0)</f>
        <v>0</v>
      </c>
      <c r="T48" s="728">
        <f>ROUND(CantidadesConsolidadas[[#This Row],[176730]]*$D48,0)</f>
        <v>0</v>
      </c>
      <c r="U48" s="728">
        <f>ROUND(CantidadesConsolidadas[[#This Row],[173038]]*$D48,0)</f>
        <v>0</v>
      </c>
      <c r="V48" s="728">
        <f>ROUND(CantidadesConsolidadas[[#This Row],[170222]]*$D48,0)</f>
        <v>0</v>
      </c>
      <c r="W48" s="728">
        <f>ROUND(CantidadesConsolidadas[[#This Row],[170229]]*$D48,0)</f>
        <v>0</v>
      </c>
      <c r="X48" s="728">
        <f>ROUND(CantidadesConsolidadas[[#This Row],[170227]]*$D48,0)</f>
        <v>0</v>
      </c>
      <c r="Y48" s="728">
        <f>ROUND(CantidadesConsolidadas[[#This Row],[170226]]*$D48,0)</f>
        <v>0</v>
      </c>
      <c r="Z48" s="728">
        <f>ROUND(CantidadesConsolidadas[[#This Row],[171567]]*$D48,0)</f>
        <v>0</v>
      </c>
      <c r="AA48" s="728">
        <f>ROUND(CantidadesConsolidadas[[#This Row],[166632]]*$D48,0)</f>
        <v>0</v>
      </c>
      <c r="AB48" s="728">
        <f>ROUND(CantidadesConsolidadas[[#This Row],[170228]]*$D48,0)</f>
        <v>0</v>
      </c>
      <c r="AC48" s="728">
        <f>ROUND(CantidadesConsolidadas[[#This Row],[172926]]*$D48,0)</f>
        <v>0</v>
      </c>
      <c r="AD48" s="728">
        <f>ROUND(CantidadesConsolidadas[[#This Row],[171152]]*$D48,0)</f>
        <v>0</v>
      </c>
      <c r="AE48" s="728">
        <f>ROUND(CantidadesConsolidadas[[#This Row],[173058]]*$D48,0)</f>
        <v>0</v>
      </c>
      <c r="AF48" s="728">
        <f>ROUND(CantidadesConsolidadas[[#This Row],[174478]]*$D48,0)</f>
        <v>0</v>
      </c>
      <c r="AG48" s="728">
        <f>ROUND(CantidadesConsolidadas[[#This Row],[91010089]]*$D48,0)</f>
        <v>0</v>
      </c>
      <c r="AH48" s="728">
        <f>ROUND(CantidadesConsolidadas[[#This Row],[176122]]*$D48,0)</f>
        <v>0</v>
      </c>
      <c r="AI48" s="728">
        <f>ROUND(CantidadesConsolidadas[[#This Row],[168536]]*$D48,0)</f>
        <v>0</v>
      </c>
      <c r="AJ48" s="728">
        <f>ROUND(CantidadesConsolidadas[[#This Row],[166934]]*$D48,0)</f>
        <v>0</v>
      </c>
      <c r="AK48" s="728">
        <f>ROUND(CantidadesConsolidadas[[#This Row],[174353]]*$D48,0)</f>
        <v>0</v>
      </c>
      <c r="AL48" s="747">
        <f>ROUND(CantidadesConsolidadas[[#This Row],[52531]]*$D48,0)</f>
        <v>0</v>
      </c>
      <c r="AM48" s="746">
        <f>ROUND(CantidadesConsolidadas[[#This Row],[52456]]*$D48,0)</f>
        <v>0</v>
      </c>
      <c r="AN48" s="746">
        <f>ROUND(CantidadesConsolidadas[[#This Row],[92058103]]*$D48,0)</f>
        <v>0</v>
      </c>
      <c r="AO48" s="746">
        <f>ROUND(CantidadesConsolidadas[[#This Row],[20011114]]*$D48,0)</f>
        <v>0</v>
      </c>
      <c r="AP48" s="746">
        <f>ROUND(CantidadesConsolidadas[[#This Row],[20013540]]*$D48,0)</f>
        <v>0</v>
      </c>
      <c r="AQ48" s="746">
        <f>ROUND(CantidadesConsolidadas[[#This Row],[55337]]*$D48,0)</f>
        <v>0</v>
      </c>
      <c r="AR48" s="746">
        <f>ROUND(CantidadesConsolidadas[[#This Row],[92087422]]*$D48,0)</f>
        <v>0</v>
      </c>
      <c r="AS48" s="746">
        <f>ROUND(CantidadesConsolidadas[[#This Row],[55259]]*$D48,0)</f>
        <v>0</v>
      </c>
      <c r="AT48" s="746">
        <f>ROUND(CantidadesConsolidadas[[#This Row],[466904]]*$D48,0)</f>
        <v>0</v>
      </c>
      <c r="AU48" s="746">
        <f>ROUND(CantidadesConsolidadas[[#This Row],[48591]]*$D48,0)</f>
        <v>0</v>
      </c>
      <c r="AV48" s="746">
        <f>ROUND(CantidadesConsolidadas[[#This Row],[48590]]*$D48,0)</f>
        <v>0</v>
      </c>
      <c r="AW48" s="746">
        <f>ROUND(CantidadesConsolidadas[[#This Row],[48561]]*$D48,0)</f>
        <v>0</v>
      </c>
      <c r="AX48" s="746">
        <f>ROUND(CantidadesConsolidadas[[#This Row],[48560]]*$D48,0)</f>
        <v>0</v>
      </c>
      <c r="AY48" s="746">
        <f>ROUND(CantidadesConsolidadas[[#This Row],[48657]]*$D48,0)</f>
        <v>0</v>
      </c>
      <c r="AZ48" s="746">
        <f>ROUND(CantidadesConsolidadas[[#This Row],[48655]]*$D48,0)</f>
        <v>0</v>
      </c>
      <c r="BA48" s="806">
        <f>SUBTOTAL(9,CostoDirecto[[#This Row],[91013913]:[174353]])</f>
        <v>2095131</v>
      </c>
      <c r="BB48" s="806">
        <f>SUBTOTAL(9,CostoDirecto[[#This Row],[52531]:[48655]])</f>
        <v>0</v>
      </c>
    </row>
    <row r="49" spans="1:54" ht="28.8" x14ac:dyDescent="0.3">
      <c r="A49">
        <v>3539</v>
      </c>
      <c r="B49" s="606" t="str">
        <f>+_xlfn.XLOOKUP(CostoDirecto[[#This Row],[cod Idu]],APU_IDU[Código],APU_IDU[Nombre],"",0)</f>
        <v>CODO G.RAD. PVC 11.25° TIPO U.M. D=4" RDE 21 (SUMINISTRO E INSTALACIÓN)</v>
      </c>
      <c r="C49" s="609" t="str">
        <f>+_xlfn.XLOOKUP(CostoDirecto[[#This Row],[cod Idu]],APU_IDU[Código],APU_IDU[UM],"",0)</f>
        <v>UN</v>
      </c>
      <c r="D49" s="745">
        <f>+_xlfn.XLOOKUP(CostoDirecto[[#This Row],[cod Idu]],APU_IDU[Código],APU_IDU[Valor],"",0)</f>
        <v>134877</v>
      </c>
      <c r="E49" s="728">
        <f>ROUND(CantidadesConsolidadas[[#This Row],[91013913]]*$D49,0)</f>
        <v>0</v>
      </c>
      <c r="F49" s="728">
        <f>ROUND(CantidadesConsolidadas[[#This Row],[472330]]*$D49,0)</f>
        <v>0</v>
      </c>
      <c r="G49" s="728">
        <f>ROUND(CantidadesConsolidadas[[#This Row],[167810]]*$D49,0)</f>
        <v>0</v>
      </c>
      <c r="H49" s="728">
        <f>ROUND(CantidadesConsolidadas[[#This Row],[166646]]*$D49,0)</f>
        <v>0</v>
      </c>
      <c r="I49" s="728">
        <f>ROUND(CantidadesConsolidadas[[#This Row],[167491]]*$D49,0)</f>
        <v>0</v>
      </c>
      <c r="J49" s="728">
        <f>ROUND(CantidadesConsolidadas[[#This Row],[167266]]*$D49,0)</f>
        <v>0</v>
      </c>
      <c r="K49" s="728">
        <f>ROUND(CantidadesConsolidadas[[#This Row],[170896]]*$D49,0)</f>
        <v>0</v>
      </c>
      <c r="L49" s="728">
        <f>ROUND(CantidadesConsolidadas[[#This Row],[170897]]*$D49,0)</f>
        <v>0</v>
      </c>
      <c r="M49" s="728">
        <f>ROUND(CantidadesConsolidadas[[#This Row],[170898]]*$D49,0)</f>
        <v>0</v>
      </c>
      <c r="N49" s="728">
        <f>ROUND(CantidadesConsolidadas[[#This Row],[91064150]]*$D49,0)</f>
        <v>0</v>
      </c>
      <c r="O49" s="728">
        <f>ROUND(CantidadesConsolidadas[[#This Row],[168919]]*$D49,0)</f>
        <v>0</v>
      </c>
      <c r="P49" s="728">
        <f>ROUND(CantidadesConsolidadas[[#This Row],[168426]]*$D49,0)</f>
        <v>0</v>
      </c>
      <c r="Q49" s="728">
        <f>ROUND(CantidadesConsolidadas[[#This Row],[91020796]]*$D49,0)</f>
        <v>0</v>
      </c>
      <c r="R49" s="728">
        <f>ROUND(CantidadesConsolidadas[[#This Row],[176184]]*$D49,0)</f>
        <v>0</v>
      </c>
      <c r="S49" s="728">
        <f>ROUND(CantidadesConsolidadas[[#This Row],[167636]]*$D49,0)</f>
        <v>134877</v>
      </c>
      <c r="T49" s="728">
        <f>ROUND(CantidadesConsolidadas[[#This Row],[176730]]*$D49,0)</f>
        <v>0</v>
      </c>
      <c r="U49" s="728">
        <f>ROUND(CantidadesConsolidadas[[#This Row],[173038]]*$D49,0)</f>
        <v>0</v>
      </c>
      <c r="V49" s="728">
        <f>ROUND(CantidadesConsolidadas[[#This Row],[170222]]*$D49,0)</f>
        <v>0</v>
      </c>
      <c r="W49" s="728">
        <f>ROUND(CantidadesConsolidadas[[#This Row],[170229]]*$D49,0)</f>
        <v>0</v>
      </c>
      <c r="X49" s="728">
        <f>ROUND(CantidadesConsolidadas[[#This Row],[170227]]*$D49,0)</f>
        <v>0</v>
      </c>
      <c r="Y49" s="728">
        <f>ROUND(CantidadesConsolidadas[[#This Row],[170226]]*$D49,0)</f>
        <v>0</v>
      </c>
      <c r="Z49" s="728">
        <f>ROUND(CantidadesConsolidadas[[#This Row],[171567]]*$D49,0)</f>
        <v>0</v>
      </c>
      <c r="AA49" s="728">
        <f>ROUND(CantidadesConsolidadas[[#This Row],[166632]]*$D49,0)</f>
        <v>0</v>
      </c>
      <c r="AB49" s="728">
        <f>ROUND(CantidadesConsolidadas[[#This Row],[170228]]*$D49,0)</f>
        <v>0</v>
      </c>
      <c r="AC49" s="728">
        <f>ROUND(CantidadesConsolidadas[[#This Row],[172926]]*$D49,0)</f>
        <v>0</v>
      </c>
      <c r="AD49" s="728">
        <f>ROUND(CantidadesConsolidadas[[#This Row],[171152]]*$D49,0)</f>
        <v>0</v>
      </c>
      <c r="AE49" s="728">
        <f>ROUND(CantidadesConsolidadas[[#This Row],[173058]]*$D49,0)</f>
        <v>0</v>
      </c>
      <c r="AF49" s="728">
        <f>ROUND(CantidadesConsolidadas[[#This Row],[174478]]*$D49,0)</f>
        <v>0</v>
      </c>
      <c r="AG49" s="728">
        <f>ROUND(CantidadesConsolidadas[[#This Row],[91010089]]*$D49,0)</f>
        <v>0</v>
      </c>
      <c r="AH49" s="728">
        <f>ROUND(CantidadesConsolidadas[[#This Row],[176122]]*$D49,0)</f>
        <v>0</v>
      </c>
      <c r="AI49" s="728">
        <f>ROUND(CantidadesConsolidadas[[#This Row],[168536]]*$D49,0)</f>
        <v>0</v>
      </c>
      <c r="AJ49" s="728">
        <f>ROUND(CantidadesConsolidadas[[#This Row],[166934]]*$D49,0)</f>
        <v>0</v>
      </c>
      <c r="AK49" s="728">
        <f>ROUND(CantidadesConsolidadas[[#This Row],[174353]]*$D49,0)</f>
        <v>0</v>
      </c>
      <c r="AL49" s="747">
        <f>ROUND(CantidadesConsolidadas[[#This Row],[52531]]*$D49,0)</f>
        <v>0</v>
      </c>
      <c r="AM49" s="746">
        <f>ROUND(CantidadesConsolidadas[[#This Row],[52456]]*$D49,0)</f>
        <v>0</v>
      </c>
      <c r="AN49" s="746">
        <f>ROUND(CantidadesConsolidadas[[#This Row],[92058103]]*$D49,0)</f>
        <v>0</v>
      </c>
      <c r="AO49" s="746">
        <f>ROUND(CantidadesConsolidadas[[#This Row],[20011114]]*$D49,0)</f>
        <v>0</v>
      </c>
      <c r="AP49" s="746">
        <f>ROUND(CantidadesConsolidadas[[#This Row],[20013540]]*$D49,0)</f>
        <v>0</v>
      </c>
      <c r="AQ49" s="746">
        <f>ROUND(CantidadesConsolidadas[[#This Row],[55337]]*$D49,0)</f>
        <v>0</v>
      </c>
      <c r="AR49" s="746">
        <f>ROUND(CantidadesConsolidadas[[#This Row],[92087422]]*$D49,0)</f>
        <v>0</v>
      </c>
      <c r="AS49" s="746">
        <f>ROUND(CantidadesConsolidadas[[#This Row],[55259]]*$D49,0)</f>
        <v>0</v>
      </c>
      <c r="AT49" s="746">
        <f>ROUND(CantidadesConsolidadas[[#This Row],[466904]]*$D49,0)</f>
        <v>0</v>
      </c>
      <c r="AU49" s="746">
        <f>ROUND(CantidadesConsolidadas[[#This Row],[48591]]*$D49,0)</f>
        <v>0</v>
      </c>
      <c r="AV49" s="746">
        <f>ROUND(CantidadesConsolidadas[[#This Row],[48590]]*$D49,0)</f>
        <v>0</v>
      </c>
      <c r="AW49" s="746">
        <f>ROUND(CantidadesConsolidadas[[#This Row],[48561]]*$D49,0)</f>
        <v>0</v>
      </c>
      <c r="AX49" s="746">
        <f>ROUND(CantidadesConsolidadas[[#This Row],[48560]]*$D49,0)</f>
        <v>0</v>
      </c>
      <c r="AY49" s="746">
        <f>ROUND(CantidadesConsolidadas[[#This Row],[48657]]*$D49,0)</f>
        <v>0</v>
      </c>
      <c r="AZ49" s="746">
        <f>ROUND(CantidadesConsolidadas[[#This Row],[48655]]*$D49,0)</f>
        <v>0</v>
      </c>
      <c r="BA49" s="806">
        <f>SUBTOTAL(9,CostoDirecto[[#This Row],[91013913]:[174353]])</f>
        <v>134877</v>
      </c>
      <c r="BB49" s="806">
        <f>SUBTOTAL(9,CostoDirecto[[#This Row],[52531]:[48655]])</f>
        <v>0</v>
      </c>
    </row>
    <row r="50" spans="1:54" x14ac:dyDescent="0.3">
      <c r="A50">
        <v>3540</v>
      </c>
      <c r="B50" s="606" t="str">
        <f>+_xlfn.XLOOKUP(CostoDirecto[[#This Row],[cod Idu]],APU_IDU[Código],APU_IDU[Nombre],"",0)</f>
        <v>CODO G.RAD. PVC 11.25° TIPO U.M. D=6" (SUMINISTRO E INSTALACIÓN)</v>
      </c>
      <c r="C50" s="609" t="str">
        <f>+_xlfn.XLOOKUP(CostoDirecto[[#This Row],[cod Idu]],APU_IDU[Código],APU_IDU[UM],"",0)</f>
        <v>UN</v>
      </c>
      <c r="D50" s="745">
        <f>+_xlfn.XLOOKUP(CostoDirecto[[#This Row],[cod Idu]],APU_IDU[Código],APU_IDU[Valor],"",0)</f>
        <v>304534</v>
      </c>
      <c r="E50" s="728">
        <f>ROUND(CantidadesConsolidadas[[#This Row],[91013913]]*$D50,0)</f>
        <v>0</v>
      </c>
      <c r="F50" s="728">
        <f>ROUND(CantidadesConsolidadas[[#This Row],[472330]]*$D50,0)</f>
        <v>0</v>
      </c>
      <c r="G50" s="728">
        <f>ROUND(CantidadesConsolidadas[[#This Row],[167810]]*$D50,0)</f>
        <v>0</v>
      </c>
      <c r="H50" s="728">
        <f>ROUND(CantidadesConsolidadas[[#This Row],[166646]]*$D50,0)</f>
        <v>304534</v>
      </c>
      <c r="I50" s="728">
        <f>ROUND(CantidadesConsolidadas[[#This Row],[167491]]*$D50,0)</f>
        <v>0</v>
      </c>
      <c r="J50" s="728">
        <f>ROUND(CantidadesConsolidadas[[#This Row],[167266]]*$D50,0)</f>
        <v>0</v>
      </c>
      <c r="K50" s="728">
        <f>ROUND(CantidadesConsolidadas[[#This Row],[170896]]*$D50,0)</f>
        <v>304534</v>
      </c>
      <c r="L50" s="728">
        <f>ROUND(CantidadesConsolidadas[[#This Row],[170897]]*$D50,0)</f>
        <v>0</v>
      </c>
      <c r="M50" s="728">
        <f>ROUND(CantidadesConsolidadas[[#This Row],[170898]]*$D50,0)</f>
        <v>0</v>
      </c>
      <c r="N50" s="728">
        <f>ROUND(CantidadesConsolidadas[[#This Row],[91064150]]*$D50,0)</f>
        <v>0</v>
      </c>
      <c r="O50" s="728">
        <f>ROUND(CantidadesConsolidadas[[#This Row],[168919]]*$D50,0)</f>
        <v>0</v>
      </c>
      <c r="P50" s="728">
        <f>ROUND(CantidadesConsolidadas[[#This Row],[168426]]*$D50,0)</f>
        <v>304534</v>
      </c>
      <c r="Q50" s="728">
        <f>ROUND(CantidadesConsolidadas[[#This Row],[91020796]]*$D50,0)</f>
        <v>0</v>
      </c>
      <c r="R50" s="728">
        <f>ROUND(CantidadesConsolidadas[[#This Row],[176184]]*$D50,0)</f>
        <v>0</v>
      </c>
      <c r="S50" s="728">
        <f>ROUND(CantidadesConsolidadas[[#This Row],[167636]]*$D50,0)</f>
        <v>0</v>
      </c>
      <c r="T50" s="728">
        <f>ROUND(CantidadesConsolidadas[[#This Row],[176730]]*$D50,0)</f>
        <v>0</v>
      </c>
      <c r="U50" s="728">
        <f>ROUND(CantidadesConsolidadas[[#This Row],[173038]]*$D50,0)</f>
        <v>0</v>
      </c>
      <c r="V50" s="728">
        <f>ROUND(CantidadesConsolidadas[[#This Row],[170222]]*$D50,0)</f>
        <v>0</v>
      </c>
      <c r="W50" s="728">
        <f>ROUND(CantidadesConsolidadas[[#This Row],[170229]]*$D50,0)</f>
        <v>0</v>
      </c>
      <c r="X50" s="728">
        <f>ROUND(CantidadesConsolidadas[[#This Row],[170227]]*$D50,0)</f>
        <v>0</v>
      </c>
      <c r="Y50" s="728">
        <f>ROUND(CantidadesConsolidadas[[#This Row],[170226]]*$D50,0)</f>
        <v>0</v>
      </c>
      <c r="Z50" s="728">
        <f>ROUND(CantidadesConsolidadas[[#This Row],[171567]]*$D50,0)</f>
        <v>0</v>
      </c>
      <c r="AA50" s="728">
        <f>ROUND(CantidadesConsolidadas[[#This Row],[166632]]*$D50,0)</f>
        <v>0</v>
      </c>
      <c r="AB50" s="728">
        <f>ROUND(CantidadesConsolidadas[[#This Row],[170228]]*$D50,0)</f>
        <v>0</v>
      </c>
      <c r="AC50" s="728">
        <f>ROUND(CantidadesConsolidadas[[#This Row],[172926]]*$D50,0)</f>
        <v>0</v>
      </c>
      <c r="AD50" s="728">
        <f>ROUND(CantidadesConsolidadas[[#This Row],[171152]]*$D50,0)</f>
        <v>0</v>
      </c>
      <c r="AE50" s="728">
        <f>ROUND(CantidadesConsolidadas[[#This Row],[173058]]*$D50,0)</f>
        <v>0</v>
      </c>
      <c r="AF50" s="728">
        <f>ROUND(CantidadesConsolidadas[[#This Row],[174478]]*$D50,0)</f>
        <v>0</v>
      </c>
      <c r="AG50" s="728">
        <f>ROUND(CantidadesConsolidadas[[#This Row],[91010089]]*$D50,0)</f>
        <v>0</v>
      </c>
      <c r="AH50" s="728">
        <f>ROUND(CantidadesConsolidadas[[#This Row],[176122]]*$D50,0)</f>
        <v>0</v>
      </c>
      <c r="AI50" s="728">
        <f>ROUND(CantidadesConsolidadas[[#This Row],[168536]]*$D50,0)</f>
        <v>0</v>
      </c>
      <c r="AJ50" s="728">
        <f>ROUND(CantidadesConsolidadas[[#This Row],[166934]]*$D50,0)</f>
        <v>0</v>
      </c>
      <c r="AK50" s="728">
        <f>ROUND(CantidadesConsolidadas[[#This Row],[174353]]*$D50,0)</f>
        <v>0</v>
      </c>
      <c r="AL50" s="747">
        <f>ROUND(CantidadesConsolidadas[[#This Row],[52531]]*$D50,0)</f>
        <v>0</v>
      </c>
      <c r="AM50" s="746">
        <f>ROUND(CantidadesConsolidadas[[#This Row],[52456]]*$D50,0)</f>
        <v>0</v>
      </c>
      <c r="AN50" s="746">
        <f>ROUND(CantidadesConsolidadas[[#This Row],[92058103]]*$D50,0)</f>
        <v>0</v>
      </c>
      <c r="AO50" s="746">
        <f>ROUND(CantidadesConsolidadas[[#This Row],[20011114]]*$D50,0)</f>
        <v>0</v>
      </c>
      <c r="AP50" s="746">
        <f>ROUND(CantidadesConsolidadas[[#This Row],[20013540]]*$D50,0)</f>
        <v>0</v>
      </c>
      <c r="AQ50" s="746">
        <f>ROUND(CantidadesConsolidadas[[#This Row],[55337]]*$D50,0)</f>
        <v>0</v>
      </c>
      <c r="AR50" s="746">
        <f>ROUND(CantidadesConsolidadas[[#This Row],[92087422]]*$D50,0)</f>
        <v>0</v>
      </c>
      <c r="AS50" s="746">
        <f>ROUND(CantidadesConsolidadas[[#This Row],[55259]]*$D50,0)</f>
        <v>0</v>
      </c>
      <c r="AT50" s="746">
        <f>ROUND(CantidadesConsolidadas[[#This Row],[466904]]*$D50,0)</f>
        <v>0</v>
      </c>
      <c r="AU50" s="746">
        <f>ROUND(CantidadesConsolidadas[[#This Row],[48591]]*$D50,0)</f>
        <v>0</v>
      </c>
      <c r="AV50" s="746">
        <f>ROUND(CantidadesConsolidadas[[#This Row],[48590]]*$D50,0)</f>
        <v>0</v>
      </c>
      <c r="AW50" s="746">
        <f>ROUND(CantidadesConsolidadas[[#This Row],[48561]]*$D50,0)</f>
        <v>0</v>
      </c>
      <c r="AX50" s="746">
        <f>ROUND(CantidadesConsolidadas[[#This Row],[48560]]*$D50,0)</f>
        <v>0</v>
      </c>
      <c r="AY50" s="746">
        <f>ROUND(CantidadesConsolidadas[[#This Row],[48657]]*$D50,0)</f>
        <v>0</v>
      </c>
      <c r="AZ50" s="746">
        <f>ROUND(CantidadesConsolidadas[[#This Row],[48655]]*$D50,0)</f>
        <v>0</v>
      </c>
      <c r="BA50" s="806">
        <f>SUBTOTAL(9,CostoDirecto[[#This Row],[91013913]:[174353]])</f>
        <v>913602</v>
      </c>
      <c r="BB50" s="806">
        <f>SUBTOTAL(9,CostoDirecto[[#This Row],[52531]:[48655]])</f>
        <v>0</v>
      </c>
    </row>
    <row r="51" spans="1:54" ht="28.8" x14ac:dyDescent="0.3">
      <c r="A51">
        <v>4402</v>
      </c>
      <c r="B51" s="606" t="str">
        <f>+_xlfn.XLOOKUP(CostoDirecto[[#This Row],[cod Idu]],APU_IDU[Código],APU_IDU[Nombre],"",0)</f>
        <v>VALVULA COMPUERTA ELASTICA VASTAGO NO ASCENDENTE EXTREMO LISO D=4" (SUMINISTRO E INSTALACIÓN)</v>
      </c>
      <c r="C51" s="609" t="str">
        <f>+_xlfn.XLOOKUP(CostoDirecto[[#This Row],[cod Idu]],APU_IDU[Código],APU_IDU[UM],"",0)</f>
        <v>UN</v>
      </c>
      <c r="D51" s="745">
        <f>+_xlfn.XLOOKUP(CostoDirecto[[#This Row],[cod Idu]],APU_IDU[Código],APU_IDU[Valor],"",0)</f>
        <v>1190850</v>
      </c>
      <c r="E51" s="728">
        <f>ROUND(CantidadesConsolidadas[[#This Row],[91013913]]*$D51,0)</f>
        <v>0</v>
      </c>
      <c r="F51" s="728">
        <f>ROUND(CantidadesConsolidadas[[#This Row],[472330]]*$D51,0)</f>
        <v>0</v>
      </c>
      <c r="G51" s="728">
        <f>ROUND(CantidadesConsolidadas[[#This Row],[167810]]*$D51,0)</f>
        <v>0</v>
      </c>
      <c r="H51" s="728">
        <f>ROUND(CantidadesConsolidadas[[#This Row],[166646]]*$D51,0)</f>
        <v>0</v>
      </c>
      <c r="I51" s="728">
        <f>ROUND(CantidadesConsolidadas[[#This Row],[167491]]*$D51,0)</f>
        <v>0</v>
      </c>
      <c r="J51" s="728">
        <f>ROUND(CantidadesConsolidadas[[#This Row],[167266]]*$D51,0)</f>
        <v>0</v>
      </c>
      <c r="K51" s="728">
        <f>ROUND(CantidadesConsolidadas[[#This Row],[170896]]*$D51,0)</f>
        <v>0</v>
      </c>
      <c r="L51" s="728">
        <f>ROUND(CantidadesConsolidadas[[#This Row],[170897]]*$D51,0)</f>
        <v>0</v>
      </c>
      <c r="M51" s="728">
        <f>ROUND(CantidadesConsolidadas[[#This Row],[170898]]*$D51,0)</f>
        <v>0</v>
      </c>
      <c r="N51" s="728">
        <f>ROUND(CantidadesConsolidadas[[#This Row],[91064150]]*$D51,0)</f>
        <v>0</v>
      </c>
      <c r="O51" s="728">
        <f>ROUND(CantidadesConsolidadas[[#This Row],[168919]]*$D51,0)</f>
        <v>0</v>
      </c>
      <c r="P51" s="728">
        <f>ROUND(CantidadesConsolidadas[[#This Row],[168426]]*$D51,0)</f>
        <v>0</v>
      </c>
      <c r="Q51" s="728">
        <f>ROUND(CantidadesConsolidadas[[#This Row],[91020796]]*$D51,0)</f>
        <v>0</v>
      </c>
      <c r="R51" s="728">
        <f>ROUND(CantidadesConsolidadas[[#This Row],[176184]]*$D51,0)</f>
        <v>0</v>
      </c>
      <c r="S51" s="728">
        <f>ROUND(CantidadesConsolidadas[[#This Row],[167636]]*$D51,0)</f>
        <v>0</v>
      </c>
      <c r="T51" s="728">
        <f>ROUND(CantidadesConsolidadas[[#This Row],[176730]]*$D51,0)</f>
        <v>0</v>
      </c>
      <c r="U51" s="728">
        <f>ROUND(CantidadesConsolidadas[[#This Row],[173038]]*$D51,0)</f>
        <v>0</v>
      </c>
      <c r="V51" s="728">
        <f>ROUND(CantidadesConsolidadas[[#This Row],[170222]]*$D51,0)</f>
        <v>0</v>
      </c>
      <c r="W51" s="728">
        <f>ROUND(CantidadesConsolidadas[[#This Row],[170229]]*$D51,0)</f>
        <v>0</v>
      </c>
      <c r="X51" s="728">
        <f>ROUND(CantidadesConsolidadas[[#This Row],[170227]]*$D51,0)</f>
        <v>0</v>
      </c>
      <c r="Y51" s="728">
        <f>ROUND(CantidadesConsolidadas[[#This Row],[170226]]*$D51,0)</f>
        <v>0</v>
      </c>
      <c r="Z51" s="728">
        <f>ROUND(CantidadesConsolidadas[[#This Row],[171567]]*$D51,0)</f>
        <v>0</v>
      </c>
      <c r="AA51" s="728">
        <f>ROUND(CantidadesConsolidadas[[#This Row],[166632]]*$D51,0)</f>
        <v>0</v>
      </c>
      <c r="AB51" s="728">
        <f>ROUND(CantidadesConsolidadas[[#This Row],[170228]]*$D51,0)</f>
        <v>0</v>
      </c>
      <c r="AC51" s="728">
        <f>ROUND(CantidadesConsolidadas[[#This Row],[172926]]*$D51,0)</f>
        <v>1190850</v>
      </c>
      <c r="AD51" s="728">
        <f>ROUND(CantidadesConsolidadas[[#This Row],[171152]]*$D51,0)</f>
        <v>0</v>
      </c>
      <c r="AE51" s="728">
        <f>ROUND(CantidadesConsolidadas[[#This Row],[173058]]*$D51,0)</f>
        <v>0</v>
      </c>
      <c r="AF51" s="728">
        <f>ROUND(CantidadesConsolidadas[[#This Row],[174478]]*$D51,0)</f>
        <v>0</v>
      </c>
      <c r="AG51" s="728">
        <f>ROUND(CantidadesConsolidadas[[#This Row],[91010089]]*$D51,0)</f>
        <v>0</v>
      </c>
      <c r="AH51" s="728">
        <f>ROUND(CantidadesConsolidadas[[#This Row],[176122]]*$D51,0)</f>
        <v>0</v>
      </c>
      <c r="AI51" s="728">
        <f>ROUND(CantidadesConsolidadas[[#This Row],[168536]]*$D51,0)</f>
        <v>0</v>
      </c>
      <c r="AJ51" s="728">
        <f>ROUND(CantidadesConsolidadas[[#This Row],[166934]]*$D51,0)</f>
        <v>0</v>
      </c>
      <c r="AK51" s="728">
        <f>ROUND(CantidadesConsolidadas[[#This Row],[174353]]*$D51,0)</f>
        <v>0</v>
      </c>
      <c r="AL51" s="747">
        <f>ROUND(CantidadesConsolidadas[[#This Row],[52531]]*$D51,0)</f>
        <v>0</v>
      </c>
      <c r="AM51" s="746">
        <f>ROUND(CantidadesConsolidadas[[#This Row],[52456]]*$D51,0)</f>
        <v>0</v>
      </c>
      <c r="AN51" s="746">
        <f>ROUND(CantidadesConsolidadas[[#This Row],[92058103]]*$D51,0)</f>
        <v>0</v>
      </c>
      <c r="AO51" s="746">
        <f>ROUND(CantidadesConsolidadas[[#This Row],[20011114]]*$D51,0)</f>
        <v>0</v>
      </c>
      <c r="AP51" s="746">
        <f>ROUND(CantidadesConsolidadas[[#This Row],[20013540]]*$D51,0)</f>
        <v>0</v>
      </c>
      <c r="AQ51" s="746">
        <f>ROUND(CantidadesConsolidadas[[#This Row],[55337]]*$D51,0)</f>
        <v>0</v>
      </c>
      <c r="AR51" s="746">
        <f>ROUND(CantidadesConsolidadas[[#This Row],[92087422]]*$D51,0)</f>
        <v>0</v>
      </c>
      <c r="AS51" s="746">
        <f>ROUND(CantidadesConsolidadas[[#This Row],[55259]]*$D51,0)</f>
        <v>0</v>
      </c>
      <c r="AT51" s="746">
        <f>ROUND(CantidadesConsolidadas[[#This Row],[466904]]*$D51,0)</f>
        <v>0</v>
      </c>
      <c r="AU51" s="746">
        <f>ROUND(CantidadesConsolidadas[[#This Row],[48591]]*$D51,0)</f>
        <v>0</v>
      </c>
      <c r="AV51" s="746">
        <f>ROUND(CantidadesConsolidadas[[#This Row],[48590]]*$D51,0)</f>
        <v>0</v>
      </c>
      <c r="AW51" s="746">
        <f>ROUND(CantidadesConsolidadas[[#This Row],[48561]]*$D51,0)</f>
        <v>0</v>
      </c>
      <c r="AX51" s="746">
        <f>ROUND(CantidadesConsolidadas[[#This Row],[48560]]*$D51,0)</f>
        <v>0</v>
      </c>
      <c r="AY51" s="746">
        <f>ROUND(CantidadesConsolidadas[[#This Row],[48657]]*$D51,0)</f>
        <v>0</v>
      </c>
      <c r="AZ51" s="746">
        <f>ROUND(CantidadesConsolidadas[[#This Row],[48655]]*$D51,0)</f>
        <v>0</v>
      </c>
      <c r="BA51" s="806">
        <f>SUBTOTAL(9,CostoDirecto[[#This Row],[91013913]:[174353]])</f>
        <v>1190850</v>
      </c>
      <c r="BB51" s="806">
        <f>SUBTOTAL(9,CostoDirecto[[#This Row],[52531]:[48655]])</f>
        <v>0</v>
      </c>
    </row>
    <row r="52" spans="1:54" x14ac:dyDescent="0.3">
      <c r="A52">
        <v>4416</v>
      </c>
      <c r="B52" s="606" t="str">
        <f>+_xlfn.XLOOKUP(CostoDirecto[[#This Row],[cod Idu]],APU_IDU[Código],APU_IDU[Nombre],"",0)</f>
        <v>TAPON PVC TIPO U.M. D=4" (SUMINISTRO E INSTALACIÓN)</v>
      </c>
      <c r="C52" s="609" t="str">
        <f>+_xlfn.XLOOKUP(CostoDirecto[[#This Row],[cod Idu]],APU_IDU[Código],APU_IDU[UM],"",0)</f>
        <v>UN</v>
      </c>
      <c r="D52" s="745">
        <f>+_xlfn.XLOOKUP(CostoDirecto[[#This Row],[cod Idu]],APU_IDU[Código],APU_IDU[Valor],"",0)</f>
        <v>109473</v>
      </c>
      <c r="E52" s="728">
        <f>ROUND(CantidadesConsolidadas[[#This Row],[91013913]]*$D52,0)</f>
        <v>0</v>
      </c>
      <c r="F52" s="728">
        <f>ROUND(CantidadesConsolidadas[[#This Row],[472330]]*$D52,0)</f>
        <v>0</v>
      </c>
      <c r="G52" s="728">
        <f>ROUND(CantidadesConsolidadas[[#This Row],[167810]]*$D52,0)</f>
        <v>0</v>
      </c>
      <c r="H52" s="728">
        <f>ROUND(CantidadesConsolidadas[[#This Row],[166646]]*$D52,0)</f>
        <v>0</v>
      </c>
      <c r="I52" s="728">
        <f>ROUND(CantidadesConsolidadas[[#This Row],[167491]]*$D52,0)</f>
        <v>0</v>
      </c>
      <c r="J52" s="728">
        <f>ROUND(CantidadesConsolidadas[[#This Row],[167266]]*$D52,0)</f>
        <v>437892</v>
      </c>
      <c r="K52" s="728">
        <f>ROUND(CantidadesConsolidadas[[#This Row],[170896]]*$D52,0)</f>
        <v>0</v>
      </c>
      <c r="L52" s="728">
        <f>ROUND(CantidadesConsolidadas[[#This Row],[170897]]*$D52,0)</f>
        <v>0</v>
      </c>
      <c r="M52" s="728">
        <f>ROUND(CantidadesConsolidadas[[#This Row],[170898]]*$D52,0)</f>
        <v>0</v>
      </c>
      <c r="N52" s="728">
        <f>ROUND(CantidadesConsolidadas[[#This Row],[91064150]]*$D52,0)</f>
        <v>0</v>
      </c>
      <c r="O52" s="728">
        <f>ROUND(CantidadesConsolidadas[[#This Row],[168919]]*$D52,0)</f>
        <v>0</v>
      </c>
      <c r="P52" s="728">
        <f>ROUND(CantidadesConsolidadas[[#This Row],[168426]]*$D52,0)</f>
        <v>0</v>
      </c>
      <c r="Q52" s="728">
        <f>ROUND(CantidadesConsolidadas[[#This Row],[91020796]]*$D52,0)</f>
        <v>0</v>
      </c>
      <c r="R52" s="728">
        <f>ROUND(CantidadesConsolidadas[[#This Row],[176184]]*$D52,0)</f>
        <v>0</v>
      </c>
      <c r="S52" s="728">
        <f>ROUND(CantidadesConsolidadas[[#This Row],[167636]]*$D52,0)</f>
        <v>0</v>
      </c>
      <c r="T52" s="728">
        <f>ROUND(CantidadesConsolidadas[[#This Row],[176730]]*$D52,0)</f>
        <v>0</v>
      </c>
      <c r="U52" s="728">
        <f>ROUND(CantidadesConsolidadas[[#This Row],[173038]]*$D52,0)</f>
        <v>0</v>
      </c>
      <c r="V52" s="728">
        <f>ROUND(CantidadesConsolidadas[[#This Row],[170222]]*$D52,0)</f>
        <v>0</v>
      </c>
      <c r="W52" s="728">
        <f>ROUND(CantidadesConsolidadas[[#This Row],[170229]]*$D52,0)</f>
        <v>0</v>
      </c>
      <c r="X52" s="728">
        <f>ROUND(CantidadesConsolidadas[[#This Row],[170227]]*$D52,0)</f>
        <v>0</v>
      </c>
      <c r="Y52" s="728">
        <f>ROUND(CantidadesConsolidadas[[#This Row],[170226]]*$D52,0)</f>
        <v>0</v>
      </c>
      <c r="Z52" s="728">
        <f>ROUND(CantidadesConsolidadas[[#This Row],[171567]]*$D52,0)</f>
        <v>0</v>
      </c>
      <c r="AA52" s="728">
        <f>ROUND(CantidadesConsolidadas[[#This Row],[166632]]*$D52,0)</f>
        <v>0</v>
      </c>
      <c r="AB52" s="728">
        <f>ROUND(CantidadesConsolidadas[[#This Row],[170228]]*$D52,0)</f>
        <v>0</v>
      </c>
      <c r="AC52" s="728">
        <f>ROUND(CantidadesConsolidadas[[#This Row],[172926]]*$D52,0)</f>
        <v>0</v>
      </c>
      <c r="AD52" s="728">
        <f>ROUND(CantidadesConsolidadas[[#This Row],[171152]]*$D52,0)</f>
        <v>0</v>
      </c>
      <c r="AE52" s="728">
        <f>ROUND(CantidadesConsolidadas[[#This Row],[173058]]*$D52,0)</f>
        <v>0</v>
      </c>
      <c r="AF52" s="728">
        <f>ROUND(CantidadesConsolidadas[[#This Row],[174478]]*$D52,0)</f>
        <v>0</v>
      </c>
      <c r="AG52" s="728">
        <f>ROUND(CantidadesConsolidadas[[#This Row],[91010089]]*$D52,0)</f>
        <v>0</v>
      </c>
      <c r="AH52" s="728">
        <f>ROUND(CantidadesConsolidadas[[#This Row],[176122]]*$D52,0)</f>
        <v>0</v>
      </c>
      <c r="AI52" s="728">
        <f>ROUND(CantidadesConsolidadas[[#This Row],[168536]]*$D52,0)</f>
        <v>0</v>
      </c>
      <c r="AJ52" s="728">
        <f>ROUND(CantidadesConsolidadas[[#This Row],[166934]]*$D52,0)</f>
        <v>0</v>
      </c>
      <c r="AK52" s="728">
        <f>ROUND(CantidadesConsolidadas[[#This Row],[174353]]*$D52,0)</f>
        <v>0</v>
      </c>
      <c r="AL52" s="747">
        <f>ROUND(CantidadesConsolidadas[[#This Row],[52531]]*$D52,0)</f>
        <v>0</v>
      </c>
      <c r="AM52" s="746">
        <f>ROUND(CantidadesConsolidadas[[#This Row],[52456]]*$D52,0)</f>
        <v>0</v>
      </c>
      <c r="AN52" s="746">
        <f>ROUND(CantidadesConsolidadas[[#This Row],[92058103]]*$D52,0)</f>
        <v>0</v>
      </c>
      <c r="AO52" s="746">
        <f>ROUND(CantidadesConsolidadas[[#This Row],[20011114]]*$D52,0)</f>
        <v>0</v>
      </c>
      <c r="AP52" s="746">
        <f>ROUND(CantidadesConsolidadas[[#This Row],[20013540]]*$D52,0)</f>
        <v>0</v>
      </c>
      <c r="AQ52" s="746">
        <f>ROUND(CantidadesConsolidadas[[#This Row],[55337]]*$D52,0)</f>
        <v>0</v>
      </c>
      <c r="AR52" s="746">
        <f>ROUND(CantidadesConsolidadas[[#This Row],[92087422]]*$D52,0)</f>
        <v>0</v>
      </c>
      <c r="AS52" s="746">
        <f>ROUND(CantidadesConsolidadas[[#This Row],[55259]]*$D52,0)</f>
        <v>0</v>
      </c>
      <c r="AT52" s="746">
        <f>ROUND(CantidadesConsolidadas[[#This Row],[466904]]*$D52,0)</f>
        <v>0</v>
      </c>
      <c r="AU52" s="746">
        <f>ROUND(CantidadesConsolidadas[[#This Row],[48591]]*$D52,0)</f>
        <v>0</v>
      </c>
      <c r="AV52" s="746">
        <f>ROUND(CantidadesConsolidadas[[#This Row],[48590]]*$D52,0)</f>
        <v>0</v>
      </c>
      <c r="AW52" s="746">
        <f>ROUND(CantidadesConsolidadas[[#This Row],[48561]]*$D52,0)</f>
        <v>0</v>
      </c>
      <c r="AX52" s="746">
        <f>ROUND(CantidadesConsolidadas[[#This Row],[48560]]*$D52,0)</f>
        <v>0</v>
      </c>
      <c r="AY52" s="746">
        <f>ROUND(CantidadesConsolidadas[[#This Row],[48657]]*$D52,0)</f>
        <v>0</v>
      </c>
      <c r="AZ52" s="746">
        <f>ROUND(CantidadesConsolidadas[[#This Row],[48655]]*$D52,0)</f>
        <v>0</v>
      </c>
      <c r="BA52" s="806">
        <f>SUBTOTAL(9,CostoDirecto[[#This Row],[91013913]:[174353]])</f>
        <v>437892</v>
      </c>
      <c r="BB52" s="806">
        <f>SUBTOTAL(9,CostoDirecto[[#This Row],[52531]:[48655]])</f>
        <v>0</v>
      </c>
    </row>
    <row r="53" spans="1:54" ht="57.6" x14ac:dyDescent="0.3">
      <c r="A53">
        <v>5186</v>
      </c>
      <c r="B53" s="606" t="str">
        <f>+_xlfn.XLOOKUP(CostoDirecto[[#This Row],[cod Idu]],APU_IDU[Código],APU_IDU[Nombre],"",0)</f>
        <v>ACOMETIDA DOMICILIARIA DE 1/2" CON COLLAR DE DERIVACION DE 4" X 1/2". SUMINISTRO E INSTALACION. (INCLUYE TUBERIA PF, REGISTROS Y ACCESORIOS, LONGITUD PROMEDIO DE 6.5M, INCLUYE CAJILLA EN POLIPROPILENO PARA MEDIDOR)</v>
      </c>
      <c r="C53" s="609" t="str">
        <f>+_xlfn.XLOOKUP(CostoDirecto[[#This Row],[cod Idu]],APU_IDU[Código],APU_IDU[UM],"",0)</f>
        <v>UN</v>
      </c>
      <c r="D53" s="745">
        <f>+_xlfn.XLOOKUP(CostoDirecto[[#This Row],[cod Idu]],APU_IDU[Código],APU_IDU[Valor],"",0)</f>
        <v>470326</v>
      </c>
      <c r="E53" s="728">
        <f>ROUND(CantidadesConsolidadas[[#This Row],[91013913]]*$D53,0)</f>
        <v>0</v>
      </c>
      <c r="F53" s="728">
        <f>ROUND(CantidadesConsolidadas[[#This Row],[472330]]*$D53,0)</f>
        <v>0</v>
      </c>
      <c r="G53" s="728">
        <f>ROUND(CantidadesConsolidadas[[#This Row],[167810]]*$D53,0)</f>
        <v>0</v>
      </c>
      <c r="H53" s="728">
        <f>ROUND(CantidadesConsolidadas[[#This Row],[166646]]*$D53,0)</f>
        <v>0</v>
      </c>
      <c r="I53" s="728">
        <f>ROUND(CantidadesConsolidadas[[#This Row],[167491]]*$D53,0)</f>
        <v>0</v>
      </c>
      <c r="J53" s="728">
        <f>ROUND(CantidadesConsolidadas[[#This Row],[167266]]*$D53,0)</f>
        <v>0</v>
      </c>
      <c r="K53" s="728">
        <f>ROUND(CantidadesConsolidadas[[#This Row],[170896]]*$D53,0)</f>
        <v>0</v>
      </c>
      <c r="L53" s="728">
        <f>ROUND(CantidadesConsolidadas[[#This Row],[170897]]*$D53,0)</f>
        <v>0</v>
      </c>
      <c r="M53" s="728">
        <f>ROUND(CantidadesConsolidadas[[#This Row],[170898]]*$D53,0)</f>
        <v>0</v>
      </c>
      <c r="N53" s="728">
        <f>ROUND(CantidadesConsolidadas[[#This Row],[91064150]]*$D53,0)</f>
        <v>0</v>
      </c>
      <c r="O53" s="728">
        <f>ROUND(CantidadesConsolidadas[[#This Row],[168919]]*$D53,0)</f>
        <v>0</v>
      </c>
      <c r="P53" s="728">
        <f>ROUND(CantidadesConsolidadas[[#This Row],[168426]]*$D53,0)</f>
        <v>0</v>
      </c>
      <c r="Q53" s="728">
        <f>ROUND(CantidadesConsolidadas[[#This Row],[91020796]]*$D53,0)</f>
        <v>0</v>
      </c>
      <c r="R53" s="728">
        <f>ROUND(CantidadesConsolidadas[[#This Row],[176184]]*$D53,0)</f>
        <v>0</v>
      </c>
      <c r="S53" s="728">
        <f>ROUND(CantidadesConsolidadas[[#This Row],[167636]]*$D53,0)</f>
        <v>0</v>
      </c>
      <c r="T53" s="728">
        <f>ROUND(CantidadesConsolidadas[[#This Row],[176730]]*$D53,0)</f>
        <v>0</v>
      </c>
      <c r="U53" s="728">
        <f>ROUND(CantidadesConsolidadas[[#This Row],[173038]]*$D53,0)</f>
        <v>0</v>
      </c>
      <c r="V53" s="728">
        <f>ROUND(CantidadesConsolidadas[[#This Row],[170222]]*$D53,0)</f>
        <v>0</v>
      </c>
      <c r="W53" s="728">
        <f>ROUND(CantidadesConsolidadas[[#This Row],[170229]]*$D53,0)</f>
        <v>0</v>
      </c>
      <c r="X53" s="728">
        <f>ROUND(CantidadesConsolidadas[[#This Row],[170227]]*$D53,0)</f>
        <v>0</v>
      </c>
      <c r="Y53" s="728">
        <f>ROUND(CantidadesConsolidadas[[#This Row],[170226]]*$D53,0)</f>
        <v>0</v>
      </c>
      <c r="Z53" s="728">
        <f>ROUND(CantidadesConsolidadas[[#This Row],[171567]]*$D53,0)</f>
        <v>470326</v>
      </c>
      <c r="AA53" s="728">
        <f>ROUND(CantidadesConsolidadas[[#This Row],[166632]]*$D53,0)</f>
        <v>470326</v>
      </c>
      <c r="AB53" s="728">
        <f>ROUND(CantidadesConsolidadas[[#This Row],[170228]]*$D53,0)</f>
        <v>470326</v>
      </c>
      <c r="AC53" s="728">
        <f>ROUND(CantidadesConsolidadas[[#This Row],[172926]]*$D53,0)</f>
        <v>470326</v>
      </c>
      <c r="AD53" s="728">
        <f>ROUND(CantidadesConsolidadas[[#This Row],[171152]]*$D53,0)</f>
        <v>470326</v>
      </c>
      <c r="AE53" s="728">
        <f>ROUND(CantidadesConsolidadas[[#This Row],[173058]]*$D53,0)</f>
        <v>0</v>
      </c>
      <c r="AF53" s="728">
        <f>ROUND(CantidadesConsolidadas[[#This Row],[174478]]*$D53,0)</f>
        <v>0</v>
      </c>
      <c r="AG53" s="728">
        <f>ROUND(CantidadesConsolidadas[[#This Row],[91010089]]*$D53,0)</f>
        <v>0</v>
      </c>
      <c r="AH53" s="728">
        <f>ROUND(CantidadesConsolidadas[[#This Row],[176122]]*$D53,0)</f>
        <v>0</v>
      </c>
      <c r="AI53" s="728">
        <f>ROUND(CantidadesConsolidadas[[#This Row],[168536]]*$D53,0)</f>
        <v>0</v>
      </c>
      <c r="AJ53" s="728">
        <f>ROUND(CantidadesConsolidadas[[#This Row],[166934]]*$D53,0)</f>
        <v>470326</v>
      </c>
      <c r="AK53" s="728">
        <f>ROUND(CantidadesConsolidadas[[#This Row],[174353]]*$D53,0)</f>
        <v>470326</v>
      </c>
      <c r="AL53" s="747">
        <f>ROUND(CantidadesConsolidadas[[#This Row],[52531]]*$D53,0)</f>
        <v>0</v>
      </c>
      <c r="AM53" s="746">
        <f>ROUND(CantidadesConsolidadas[[#This Row],[52456]]*$D53,0)</f>
        <v>0</v>
      </c>
      <c r="AN53" s="746">
        <f>ROUND(CantidadesConsolidadas[[#This Row],[92058103]]*$D53,0)</f>
        <v>0</v>
      </c>
      <c r="AO53" s="746">
        <f>ROUND(CantidadesConsolidadas[[#This Row],[20011114]]*$D53,0)</f>
        <v>0</v>
      </c>
      <c r="AP53" s="746">
        <f>ROUND(CantidadesConsolidadas[[#This Row],[20013540]]*$D53,0)</f>
        <v>0</v>
      </c>
      <c r="AQ53" s="746">
        <f>ROUND(CantidadesConsolidadas[[#This Row],[55337]]*$D53,0)</f>
        <v>0</v>
      </c>
      <c r="AR53" s="746">
        <f>ROUND(CantidadesConsolidadas[[#This Row],[92087422]]*$D53,0)</f>
        <v>0</v>
      </c>
      <c r="AS53" s="746">
        <f>ROUND(CantidadesConsolidadas[[#This Row],[55259]]*$D53,0)</f>
        <v>0</v>
      </c>
      <c r="AT53" s="746">
        <f>ROUND(CantidadesConsolidadas[[#This Row],[466904]]*$D53,0)</f>
        <v>0</v>
      </c>
      <c r="AU53" s="746">
        <f>ROUND(CantidadesConsolidadas[[#This Row],[48591]]*$D53,0)</f>
        <v>0</v>
      </c>
      <c r="AV53" s="746">
        <f>ROUND(CantidadesConsolidadas[[#This Row],[48590]]*$D53,0)</f>
        <v>0</v>
      </c>
      <c r="AW53" s="746">
        <f>ROUND(CantidadesConsolidadas[[#This Row],[48561]]*$D53,0)</f>
        <v>0</v>
      </c>
      <c r="AX53" s="746">
        <f>ROUND(CantidadesConsolidadas[[#This Row],[48560]]*$D53,0)</f>
        <v>0</v>
      </c>
      <c r="AY53" s="746">
        <f>ROUND(CantidadesConsolidadas[[#This Row],[48657]]*$D53,0)</f>
        <v>0</v>
      </c>
      <c r="AZ53" s="746">
        <f>ROUND(CantidadesConsolidadas[[#This Row],[48655]]*$D53,0)</f>
        <v>0</v>
      </c>
      <c r="BA53" s="806">
        <f>SUBTOTAL(9,CostoDirecto[[#This Row],[91013913]:[174353]])</f>
        <v>3292282</v>
      </c>
      <c r="BB53" s="806">
        <f>SUBTOTAL(9,CostoDirecto[[#This Row],[52531]:[48655]])</f>
        <v>0</v>
      </c>
    </row>
    <row r="54" spans="1:54" ht="28.8" x14ac:dyDescent="0.3">
      <c r="A54">
        <v>5078</v>
      </c>
      <c r="B54" s="606" t="str">
        <f>+_xlfn.XLOOKUP(CostoDirecto[[#This Row],[cod Idu]],APU_IDU[Código],APU_IDU[Nombre],"",0)</f>
        <v>CODO 90° CXE PVC SANITARIA D=4" (INCLUYE SUMINISTRO E INSTALACIÓN).</v>
      </c>
      <c r="C54" s="609" t="str">
        <f>+_xlfn.XLOOKUP(CostoDirecto[[#This Row],[cod Idu]],APU_IDU[Código],APU_IDU[UM],"",0)</f>
        <v>UN</v>
      </c>
      <c r="D54" s="745">
        <f>+_xlfn.XLOOKUP(CostoDirecto[[#This Row],[cod Idu]],APU_IDU[Código],APU_IDU[Valor],"",0)</f>
        <v>29796</v>
      </c>
      <c r="E54" s="728">
        <f>ROUND(CantidadesConsolidadas[[#This Row],[91013913]]*$D54,0)</f>
        <v>0</v>
      </c>
      <c r="F54" s="728">
        <f>ROUND(CantidadesConsolidadas[[#This Row],[472330]]*$D54,0)</f>
        <v>0</v>
      </c>
      <c r="G54" s="728">
        <f>ROUND(CantidadesConsolidadas[[#This Row],[167810]]*$D54,0)</f>
        <v>29796</v>
      </c>
      <c r="H54" s="728">
        <f>ROUND(CantidadesConsolidadas[[#This Row],[166646]]*$D54,0)</f>
        <v>0</v>
      </c>
      <c r="I54" s="728">
        <f>ROUND(CantidadesConsolidadas[[#This Row],[167491]]*$D54,0)</f>
        <v>29796</v>
      </c>
      <c r="J54" s="728">
        <f>ROUND(CantidadesConsolidadas[[#This Row],[167266]]*$D54,0)</f>
        <v>0</v>
      </c>
      <c r="K54" s="728">
        <f>ROUND(CantidadesConsolidadas[[#This Row],[170896]]*$D54,0)</f>
        <v>0</v>
      </c>
      <c r="L54" s="728">
        <f>ROUND(CantidadesConsolidadas[[#This Row],[170897]]*$D54,0)</f>
        <v>0</v>
      </c>
      <c r="M54" s="728">
        <f>ROUND(CantidadesConsolidadas[[#This Row],[170898]]*$D54,0)</f>
        <v>0</v>
      </c>
      <c r="N54" s="728">
        <f>ROUND(CantidadesConsolidadas[[#This Row],[91064150]]*$D54,0)</f>
        <v>0</v>
      </c>
      <c r="O54" s="728">
        <f>ROUND(CantidadesConsolidadas[[#This Row],[168919]]*$D54,0)</f>
        <v>0</v>
      </c>
      <c r="P54" s="728">
        <f>ROUND(CantidadesConsolidadas[[#This Row],[168426]]*$D54,0)</f>
        <v>0</v>
      </c>
      <c r="Q54" s="728">
        <f>ROUND(CantidadesConsolidadas[[#This Row],[91020796]]*$D54,0)</f>
        <v>0</v>
      </c>
      <c r="R54" s="728">
        <f>ROUND(CantidadesConsolidadas[[#This Row],[176184]]*$D54,0)</f>
        <v>0</v>
      </c>
      <c r="S54" s="728">
        <f>ROUND(CantidadesConsolidadas[[#This Row],[167636]]*$D54,0)</f>
        <v>0</v>
      </c>
      <c r="T54" s="728">
        <f>ROUND(CantidadesConsolidadas[[#This Row],[176730]]*$D54,0)</f>
        <v>0</v>
      </c>
      <c r="U54" s="728">
        <f>ROUND(CantidadesConsolidadas[[#This Row],[173038]]*$D54,0)</f>
        <v>0</v>
      </c>
      <c r="V54" s="728">
        <f>ROUND(CantidadesConsolidadas[[#This Row],[170222]]*$D54,0)</f>
        <v>0</v>
      </c>
      <c r="W54" s="728">
        <f>ROUND(CantidadesConsolidadas[[#This Row],[170229]]*$D54,0)</f>
        <v>0</v>
      </c>
      <c r="X54" s="728">
        <f>ROUND(CantidadesConsolidadas[[#This Row],[170227]]*$D54,0)</f>
        <v>0</v>
      </c>
      <c r="Y54" s="728">
        <f>ROUND(CantidadesConsolidadas[[#This Row],[170226]]*$D54,0)</f>
        <v>0</v>
      </c>
      <c r="Z54" s="728">
        <f>ROUND(CantidadesConsolidadas[[#This Row],[171567]]*$D54,0)</f>
        <v>0</v>
      </c>
      <c r="AA54" s="728">
        <f>ROUND(CantidadesConsolidadas[[#This Row],[166632]]*$D54,0)</f>
        <v>0</v>
      </c>
      <c r="AB54" s="728">
        <f>ROUND(CantidadesConsolidadas[[#This Row],[170228]]*$D54,0)</f>
        <v>0</v>
      </c>
      <c r="AC54" s="728">
        <f>ROUND(CantidadesConsolidadas[[#This Row],[172926]]*$D54,0)</f>
        <v>0</v>
      </c>
      <c r="AD54" s="728">
        <f>ROUND(CantidadesConsolidadas[[#This Row],[171152]]*$D54,0)</f>
        <v>0</v>
      </c>
      <c r="AE54" s="728">
        <f>ROUND(CantidadesConsolidadas[[#This Row],[173058]]*$D54,0)</f>
        <v>0</v>
      </c>
      <c r="AF54" s="728">
        <f>ROUND(CantidadesConsolidadas[[#This Row],[174478]]*$D54,0)</f>
        <v>0</v>
      </c>
      <c r="AG54" s="728">
        <f>ROUND(CantidadesConsolidadas[[#This Row],[91010089]]*$D54,0)</f>
        <v>0</v>
      </c>
      <c r="AH54" s="728">
        <f>ROUND(CantidadesConsolidadas[[#This Row],[176122]]*$D54,0)</f>
        <v>0</v>
      </c>
      <c r="AI54" s="728">
        <f>ROUND(CantidadesConsolidadas[[#This Row],[168536]]*$D54,0)</f>
        <v>0</v>
      </c>
      <c r="AJ54" s="728">
        <f>ROUND(CantidadesConsolidadas[[#This Row],[166934]]*$D54,0)</f>
        <v>0</v>
      </c>
      <c r="AK54" s="728">
        <f>ROUND(CantidadesConsolidadas[[#This Row],[174353]]*$D54,0)</f>
        <v>0</v>
      </c>
      <c r="AL54" s="747">
        <f>ROUND(CantidadesConsolidadas[[#This Row],[52531]]*$D54,0)</f>
        <v>0</v>
      </c>
      <c r="AM54" s="746">
        <f>ROUND(CantidadesConsolidadas[[#This Row],[52456]]*$D54,0)</f>
        <v>0</v>
      </c>
      <c r="AN54" s="746">
        <f>ROUND(CantidadesConsolidadas[[#This Row],[92058103]]*$D54,0)</f>
        <v>0</v>
      </c>
      <c r="AO54" s="746">
        <f>ROUND(CantidadesConsolidadas[[#This Row],[20011114]]*$D54,0)</f>
        <v>0</v>
      </c>
      <c r="AP54" s="746">
        <f>ROUND(CantidadesConsolidadas[[#This Row],[20013540]]*$D54,0)</f>
        <v>0</v>
      </c>
      <c r="AQ54" s="746">
        <f>ROUND(CantidadesConsolidadas[[#This Row],[55337]]*$D54,0)</f>
        <v>0</v>
      </c>
      <c r="AR54" s="746">
        <f>ROUND(CantidadesConsolidadas[[#This Row],[92087422]]*$D54,0)</f>
        <v>0</v>
      </c>
      <c r="AS54" s="746">
        <f>ROUND(CantidadesConsolidadas[[#This Row],[55259]]*$D54,0)</f>
        <v>0</v>
      </c>
      <c r="AT54" s="746">
        <f>ROUND(CantidadesConsolidadas[[#This Row],[466904]]*$D54,0)</f>
        <v>0</v>
      </c>
      <c r="AU54" s="746">
        <f>ROUND(CantidadesConsolidadas[[#This Row],[48591]]*$D54,0)</f>
        <v>0</v>
      </c>
      <c r="AV54" s="746">
        <f>ROUND(CantidadesConsolidadas[[#This Row],[48590]]*$D54,0)</f>
        <v>0</v>
      </c>
      <c r="AW54" s="746">
        <f>ROUND(CantidadesConsolidadas[[#This Row],[48561]]*$D54,0)</f>
        <v>0</v>
      </c>
      <c r="AX54" s="746">
        <f>ROUND(CantidadesConsolidadas[[#This Row],[48560]]*$D54,0)</f>
        <v>0</v>
      </c>
      <c r="AY54" s="746">
        <f>ROUND(CantidadesConsolidadas[[#This Row],[48657]]*$D54,0)</f>
        <v>0</v>
      </c>
      <c r="AZ54" s="746">
        <f>ROUND(CantidadesConsolidadas[[#This Row],[48655]]*$D54,0)</f>
        <v>0</v>
      </c>
      <c r="BA54" s="806">
        <f>SUBTOTAL(9,CostoDirecto[[#This Row],[91013913]:[174353]])</f>
        <v>59592</v>
      </c>
      <c r="BB54" s="806">
        <f>SUBTOTAL(9,CostoDirecto[[#This Row],[52531]:[48655]])</f>
        <v>0</v>
      </c>
    </row>
    <row r="55" spans="1:54" x14ac:dyDescent="0.3">
      <c r="A55">
        <v>7419</v>
      </c>
      <c r="B55" s="606" t="str">
        <f>+_xlfn.XLOOKUP(CostoDirecto[[#This Row],[cod Idu]],APU_IDU[Código],APU_IDU[Nombre],"",0)</f>
        <v>TEE PVC U.M. 4" X 4" (SUMINISTRO E INSTALACIÓN)</v>
      </c>
      <c r="C55" s="609" t="str">
        <f>+_xlfn.XLOOKUP(CostoDirecto[[#This Row],[cod Idu]],APU_IDU[Código],APU_IDU[UM],"",0)</f>
        <v>UN</v>
      </c>
      <c r="D55" s="745">
        <f>+_xlfn.XLOOKUP(CostoDirecto[[#This Row],[cod Idu]],APU_IDU[Código],APU_IDU[Valor],"",0)</f>
        <v>288662</v>
      </c>
      <c r="E55" s="728">
        <f>ROUND(CantidadesConsolidadas[[#This Row],[91013913]]*$D55,0)</f>
        <v>0</v>
      </c>
      <c r="F55" s="728">
        <f>ROUND(CantidadesConsolidadas[[#This Row],[472330]]*$D55,0)</f>
        <v>0</v>
      </c>
      <c r="G55" s="728">
        <f>ROUND(CantidadesConsolidadas[[#This Row],[167810]]*$D55,0)</f>
        <v>0</v>
      </c>
      <c r="H55" s="728">
        <f>ROUND(CantidadesConsolidadas[[#This Row],[166646]]*$D55,0)</f>
        <v>288662</v>
      </c>
      <c r="I55" s="728">
        <f>ROUND(CantidadesConsolidadas[[#This Row],[167491]]*$D55,0)</f>
        <v>0</v>
      </c>
      <c r="J55" s="728">
        <f>ROUND(CantidadesConsolidadas[[#This Row],[167266]]*$D55,0)</f>
        <v>0</v>
      </c>
      <c r="K55" s="728">
        <f>ROUND(CantidadesConsolidadas[[#This Row],[170896]]*$D55,0)</f>
        <v>0</v>
      </c>
      <c r="L55" s="728">
        <f>ROUND(CantidadesConsolidadas[[#This Row],[170897]]*$D55,0)</f>
        <v>0</v>
      </c>
      <c r="M55" s="728">
        <f>ROUND(CantidadesConsolidadas[[#This Row],[170898]]*$D55,0)</f>
        <v>0</v>
      </c>
      <c r="N55" s="728">
        <f>ROUND(CantidadesConsolidadas[[#This Row],[91064150]]*$D55,0)</f>
        <v>288662</v>
      </c>
      <c r="O55" s="728">
        <f>ROUND(CantidadesConsolidadas[[#This Row],[168919]]*$D55,0)</f>
        <v>0</v>
      </c>
      <c r="P55" s="728">
        <f>ROUND(CantidadesConsolidadas[[#This Row],[168426]]*$D55,0)</f>
        <v>0</v>
      </c>
      <c r="Q55" s="728">
        <f>ROUND(CantidadesConsolidadas[[#This Row],[91020796]]*$D55,0)</f>
        <v>0</v>
      </c>
      <c r="R55" s="728">
        <f>ROUND(CantidadesConsolidadas[[#This Row],[176184]]*$D55,0)</f>
        <v>0</v>
      </c>
      <c r="S55" s="728">
        <f>ROUND(CantidadesConsolidadas[[#This Row],[167636]]*$D55,0)</f>
        <v>0</v>
      </c>
      <c r="T55" s="728">
        <f>ROUND(CantidadesConsolidadas[[#This Row],[176730]]*$D55,0)</f>
        <v>0</v>
      </c>
      <c r="U55" s="728">
        <f>ROUND(CantidadesConsolidadas[[#This Row],[173038]]*$D55,0)</f>
        <v>0</v>
      </c>
      <c r="V55" s="728">
        <f>ROUND(CantidadesConsolidadas[[#This Row],[170222]]*$D55,0)</f>
        <v>0</v>
      </c>
      <c r="W55" s="728">
        <f>ROUND(CantidadesConsolidadas[[#This Row],[170229]]*$D55,0)</f>
        <v>0</v>
      </c>
      <c r="X55" s="728">
        <f>ROUND(CantidadesConsolidadas[[#This Row],[170227]]*$D55,0)</f>
        <v>0</v>
      </c>
      <c r="Y55" s="728">
        <f>ROUND(CantidadesConsolidadas[[#This Row],[170226]]*$D55,0)</f>
        <v>0</v>
      </c>
      <c r="Z55" s="728">
        <f>ROUND(CantidadesConsolidadas[[#This Row],[171567]]*$D55,0)</f>
        <v>0</v>
      </c>
      <c r="AA55" s="728">
        <f>ROUND(CantidadesConsolidadas[[#This Row],[166632]]*$D55,0)</f>
        <v>0</v>
      </c>
      <c r="AB55" s="728">
        <f>ROUND(CantidadesConsolidadas[[#This Row],[170228]]*$D55,0)</f>
        <v>0</v>
      </c>
      <c r="AC55" s="728">
        <f>ROUND(CantidadesConsolidadas[[#This Row],[172926]]*$D55,0)</f>
        <v>0</v>
      </c>
      <c r="AD55" s="728">
        <f>ROUND(CantidadesConsolidadas[[#This Row],[171152]]*$D55,0)</f>
        <v>0</v>
      </c>
      <c r="AE55" s="728">
        <f>ROUND(CantidadesConsolidadas[[#This Row],[173058]]*$D55,0)</f>
        <v>0</v>
      </c>
      <c r="AF55" s="728">
        <f>ROUND(CantidadesConsolidadas[[#This Row],[174478]]*$D55,0)</f>
        <v>0</v>
      </c>
      <c r="AG55" s="728">
        <f>ROUND(CantidadesConsolidadas[[#This Row],[91010089]]*$D55,0)</f>
        <v>0</v>
      </c>
      <c r="AH55" s="728">
        <f>ROUND(CantidadesConsolidadas[[#This Row],[176122]]*$D55,0)</f>
        <v>0</v>
      </c>
      <c r="AI55" s="728">
        <f>ROUND(CantidadesConsolidadas[[#This Row],[168536]]*$D55,0)</f>
        <v>0</v>
      </c>
      <c r="AJ55" s="728">
        <f>ROUND(CantidadesConsolidadas[[#This Row],[166934]]*$D55,0)</f>
        <v>0</v>
      </c>
      <c r="AK55" s="728">
        <f>ROUND(CantidadesConsolidadas[[#This Row],[174353]]*$D55,0)</f>
        <v>0</v>
      </c>
      <c r="AL55" s="747">
        <f>ROUND(CantidadesConsolidadas[[#This Row],[52531]]*$D55,0)</f>
        <v>0</v>
      </c>
      <c r="AM55" s="746">
        <f>ROUND(CantidadesConsolidadas[[#This Row],[52456]]*$D55,0)</f>
        <v>0</v>
      </c>
      <c r="AN55" s="746">
        <f>ROUND(CantidadesConsolidadas[[#This Row],[92058103]]*$D55,0)</f>
        <v>0</v>
      </c>
      <c r="AO55" s="746">
        <f>ROUND(CantidadesConsolidadas[[#This Row],[20011114]]*$D55,0)</f>
        <v>0</v>
      </c>
      <c r="AP55" s="746">
        <f>ROUND(CantidadesConsolidadas[[#This Row],[20013540]]*$D55,0)</f>
        <v>0</v>
      </c>
      <c r="AQ55" s="746">
        <f>ROUND(CantidadesConsolidadas[[#This Row],[55337]]*$D55,0)</f>
        <v>0</v>
      </c>
      <c r="AR55" s="746">
        <f>ROUND(CantidadesConsolidadas[[#This Row],[92087422]]*$D55,0)</f>
        <v>0</v>
      </c>
      <c r="AS55" s="746">
        <f>ROUND(CantidadesConsolidadas[[#This Row],[55259]]*$D55,0)</f>
        <v>0</v>
      </c>
      <c r="AT55" s="746">
        <f>ROUND(CantidadesConsolidadas[[#This Row],[466904]]*$D55,0)</f>
        <v>0</v>
      </c>
      <c r="AU55" s="746">
        <f>ROUND(CantidadesConsolidadas[[#This Row],[48591]]*$D55,0)</f>
        <v>0</v>
      </c>
      <c r="AV55" s="746">
        <f>ROUND(CantidadesConsolidadas[[#This Row],[48590]]*$D55,0)</f>
        <v>0</v>
      </c>
      <c r="AW55" s="746">
        <f>ROUND(CantidadesConsolidadas[[#This Row],[48561]]*$D55,0)</f>
        <v>0</v>
      </c>
      <c r="AX55" s="746">
        <f>ROUND(CantidadesConsolidadas[[#This Row],[48560]]*$D55,0)</f>
        <v>0</v>
      </c>
      <c r="AY55" s="746">
        <f>ROUND(CantidadesConsolidadas[[#This Row],[48657]]*$D55,0)</f>
        <v>0</v>
      </c>
      <c r="AZ55" s="746">
        <f>ROUND(CantidadesConsolidadas[[#This Row],[48655]]*$D55,0)</f>
        <v>0</v>
      </c>
      <c r="BA55" s="806">
        <f>SUBTOTAL(9,CostoDirecto[[#This Row],[91013913]:[174353]])</f>
        <v>577324</v>
      </c>
      <c r="BB55" s="806">
        <f>SUBTOTAL(9,CostoDirecto[[#This Row],[52531]:[48655]])</f>
        <v>0</v>
      </c>
    </row>
    <row r="56" spans="1:54" x14ac:dyDescent="0.3">
      <c r="A56">
        <v>7421</v>
      </c>
      <c r="B56" s="606" t="str">
        <f>+_xlfn.XLOOKUP(CostoDirecto[[#This Row],[cod Idu]],APU_IDU[Código],APU_IDU[Nombre],"",0)</f>
        <v>TEE PVC U.M. 6" X 4" (SUMINISTRO E INSTALACIÓN)</v>
      </c>
      <c r="C56" s="609" t="str">
        <f>+_xlfn.XLOOKUP(CostoDirecto[[#This Row],[cod Idu]],APU_IDU[Código],APU_IDU[UM],"",0)</f>
        <v>UN</v>
      </c>
      <c r="D56" s="745">
        <f>+_xlfn.XLOOKUP(CostoDirecto[[#This Row],[cod Idu]],APU_IDU[Código],APU_IDU[Valor],"",0)</f>
        <v>1926775</v>
      </c>
      <c r="E56" s="728">
        <f>ROUND(CantidadesConsolidadas[[#This Row],[91013913]]*$D56,0)</f>
        <v>0</v>
      </c>
      <c r="F56" s="728">
        <f>ROUND(CantidadesConsolidadas[[#This Row],[472330]]*$D56,0)</f>
        <v>0</v>
      </c>
      <c r="G56" s="728">
        <f>ROUND(CantidadesConsolidadas[[#This Row],[167810]]*$D56,0)</f>
        <v>0</v>
      </c>
      <c r="H56" s="728">
        <f>ROUND(CantidadesConsolidadas[[#This Row],[166646]]*$D56,0)</f>
        <v>0</v>
      </c>
      <c r="I56" s="728">
        <f>ROUND(CantidadesConsolidadas[[#This Row],[167491]]*$D56,0)</f>
        <v>0</v>
      </c>
      <c r="J56" s="728">
        <f>ROUND(CantidadesConsolidadas[[#This Row],[167266]]*$D56,0)</f>
        <v>0</v>
      </c>
      <c r="K56" s="728">
        <f>ROUND(CantidadesConsolidadas[[#This Row],[170896]]*$D56,0)</f>
        <v>0</v>
      </c>
      <c r="L56" s="728">
        <f>ROUND(CantidadesConsolidadas[[#This Row],[170897]]*$D56,0)</f>
        <v>0</v>
      </c>
      <c r="M56" s="728">
        <f>ROUND(CantidadesConsolidadas[[#This Row],[170898]]*$D56,0)</f>
        <v>0</v>
      </c>
      <c r="N56" s="728">
        <f>ROUND(CantidadesConsolidadas[[#This Row],[91064150]]*$D56,0)</f>
        <v>0</v>
      </c>
      <c r="O56" s="728">
        <f>ROUND(CantidadesConsolidadas[[#This Row],[168919]]*$D56,0)</f>
        <v>0</v>
      </c>
      <c r="P56" s="728">
        <f>ROUND(CantidadesConsolidadas[[#This Row],[168426]]*$D56,0)</f>
        <v>0</v>
      </c>
      <c r="Q56" s="728">
        <f>ROUND(CantidadesConsolidadas[[#This Row],[91020796]]*$D56,0)</f>
        <v>0</v>
      </c>
      <c r="R56" s="728">
        <f>ROUND(CantidadesConsolidadas[[#This Row],[176184]]*$D56,0)</f>
        <v>1926775</v>
      </c>
      <c r="S56" s="728">
        <f>ROUND(CantidadesConsolidadas[[#This Row],[167636]]*$D56,0)</f>
        <v>0</v>
      </c>
      <c r="T56" s="728">
        <f>ROUND(CantidadesConsolidadas[[#This Row],[176730]]*$D56,0)</f>
        <v>0</v>
      </c>
      <c r="U56" s="728">
        <f>ROUND(CantidadesConsolidadas[[#This Row],[173038]]*$D56,0)</f>
        <v>0</v>
      </c>
      <c r="V56" s="728">
        <f>ROUND(CantidadesConsolidadas[[#This Row],[170222]]*$D56,0)</f>
        <v>0</v>
      </c>
      <c r="W56" s="728">
        <f>ROUND(CantidadesConsolidadas[[#This Row],[170229]]*$D56,0)</f>
        <v>0</v>
      </c>
      <c r="X56" s="728">
        <f>ROUND(CantidadesConsolidadas[[#This Row],[170227]]*$D56,0)</f>
        <v>0</v>
      </c>
      <c r="Y56" s="728">
        <f>ROUND(CantidadesConsolidadas[[#This Row],[170226]]*$D56,0)</f>
        <v>0</v>
      </c>
      <c r="Z56" s="728">
        <f>ROUND(CantidadesConsolidadas[[#This Row],[171567]]*$D56,0)</f>
        <v>0</v>
      </c>
      <c r="AA56" s="728">
        <f>ROUND(CantidadesConsolidadas[[#This Row],[166632]]*$D56,0)</f>
        <v>0</v>
      </c>
      <c r="AB56" s="728">
        <f>ROUND(CantidadesConsolidadas[[#This Row],[170228]]*$D56,0)</f>
        <v>0</v>
      </c>
      <c r="AC56" s="728">
        <f>ROUND(CantidadesConsolidadas[[#This Row],[172926]]*$D56,0)</f>
        <v>0</v>
      </c>
      <c r="AD56" s="728">
        <f>ROUND(CantidadesConsolidadas[[#This Row],[171152]]*$D56,0)</f>
        <v>0</v>
      </c>
      <c r="AE56" s="728">
        <f>ROUND(CantidadesConsolidadas[[#This Row],[173058]]*$D56,0)</f>
        <v>0</v>
      </c>
      <c r="AF56" s="728">
        <f>ROUND(CantidadesConsolidadas[[#This Row],[174478]]*$D56,0)</f>
        <v>0</v>
      </c>
      <c r="AG56" s="728">
        <f>ROUND(CantidadesConsolidadas[[#This Row],[91010089]]*$D56,0)</f>
        <v>0</v>
      </c>
      <c r="AH56" s="728">
        <f>ROUND(CantidadesConsolidadas[[#This Row],[176122]]*$D56,0)</f>
        <v>0</v>
      </c>
      <c r="AI56" s="728">
        <f>ROUND(CantidadesConsolidadas[[#This Row],[168536]]*$D56,0)</f>
        <v>0</v>
      </c>
      <c r="AJ56" s="728">
        <f>ROUND(CantidadesConsolidadas[[#This Row],[166934]]*$D56,0)</f>
        <v>0</v>
      </c>
      <c r="AK56" s="728">
        <f>ROUND(CantidadesConsolidadas[[#This Row],[174353]]*$D56,0)</f>
        <v>0</v>
      </c>
      <c r="AL56" s="747">
        <f>ROUND(CantidadesConsolidadas[[#This Row],[52531]]*$D56,0)</f>
        <v>0</v>
      </c>
      <c r="AM56" s="746">
        <f>ROUND(CantidadesConsolidadas[[#This Row],[52456]]*$D56,0)</f>
        <v>0</v>
      </c>
      <c r="AN56" s="746">
        <f>ROUND(CantidadesConsolidadas[[#This Row],[92058103]]*$D56,0)</f>
        <v>0</v>
      </c>
      <c r="AO56" s="746">
        <f>ROUND(CantidadesConsolidadas[[#This Row],[20011114]]*$D56,0)</f>
        <v>0</v>
      </c>
      <c r="AP56" s="746">
        <f>ROUND(CantidadesConsolidadas[[#This Row],[20013540]]*$D56,0)</f>
        <v>0</v>
      </c>
      <c r="AQ56" s="746">
        <f>ROUND(CantidadesConsolidadas[[#This Row],[55337]]*$D56,0)</f>
        <v>0</v>
      </c>
      <c r="AR56" s="746">
        <f>ROUND(CantidadesConsolidadas[[#This Row],[92087422]]*$D56,0)</f>
        <v>0</v>
      </c>
      <c r="AS56" s="746">
        <f>ROUND(CantidadesConsolidadas[[#This Row],[55259]]*$D56,0)</f>
        <v>0</v>
      </c>
      <c r="AT56" s="746">
        <f>ROUND(CantidadesConsolidadas[[#This Row],[466904]]*$D56,0)</f>
        <v>0</v>
      </c>
      <c r="AU56" s="746">
        <f>ROUND(CantidadesConsolidadas[[#This Row],[48591]]*$D56,0)</f>
        <v>0</v>
      </c>
      <c r="AV56" s="746">
        <f>ROUND(CantidadesConsolidadas[[#This Row],[48590]]*$D56,0)</f>
        <v>0</v>
      </c>
      <c r="AW56" s="746">
        <f>ROUND(CantidadesConsolidadas[[#This Row],[48561]]*$D56,0)</f>
        <v>0</v>
      </c>
      <c r="AX56" s="746">
        <f>ROUND(CantidadesConsolidadas[[#This Row],[48560]]*$D56,0)</f>
        <v>0</v>
      </c>
      <c r="AY56" s="746">
        <f>ROUND(CantidadesConsolidadas[[#This Row],[48657]]*$D56,0)</f>
        <v>0</v>
      </c>
      <c r="AZ56" s="746">
        <f>ROUND(CantidadesConsolidadas[[#This Row],[48655]]*$D56,0)</f>
        <v>0</v>
      </c>
      <c r="BA56" s="806">
        <f>SUBTOTAL(9,CostoDirecto[[#This Row],[91013913]:[174353]])</f>
        <v>1926775</v>
      </c>
      <c r="BB56" s="806">
        <f>SUBTOTAL(9,CostoDirecto[[#This Row],[52531]:[48655]])</f>
        <v>0</v>
      </c>
    </row>
    <row r="57" spans="1:54" x14ac:dyDescent="0.3">
      <c r="A57">
        <v>7727</v>
      </c>
      <c r="B57" s="606" t="str">
        <f>+_xlfn.XLOOKUP(CostoDirecto[[#This Row],[cod Idu]],APU_IDU[Código],APU_IDU[Nombre],"",0)</f>
        <v>TEE PVC U.M. 8" X 4" (SUMINISTRO E INSTALACIÓN)</v>
      </c>
      <c r="C57" s="609" t="str">
        <f>+_xlfn.XLOOKUP(CostoDirecto[[#This Row],[cod Idu]],APU_IDU[Código],APU_IDU[UM],"",0)</f>
        <v>UN</v>
      </c>
      <c r="D57" s="745">
        <f>+_xlfn.XLOOKUP(CostoDirecto[[#This Row],[cod Idu]],APU_IDU[Código],APU_IDU[Valor],"",0)</f>
        <v>3234266</v>
      </c>
      <c r="E57" s="728">
        <f>ROUND(CantidadesConsolidadas[[#This Row],[91013913]]*$D57,0)</f>
        <v>0</v>
      </c>
      <c r="F57" s="728">
        <f>ROUND(CantidadesConsolidadas[[#This Row],[472330]]*$D57,0)</f>
        <v>0</v>
      </c>
      <c r="G57" s="728">
        <f>ROUND(CantidadesConsolidadas[[#This Row],[167810]]*$D57,0)</f>
        <v>0</v>
      </c>
      <c r="H57" s="728">
        <f>ROUND(CantidadesConsolidadas[[#This Row],[166646]]*$D57,0)</f>
        <v>0</v>
      </c>
      <c r="I57" s="728">
        <f>ROUND(CantidadesConsolidadas[[#This Row],[167491]]*$D57,0)</f>
        <v>0</v>
      </c>
      <c r="J57" s="728">
        <f>ROUND(CantidadesConsolidadas[[#This Row],[167266]]*$D57,0)</f>
        <v>3234266</v>
      </c>
      <c r="K57" s="728">
        <f>ROUND(CantidadesConsolidadas[[#This Row],[170896]]*$D57,0)</f>
        <v>0</v>
      </c>
      <c r="L57" s="728">
        <f>ROUND(CantidadesConsolidadas[[#This Row],[170897]]*$D57,0)</f>
        <v>0</v>
      </c>
      <c r="M57" s="728">
        <f>ROUND(CantidadesConsolidadas[[#This Row],[170898]]*$D57,0)</f>
        <v>0</v>
      </c>
      <c r="N57" s="728">
        <f>ROUND(CantidadesConsolidadas[[#This Row],[91064150]]*$D57,0)</f>
        <v>0</v>
      </c>
      <c r="O57" s="728">
        <f>ROUND(CantidadesConsolidadas[[#This Row],[168919]]*$D57,0)</f>
        <v>3234266</v>
      </c>
      <c r="P57" s="728">
        <f>ROUND(CantidadesConsolidadas[[#This Row],[168426]]*$D57,0)</f>
        <v>0</v>
      </c>
      <c r="Q57" s="728">
        <f>ROUND(CantidadesConsolidadas[[#This Row],[91020796]]*$D57,0)</f>
        <v>0</v>
      </c>
      <c r="R57" s="728">
        <f>ROUND(CantidadesConsolidadas[[#This Row],[176184]]*$D57,0)</f>
        <v>3234266</v>
      </c>
      <c r="S57" s="728">
        <f>ROUND(CantidadesConsolidadas[[#This Row],[167636]]*$D57,0)</f>
        <v>0</v>
      </c>
      <c r="T57" s="728">
        <f>ROUND(CantidadesConsolidadas[[#This Row],[176730]]*$D57,0)</f>
        <v>0</v>
      </c>
      <c r="U57" s="728">
        <f>ROUND(CantidadesConsolidadas[[#This Row],[173038]]*$D57,0)</f>
        <v>0</v>
      </c>
      <c r="V57" s="728">
        <f>ROUND(CantidadesConsolidadas[[#This Row],[170222]]*$D57,0)</f>
        <v>0</v>
      </c>
      <c r="W57" s="728">
        <f>ROUND(CantidadesConsolidadas[[#This Row],[170229]]*$D57,0)</f>
        <v>0</v>
      </c>
      <c r="X57" s="728">
        <f>ROUND(CantidadesConsolidadas[[#This Row],[170227]]*$D57,0)</f>
        <v>0</v>
      </c>
      <c r="Y57" s="728">
        <f>ROUND(CantidadesConsolidadas[[#This Row],[170226]]*$D57,0)</f>
        <v>0</v>
      </c>
      <c r="Z57" s="728">
        <f>ROUND(CantidadesConsolidadas[[#This Row],[171567]]*$D57,0)</f>
        <v>0</v>
      </c>
      <c r="AA57" s="728">
        <f>ROUND(CantidadesConsolidadas[[#This Row],[166632]]*$D57,0)</f>
        <v>0</v>
      </c>
      <c r="AB57" s="728">
        <f>ROUND(CantidadesConsolidadas[[#This Row],[170228]]*$D57,0)</f>
        <v>0</v>
      </c>
      <c r="AC57" s="728">
        <f>ROUND(CantidadesConsolidadas[[#This Row],[172926]]*$D57,0)</f>
        <v>0</v>
      </c>
      <c r="AD57" s="728">
        <f>ROUND(CantidadesConsolidadas[[#This Row],[171152]]*$D57,0)</f>
        <v>0</v>
      </c>
      <c r="AE57" s="728">
        <f>ROUND(CantidadesConsolidadas[[#This Row],[173058]]*$D57,0)</f>
        <v>0</v>
      </c>
      <c r="AF57" s="728">
        <f>ROUND(CantidadesConsolidadas[[#This Row],[174478]]*$D57,0)</f>
        <v>0</v>
      </c>
      <c r="AG57" s="728">
        <f>ROUND(CantidadesConsolidadas[[#This Row],[91010089]]*$D57,0)</f>
        <v>0</v>
      </c>
      <c r="AH57" s="728">
        <f>ROUND(CantidadesConsolidadas[[#This Row],[176122]]*$D57,0)</f>
        <v>0</v>
      </c>
      <c r="AI57" s="728">
        <f>ROUND(CantidadesConsolidadas[[#This Row],[168536]]*$D57,0)</f>
        <v>0</v>
      </c>
      <c r="AJ57" s="728">
        <f>ROUND(CantidadesConsolidadas[[#This Row],[166934]]*$D57,0)</f>
        <v>0</v>
      </c>
      <c r="AK57" s="728">
        <f>ROUND(CantidadesConsolidadas[[#This Row],[174353]]*$D57,0)</f>
        <v>0</v>
      </c>
      <c r="AL57" s="747">
        <f>ROUND(CantidadesConsolidadas[[#This Row],[52531]]*$D57,0)</f>
        <v>0</v>
      </c>
      <c r="AM57" s="746">
        <f>ROUND(CantidadesConsolidadas[[#This Row],[52456]]*$D57,0)</f>
        <v>0</v>
      </c>
      <c r="AN57" s="746">
        <f>ROUND(CantidadesConsolidadas[[#This Row],[92058103]]*$D57,0)</f>
        <v>0</v>
      </c>
      <c r="AO57" s="746">
        <f>ROUND(CantidadesConsolidadas[[#This Row],[20011114]]*$D57,0)</f>
        <v>0</v>
      </c>
      <c r="AP57" s="746">
        <f>ROUND(CantidadesConsolidadas[[#This Row],[20013540]]*$D57,0)</f>
        <v>0</v>
      </c>
      <c r="AQ57" s="746">
        <f>ROUND(CantidadesConsolidadas[[#This Row],[55337]]*$D57,0)</f>
        <v>0</v>
      </c>
      <c r="AR57" s="746">
        <f>ROUND(CantidadesConsolidadas[[#This Row],[92087422]]*$D57,0)</f>
        <v>0</v>
      </c>
      <c r="AS57" s="746">
        <f>ROUND(CantidadesConsolidadas[[#This Row],[55259]]*$D57,0)</f>
        <v>0</v>
      </c>
      <c r="AT57" s="746">
        <f>ROUND(CantidadesConsolidadas[[#This Row],[466904]]*$D57,0)</f>
        <v>0</v>
      </c>
      <c r="AU57" s="746">
        <f>ROUND(CantidadesConsolidadas[[#This Row],[48591]]*$D57,0)</f>
        <v>0</v>
      </c>
      <c r="AV57" s="746">
        <f>ROUND(CantidadesConsolidadas[[#This Row],[48590]]*$D57,0)</f>
        <v>0</v>
      </c>
      <c r="AW57" s="746">
        <f>ROUND(CantidadesConsolidadas[[#This Row],[48561]]*$D57,0)</f>
        <v>0</v>
      </c>
      <c r="AX57" s="746">
        <f>ROUND(CantidadesConsolidadas[[#This Row],[48560]]*$D57,0)</f>
        <v>0</v>
      </c>
      <c r="AY57" s="746">
        <f>ROUND(CantidadesConsolidadas[[#This Row],[48657]]*$D57,0)</f>
        <v>0</v>
      </c>
      <c r="AZ57" s="746">
        <f>ROUND(CantidadesConsolidadas[[#This Row],[48655]]*$D57,0)</f>
        <v>0</v>
      </c>
      <c r="BA57" s="806">
        <f>SUBTOTAL(9,CostoDirecto[[#This Row],[91013913]:[174353]])</f>
        <v>9702798</v>
      </c>
      <c r="BB57" s="806">
        <f>SUBTOTAL(9,CostoDirecto[[#This Row],[52531]:[48655]])</f>
        <v>0</v>
      </c>
    </row>
    <row r="58" spans="1:54" x14ac:dyDescent="0.3">
      <c r="A58">
        <v>4558</v>
      </c>
      <c r="B58" s="511" t="str">
        <f>+_xlfn.XLOOKUP(CostoDirecto[[#This Row],[cod Idu]],APU_IDU[Código],APU_IDU[Nombre],"",0)</f>
        <v>SUMIDERO ALCANTARILLADO PLUVIAL EN VIA NS-047-1V4 EAAB</v>
      </c>
      <c r="C58" s="497" t="str">
        <f>+_xlfn.XLOOKUP(CostoDirecto[[#This Row],[cod Idu]],APU_IDU[Código],APU_IDU[UM],"",0)</f>
        <v>UN</v>
      </c>
      <c r="D58" s="521">
        <f>+_xlfn.XLOOKUP(CostoDirecto[[#This Row],[cod Idu]],APU_IDU[Código],APU_IDU[Valor],"",0)</f>
        <v>8015596</v>
      </c>
      <c r="E58" s="728">
        <f>ROUND(CantidadesConsolidadas[[#This Row],[91013913]]*$D58,0)</f>
        <v>0</v>
      </c>
      <c r="F58" s="728">
        <f>ROUND(CantidadesConsolidadas[[#This Row],[472330]]*$D58,0)</f>
        <v>0</v>
      </c>
      <c r="G58" s="728">
        <f>ROUND(CantidadesConsolidadas[[#This Row],[167810]]*$D58,0)</f>
        <v>0</v>
      </c>
      <c r="H58" s="728">
        <f>ROUND(CantidadesConsolidadas[[#This Row],[166646]]*$D58,0)</f>
        <v>0</v>
      </c>
      <c r="I58" s="728">
        <f>ROUND(CantidadesConsolidadas[[#This Row],[167491]]*$D58,0)</f>
        <v>0</v>
      </c>
      <c r="J58" s="728">
        <f>ROUND(CantidadesConsolidadas[[#This Row],[167266]]*$D58,0)</f>
        <v>0</v>
      </c>
      <c r="K58" s="728">
        <f>ROUND(CantidadesConsolidadas[[#This Row],[170896]]*$D58,0)</f>
        <v>0</v>
      </c>
      <c r="L58" s="728">
        <f>ROUND(CantidadesConsolidadas[[#This Row],[170897]]*$D58,0)</f>
        <v>0</v>
      </c>
      <c r="M58" s="728">
        <f>ROUND(CantidadesConsolidadas[[#This Row],[170898]]*$D58,0)</f>
        <v>0</v>
      </c>
      <c r="N58" s="728">
        <f>ROUND(CantidadesConsolidadas[[#This Row],[91064150]]*$D58,0)</f>
        <v>0</v>
      </c>
      <c r="O58" s="728">
        <f>ROUND(CantidadesConsolidadas[[#This Row],[168919]]*$D58,0)</f>
        <v>0</v>
      </c>
      <c r="P58" s="728">
        <f>ROUND(CantidadesConsolidadas[[#This Row],[168426]]*$D58,0)</f>
        <v>0</v>
      </c>
      <c r="Q58" s="728">
        <f>ROUND(CantidadesConsolidadas[[#This Row],[91020796]]*$D58,0)</f>
        <v>0</v>
      </c>
      <c r="R58" s="728">
        <f>ROUND(CantidadesConsolidadas[[#This Row],[176184]]*$D58,0)</f>
        <v>0</v>
      </c>
      <c r="S58" s="728">
        <f>ROUND(CantidadesConsolidadas[[#This Row],[167636]]*$D58,0)</f>
        <v>0</v>
      </c>
      <c r="T58" s="728">
        <f>ROUND(CantidadesConsolidadas[[#This Row],[176730]]*$D58,0)</f>
        <v>0</v>
      </c>
      <c r="U58" s="728">
        <f>ROUND(CantidadesConsolidadas[[#This Row],[173038]]*$D58,0)</f>
        <v>0</v>
      </c>
      <c r="V58" s="728">
        <f>ROUND(CantidadesConsolidadas[[#This Row],[170222]]*$D58,0)</f>
        <v>0</v>
      </c>
      <c r="W58" s="728">
        <f>ROUND(CantidadesConsolidadas[[#This Row],[170229]]*$D58,0)</f>
        <v>0</v>
      </c>
      <c r="X58" s="728">
        <f>ROUND(CantidadesConsolidadas[[#This Row],[170227]]*$D58,0)</f>
        <v>0</v>
      </c>
      <c r="Y58" s="728">
        <f>ROUND(CantidadesConsolidadas[[#This Row],[170226]]*$D58,0)</f>
        <v>8015596</v>
      </c>
      <c r="Z58" s="728">
        <f>ROUND(CantidadesConsolidadas[[#This Row],[171567]]*$D58,0)</f>
        <v>0</v>
      </c>
      <c r="AA58" s="728">
        <f>ROUND(CantidadesConsolidadas[[#This Row],[166632]]*$D58,0)</f>
        <v>0</v>
      </c>
      <c r="AB58" s="728">
        <f>ROUND(CantidadesConsolidadas[[#This Row],[170228]]*$D58,0)</f>
        <v>0</v>
      </c>
      <c r="AC58" s="728">
        <f>ROUND(CantidadesConsolidadas[[#This Row],[172926]]*$D58,0)</f>
        <v>0</v>
      </c>
      <c r="AD58" s="728">
        <f>ROUND(CantidadesConsolidadas[[#This Row],[171152]]*$D58,0)</f>
        <v>0</v>
      </c>
      <c r="AE58" s="728">
        <f>ROUND(CantidadesConsolidadas[[#This Row],[173058]]*$D58,0)</f>
        <v>0</v>
      </c>
      <c r="AF58" s="728">
        <f>ROUND(CantidadesConsolidadas[[#This Row],[174478]]*$D58,0)</f>
        <v>0</v>
      </c>
      <c r="AG58" s="728">
        <f>ROUND(CantidadesConsolidadas[[#This Row],[91010089]]*$D58,0)</f>
        <v>0</v>
      </c>
      <c r="AH58" s="728">
        <f>ROUND(CantidadesConsolidadas[[#This Row],[176122]]*$D58,0)</f>
        <v>0</v>
      </c>
      <c r="AI58" s="728">
        <f>ROUND(CantidadesConsolidadas[[#This Row],[168536]]*$D58,0)</f>
        <v>0</v>
      </c>
      <c r="AJ58" s="728">
        <f>ROUND(CantidadesConsolidadas[[#This Row],[166934]]*$D58,0)</f>
        <v>0</v>
      </c>
      <c r="AK58" s="728">
        <f>ROUND(CantidadesConsolidadas[[#This Row],[174353]]*$D58,0)</f>
        <v>0</v>
      </c>
      <c r="AL58" s="747">
        <f>ROUND(CantidadesConsolidadas[[#This Row],[52531]]*$D58,0)</f>
        <v>0</v>
      </c>
      <c r="AM58" s="746">
        <f>ROUND(CantidadesConsolidadas[[#This Row],[52456]]*$D58,0)</f>
        <v>0</v>
      </c>
      <c r="AN58" s="746">
        <f>ROUND(CantidadesConsolidadas[[#This Row],[92058103]]*$D58,0)</f>
        <v>0</v>
      </c>
      <c r="AO58" s="746">
        <f>ROUND(CantidadesConsolidadas[[#This Row],[20011114]]*$D58,0)</f>
        <v>0</v>
      </c>
      <c r="AP58" s="746">
        <f>ROUND(CantidadesConsolidadas[[#This Row],[20013540]]*$D58,0)</f>
        <v>0</v>
      </c>
      <c r="AQ58" s="746">
        <f>ROUND(CantidadesConsolidadas[[#This Row],[55337]]*$D58,0)</f>
        <v>0</v>
      </c>
      <c r="AR58" s="746">
        <f>ROUND(CantidadesConsolidadas[[#This Row],[92087422]]*$D58,0)</f>
        <v>0</v>
      </c>
      <c r="AS58" s="746">
        <f>ROUND(CantidadesConsolidadas[[#This Row],[55259]]*$D58,0)</f>
        <v>0</v>
      </c>
      <c r="AT58" s="746">
        <f>ROUND(CantidadesConsolidadas[[#This Row],[466904]]*$D58,0)</f>
        <v>0</v>
      </c>
      <c r="AU58" s="746">
        <f>ROUND(CantidadesConsolidadas[[#This Row],[48591]]*$D58,0)</f>
        <v>0</v>
      </c>
      <c r="AV58" s="746">
        <f>ROUND(CantidadesConsolidadas[[#This Row],[48590]]*$D58,0)</f>
        <v>0</v>
      </c>
      <c r="AW58" s="746">
        <f>ROUND(CantidadesConsolidadas[[#This Row],[48561]]*$D58,0)</f>
        <v>0</v>
      </c>
      <c r="AX58" s="746">
        <f>ROUND(CantidadesConsolidadas[[#This Row],[48560]]*$D58,0)</f>
        <v>0</v>
      </c>
      <c r="AY58" s="746">
        <f>ROUND(CantidadesConsolidadas[[#This Row],[48657]]*$D58,0)</f>
        <v>0</v>
      </c>
      <c r="AZ58" s="746">
        <f>ROUND(CantidadesConsolidadas[[#This Row],[48655]]*$D58,0)</f>
        <v>0</v>
      </c>
      <c r="BA58" s="806">
        <f>SUBTOTAL(9,CostoDirecto[[#This Row],[91013913]:[174353]])</f>
        <v>8015596</v>
      </c>
      <c r="BB58" s="806">
        <f>SUBTOTAL(9,CostoDirecto[[#This Row],[52531]:[48655]])</f>
        <v>0</v>
      </c>
    </row>
    <row r="59" spans="1:54" ht="28.8" x14ac:dyDescent="0.3">
      <c r="A59">
        <v>5015</v>
      </c>
      <c r="B59" s="511" t="str">
        <f>+_xlfn.XLOOKUP(CostoDirecto[[#This Row],[cod Idu]],APU_IDU[Código],APU_IDU[Nombre],"",0)</f>
        <v>CAJA DE INSPECCION 0.80X0.8M. SUMINISTRO Y CONSTRUCCION. (H=0.6M. INCLUYE MARCO Y TAPA, NO INCLUYE BASE Y CAÑUELA).</v>
      </c>
      <c r="C59" s="497" t="str">
        <f>+_xlfn.XLOOKUP(CostoDirecto[[#This Row],[cod Idu]],APU_IDU[Código],APU_IDU[UM],"",0)</f>
        <v>UN</v>
      </c>
      <c r="D59" s="521">
        <f>+_xlfn.XLOOKUP(CostoDirecto[[#This Row],[cod Idu]],APU_IDU[Código],APU_IDU[Valor],"",0)</f>
        <v>729363</v>
      </c>
      <c r="E59" s="728">
        <f>ROUND(CantidadesConsolidadas[[#This Row],[91013913]]*$D59,0)</f>
        <v>0</v>
      </c>
      <c r="F59" s="728">
        <f>ROUND(CantidadesConsolidadas[[#This Row],[472330]]*$D59,0)</f>
        <v>729363</v>
      </c>
      <c r="G59" s="728">
        <f>ROUND(CantidadesConsolidadas[[#This Row],[167810]]*$D59,0)</f>
        <v>0</v>
      </c>
      <c r="H59" s="728">
        <f>ROUND(CantidadesConsolidadas[[#This Row],[166646]]*$D59,0)</f>
        <v>0</v>
      </c>
      <c r="I59" s="728">
        <f>ROUND(CantidadesConsolidadas[[#This Row],[167491]]*$D59,0)</f>
        <v>0</v>
      </c>
      <c r="J59" s="728">
        <f>ROUND(CantidadesConsolidadas[[#This Row],[167266]]*$D59,0)</f>
        <v>0</v>
      </c>
      <c r="K59" s="728">
        <f>ROUND(CantidadesConsolidadas[[#This Row],[170896]]*$D59,0)</f>
        <v>0</v>
      </c>
      <c r="L59" s="728">
        <f>ROUND(CantidadesConsolidadas[[#This Row],[170897]]*$D59,0)</f>
        <v>0</v>
      </c>
      <c r="M59" s="728">
        <f>ROUND(CantidadesConsolidadas[[#This Row],[170898]]*$D59,0)</f>
        <v>0</v>
      </c>
      <c r="N59" s="728">
        <f>ROUND(CantidadesConsolidadas[[#This Row],[91064150]]*$D59,0)</f>
        <v>0</v>
      </c>
      <c r="O59" s="728">
        <f>ROUND(CantidadesConsolidadas[[#This Row],[168919]]*$D59,0)</f>
        <v>0</v>
      </c>
      <c r="P59" s="728">
        <f>ROUND(CantidadesConsolidadas[[#This Row],[168426]]*$D59,0)</f>
        <v>0</v>
      </c>
      <c r="Q59" s="728">
        <f>ROUND(CantidadesConsolidadas[[#This Row],[91020796]]*$D59,0)</f>
        <v>0</v>
      </c>
      <c r="R59" s="728">
        <f>ROUND(CantidadesConsolidadas[[#This Row],[176184]]*$D59,0)</f>
        <v>0</v>
      </c>
      <c r="S59" s="728">
        <f>ROUND(CantidadesConsolidadas[[#This Row],[167636]]*$D59,0)</f>
        <v>0</v>
      </c>
      <c r="T59" s="728">
        <f>ROUND(CantidadesConsolidadas[[#This Row],[176730]]*$D59,0)</f>
        <v>0</v>
      </c>
      <c r="U59" s="728">
        <f>ROUND(CantidadesConsolidadas[[#This Row],[173038]]*$D59,0)</f>
        <v>0</v>
      </c>
      <c r="V59" s="728">
        <f>ROUND(CantidadesConsolidadas[[#This Row],[170222]]*$D59,0)</f>
        <v>729363</v>
      </c>
      <c r="W59" s="728">
        <f>ROUND(CantidadesConsolidadas[[#This Row],[170229]]*$D59,0)</f>
        <v>0</v>
      </c>
      <c r="X59" s="728">
        <f>ROUND(CantidadesConsolidadas[[#This Row],[170227]]*$D59,0)</f>
        <v>0</v>
      </c>
      <c r="Y59" s="728">
        <f>ROUND(CantidadesConsolidadas[[#This Row],[170226]]*$D59,0)</f>
        <v>0</v>
      </c>
      <c r="Z59" s="728">
        <f>ROUND(CantidadesConsolidadas[[#This Row],[171567]]*$D59,0)</f>
        <v>0</v>
      </c>
      <c r="AA59" s="728">
        <f>ROUND(CantidadesConsolidadas[[#This Row],[166632]]*$D59,0)</f>
        <v>0</v>
      </c>
      <c r="AB59" s="728">
        <f>ROUND(CantidadesConsolidadas[[#This Row],[170228]]*$D59,0)</f>
        <v>0</v>
      </c>
      <c r="AC59" s="728">
        <f>ROUND(CantidadesConsolidadas[[#This Row],[172926]]*$D59,0)</f>
        <v>0</v>
      </c>
      <c r="AD59" s="728">
        <f>ROUND(CantidadesConsolidadas[[#This Row],[171152]]*$D59,0)</f>
        <v>0</v>
      </c>
      <c r="AE59" s="728">
        <f>ROUND(CantidadesConsolidadas[[#This Row],[173058]]*$D59,0)</f>
        <v>0</v>
      </c>
      <c r="AF59" s="728">
        <f>ROUND(CantidadesConsolidadas[[#This Row],[174478]]*$D59,0)</f>
        <v>0</v>
      </c>
      <c r="AG59" s="728">
        <f>ROUND(CantidadesConsolidadas[[#This Row],[91010089]]*$D59,0)</f>
        <v>0</v>
      </c>
      <c r="AH59" s="728">
        <f>ROUND(CantidadesConsolidadas[[#This Row],[176122]]*$D59,0)</f>
        <v>0</v>
      </c>
      <c r="AI59" s="728">
        <f>ROUND(CantidadesConsolidadas[[#This Row],[168536]]*$D59,0)</f>
        <v>0</v>
      </c>
      <c r="AJ59" s="728">
        <f>ROUND(CantidadesConsolidadas[[#This Row],[166934]]*$D59,0)</f>
        <v>0</v>
      </c>
      <c r="AK59" s="728">
        <f>ROUND(CantidadesConsolidadas[[#This Row],[174353]]*$D59,0)</f>
        <v>0</v>
      </c>
      <c r="AL59" s="747">
        <f>ROUND(CantidadesConsolidadas[[#This Row],[52531]]*$D59,0)</f>
        <v>0</v>
      </c>
      <c r="AM59" s="746">
        <f>ROUND(CantidadesConsolidadas[[#This Row],[52456]]*$D59,0)</f>
        <v>0</v>
      </c>
      <c r="AN59" s="746">
        <f>ROUND(CantidadesConsolidadas[[#This Row],[92058103]]*$D59,0)</f>
        <v>0</v>
      </c>
      <c r="AO59" s="746">
        <f>ROUND(CantidadesConsolidadas[[#This Row],[20011114]]*$D59,0)</f>
        <v>0</v>
      </c>
      <c r="AP59" s="746">
        <f>ROUND(CantidadesConsolidadas[[#This Row],[20013540]]*$D59,0)</f>
        <v>0</v>
      </c>
      <c r="AQ59" s="746">
        <f>ROUND(CantidadesConsolidadas[[#This Row],[55337]]*$D59,0)</f>
        <v>0</v>
      </c>
      <c r="AR59" s="746">
        <f>ROUND(CantidadesConsolidadas[[#This Row],[92087422]]*$D59,0)</f>
        <v>0</v>
      </c>
      <c r="AS59" s="746">
        <f>ROUND(CantidadesConsolidadas[[#This Row],[55259]]*$D59,0)</f>
        <v>0</v>
      </c>
      <c r="AT59" s="746">
        <f>ROUND(CantidadesConsolidadas[[#This Row],[466904]]*$D59,0)</f>
        <v>0</v>
      </c>
      <c r="AU59" s="746">
        <f>ROUND(CantidadesConsolidadas[[#This Row],[48591]]*$D59,0)</f>
        <v>0</v>
      </c>
      <c r="AV59" s="746">
        <f>ROUND(CantidadesConsolidadas[[#This Row],[48590]]*$D59,0)</f>
        <v>0</v>
      </c>
      <c r="AW59" s="746">
        <f>ROUND(CantidadesConsolidadas[[#This Row],[48561]]*$D59,0)</f>
        <v>0</v>
      </c>
      <c r="AX59" s="746">
        <f>ROUND(CantidadesConsolidadas[[#This Row],[48560]]*$D59,0)</f>
        <v>0</v>
      </c>
      <c r="AY59" s="746">
        <f>ROUND(CantidadesConsolidadas[[#This Row],[48657]]*$D59,0)</f>
        <v>0</v>
      </c>
      <c r="AZ59" s="746">
        <f>ROUND(CantidadesConsolidadas[[#This Row],[48655]]*$D59,0)</f>
        <v>0</v>
      </c>
      <c r="BA59" s="806">
        <f>SUBTOTAL(9,CostoDirecto[[#This Row],[91013913]:[174353]])</f>
        <v>1458726</v>
      </c>
      <c r="BB59" s="806">
        <f>SUBTOTAL(9,CostoDirecto[[#This Row],[52531]:[48655]])</f>
        <v>0</v>
      </c>
    </row>
    <row r="60" spans="1:54" ht="28.8" x14ac:dyDescent="0.3">
      <c r="A60">
        <v>3779</v>
      </c>
      <c r="B60" s="511" t="str">
        <f>+_xlfn.XLOOKUP(CostoDirecto[[#This Row],[cod Idu]],APU_IDU[Código],APU_IDU[Nombre],"",0)</f>
        <v>CAJA DE INSPECCIÓN DE 0.6X0.6M (H=0.6M. INCLUYE SUMINISTRO Y CONSTRUCCIÓN. INCLUYE MARCO Y TAPA. NO INC. BASE Y CAÑUELA)</v>
      </c>
      <c r="C60" s="497" t="str">
        <f>+_xlfn.XLOOKUP(CostoDirecto[[#This Row],[cod Idu]],APU_IDU[Código],APU_IDU[UM],"",0)</f>
        <v>UN</v>
      </c>
      <c r="D60" s="521">
        <f>+_xlfn.XLOOKUP(CostoDirecto[[#This Row],[cod Idu]],APU_IDU[Código],APU_IDU[Valor],"",0)</f>
        <v>622929</v>
      </c>
      <c r="E60" s="728">
        <f>ROUND(CantidadesConsolidadas[[#This Row],[91013913]]*$D60,0)</f>
        <v>0</v>
      </c>
      <c r="F60" s="728">
        <f>ROUND(CantidadesConsolidadas[[#This Row],[472330]]*$D60,0)</f>
        <v>0</v>
      </c>
      <c r="G60" s="728">
        <f>ROUND(CantidadesConsolidadas[[#This Row],[167810]]*$D60,0)</f>
        <v>0</v>
      </c>
      <c r="H60" s="728">
        <f>ROUND(CantidadesConsolidadas[[#This Row],[166646]]*$D60,0)</f>
        <v>0</v>
      </c>
      <c r="I60" s="728">
        <f>ROUND(CantidadesConsolidadas[[#This Row],[167491]]*$D60,0)</f>
        <v>0</v>
      </c>
      <c r="J60" s="728">
        <f>ROUND(CantidadesConsolidadas[[#This Row],[167266]]*$D60,0)</f>
        <v>0</v>
      </c>
      <c r="K60" s="728">
        <f>ROUND(CantidadesConsolidadas[[#This Row],[170896]]*$D60,0)</f>
        <v>0</v>
      </c>
      <c r="L60" s="728">
        <f>ROUND(CantidadesConsolidadas[[#This Row],[170897]]*$D60,0)</f>
        <v>0</v>
      </c>
      <c r="M60" s="728">
        <f>ROUND(CantidadesConsolidadas[[#This Row],[170898]]*$D60,0)</f>
        <v>0</v>
      </c>
      <c r="N60" s="728">
        <f>ROUND(CantidadesConsolidadas[[#This Row],[91064150]]*$D60,0)</f>
        <v>0</v>
      </c>
      <c r="O60" s="728">
        <f>ROUND(CantidadesConsolidadas[[#This Row],[168919]]*$D60,0)</f>
        <v>0</v>
      </c>
      <c r="P60" s="728">
        <f>ROUND(CantidadesConsolidadas[[#This Row],[168426]]*$D60,0)</f>
        <v>0</v>
      </c>
      <c r="Q60" s="728">
        <f>ROUND(CantidadesConsolidadas[[#This Row],[91020796]]*$D60,0)</f>
        <v>0</v>
      </c>
      <c r="R60" s="728">
        <f>ROUND(CantidadesConsolidadas[[#This Row],[176184]]*$D60,0)</f>
        <v>0</v>
      </c>
      <c r="S60" s="728">
        <f>ROUND(CantidadesConsolidadas[[#This Row],[167636]]*$D60,0)</f>
        <v>0</v>
      </c>
      <c r="T60" s="728">
        <f>ROUND(CantidadesConsolidadas[[#This Row],[176730]]*$D60,0)</f>
        <v>0</v>
      </c>
      <c r="U60" s="728">
        <f>ROUND(CantidadesConsolidadas[[#This Row],[173038]]*$D60,0)</f>
        <v>0</v>
      </c>
      <c r="V60" s="728">
        <f>ROUND(CantidadesConsolidadas[[#This Row],[170222]]*$D60,0)</f>
        <v>622929</v>
      </c>
      <c r="W60" s="728">
        <f>ROUND(CantidadesConsolidadas[[#This Row],[170229]]*$D60,0)</f>
        <v>0</v>
      </c>
      <c r="X60" s="728">
        <f>ROUND(CantidadesConsolidadas[[#This Row],[170227]]*$D60,0)</f>
        <v>0</v>
      </c>
      <c r="Y60" s="728">
        <f>ROUND(CantidadesConsolidadas[[#This Row],[170226]]*$D60,0)</f>
        <v>0</v>
      </c>
      <c r="Z60" s="728">
        <f>ROUND(CantidadesConsolidadas[[#This Row],[171567]]*$D60,0)</f>
        <v>0</v>
      </c>
      <c r="AA60" s="728">
        <f>ROUND(CantidadesConsolidadas[[#This Row],[166632]]*$D60,0)</f>
        <v>0</v>
      </c>
      <c r="AB60" s="728">
        <f>ROUND(CantidadesConsolidadas[[#This Row],[170228]]*$D60,0)</f>
        <v>0</v>
      </c>
      <c r="AC60" s="728">
        <f>ROUND(CantidadesConsolidadas[[#This Row],[172926]]*$D60,0)</f>
        <v>0</v>
      </c>
      <c r="AD60" s="728">
        <f>ROUND(CantidadesConsolidadas[[#This Row],[171152]]*$D60,0)</f>
        <v>0</v>
      </c>
      <c r="AE60" s="728">
        <f>ROUND(CantidadesConsolidadas[[#This Row],[173058]]*$D60,0)</f>
        <v>0</v>
      </c>
      <c r="AF60" s="728">
        <f>ROUND(CantidadesConsolidadas[[#This Row],[174478]]*$D60,0)</f>
        <v>0</v>
      </c>
      <c r="AG60" s="728">
        <f>ROUND(CantidadesConsolidadas[[#This Row],[91010089]]*$D60,0)</f>
        <v>0</v>
      </c>
      <c r="AH60" s="728">
        <f>ROUND(CantidadesConsolidadas[[#This Row],[176122]]*$D60,0)</f>
        <v>0</v>
      </c>
      <c r="AI60" s="728">
        <f>ROUND(CantidadesConsolidadas[[#This Row],[168536]]*$D60,0)</f>
        <v>0</v>
      </c>
      <c r="AJ60" s="728">
        <f>ROUND(CantidadesConsolidadas[[#This Row],[166934]]*$D60,0)</f>
        <v>0</v>
      </c>
      <c r="AK60" s="728">
        <f>ROUND(CantidadesConsolidadas[[#This Row],[174353]]*$D60,0)</f>
        <v>0</v>
      </c>
      <c r="AL60" s="747">
        <f>ROUND(CantidadesConsolidadas[[#This Row],[52531]]*$D60,0)</f>
        <v>0</v>
      </c>
      <c r="AM60" s="746">
        <f>ROUND(CantidadesConsolidadas[[#This Row],[52456]]*$D60,0)</f>
        <v>0</v>
      </c>
      <c r="AN60" s="746">
        <f>ROUND(CantidadesConsolidadas[[#This Row],[92058103]]*$D60,0)</f>
        <v>0</v>
      </c>
      <c r="AO60" s="746">
        <f>ROUND(CantidadesConsolidadas[[#This Row],[20011114]]*$D60,0)</f>
        <v>0</v>
      </c>
      <c r="AP60" s="746">
        <f>ROUND(CantidadesConsolidadas[[#This Row],[20013540]]*$D60,0)</f>
        <v>0</v>
      </c>
      <c r="AQ60" s="746">
        <f>ROUND(CantidadesConsolidadas[[#This Row],[55337]]*$D60,0)</f>
        <v>0</v>
      </c>
      <c r="AR60" s="746">
        <f>ROUND(CantidadesConsolidadas[[#This Row],[92087422]]*$D60,0)</f>
        <v>0</v>
      </c>
      <c r="AS60" s="746">
        <f>ROUND(CantidadesConsolidadas[[#This Row],[55259]]*$D60,0)</f>
        <v>0</v>
      </c>
      <c r="AT60" s="746">
        <f>ROUND(CantidadesConsolidadas[[#This Row],[466904]]*$D60,0)</f>
        <v>0</v>
      </c>
      <c r="AU60" s="746">
        <f>ROUND(CantidadesConsolidadas[[#This Row],[48591]]*$D60,0)</f>
        <v>0</v>
      </c>
      <c r="AV60" s="746">
        <f>ROUND(CantidadesConsolidadas[[#This Row],[48590]]*$D60,0)</f>
        <v>0</v>
      </c>
      <c r="AW60" s="746">
        <f>ROUND(CantidadesConsolidadas[[#This Row],[48561]]*$D60,0)</f>
        <v>0</v>
      </c>
      <c r="AX60" s="746">
        <f>ROUND(CantidadesConsolidadas[[#This Row],[48560]]*$D60,0)</f>
        <v>0</v>
      </c>
      <c r="AY60" s="746">
        <f>ROUND(CantidadesConsolidadas[[#This Row],[48657]]*$D60,0)</f>
        <v>0</v>
      </c>
      <c r="AZ60" s="746">
        <f>ROUND(CantidadesConsolidadas[[#This Row],[48655]]*$D60,0)</f>
        <v>0</v>
      </c>
      <c r="BA60" s="806">
        <f>SUBTOTAL(9,CostoDirecto[[#This Row],[91013913]:[174353]])</f>
        <v>622929</v>
      </c>
      <c r="BB60" s="806">
        <f>SUBTOTAL(9,CostoDirecto[[#This Row],[52531]:[48655]])</f>
        <v>0</v>
      </c>
    </row>
    <row r="61" spans="1:54" ht="28.8" x14ac:dyDescent="0.3">
      <c r="A61">
        <v>4611</v>
      </c>
      <c r="B61" s="511" t="str">
        <f>+_xlfn.XLOOKUP(CostoDirecto[[#This Row],[cod Idu]],APU_IDU[Código],APU_IDU[Nombre],"",0)</f>
        <v>CARCAMO PROTECCIÓN DE TUBERÍA Ø 8" (TIPO PLACA) NORMA EAAB NS-090</v>
      </c>
      <c r="C61" s="497" t="str">
        <f>+_xlfn.XLOOKUP(CostoDirecto[[#This Row],[cod Idu]],APU_IDU[Código],APU_IDU[UM],"",0)</f>
        <v>ML</v>
      </c>
      <c r="D61" s="521">
        <f>+_xlfn.XLOOKUP(CostoDirecto[[#This Row],[cod Idu]],APU_IDU[Código],APU_IDU[Valor],"",0)</f>
        <v>254780</v>
      </c>
      <c r="E61" s="728">
        <f>ROUND(CantidadesConsolidadas[[#This Row],[91013913]]*$D61,0)</f>
        <v>0</v>
      </c>
      <c r="F61" s="728">
        <f>ROUND(CantidadesConsolidadas[[#This Row],[472330]]*$D61,0)</f>
        <v>0</v>
      </c>
      <c r="G61" s="728">
        <f>ROUND(CantidadesConsolidadas[[#This Row],[167810]]*$D61,0)</f>
        <v>0</v>
      </c>
      <c r="H61" s="728">
        <f>ROUND(CantidadesConsolidadas[[#This Row],[166646]]*$D61,0)</f>
        <v>3821700</v>
      </c>
      <c r="I61" s="728">
        <f>ROUND(CantidadesConsolidadas[[#This Row],[167491]]*$D61,0)</f>
        <v>0</v>
      </c>
      <c r="J61" s="728">
        <f>ROUND(CantidadesConsolidadas[[#This Row],[167266]]*$D61,0)</f>
        <v>0</v>
      </c>
      <c r="K61" s="728">
        <f>ROUND(CantidadesConsolidadas[[#This Row],[170896]]*$D61,0)</f>
        <v>0</v>
      </c>
      <c r="L61" s="728">
        <f>ROUND(CantidadesConsolidadas[[#This Row],[170897]]*$D61,0)</f>
        <v>0</v>
      </c>
      <c r="M61" s="728">
        <f>ROUND(CantidadesConsolidadas[[#This Row],[170898]]*$D61,0)</f>
        <v>0</v>
      </c>
      <c r="N61" s="728">
        <f>ROUND(CantidadesConsolidadas[[#This Row],[91064150]]*$D61,0)</f>
        <v>0</v>
      </c>
      <c r="O61" s="728">
        <f>ROUND(CantidadesConsolidadas[[#This Row],[168919]]*$D61,0)</f>
        <v>0</v>
      </c>
      <c r="P61" s="728">
        <f>ROUND(CantidadesConsolidadas[[#This Row],[168426]]*$D61,0)</f>
        <v>0</v>
      </c>
      <c r="Q61" s="728">
        <f>ROUND(CantidadesConsolidadas[[#This Row],[91020796]]*$D61,0)</f>
        <v>0</v>
      </c>
      <c r="R61" s="728">
        <f>ROUND(CantidadesConsolidadas[[#This Row],[176184]]*$D61,0)</f>
        <v>0</v>
      </c>
      <c r="S61" s="728">
        <f>ROUND(CantidadesConsolidadas[[#This Row],[167636]]*$D61,0)</f>
        <v>0</v>
      </c>
      <c r="T61" s="728">
        <f>ROUND(CantidadesConsolidadas[[#This Row],[176730]]*$D61,0)</f>
        <v>2038240</v>
      </c>
      <c r="U61" s="728">
        <f>ROUND(CantidadesConsolidadas[[#This Row],[173038]]*$D61,0)</f>
        <v>0</v>
      </c>
      <c r="V61" s="728">
        <f>ROUND(CantidadesConsolidadas[[#This Row],[170222]]*$D61,0)</f>
        <v>0</v>
      </c>
      <c r="W61" s="728">
        <f>ROUND(CantidadesConsolidadas[[#This Row],[170229]]*$D61,0)</f>
        <v>0</v>
      </c>
      <c r="X61" s="728">
        <f>ROUND(CantidadesConsolidadas[[#This Row],[170227]]*$D61,0)</f>
        <v>0</v>
      </c>
      <c r="Y61" s="728">
        <f>ROUND(CantidadesConsolidadas[[#This Row],[170226]]*$D61,0)</f>
        <v>0</v>
      </c>
      <c r="Z61" s="728">
        <f>ROUND(CantidadesConsolidadas[[#This Row],[171567]]*$D61,0)</f>
        <v>0</v>
      </c>
      <c r="AA61" s="728">
        <f>ROUND(CantidadesConsolidadas[[#This Row],[166632]]*$D61,0)</f>
        <v>0</v>
      </c>
      <c r="AB61" s="728">
        <f>ROUND(CantidadesConsolidadas[[#This Row],[170228]]*$D61,0)</f>
        <v>0</v>
      </c>
      <c r="AC61" s="728">
        <f>ROUND(CantidadesConsolidadas[[#This Row],[172926]]*$D61,0)</f>
        <v>0</v>
      </c>
      <c r="AD61" s="728">
        <f>ROUND(CantidadesConsolidadas[[#This Row],[171152]]*$D61,0)</f>
        <v>0</v>
      </c>
      <c r="AE61" s="728">
        <f>ROUND(CantidadesConsolidadas[[#This Row],[173058]]*$D61,0)</f>
        <v>0</v>
      </c>
      <c r="AF61" s="728">
        <f>ROUND(CantidadesConsolidadas[[#This Row],[174478]]*$D61,0)</f>
        <v>0</v>
      </c>
      <c r="AG61" s="728">
        <f>ROUND(CantidadesConsolidadas[[#This Row],[91010089]]*$D61,0)</f>
        <v>0</v>
      </c>
      <c r="AH61" s="728">
        <f>ROUND(CantidadesConsolidadas[[#This Row],[176122]]*$D61,0)</f>
        <v>0</v>
      </c>
      <c r="AI61" s="728">
        <f>ROUND(CantidadesConsolidadas[[#This Row],[168536]]*$D61,0)</f>
        <v>0</v>
      </c>
      <c r="AJ61" s="728">
        <f>ROUND(CantidadesConsolidadas[[#This Row],[166934]]*$D61,0)</f>
        <v>0</v>
      </c>
      <c r="AK61" s="728">
        <f>ROUND(CantidadesConsolidadas[[#This Row],[174353]]*$D61,0)</f>
        <v>0</v>
      </c>
      <c r="AL61" s="747">
        <f>ROUND(CantidadesConsolidadas[[#This Row],[52531]]*$D61,0)</f>
        <v>0</v>
      </c>
      <c r="AM61" s="746">
        <f>ROUND(CantidadesConsolidadas[[#This Row],[52456]]*$D61,0)</f>
        <v>0</v>
      </c>
      <c r="AN61" s="746">
        <f>ROUND(CantidadesConsolidadas[[#This Row],[92058103]]*$D61,0)</f>
        <v>0</v>
      </c>
      <c r="AO61" s="746">
        <f>ROUND(CantidadesConsolidadas[[#This Row],[20011114]]*$D61,0)</f>
        <v>0</v>
      </c>
      <c r="AP61" s="746">
        <f>ROUND(CantidadesConsolidadas[[#This Row],[20013540]]*$D61,0)</f>
        <v>0</v>
      </c>
      <c r="AQ61" s="746">
        <f>ROUND(CantidadesConsolidadas[[#This Row],[55337]]*$D61,0)</f>
        <v>0</v>
      </c>
      <c r="AR61" s="746">
        <f>ROUND(CantidadesConsolidadas[[#This Row],[92087422]]*$D61,0)</f>
        <v>0</v>
      </c>
      <c r="AS61" s="746">
        <f>ROUND(CantidadesConsolidadas[[#This Row],[55259]]*$D61,0)</f>
        <v>0</v>
      </c>
      <c r="AT61" s="746">
        <f>ROUND(CantidadesConsolidadas[[#This Row],[466904]]*$D61,0)</f>
        <v>0</v>
      </c>
      <c r="AU61" s="746">
        <f>ROUND(CantidadesConsolidadas[[#This Row],[48591]]*$D61,0)</f>
        <v>0</v>
      </c>
      <c r="AV61" s="746">
        <f>ROUND(CantidadesConsolidadas[[#This Row],[48590]]*$D61,0)</f>
        <v>0</v>
      </c>
      <c r="AW61" s="746">
        <f>ROUND(CantidadesConsolidadas[[#This Row],[48561]]*$D61,0)</f>
        <v>0</v>
      </c>
      <c r="AX61" s="746">
        <f>ROUND(CantidadesConsolidadas[[#This Row],[48560]]*$D61,0)</f>
        <v>0</v>
      </c>
      <c r="AY61" s="746">
        <f>ROUND(CantidadesConsolidadas[[#This Row],[48657]]*$D61,0)</f>
        <v>0</v>
      </c>
      <c r="AZ61" s="746">
        <f>ROUND(CantidadesConsolidadas[[#This Row],[48655]]*$D61,0)</f>
        <v>0</v>
      </c>
      <c r="BA61" s="806">
        <f>SUBTOTAL(9,CostoDirecto[[#This Row],[91013913]:[174353]])</f>
        <v>5859940</v>
      </c>
      <c r="BB61" s="806">
        <f>SUBTOTAL(9,CostoDirecto[[#This Row],[52531]:[48655]])</f>
        <v>0</v>
      </c>
    </row>
    <row r="62" spans="1:54" ht="28.8" x14ac:dyDescent="0.3">
      <c r="A62">
        <v>4612</v>
      </c>
      <c r="B62" s="511" t="str">
        <f>+_xlfn.XLOOKUP(CostoDirecto[[#This Row],[cod Idu]],APU_IDU[Código],APU_IDU[Nombre],"",0)</f>
        <v>CARCAMO PROTECCIÓN DE TUBERÍA Ø 10" (TIPO PLACA) NORMA EAAB NS-090</v>
      </c>
      <c r="C62" s="497" t="str">
        <f>+_xlfn.XLOOKUP(CostoDirecto[[#This Row],[cod Idu]],APU_IDU[Código],APU_IDU[UM],"",0)</f>
        <v>ML</v>
      </c>
      <c r="D62" s="521">
        <f>+_xlfn.XLOOKUP(CostoDirecto[[#This Row],[cod Idu]],APU_IDU[Código],APU_IDU[Valor],"",0)</f>
        <v>254780</v>
      </c>
      <c r="E62" s="728">
        <f>ROUND(CantidadesConsolidadas[[#This Row],[91013913]]*$D62,0)</f>
        <v>0</v>
      </c>
      <c r="F62" s="728">
        <f>ROUND(CantidadesConsolidadas[[#This Row],[472330]]*$D62,0)</f>
        <v>0</v>
      </c>
      <c r="G62" s="728">
        <f>ROUND(CantidadesConsolidadas[[#This Row],[167810]]*$D62,0)</f>
        <v>0</v>
      </c>
      <c r="H62" s="728">
        <f>ROUND(CantidadesConsolidadas[[#This Row],[166646]]*$D62,0)</f>
        <v>0</v>
      </c>
      <c r="I62" s="728">
        <f>ROUND(CantidadesConsolidadas[[#This Row],[167491]]*$D62,0)</f>
        <v>0</v>
      </c>
      <c r="J62" s="728">
        <f>ROUND(CantidadesConsolidadas[[#This Row],[167266]]*$D62,0)</f>
        <v>0</v>
      </c>
      <c r="K62" s="728">
        <f>ROUND(CantidadesConsolidadas[[#This Row],[170896]]*$D62,0)</f>
        <v>0</v>
      </c>
      <c r="L62" s="728">
        <f>ROUND(CantidadesConsolidadas[[#This Row],[170897]]*$D62,0)</f>
        <v>0</v>
      </c>
      <c r="M62" s="728">
        <f>ROUND(CantidadesConsolidadas[[#This Row],[170898]]*$D62,0)</f>
        <v>0</v>
      </c>
      <c r="N62" s="728">
        <f>ROUND(CantidadesConsolidadas[[#This Row],[91064150]]*$D62,0)</f>
        <v>0</v>
      </c>
      <c r="O62" s="728">
        <f>ROUND(CantidadesConsolidadas[[#This Row],[168919]]*$D62,0)</f>
        <v>0</v>
      </c>
      <c r="P62" s="728">
        <f>ROUND(CantidadesConsolidadas[[#This Row],[168426]]*$D62,0)</f>
        <v>0</v>
      </c>
      <c r="Q62" s="728">
        <f>ROUND(CantidadesConsolidadas[[#This Row],[91020796]]*$D62,0)</f>
        <v>0</v>
      </c>
      <c r="R62" s="728">
        <f>ROUND(CantidadesConsolidadas[[#This Row],[176184]]*$D62,0)</f>
        <v>0</v>
      </c>
      <c r="S62" s="728">
        <f>ROUND(CantidadesConsolidadas[[#This Row],[167636]]*$D62,0)</f>
        <v>2547800</v>
      </c>
      <c r="T62" s="728">
        <f>ROUND(CantidadesConsolidadas[[#This Row],[176730]]*$D62,0)</f>
        <v>0</v>
      </c>
      <c r="U62" s="728">
        <f>ROUND(CantidadesConsolidadas[[#This Row],[173038]]*$D62,0)</f>
        <v>0</v>
      </c>
      <c r="V62" s="728">
        <f>ROUND(CantidadesConsolidadas[[#This Row],[170222]]*$D62,0)</f>
        <v>0</v>
      </c>
      <c r="W62" s="728">
        <f>ROUND(CantidadesConsolidadas[[#This Row],[170229]]*$D62,0)</f>
        <v>0</v>
      </c>
      <c r="X62" s="728">
        <f>ROUND(CantidadesConsolidadas[[#This Row],[170227]]*$D62,0)</f>
        <v>0</v>
      </c>
      <c r="Y62" s="728">
        <f>ROUND(CantidadesConsolidadas[[#This Row],[170226]]*$D62,0)</f>
        <v>0</v>
      </c>
      <c r="Z62" s="728">
        <f>ROUND(CantidadesConsolidadas[[#This Row],[171567]]*$D62,0)</f>
        <v>0</v>
      </c>
      <c r="AA62" s="728">
        <f>ROUND(CantidadesConsolidadas[[#This Row],[166632]]*$D62,0)</f>
        <v>0</v>
      </c>
      <c r="AB62" s="728">
        <f>ROUND(CantidadesConsolidadas[[#This Row],[170228]]*$D62,0)</f>
        <v>0</v>
      </c>
      <c r="AC62" s="728">
        <f>ROUND(CantidadesConsolidadas[[#This Row],[172926]]*$D62,0)</f>
        <v>0</v>
      </c>
      <c r="AD62" s="728">
        <f>ROUND(CantidadesConsolidadas[[#This Row],[171152]]*$D62,0)</f>
        <v>0</v>
      </c>
      <c r="AE62" s="728">
        <f>ROUND(CantidadesConsolidadas[[#This Row],[173058]]*$D62,0)</f>
        <v>0</v>
      </c>
      <c r="AF62" s="728">
        <f>ROUND(CantidadesConsolidadas[[#This Row],[174478]]*$D62,0)</f>
        <v>0</v>
      </c>
      <c r="AG62" s="728">
        <f>ROUND(CantidadesConsolidadas[[#This Row],[91010089]]*$D62,0)</f>
        <v>0</v>
      </c>
      <c r="AH62" s="728">
        <f>ROUND(CantidadesConsolidadas[[#This Row],[176122]]*$D62,0)</f>
        <v>0</v>
      </c>
      <c r="AI62" s="728">
        <f>ROUND(CantidadesConsolidadas[[#This Row],[168536]]*$D62,0)</f>
        <v>0</v>
      </c>
      <c r="AJ62" s="728">
        <f>ROUND(CantidadesConsolidadas[[#This Row],[166934]]*$D62,0)</f>
        <v>0</v>
      </c>
      <c r="AK62" s="728">
        <f>ROUND(CantidadesConsolidadas[[#This Row],[174353]]*$D62,0)</f>
        <v>0</v>
      </c>
      <c r="AL62" s="747">
        <f>ROUND(CantidadesConsolidadas[[#This Row],[52531]]*$D62,0)</f>
        <v>0</v>
      </c>
      <c r="AM62" s="746">
        <f>ROUND(CantidadesConsolidadas[[#This Row],[52456]]*$D62,0)</f>
        <v>0</v>
      </c>
      <c r="AN62" s="746">
        <f>ROUND(CantidadesConsolidadas[[#This Row],[92058103]]*$D62,0)</f>
        <v>0</v>
      </c>
      <c r="AO62" s="746">
        <f>ROUND(CantidadesConsolidadas[[#This Row],[20011114]]*$D62,0)</f>
        <v>0</v>
      </c>
      <c r="AP62" s="746">
        <f>ROUND(CantidadesConsolidadas[[#This Row],[20013540]]*$D62,0)</f>
        <v>0</v>
      </c>
      <c r="AQ62" s="746">
        <f>ROUND(CantidadesConsolidadas[[#This Row],[55337]]*$D62,0)</f>
        <v>0</v>
      </c>
      <c r="AR62" s="746">
        <f>ROUND(CantidadesConsolidadas[[#This Row],[92087422]]*$D62,0)</f>
        <v>0</v>
      </c>
      <c r="AS62" s="746">
        <f>ROUND(CantidadesConsolidadas[[#This Row],[55259]]*$D62,0)</f>
        <v>0</v>
      </c>
      <c r="AT62" s="746">
        <f>ROUND(CantidadesConsolidadas[[#This Row],[466904]]*$D62,0)</f>
        <v>0</v>
      </c>
      <c r="AU62" s="746">
        <f>ROUND(CantidadesConsolidadas[[#This Row],[48591]]*$D62,0)</f>
        <v>0</v>
      </c>
      <c r="AV62" s="746">
        <f>ROUND(CantidadesConsolidadas[[#This Row],[48590]]*$D62,0)</f>
        <v>0</v>
      </c>
      <c r="AW62" s="746">
        <f>ROUND(CantidadesConsolidadas[[#This Row],[48561]]*$D62,0)</f>
        <v>0</v>
      </c>
      <c r="AX62" s="746">
        <f>ROUND(CantidadesConsolidadas[[#This Row],[48560]]*$D62,0)</f>
        <v>0</v>
      </c>
      <c r="AY62" s="746">
        <f>ROUND(CantidadesConsolidadas[[#This Row],[48657]]*$D62,0)</f>
        <v>0</v>
      </c>
      <c r="AZ62" s="746">
        <f>ROUND(CantidadesConsolidadas[[#This Row],[48655]]*$D62,0)</f>
        <v>0</v>
      </c>
      <c r="BA62" s="806">
        <f>SUBTOTAL(9,CostoDirecto[[#This Row],[91013913]:[174353]])</f>
        <v>2547800</v>
      </c>
      <c r="BB62" s="806">
        <f>SUBTOTAL(9,CostoDirecto[[#This Row],[52531]:[48655]])</f>
        <v>0</v>
      </c>
    </row>
    <row r="63" spans="1:54" ht="28.8" x14ac:dyDescent="0.3">
      <c r="A63">
        <v>4614</v>
      </c>
      <c r="B63" s="511" t="str">
        <f>+_xlfn.XLOOKUP(CostoDirecto[[#This Row],[cod Idu]],APU_IDU[Código],APU_IDU[Nombre],"",0)</f>
        <v>CARCAMO PROTECCIÓN DE TUBERÍA Ø 12" (TIPO PLACA) NORMA EAAB NS-090</v>
      </c>
      <c r="C63" s="497" t="str">
        <f>+_xlfn.XLOOKUP(CostoDirecto[[#This Row],[cod Idu]],APU_IDU[Código],APU_IDU[UM],"",0)</f>
        <v>ML</v>
      </c>
      <c r="D63" s="521">
        <f>+_xlfn.XLOOKUP(CostoDirecto[[#This Row],[cod Idu]],APU_IDU[Código],APU_IDU[Valor],"",0)</f>
        <v>257166</v>
      </c>
      <c r="E63" s="728">
        <f>ROUND(CantidadesConsolidadas[[#This Row],[91013913]]*$D63,0)</f>
        <v>0</v>
      </c>
      <c r="F63" s="728">
        <f>ROUND(CantidadesConsolidadas[[#This Row],[472330]]*$D63,0)</f>
        <v>0</v>
      </c>
      <c r="G63" s="728">
        <f>ROUND(CantidadesConsolidadas[[#This Row],[167810]]*$D63,0)</f>
        <v>0</v>
      </c>
      <c r="H63" s="728">
        <f>ROUND(CantidadesConsolidadas[[#This Row],[166646]]*$D63,0)</f>
        <v>0</v>
      </c>
      <c r="I63" s="728">
        <f>ROUND(CantidadesConsolidadas[[#This Row],[167491]]*$D63,0)</f>
        <v>0</v>
      </c>
      <c r="J63" s="728">
        <f>ROUND(CantidadesConsolidadas[[#This Row],[167266]]*$D63,0)</f>
        <v>0</v>
      </c>
      <c r="K63" s="728">
        <f>ROUND(CantidadesConsolidadas[[#This Row],[170896]]*$D63,0)</f>
        <v>0</v>
      </c>
      <c r="L63" s="728">
        <f>ROUND(CantidadesConsolidadas[[#This Row],[170897]]*$D63,0)</f>
        <v>0</v>
      </c>
      <c r="M63" s="728">
        <f>ROUND(CantidadesConsolidadas[[#This Row],[170898]]*$D63,0)</f>
        <v>0</v>
      </c>
      <c r="N63" s="728">
        <f>ROUND(CantidadesConsolidadas[[#This Row],[91064150]]*$D63,0)</f>
        <v>0</v>
      </c>
      <c r="O63" s="728">
        <f>ROUND(CantidadesConsolidadas[[#This Row],[168919]]*$D63,0)</f>
        <v>0</v>
      </c>
      <c r="P63" s="728">
        <f>ROUND(CantidadesConsolidadas[[#This Row],[168426]]*$D63,0)</f>
        <v>0</v>
      </c>
      <c r="Q63" s="728">
        <f>ROUND(CantidadesConsolidadas[[#This Row],[91020796]]*$D63,0)</f>
        <v>2057328</v>
      </c>
      <c r="R63" s="728">
        <f>ROUND(CantidadesConsolidadas[[#This Row],[176184]]*$D63,0)</f>
        <v>771498</v>
      </c>
      <c r="S63" s="728">
        <f>ROUND(CantidadesConsolidadas[[#This Row],[167636]]*$D63,0)</f>
        <v>0</v>
      </c>
      <c r="T63" s="728">
        <f>ROUND(CantidadesConsolidadas[[#This Row],[176730]]*$D63,0)</f>
        <v>0</v>
      </c>
      <c r="U63" s="728">
        <f>ROUND(CantidadesConsolidadas[[#This Row],[173038]]*$D63,0)</f>
        <v>0</v>
      </c>
      <c r="V63" s="728">
        <f>ROUND(CantidadesConsolidadas[[#This Row],[170222]]*$D63,0)</f>
        <v>0</v>
      </c>
      <c r="W63" s="728">
        <f>ROUND(CantidadesConsolidadas[[#This Row],[170229]]*$D63,0)</f>
        <v>0</v>
      </c>
      <c r="X63" s="728">
        <f>ROUND(CantidadesConsolidadas[[#This Row],[170227]]*$D63,0)</f>
        <v>0</v>
      </c>
      <c r="Y63" s="728">
        <f>ROUND(CantidadesConsolidadas[[#This Row],[170226]]*$D63,0)</f>
        <v>0</v>
      </c>
      <c r="Z63" s="728">
        <f>ROUND(CantidadesConsolidadas[[#This Row],[171567]]*$D63,0)</f>
        <v>0</v>
      </c>
      <c r="AA63" s="728">
        <f>ROUND(CantidadesConsolidadas[[#This Row],[166632]]*$D63,0)</f>
        <v>0</v>
      </c>
      <c r="AB63" s="728">
        <f>ROUND(CantidadesConsolidadas[[#This Row],[170228]]*$D63,0)</f>
        <v>0</v>
      </c>
      <c r="AC63" s="728">
        <f>ROUND(CantidadesConsolidadas[[#This Row],[172926]]*$D63,0)</f>
        <v>0</v>
      </c>
      <c r="AD63" s="728">
        <f>ROUND(CantidadesConsolidadas[[#This Row],[171152]]*$D63,0)</f>
        <v>0</v>
      </c>
      <c r="AE63" s="728">
        <f>ROUND(CantidadesConsolidadas[[#This Row],[173058]]*$D63,0)</f>
        <v>0</v>
      </c>
      <c r="AF63" s="728">
        <f>ROUND(CantidadesConsolidadas[[#This Row],[174478]]*$D63,0)</f>
        <v>0</v>
      </c>
      <c r="AG63" s="728">
        <f>ROUND(CantidadesConsolidadas[[#This Row],[91010089]]*$D63,0)</f>
        <v>0</v>
      </c>
      <c r="AH63" s="728">
        <f>ROUND(CantidadesConsolidadas[[#This Row],[176122]]*$D63,0)</f>
        <v>0</v>
      </c>
      <c r="AI63" s="728">
        <f>ROUND(CantidadesConsolidadas[[#This Row],[168536]]*$D63,0)</f>
        <v>0</v>
      </c>
      <c r="AJ63" s="728">
        <f>ROUND(CantidadesConsolidadas[[#This Row],[166934]]*$D63,0)</f>
        <v>0</v>
      </c>
      <c r="AK63" s="728">
        <f>ROUND(CantidadesConsolidadas[[#This Row],[174353]]*$D63,0)</f>
        <v>0</v>
      </c>
      <c r="AL63" s="747">
        <f>ROUND(CantidadesConsolidadas[[#This Row],[52531]]*$D63,0)</f>
        <v>0</v>
      </c>
      <c r="AM63" s="746">
        <f>ROUND(CantidadesConsolidadas[[#This Row],[52456]]*$D63,0)</f>
        <v>0</v>
      </c>
      <c r="AN63" s="746">
        <f>ROUND(CantidadesConsolidadas[[#This Row],[92058103]]*$D63,0)</f>
        <v>0</v>
      </c>
      <c r="AO63" s="746">
        <f>ROUND(CantidadesConsolidadas[[#This Row],[20011114]]*$D63,0)</f>
        <v>0</v>
      </c>
      <c r="AP63" s="746">
        <f>ROUND(CantidadesConsolidadas[[#This Row],[20013540]]*$D63,0)</f>
        <v>0</v>
      </c>
      <c r="AQ63" s="746">
        <f>ROUND(CantidadesConsolidadas[[#This Row],[55337]]*$D63,0)</f>
        <v>0</v>
      </c>
      <c r="AR63" s="746">
        <f>ROUND(CantidadesConsolidadas[[#This Row],[92087422]]*$D63,0)</f>
        <v>0</v>
      </c>
      <c r="AS63" s="746">
        <f>ROUND(CantidadesConsolidadas[[#This Row],[55259]]*$D63,0)</f>
        <v>0</v>
      </c>
      <c r="AT63" s="746">
        <f>ROUND(CantidadesConsolidadas[[#This Row],[466904]]*$D63,0)</f>
        <v>0</v>
      </c>
      <c r="AU63" s="746">
        <f>ROUND(CantidadesConsolidadas[[#This Row],[48591]]*$D63,0)</f>
        <v>0</v>
      </c>
      <c r="AV63" s="746">
        <f>ROUND(CantidadesConsolidadas[[#This Row],[48590]]*$D63,0)</f>
        <v>0</v>
      </c>
      <c r="AW63" s="746">
        <f>ROUND(CantidadesConsolidadas[[#This Row],[48561]]*$D63,0)</f>
        <v>0</v>
      </c>
      <c r="AX63" s="746">
        <f>ROUND(CantidadesConsolidadas[[#This Row],[48560]]*$D63,0)</f>
        <v>0</v>
      </c>
      <c r="AY63" s="746">
        <f>ROUND(CantidadesConsolidadas[[#This Row],[48657]]*$D63,0)</f>
        <v>0</v>
      </c>
      <c r="AZ63" s="746">
        <f>ROUND(CantidadesConsolidadas[[#This Row],[48655]]*$D63,0)</f>
        <v>0</v>
      </c>
      <c r="BA63" s="806">
        <f>SUBTOTAL(9,CostoDirecto[[#This Row],[91013913]:[174353]])</f>
        <v>2828826</v>
      </c>
      <c r="BB63" s="806">
        <f>SUBTOTAL(9,CostoDirecto[[#This Row],[52531]:[48655]])</f>
        <v>0</v>
      </c>
    </row>
    <row r="64" spans="1:54" ht="28.8" x14ac:dyDescent="0.3">
      <c r="A64">
        <v>3009</v>
      </c>
      <c r="B64" s="511" t="str">
        <f>+_xlfn.XLOOKUP(CostoDirecto[[#This Row],[cod Idu]],APU_IDU[Código],APU_IDU[Nombre],"",0)</f>
        <v>EXCAVACION MANUAL PARA REDES PROFUNDIDAD 0M - 2M (INCLUYE CARGUE)</v>
      </c>
      <c r="C64" s="497" t="str">
        <f>+_xlfn.XLOOKUP(CostoDirecto[[#This Row],[cod Idu]],APU_IDU[Código],APU_IDU[UM],"",0)</f>
        <v>M3</v>
      </c>
      <c r="D64" s="521">
        <f>+_xlfn.XLOOKUP(CostoDirecto[[#This Row],[cod Idu]],APU_IDU[Código],APU_IDU[Valor],"",0)</f>
        <v>58471</v>
      </c>
      <c r="E64" s="728">
        <f>ROUND(CantidadesConsolidadas[[#This Row],[91013913]]*$D64,0)</f>
        <v>0</v>
      </c>
      <c r="F64" s="728">
        <f>ROUND(CantidadesConsolidadas[[#This Row],[472330]]*$D64,0)</f>
        <v>8623888</v>
      </c>
      <c r="G64" s="728">
        <f>ROUND(CantidadesConsolidadas[[#This Row],[167810]]*$D64,0)</f>
        <v>9368808</v>
      </c>
      <c r="H64" s="728">
        <f>ROUND(CantidadesConsolidadas[[#This Row],[166646]]*$D64,0)</f>
        <v>6598452</v>
      </c>
      <c r="I64" s="728">
        <f>ROUND(CantidadesConsolidadas[[#This Row],[167491]]*$D64,0)</f>
        <v>6376847</v>
      </c>
      <c r="J64" s="728">
        <f>ROUND(CantidadesConsolidadas[[#This Row],[167266]]*$D64,0)</f>
        <v>6665694</v>
      </c>
      <c r="K64" s="728">
        <f>ROUND(CantidadesConsolidadas[[#This Row],[170896]]*$D64,0)</f>
        <v>0</v>
      </c>
      <c r="L64" s="728">
        <f>ROUND(CantidadesConsolidadas[[#This Row],[170897]]*$D64,0)</f>
        <v>1796229</v>
      </c>
      <c r="M64" s="728">
        <f>ROUND(CantidadesConsolidadas[[#This Row],[170898]]*$D64,0)</f>
        <v>0</v>
      </c>
      <c r="N64" s="728">
        <f>ROUND(CantidadesConsolidadas[[#This Row],[91064150]]*$D64,0)</f>
        <v>1909663</v>
      </c>
      <c r="O64" s="728">
        <f>ROUND(CantidadesConsolidadas[[#This Row],[168919]]*$D64,0)</f>
        <v>4954833</v>
      </c>
      <c r="P64" s="728">
        <f>ROUND(CantidadesConsolidadas[[#This Row],[168426]]*$D64,0)</f>
        <v>5260051</v>
      </c>
      <c r="Q64" s="728">
        <f>ROUND(CantidadesConsolidadas[[#This Row],[91020796]]*$D64,0)</f>
        <v>1109780</v>
      </c>
      <c r="R64" s="728">
        <f>ROUND(CantidadesConsolidadas[[#This Row],[176184]]*$D64,0)</f>
        <v>2317790</v>
      </c>
      <c r="S64" s="728">
        <f>ROUND(CantidadesConsolidadas[[#This Row],[167636]]*$D64,0)</f>
        <v>6881452</v>
      </c>
      <c r="T64" s="728">
        <f>ROUND(CantidadesConsolidadas[[#This Row],[176730]]*$D64,0)</f>
        <v>2844614</v>
      </c>
      <c r="U64" s="728">
        <f>ROUND(CantidadesConsolidadas[[#This Row],[173038]]*$D64,0)</f>
        <v>5304489</v>
      </c>
      <c r="V64" s="728">
        <f>ROUND(CantidadesConsolidadas[[#This Row],[170222]]*$D64,0)</f>
        <v>0</v>
      </c>
      <c r="W64" s="728">
        <f>ROUND(CantidadesConsolidadas[[#This Row],[170229]]*$D64,0)</f>
        <v>0</v>
      </c>
      <c r="X64" s="728">
        <f>ROUND(CantidadesConsolidadas[[#This Row],[170227]]*$D64,0)</f>
        <v>2695513</v>
      </c>
      <c r="Y64" s="728">
        <f>ROUND(CantidadesConsolidadas[[#This Row],[170226]]*$D64,0)</f>
        <v>0</v>
      </c>
      <c r="Z64" s="728">
        <f>ROUND(CantidadesConsolidadas[[#This Row],[171567]]*$D64,0)</f>
        <v>6030114</v>
      </c>
      <c r="AA64" s="728">
        <f>ROUND(CantidadesConsolidadas[[#This Row],[166632]]*$D64,0)</f>
        <v>4516300</v>
      </c>
      <c r="AB64" s="728">
        <f>ROUND(CantidadesConsolidadas[[#This Row],[170228]]*$D64,0)</f>
        <v>2834674</v>
      </c>
      <c r="AC64" s="728">
        <f>ROUND(CantidadesConsolidadas[[#This Row],[172926]]*$D64,0)</f>
        <v>1952931</v>
      </c>
      <c r="AD64" s="728">
        <f>ROUND(CantidadesConsolidadas[[#This Row],[171152]]*$D64,0)</f>
        <v>7579596</v>
      </c>
      <c r="AE64" s="728">
        <f>ROUND(CantidadesConsolidadas[[#This Row],[173058]]*$D64,0)</f>
        <v>0</v>
      </c>
      <c r="AF64" s="728">
        <f>ROUND(CantidadesConsolidadas[[#This Row],[174478]]*$D64,0)</f>
        <v>0</v>
      </c>
      <c r="AG64" s="728">
        <f>ROUND(CantidadesConsolidadas[[#This Row],[91010089]]*$D64,0)</f>
        <v>0</v>
      </c>
      <c r="AH64" s="728">
        <f>ROUND(CantidadesConsolidadas[[#This Row],[176122]]*$D64,0)</f>
        <v>0</v>
      </c>
      <c r="AI64" s="728">
        <f>ROUND(CantidadesConsolidadas[[#This Row],[168536]]*$D64,0)</f>
        <v>0</v>
      </c>
      <c r="AJ64" s="728">
        <f>ROUND(CantidadesConsolidadas[[#This Row],[166934]]*$D64,0)</f>
        <v>11292504</v>
      </c>
      <c r="AK64" s="728">
        <f>ROUND(CantidadesConsolidadas[[#This Row],[174353]]*$D64,0)</f>
        <v>7544513</v>
      </c>
      <c r="AL64" s="747">
        <f>ROUND(CantidadesConsolidadas[[#This Row],[52531]]*$D64,0)</f>
        <v>0</v>
      </c>
      <c r="AM64" s="746">
        <f>ROUND(CantidadesConsolidadas[[#This Row],[52456]]*$D64,0)</f>
        <v>0</v>
      </c>
      <c r="AN64" s="746">
        <f>ROUND(CantidadesConsolidadas[[#This Row],[92058103]]*$D64,0)</f>
        <v>0</v>
      </c>
      <c r="AO64" s="746">
        <f>ROUND(CantidadesConsolidadas[[#This Row],[20011114]]*$D64,0)</f>
        <v>0</v>
      </c>
      <c r="AP64" s="746">
        <f>ROUND(CantidadesConsolidadas[[#This Row],[20013540]]*$D64,0)</f>
        <v>0</v>
      </c>
      <c r="AQ64" s="746">
        <f>ROUND(CantidadesConsolidadas[[#This Row],[55337]]*$D64,0)</f>
        <v>0</v>
      </c>
      <c r="AR64" s="746">
        <f>ROUND(CantidadesConsolidadas[[#This Row],[92087422]]*$D64,0)</f>
        <v>0</v>
      </c>
      <c r="AS64" s="746">
        <f>ROUND(CantidadesConsolidadas[[#This Row],[55259]]*$D64,0)</f>
        <v>0</v>
      </c>
      <c r="AT64" s="746">
        <f>ROUND(CantidadesConsolidadas[[#This Row],[466904]]*$D64,0)</f>
        <v>0</v>
      </c>
      <c r="AU64" s="746">
        <f>ROUND(CantidadesConsolidadas[[#This Row],[48591]]*$D64,0)</f>
        <v>0</v>
      </c>
      <c r="AV64" s="746">
        <f>ROUND(CantidadesConsolidadas[[#This Row],[48590]]*$D64,0)</f>
        <v>0</v>
      </c>
      <c r="AW64" s="746">
        <f>ROUND(CantidadesConsolidadas[[#This Row],[48561]]*$D64,0)</f>
        <v>0</v>
      </c>
      <c r="AX64" s="746">
        <f>ROUND(CantidadesConsolidadas[[#This Row],[48560]]*$D64,0)</f>
        <v>0</v>
      </c>
      <c r="AY64" s="746">
        <f>ROUND(CantidadesConsolidadas[[#This Row],[48657]]*$D64,0)</f>
        <v>0</v>
      </c>
      <c r="AZ64" s="746">
        <f>ROUND(CantidadesConsolidadas[[#This Row],[48655]]*$D64,0)</f>
        <v>0</v>
      </c>
      <c r="BA64" s="806">
        <f>SUBTOTAL(9,CostoDirecto[[#This Row],[91013913]:[174353]])</f>
        <v>114458735</v>
      </c>
      <c r="BB64" s="806">
        <f>SUBTOTAL(9,CostoDirecto[[#This Row],[52531]:[48655]])</f>
        <v>0</v>
      </c>
    </row>
    <row r="65" spans="1:54" ht="43.2" x14ac:dyDescent="0.3">
      <c r="A65">
        <v>3050</v>
      </c>
      <c r="B65" s="511" t="str">
        <f>+_xlfn.XLOOKUP(CostoDirecto[[#This Row],[cod Idu]],APU_IDU[Código],APU_IDU[Nombre],"",0)</f>
        <v>RELLENO EN MATERIAL SELECCIONADO PROVENIENTE DE LA EXCAVACIÓN (EXTENDIDO MANUAL, HUMEDECIMIENTO Y COMPACTACIÓN)</v>
      </c>
      <c r="C65" s="497" t="str">
        <f>+_xlfn.XLOOKUP(CostoDirecto[[#This Row],[cod Idu]],APU_IDU[Código],APU_IDU[UM],"",0)</f>
        <v>M3</v>
      </c>
      <c r="D65" s="521">
        <f>+_xlfn.XLOOKUP(CostoDirecto[[#This Row],[cod Idu]],APU_IDU[Código],APU_IDU[Valor],"",0)</f>
        <v>48122</v>
      </c>
      <c r="E65" s="728">
        <f>ROUND(CantidadesConsolidadas[[#This Row],[91013913]]*$D65,0)</f>
        <v>0</v>
      </c>
      <c r="F65" s="728">
        <f>ROUND(CantidadesConsolidadas[[#This Row],[472330]]*$D65,0)</f>
        <v>709800</v>
      </c>
      <c r="G65" s="728">
        <f>ROUND(CantidadesConsolidadas[[#This Row],[167810]]*$D65,0)</f>
        <v>770914</v>
      </c>
      <c r="H65" s="728">
        <f>ROUND(CantidadesConsolidadas[[#This Row],[166646]]*$D65,0)</f>
        <v>0</v>
      </c>
      <c r="I65" s="728">
        <f>ROUND(CantidadesConsolidadas[[#This Row],[167491]]*$D65,0)</f>
        <v>525011</v>
      </c>
      <c r="J65" s="728">
        <f>ROUND(CantidadesConsolidadas[[#This Row],[167266]]*$D65,0)</f>
        <v>548591</v>
      </c>
      <c r="K65" s="728">
        <f>ROUND(CantidadesConsolidadas[[#This Row],[170896]]*$D65,0)</f>
        <v>0</v>
      </c>
      <c r="L65" s="728">
        <f>ROUND(CantidadesConsolidadas[[#This Row],[170897]]*$D65,0)</f>
        <v>147735</v>
      </c>
      <c r="M65" s="728">
        <f>ROUND(CantidadesConsolidadas[[#This Row],[170898]]*$D65,0)</f>
        <v>0</v>
      </c>
      <c r="N65" s="728">
        <f>ROUND(CantidadesConsolidadas[[#This Row],[91064150]]*$D65,0)</f>
        <v>157359</v>
      </c>
      <c r="O65" s="728">
        <f>ROUND(CantidadesConsolidadas[[#This Row],[168919]]*$D65,0)</f>
        <v>407593</v>
      </c>
      <c r="P65" s="728">
        <f>ROUND(CantidadesConsolidadas[[#This Row],[168426]]*$D65,0)</f>
        <v>433098</v>
      </c>
      <c r="Q65" s="728">
        <f>ROUND(CantidadesConsolidadas[[#This Row],[91020796]]*$D65,0)</f>
        <v>91432</v>
      </c>
      <c r="R65" s="728">
        <f>ROUND(CantidadesConsolidadas[[#This Row],[176184]]*$D65,0)</f>
        <v>190563</v>
      </c>
      <c r="S65" s="728">
        <f>ROUND(CantidadesConsolidadas[[#This Row],[167636]]*$D65,0)</f>
        <v>566396</v>
      </c>
      <c r="T65" s="728">
        <f>ROUND(CantidadesConsolidadas[[#This Row],[176730]]*$D65,0)</f>
        <v>234354</v>
      </c>
      <c r="U65" s="728">
        <f>ROUND(CantidadesConsolidadas[[#This Row],[173038]]*$D65,0)</f>
        <v>436467</v>
      </c>
      <c r="V65" s="728">
        <f>ROUND(CantidadesConsolidadas[[#This Row],[170222]]*$D65,0)</f>
        <v>0</v>
      </c>
      <c r="W65" s="728">
        <f>ROUND(CantidadesConsolidadas[[#This Row],[170229]]*$D65,0)</f>
        <v>0</v>
      </c>
      <c r="X65" s="728">
        <f>ROUND(CantidadesConsolidadas[[#This Row],[170227]]*$D65,0)</f>
        <v>221842</v>
      </c>
      <c r="Y65" s="728">
        <f>ROUND(CantidadesConsolidadas[[#This Row],[170226]]*$D65,0)</f>
        <v>0</v>
      </c>
      <c r="Z65" s="728">
        <f>ROUND(CantidadesConsolidadas[[#This Row],[171567]]*$D65,0)</f>
        <v>496138</v>
      </c>
      <c r="AA65" s="728">
        <f>ROUND(CantidadesConsolidadas[[#This Row],[166632]]*$D65,0)</f>
        <v>371502</v>
      </c>
      <c r="AB65" s="728">
        <f>ROUND(CantidadesConsolidadas[[#This Row],[170228]]*$D65,0)</f>
        <v>233392</v>
      </c>
      <c r="AC65" s="728">
        <f>ROUND(CantidadesConsolidadas[[#This Row],[172926]]*$D65,0)</f>
        <v>160727</v>
      </c>
      <c r="AD65" s="728">
        <f>ROUND(CantidadesConsolidadas[[#This Row],[171152]]*$D65,0)</f>
        <v>623661</v>
      </c>
      <c r="AE65" s="728">
        <f>ROUND(CantidadesConsolidadas[[#This Row],[173058]]*$D65,0)</f>
        <v>0</v>
      </c>
      <c r="AF65" s="728">
        <f>ROUND(CantidadesConsolidadas[[#This Row],[174478]]*$D65,0)</f>
        <v>0</v>
      </c>
      <c r="AG65" s="728">
        <f>ROUND(CantidadesConsolidadas[[#This Row],[91010089]]*$D65,0)</f>
        <v>0</v>
      </c>
      <c r="AH65" s="728">
        <f>ROUND(CantidadesConsolidadas[[#This Row],[176122]]*$D65,0)</f>
        <v>0</v>
      </c>
      <c r="AI65" s="728">
        <f>ROUND(CantidadesConsolidadas[[#This Row],[168536]]*$D65,0)</f>
        <v>0</v>
      </c>
      <c r="AJ65" s="728">
        <f>ROUND(CantidadesConsolidadas[[#This Row],[166934]]*$D65,0)</f>
        <v>929236</v>
      </c>
      <c r="AK65" s="728">
        <f>ROUND(CantidadesConsolidadas[[#This Row],[174353]]*$D65,0)</f>
        <v>620774</v>
      </c>
      <c r="AL65" s="747">
        <f>ROUND(CantidadesConsolidadas[[#This Row],[52531]]*$D65,0)</f>
        <v>0</v>
      </c>
      <c r="AM65" s="746">
        <f>ROUND(CantidadesConsolidadas[[#This Row],[52456]]*$D65,0)</f>
        <v>0</v>
      </c>
      <c r="AN65" s="746">
        <f>ROUND(CantidadesConsolidadas[[#This Row],[92058103]]*$D65,0)</f>
        <v>0</v>
      </c>
      <c r="AO65" s="746">
        <f>ROUND(CantidadesConsolidadas[[#This Row],[20011114]]*$D65,0)</f>
        <v>0</v>
      </c>
      <c r="AP65" s="746">
        <f>ROUND(CantidadesConsolidadas[[#This Row],[20013540]]*$D65,0)</f>
        <v>0</v>
      </c>
      <c r="AQ65" s="746">
        <f>ROUND(CantidadesConsolidadas[[#This Row],[55337]]*$D65,0)</f>
        <v>0</v>
      </c>
      <c r="AR65" s="746">
        <f>ROUND(CantidadesConsolidadas[[#This Row],[92087422]]*$D65,0)</f>
        <v>0</v>
      </c>
      <c r="AS65" s="746">
        <f>ROUND(CantidadesConsolidadas[[#This Row],[55259]]*$D65,0)</f>
        <v>0</v>
      </c>
      <c r="AT65" s="746">
        <f>ROUND(CantidadesConsolidadas[[#This Row],[466904]]*$D65,0)</f>
        <v>0</v>
      </c>
      <c r="AU65" s="746">
        <f>ROUND(CantidadesConsolidadas[[#This Row],[48591]]*$D65,0)</f>
        <v>0</v>
      </c>
      <c r="AV65" s="746">
        <f>ROUND(CantidadesConsolidadas[[#This Row],[48590]]*$D65,0)</f>
        <v>0</v>
      </c>
      <c r="AW65" s="746">
        <f>ROUND(CantidadesConsolidadas[[#This Row],[48561]]*$D65,0)</f>
        <v>0</v>
      </c>
      <c r="AX65" s="746">
        <f>ROUND(CantidadesConsolidadas[[#This Row],[48560]]*$D65,0)</f>
        <v>0</v>
      </c>
      <c r="AY65" s="746">
        <f>ROUND(CantidadesConsolidadas[[#This Row],[48657]]*$D65,0)</f>
        <v>0</v>
      </c>
      <c r="AZ65" s="746">
        <f>ROUND(CantidadesConsolidadas[[#This Row],[48655]]*$D65,0)</f>
        <v>0</v>
      </c>
      <c r="BA65" s="806">
        <f>SUBTOTAL(9,CostoDirecto[[#This Row],[91013913]:[174353]])</f>
        <v>8876585</v>
      </c>
      <c r="BB65" s="806">
        <f>SUBTOTAL(9,CostoDirecto[[#This Row],[52531]:[48655]])</f>
        <v>0</v>
      </c>
    </row>
    <row r="66" spans="1:54" ht="28.8" x14ac:dyDescent="0.3">
      <c r="A66">
        <v>5412</v>
      </c>
      <c r="B66" s="511" t="str">
        <f>+_xlfn.XLOOKUP(CostoDirecto[[#This Row],[cod Idu]],APU_IDU[Código],APU_IDU[Nombre],"",0)</f>
        <v>RELLENO EN TRITURADO DE 3/4`` (INCLUYE TRANSPORTE, SUMINISTRO, EXTENDIDO MANUAL Y COLOCACIÓN)</v>
      </c>
      <c r="C66" s="497" t="str">
        <f>+_xlfn.XLOOKUP(CostoDirecto[[#This Row],[cod Idu]],APU_IDU[Código],APU_IDU[UM],"",0)</f>
        <v>M3</v>
      </c>
      <c r="D66" s="521">
        <f>+_xlfn.XLOOKUP(CostoDirecto[[#This Row],[cod Idu]],APU_IDU[Código],APU_IDU[Valor],"",0)</f>
        <v>178829</v>
      </c>
      <c r="E66" s="728">
        <f>ROUND(CantidadesConsolidadas[[#This Row],[91013913]]*$D66,0)</f>
        <v>0</v>
      </c>
      <c r="F66" s="728">
        <f>ROUND(CantidadesConsolidadas[[#This Row],[472330]]*$D66,0)</f>
        <v>0</v>
      </c>
      <c r="G66" s="728">
        <f>ROUND(CantidadesConsolidadas[[#This Row],[167810]]*$D66,0)</f>
        <v>0</v>
      </c>
      <c r="H66" s="728">
        <f>ROUND(CantidadesConsolidadas[[#This Row],[166646]]*$D66,0)</f>
        <v>2018979</v>
      </c>
      <c r="I66" s="728">
        <f>ROUND(CantidadesConsolidadas[[#This Row],[167491]]*$D66,0)</f>
        <v>0</v>
      </c>
      <c r="J66" s="728">
        <f>ROUND(CantidadesConsolidadas[[#This Row],[167266]]*$D66,0)</f>
        <v>0</v>
      </c>
      <c r="K66" s="728">
        <f>ROUND(CantidadesConsolidadas[[#This Row],[170896]]*$D66,0)</f>
        <v>0</v>
      </c>
      <c r="L66" s="728">
        <f>ROUND(CantidadesConsolidadas[[#This Row],[170897]]*$D66,0)</f>
        <v>0</v>
      </c>
      <c r="M66" s="728">
        <f>ROUND(CantidadesConsolidadas[[#This Row],[170898]]*$D66,0)</f>
        <v>0</v>
      </c>
      <c r="N66" s="728">
        <f>ROUND(CantidadesConsolidadas[[#This Row],[91064150]]*$D66,0)</f>
        <v>0</v>
      </c>
      <c r="O66" s="728">
        <f>ROUND(CantidadesConsolidadas[[#This Row],[168919]]*$D66,0)</f>
        <v>0</v>
      </c>
      <c r="P66" s="728">
        <f>ROUND(CantidadesConsolidadas[[#This Row],[168426]]*$D66,0)</f>
        <v>0</v>
      </c>
      <c r="Q66" s="728">
        <f>ROUND(CantidadesConsolidadas[[#This Row],[91020796]]*$D66,0)</f>
        <v>0</v>
      </c>
      <c r="R66" s="728">
        <f>ROUND(CantidadesConsolidadas[[#This Row],[176184]]*$D66,0)</f>
        <v>0</v>
      </c>
      <c r="S66" s="728">
        <f>ROUND(CantidadesConsolidadas[[#This Row],[167636]]*$D66,0)</f>
        <v>0</v>
      </c>
      <c r="T66" s="728">
        <f>ROUND(CantidadesConsolidadas[[#This Row],[176730]]*$D66,0)</f>
        <v>0</v>
      </c>
      <c r="U66" s="728">
        <f>ROUND(CantidadesConsolidadas[[#This Row],[173038]]*$D66,0)</f>
        <v>0</v>
      </c>
      <c r="V66" s="728">
        <f>ROUND(CantidadesConsolidadas[[#This Row],[170222]]*$D66,0)</f>
        <v>0</v>
      </c>
      <c r="W66" s="728">
        <f>ROUND(CantidadesConsolidadas[[#This Row],[170229]]*$D66,0)</f>
        <v>0</v>
      </c>
      <c r="X66" s="728">
        <f>ROUND(CantidadesConsolidadas[[#This Row],[170227]]*$D66,0)</f>
        <v>0</v>
      </c>
      <c r="Y66" s="728">
        <f>ROUND(CantidadesConsolidadas[[#This Row],[170226]]*$D66,0)</f>
        <v>0</v>
      </c>
      <c r="Z66" s="728">
        <f>ROUND(CantidadesConsolidadas[[#This Row],[171567]]*$D66,0)</f>
        <v>0</v>
      </c>
      <c r="AA66" s="728">
        <f>ROUND(CantidadesConsolidadas[[#This Row],[166632]]*$D66,0)</f>
        <v>0</v>
      </c>
      <c r="AB66" s="728">
        <f>ROUND(CantidadesConsolidadas[[#This Row],[170228]]*$D66,0)</f>
        <v>0</v>
      </c>
      <c r="AC66" s="728">
        <f>ROUND(CantidadesConsolidadas[[#This Row],[172926]]*$D66,0)</f>
        <v>0</v>
      </c>
      <c r="AD66" s="728">
        <f>ROUND(CantidadesConsolidadas[[#This Row],[171152]]*$D66,0)</f>
        <v>0</v>
      </c>
      <c r="AE66" s="728">
        <f>ROUND(CantidadesConsolidadas[[#This Row],[173058]]*$D66,0)</f>
        <v>0</v>
      </c>
      <c r="AF66" s="728">
        <f>ROUND(CantidadesConsolidadas[[#This Row],[174478]]*$D66,0)</f>
        <v>0</v>
      </c>
      <c r="AG66" s="728">
        <f>ROUND(CantidadesConsolidadas[[#This Row],[91010089]]*$D66,0)</f>
        <v>0</v>
      </c>
      <c r="AH66" s="728">
        <f>ROUND(CantidadesConsolidadas[[#This Row],[176122]]*$D66,0)</f>
        <v>0</v>
      </c>
      <c r="AI66" s="728">
        <f>ROUND(CantidadesConsolidadas[[#This Row],[168536]]*$D66,0)</f>
        <v>0</v>
      </c>
      <c r="AJ66" s="728">
        <f>ROUND(CantidadesConsolidadas[[#This Row],[166934]]*$D66,0)</f>
        <v>0</v>
      </c>
      <c r="AK66" s="728">
        <f>ROUND(CantidadesConsolidadas[[#This Row],[174353]]*$D66,0)</f>
        <v>0</v>
      </c>
      <c r="AL66" s="747">
        <f>ROUND(CantidadesConsolidadas[[#This Row],[52531]]*$D66,0)</f>
        <v>0</v>
      </c>
      <c r="AM66" s="746">
        <f>ROUND(CantidadesConsolidadas[[#This Row],[52456]]*$D66,0)</f>
        <v>0</v>
      </c>
      <c r="AN66" s="746">
        <f>ROUND(CantidadesConsolidadas[[#This Row],[92058103]]*$D66,0)</f>
        <v>0</v>
      </c>
      <c r="AO66" s="746">
        <f>ROUND(CantidadesConsolidadas[[#This Row],[20011114]]*$D66,0)</f>
        <v>0</v>
      </c>
      <c r="AP66" s="746">
        <f>ROUND(CantidadesConsolidadas[[#This Row],[20013540]]*$D66,0)</f>
        <v>0</v>
      </c>
      <c r="AQ66" s="746">
        <f>ROUND(CantidadesConsolidadas[[#This Row],[55337]]*$D66,0)</f>
        <v>0</v>
      </c>
      <c r="AR66" s="746">
        <f>ROUND(CantidadesConsolidadas[[#This Row],[92087422]]*$D66,0)</f>
        <v>0</v>
      </c>
      <c r="AS66" s="746">
        <f>ROUND(CantidadesConsolidadas[[#This Row],[55259]]*$D66,0)</f>
        <v>0</v>
      </c>
      <c r="AT66" s="746">
        <f>ROUND(CantidadesConsolidadas[[#This Row],[466904]]*$D66,0)</f>
        <v>0</v>
      </c>
      <c r="AU66" s="746">
        <f>ROUND(CantidadesConsolidadas[[#This Row],[48591]]*$D66,0)</f>
        <v>0</v>
      </c>
      <c r="AV66" s="746">
        <f>ROUND(CantidadesConsolidadas[[#This Row],[48590]]*$D66,0)</f>
        <v>0</v>
      </c>
      <c r="AW66" s="746">
        <f>ROUND(CantidadesConsolidadas[[#This Row],[48561]]*$D66,0)</f>
        <v>0</v>
      </c>
      <c r="AX66" s="746">
        <f>ROUND(CantidadesConsolidadas[[#This Row],[48560]]*$D66,0)</f>
        <v>0</v>
      </c>
      <c r="AY66" s="746">
        <f>ROUND(CantidadesConsolidadas[[#This Row],[48657]]*$D66,0)</f>
        <v>0</v>
      </c>
      <c r="AZ66" s="746">
        <f>ROUND(CantidadesConsolidadas[[#This Row],[48655]]*$D66,0)</f>
        <v>0</v>
      </c>
      <c r="BA66" s="806">
        <f>SUBTOTAL(9,CostoDirecto[[#This Row],[91013913]:[174353]])</f>
        <v>2018979</v>
      </c>
      <c r="BB66" s="806">
        <f>SUBTOTAL(9,CostoDirecto[[#This Row],[52531]:[48655]])</f>
        <v>0</v>
      </c>
    </row>
    <row r="67" spans="1:54" ht="28.8" x14ac:dyDescent="0.3">
      <c r="A67">
        <v>4792</v>
      </c>
      <c r="B67" s="511" t="str">
        <f>+_xlfn.XLOOKUP(CostoDirecto[[#This Row],[cod Idu]],APU_IDU[Código],APU_IDU[Nombre],"",0)</f>
        <v>RELLENO EN RECEBO COMUN (SUMINISTRO E INSTALACIÓN EXTENDIDO MANUAL, HUMEDECIMIENTO Y COMPACTACIÓN TRANSPORTE A 28 KM).</v>
      </c>
      <c r="C67" s="497" t="str">
        <f>+_xlfn.XLOOKUP(CostoDirecto[[#This Row],[cod Idu]],APU_IDU[Código],APU_IDU[UM],"",0)</f>
        <v>M3</v>
      </c>
      <c r="D67" s="521">
        <f>+_xlfn.XLOOKUP(CostoDirecto[[#This Row],[cod Idu]],APU_IDU[Código],APU_IDU[Valor],"",0)</f>
        <v>112980</v>
      </c>
      <c r="E67" s="728">
        <f>ROUND(CantidadesConsolidadas[[#This Row],[91013913]]*$D67,0)</f>
        <v>0</v>
      </c>
      <c r="F67" s="728">
        <f>ROUND(CantidadesConsolidadas[[#This Row],[472330]]*$D67,0)</f>
        <v>167210</v>
      </c>
      <c r="G67" s="728">
        <f>ROUND(CantidadesConsolidadas[[#This Row],[167810]]*$D67,0)</f>
        <v>180768</v>
      </c>
      <c r="H67" s="728">
        <f>ROUND(CantidadesConsolidadas[[#This Row],[166646]]*$D67,0)</f>
        <v>0</v>
      </c>
      <c r="I67" s="728">
        <f>ROUND(CantidadesConsolidadas[[#This Row],[167491]]*$D67,0)</f>
        <v>0</v>
      </c>
      <c r="J67" s="728">
        <f>ROUND(CantidadesConsolidadas[[#This Row],[167266]]*$D67,0)</f>
        <v>128797</v>
      </c>
      <c r="K67" s="728">
        <f>ROUND(CantidadesConsolidadas[[#This Row],[170896]]*$D67,0)</f>
        <v>0</v>
      </c>
      <c r="L67" s="728">
        <f>ROUND(CantidadesConsolidadas[[#This Row],[170897]]*$D67,0)</f>
        <v>35024</v>
      </c>
      <c r="M67" s="728">
        <f>ROUND(CantidadesConsolidadas[[#This Row],[170898]]*$D67,0)</f>
        <v>0</v>
      </c>
      <c r="N67" s="728">
        <f>ROUND(CantidadesConsolidadas[[#This Row],[91064150]]*$D67,0)</f>
        <v>37283</v>
      </c>
      <c r="O67" s="728">
        <f>ROUND(CantidadesConsolidadas[[#This Row],[168919]]*$D67,0)</f>
        <v>96033</v>
      </c>
      <c r="P67" s="728">
        <f>ROUND(CantidadesConsolidadas[[#This Row],[168426]]*$D67,0)</f>
        <v>101682</v>
      </c>
      <c r="Q67" s="728">
        <f>ROUND(CantidadesConsolidadas[[#This Row],[91020796]]*$D67,0)</f>
        <v>21466</v>
      </c>
      <c r="R67" s="728">
        <f>ROUND(CantidadesConsolidadas[[#This Row],[176184]]*$D67,0)</f>
        <v>45192</v>
      </c>
      <c r="S67" s="728">
        <f>ROUND(CantidadesConsolidadas[[#This Row],[167636]]*$D67,0)</f>
        <v>133316</v>
      </c>
      <c r="T67" s="728">
        <f>ROUND(CantidadesConsolidadas[[#This Row],[176730]]*$D67,0)</f>
        <v>55360</v>
      </c>
      <c r="U67" s="728">
        <f>ROUND(CantidadesConsolidadas[[#This Row],[173038]]*$D67,0)</f>
        <v>102812</v>
      </c>
      <c r="V67" s="728">
        <f>ROUND(CantidadesConsolidadas[[#This Row],[170222]]*$D67,0)</f>
        <v>0</v>
      </c>
      <c r="W67" s="728">
        <f>ROUND(CantidadesConsolidadas[[#This Row],[170229]]*$D67,0)</f>
        <v>0</v>
      </c>
      <c r="X67" s="728">
        <f>ROUND(CantidadesConsolidadas[[#This Row],[170227]]*$D67,0)</f>
        <v>51971</v>
      </c>
      <c r="Y67" s="728">
        <f>ROUND(CantidadesConsolidadas[[#This Row],[170226]]*$D67,0)</f>
        <v>0</v>
      </c>
      <c r="Z67" s="728">
        <f>ROUND(CantidadesConsolidadas[[#This Row],[171567]]*$D67,0)</f>
        <v>116369</v>
      </c>
      <c r="AA67" s="728">
        <f>ROUND(CantidadesConsolidadas[[#This Row],[166632]]*$D67,0)</f>
        <v>86995</v>
      </c>
      <c r="AB67" s="728">
        <f>ROUND(CantidadesConsolidadas[[#This Row],[170228]]*$D67,0)</f>
        <v>55360</v>
      </c>
      <c r="AC67" s="728">
        <f>ROUND(CantidadesConsolidadas[[#This Row],[172926]]*$D67,0)</f>
        <v>37283</v>
      </c>
      <c r="AD67" s="728">
        <f>ROUND(CantidadesConsolidadas[[#This Row],[171152]]*$D67,0)</f>
        <v>146874</v>
      </c>
      <c r="AE67" s="728">
        <f>ROUND(CantidadesConsolidadas[[#This Row],[173058]]*$D67,0)</f>
        <v>0</v>
      </c>
      <c r="AF67" s="728">
        <f>ROUND(CantidadesConsolidadas[[#This Row],[174478]]*$D67,0)</f>
        <v>0</v>
      </c>
      <c r="AG67" s="728">
        <f>ROUND(CantidadesConsolidadas[[#This Row],[91010089]]*$D67,0)</f>
        <v>0</v>
      </c>
      <c r="AH67" s="728">
        <f>ROUND(CantidadesConsolidadas[[#This Row],[176122]]*$D67,0)</f>
        <v>0</v>
      </c>
      <c r="AI67" s="728">
        <f>ROUND(CantidadesConsolidadas[[#This Row],[168536]]*$D67,0)</f>
        <v>0</v>
      </c>
      <c r="AJ67" s="728">
        <f>ROUND(CantidadesConsolidadas[[#This Row],[166934]]*$D67,0)</f>
        <v>218051</v>
      </c>
      <c r="AK67" s="728">
        <f>ROUND(CantidadesConsolidadas[[#This Row],[174353]]*$D67,0)</f>
        <v>145744</v>
      </c>
      <c r="AL67" s="747">
        <f>ROUND(CantidadesConsolidadas[[#This Row],[52531]]*$D67,0)</f>
        <v>0</v>
      </c>
      <c r="AM67" s="746">
        <f>ROUND(CantidadesConsolidadas[[#This Row],[52456]]*$D67,0)</f>
        <v>0</v>
      </c>
      <c r="AN67" s="746">
        <f>ROUND(CantidadesConsolidadas[[#This Row],[92058103]]*$D67,0)</f>
        <v>0</v>
      </c>
      <c r="AO67" s="746">
        <f>ROUND(CantidadesConsolidadas[[#This Row],[20011114]]*$D67,0)</f>
        <v>0</v>
      </c>
      <c r="AP67" s="746">
        <f>ROUND(CantidadesConsolidadas[[#This Row],[20013540]]*$D67,0)</f>
        <v>0</v>
      </c>
      <c r="AQ67" s="746">
        <f>ROUND(CantidadesConsolidadas[[#This Row],[55337]]*$D67,0)</f>
        <v>0</v>
      </c>
      <c r="AR67" s="746">
        <f>ROUND(CantidadesConsolidadas[[#This Row],[92087422]]*$D67,0)</f>
        <v>0</v>
      </c>
      <c r="AS67" s="746">
        <f>ROUND(CantidadesConsolidadas[[#This Row],[55259]]*$D67,0)</f>
        <v>0</v>
      </c>
      <c r="AT67" s="746">
        <f>ROUND(CantidadesConsolidadas[[#This Row],[466904]]*$D67,0)</f>
        <v>0</v>
      </c>
      <c r="AU67" s="746">
        <f>ROUND(CantidadesConsolidadas[[#This Row],[48591]]*$D67,0)</f>
        <v>0</v>
      </c>
      <c r="AV67" s="746">
        <f>ROUND(CantidadesConsolidadas[[#This Row],[48590]]*$D67,0)</f>
        <v>0</v>
      </c>
      <c r="AW67" s="746">
        <f>ROUND(CantidadesConsolidadas[[#This Row],[48561]]*$D67,0)</f>
        <v>0</v>
      </c>
      <c r="AX67" s="746">
        <f>ROUND(CantidadesConsolidadas[[#This Row],[48560]]*$D67,0)</f>
        <v>0</v>
      </c>
      <c r="AY67" s="746">
        <f>ROUND(CantidadesConsolidadas[[#This Row],[48657]]*$D67,0)</f>
        <v>0</v>
      </c>
      <c r="AZ67" s="746">
        <f>ROUND(CantidadesConsolidadas[[#This Row],[48655]]*$D67,0)</f>
        <v>0</v>
      </c>
      <c r="BA67" s="806">
        <f>SUBTOTAL(9,CostoDirecto[[#This Row],[91013913]:[174353]])</f>
        <v>1963590</v>
      </c>
      <c r="BB67" s="806">
        <f>SUBTOTAL(9,CostoDirecto[[#This Row],[52531]:[48655]])</f>
        <v>0</v>
      </c>
    </row>
    <row r="68" spans="1:54" ht="43.2" x14ac:dyDescent="0.3">
      <c r="A68">
        <v>4837</v>
      </c>
      <c r="B68" s="511" t="str">
        <f>+_xlfn.XLOOKUP(CostoDirecto[[#This Row],[cod Idu]],APU_IDU[Código],APU_IDU[Nombre],"",0)</f>
        <v>RELLENO CON MEZCLA DE GRAVILLA DE 3/4" Y ARENA DE RIO (RELACIÓN 1:1) SUMINISTRO Y COLOCACIÓN. (INCLUYE TRANSPORTE, SUMINISTRO, EXTENDIDO MANUAL Y COLOCACIÓN).</v>
      </c>
      <c r="C68" s="497" t="str">
        <f>+_xlfn.XLOOKUP(CostoDirecto[[#This Row],[cod Idu]],APU_IDU[Código],APU_IDU[UM],"",0)</f>
        <v>M3</v>
      </c>
      <c r="D68" s="521">
        <f>+_xlfn.XLOOKUP(CostoDirecto[[#This Row],[cod Idu]],APU_IDU[Código],APU_IDU[Valor],"",0)</f>
        <v>223097</v>
      </c>
      <c r="E68" s="728">
        <f>ROUND(CantidadesConsolidadas[[#This Row],[91013913]]*$D68,0)</f>
        <v>0</v>
      </c>
      <c r="F68" s="728">
        <f>ROUND(CantidadesConsolidadas[[#This Row],[472330]]*$D68,0)</f>
        <v>9872042</v>
      </c>
      <c r="G68" s="728">
        <f>ROUND(CantidadesConsolidadas[[#This Row],[167810]]*$D68,0)</f>
        <v>10724273</v>
      </c>
      <c r="H68" s="728">
        <f>ROUND(CantidadesConsolidadas[[#This Row],[166646]]*$D68,0)</f>
        <v>7554064</v>
      </c>
      <c r="I68" s="728">
        <f>ROUND(CantidadesConsolidadas[[#This Row],[167491]]*$D68,0)</f>
        <v>7299734</v>
      </c>
      <c r="J68" s="728">
        <f>ROUND(CantidadesConsolidadas[[#This Row],[167266]]*$D68,0)</f>
        <v>7629917</v>
      </c>
      <c r="K68" s="728">
        <f>ROUND(CantidadesConsolidadas[[#This Row],[170896]]*$D68,0)</f>
        <v>0</v>
      </c>
      <c r="L68" s="728">
        <f>ROUND(CantidadesConsolidadas[[#This Row],[170897]]*$D68,0)</f>
        <v>2056954</v>
      </c>
      <c r="M68" s="728">
        <f>ROUND(CantidadesConsolidadas[[#This Row],[170898]]*$D68,0)</f>
        <v>0</v>
      </c>
      <c r="N68" s="728">
        <f>ROUND(CantidadesConsolidadas[[#This Row],[91064150]]*$D68,0)</f>
        <v>2186351</v>
      </c>
      <c r="O68" s="728">
        <f>ROUND(CantidadesConsolidadas[[#This Row],[168919]]*$D68,0)</f>
        <v>5671126</v>
      </c>
      <c r="P68" s="728">
        <f>ROUND(CantidadesConsolidadas[[#This Row],[168426]]*$D68,0)</f>
        <v>6021388</v>
      </c>
      <c r="Q68" s="728">
        <f>ROUND(CantidadesConsolidadas[[#This Row],[91020796]]*$D68,0)</f>
        <v>1269422</v>
      </c>
      <c r="R68" s="728">
        <f>ROUND(CantidadesConsolidadas[[#This Row],[176184]]*$D68,0)</f>
        <v>2652623</v>
      </c>
      <c r="S68" s="728">
        <f>ROUND(CantidadesConsolidadas[[#This Row],[167636]]*$D68,0)</f>
        <v>7877555</v>
      </c>
      <c r="T68" s="728">
        <f>ROUND(CantidadesConsolidadas[[#This Row],[176730]]*$D68,0)</f>
        <v>3257216</v>
      </c>
      <c r="U68" s="728">
        <f>ROUND(CantidadesConsolidadas[[#This Row],[173038]]*$D68,0)</f>
        <v>6072700</v>
      </c>
      <c r="V68" s="728">
        <f>ROUND(CantidadesConsolidadas[[#This Row],[170222]]*$D68,0)</f>
        <v>0</v>
      </c>
      <c r="W68" s="728">
        <f>ROUND(CantidadesConsolidadas[[#This Row],[170229]]*$D68,0)</f>
        <v>0</v>
      </c>
      <c r="X68" s="728">
        <f>ROUND(CantidadesConsolidadas[[#This Row],[170227]]*$D68,0)</f>
        <v>3085432</v>
      </c>
      <c r="Y68" s="728">
        <f>ROUND(CantidadesConsolidadas[[#This Row],[170226]]*$D68,0)</f>
        <v>0</v>
      </c>
      <c r="Z68" s="728">
        <f>ROUND(CantidadesConsolidadas[[#This Row],[171567]]*$D68,0)</f>
        <v>6902621</v>
      </c>
      <c r="AA68" s="728">
        <f>ROUND(CantidadesConsolidadas[[#This Row],[166632]]*$D68,0)</f>
        <v>5169157</v>
      </c>
      <c r="AB68" s="728">
        <f>ROUND(CantidadesConsolidadas[[#This Row],[170228]]*$D68,0)</f>
        <v>3243830</v>
      </c>
      <c r="AC68" s="728">
        <f>ROUND(CantidadesConsolidadas[[#This Row],[172926]]*$D68,0)</f>
        <v>2235432</v>
      </c>
      <c r="AD68" s="728">
        <f>ROUND(CantidadesConsolidadas[[#This Row],[171152]]*$D68,0)</f>
        <v>8676242</v>
      </c>
      <c r="AE68" s="728">
        <f>ROUND(CantidadesConsolidadas[[#This Row],[173058]]*$D68,0)</f>
        <v>0</v>
      </c>
      <c r="AF68" s="728">
        <f>ROUND(CantidadesConsolidadas[[#This Row],[174478]]*$D68,0)</f>
        <v>0</v>
      </c>
      <c r="AG68" s="728">
        <f>ROUND(CantidadesConsolidadas[[#This Row],[91010089]]*$D68,0)</f>
        <v>0</v>
      </c>
      <c r="AH68" s="728">
        <f>ROUND(CantidadesConsolidadas[[#This Row],[176122]]*$D68,0)</f>
        <v>0</v>
      </c>
      <c r="AI68" s="728">
        <f>ROUND(CantidadesConsolidadas[[#This Row],[168536]]*$D68,0)</f>
        <v>0</v>
      </c>
      <c r="AJ68" s="728">
        <f>ROUND(CantidadesConsolidadas[[#This Row],[166934]]*$D68,0)</f>
        <v>12926240</v>
      </c>
      <c r="AK68" s="728">
        <f>ROUND(CantidadesConsolidadas[[#This Row],[174353]]*$D68,0)</f>
        <v>8636085</v>
      </c>
      <c r="AL68" s="747">
        <f>ROUND(CantidadesConsolidadas[[#This Row],[52531]]*$D68,0)</f>
        <v>0</v>
      </c>
      <c r="AM68" s="746">
        <f>ROUND(CantidadesConsolidadas[[#This Row],[52456]]*$D68,0)</f>
        <v>0</v>
      </c>
      <c r="AN68" s="746">
        <f>ROUND(CantidadesConsolidadas[[#This Row],[92058103]]*$D68,0)</f>
        <v>0</v>
      </c>
      <c r="AO68" s="746">
        <f>ROUND(CantidadesConsolidadas[[#This Row],[20011114]]*$D68,0)</f>
        <v>0</v>
      </c>
      <c r="AP68" s="746">
        <f>ROUND(CantidadesConsolidadas[[#This Row],[20013540]]*$D68,0)</f>
        <v>0</v>
      </c>
      <c r="AQ68" s="746">
        <f>ROUND(CantidadesConsolidadas[[#This Row],[55337]]*$D68,0)</f>
        <v>0</v>
      </c>
      <c r="AR68" s="746">
        <f>ROUND(CantidadesConsolidadas[[#This Row],[92087422]]*$D68,0)</f>
        <v>0</v>
      </c>
      <c r="AS68" s="746">
        <f>ROUND(CantidadesConsolidadas[[#This Row],[55259]]*$D68,0)</f>
        <v>0</v>
      </c>
      <c r="AT68" s="746">
        <f>ROUND(CantidadesConsolidadas[[#This Row],[466904]]*$D68,0)</f>
        <v>0</v>
      </c>
      <c r="AU68" s="746">
        <f>ROUND(CantidadesConsolidadas[[#This Row],[48591]]*$D68,0)</f>
        <v>0</v>
      </c>
      <c r="AV68" s="746">
        <f>ROUND(CantidadesConsolidadas[[#This Row],[48590]]*$D68,0)</f>
        <v>0</v>
      </c>
      <c r="AW68" s="746">
        <f>ROUND(CantidadesConsolidadas[[#This Row],[48561]]*$D68,0)</f>
        <v>0</v>
      </c>
      <c r="AX68" s="746">
        <f>ROUND(CantidadesConsolidadas[[#This Row],[48560]]*$D68,0)</f>
        <v>0</v>
      </c>
      <c r="AY68" s="746">
        <f>ROUND(CantidadesConsolidadas[[#This Row],[48657]]*$D68,0)</f>
        <v>0</v>
      </c>
      <c r="AZ68" s="746">
        <f>ROUND(CantidadesConsolidadas[[#This Row],[48655]]*$D68,0)</f>
        <v>0</v>
      </c>
      <c r="BA68" s="806">
        <f>SUBTOTAL(9,CostoDirecto[[#This Row],[91013913]:[174353]])</f>
        <v>131020404</v>
      </c>
      <c r="BB68" s="806">
        <f>SUBTOTAL(9,CostoDirecto[[#This Row],[52531]:[48655]])</f>
        <v>0</v>
      </c>
    </row>
    <row r="69" spans="1:54" ht="28.8" x14ac:dyDescent="0.3">
      <c r="A69">
        <v>3024</v>
      </c>
      <c r="B69" s="511" t="str">
        <f>+_xlfn.XLOOKUP(CostoDirecto[[#This Row],[cod Idu]],APU_IDU[Código],APU_IDU[Nombre],"",0)</f>
        <v>RELLENO PARA REDES EN ARENA DE PEÑA (SUMINISTRO, EXTENDIDO, HUMEDECIMIENTO Y COMPACTACIÓN)</v>
      </c>
      <c r="C69" s="497" t="str">
        <f>+_xlfn.XLOOKUP(CostoDirecto[[#This Row],[cod Idu]],APU_IDU[Código],APU_IDU[UM],"",0)</f>
        <v>M3</v>
      </c>
      <c r="D69" s="521">
        <f>+_xlfn.XLOOKUP(CostoDirecto[[#This Row],[cod Idu]],APU_IDU[Código],APU_IDU[Valor],"",0)</f>
        <v>182185</v>
      </c>
      <c r="E69" s="728">
        <f>ROUND(CantidadesConsolidadas[[#This Row],[91013913]]*$D69,0)</f>
        <v>0</v>
      </c>
      <c r="F69" s="728">
        <f>ROUND(CantidadesConsolidadas[[#This Row],[472330]]*$D69,0)</f>
        <v>27328</v>
      </c>
      <c r="G69" s="728">
        <f>ROUND(CantidadesConsolidadas[[#This Row],[167810]]*$D69,0)</f>
        <v>29150</v>
      </c>
      <c r="H69" s="728">
        <f>ROUND(CantidadesConsolidadas[[#This Row],[166646]]*$D69,0)</f>
        <v>205869</v>
      </c>
      <c r="I69" s="728">
        <f>ROUND(CantidadesConsolidadas[[#This Row],[167491]]*$D69,0)</f>
        <v>0</v>
      </c>
      <c r="J69" s="728">
        <f>ROUND(CantidadesConsolidadas[[#This Row],[167266]]*$D69,0)</f>
        <v>20040</v>
      </c>
      <c r="K69" s="728">
        <f>ROUND(CantidadesConsolidadas[[#This Row],[170896]]*$D69,0)</f>
        <v>0</v>
      </c>
      <c r="L69" s="728">
        <f>ROUND(CantidadesConsolidadas[[#This Row],[170897]]*$D69,0)</f>
        <v>5466</v>
      </c>
      <c r="M69" s="728">
        <f>ROUND(CantidadesConsolidadas[[#This Row],[170898]]*$D69,0)</f>
        <v>0</v>
      </c>
      <c r="N69" s="728">
        <f>ROUND(CantidadesConsolidadas[[#This Row],[91064150]]*$D69,0)</f>
        <v>5466</v>
      </c>
      <c r="O69" s="728">
        <f>ROUND(CantidadesConsolidadas[[#This Row],[168919]]*$D69,0)</f>
        <v>16397</v>
      </c>
      <c r="P69" s="728">
        <f>ROUND(CantidadesConsolidadas[[#This Row],[168426]]*$D69,0)</f>
        <v>16397</v>
      </c>
      <c r="Q69" s="728">
        <f>ROUND(CantidadesConsolidadas[[#This Row],[91020796]]*$D69,0)</f>
        <v>3644</v>
      </c>
      <c r="R69" s="728">
        <f>ROUND(CantidadesConsolidadas[[#This Row],[176184]]*$D69,0)</f>
        <v>7287</v>
      </c>
      <c r="S69" s="728">
        <f>ROUND(CantidadesConsolidadas[[#This Row],[167636]]*$D69,0)</f>
        <v>21862</v>
      </c>
      <c r="T69" s="728">
        <f>ROUND(CantidadesConsolidadas[[#This Row],[176730]]*$D69,0)</f>
        <v>9109</v>
      </c>
      <c r="U69" s="728">
        <f>ROUND(CantidadesConsolidadas[[#This Row],[173038]]*$D69,0)</f>
        <v>16397</v>
      </c>
      <c r="V69" s="728">
        <f>ROUND(CantidadesConsolidadas[[#This Row],[170222]]*$D69,0)</f>
        <v>0</v>
      </c>
      <c r="W69" s="728">
        <f>ROUND(CantidadesConsolidadas[[#This Row],[170229]]*$D69,0)</f>
        <v>0</v>
      </c>
      <c r="X69" s="728">
        <f>ROUND(CantidadesConsolidadas[[#This Row],[170227]]*$D69,0)</f>
        <v>9109</v>
      </c>
      <c r="Y69" s="728">
        <f>ROUND(CantidadesConsolidadas[[#This Row],[170226]]*$D69,0)</f>
        <v>0</v>
      </c>
      <c r="Z69" s="728">
        <f>ROUND(CantidadesConsolidadas[[#This Row],[171567]]*$D69,0)</f>
        <v>18219</v>
      </c>
      <c r="AA69" s="728">
        <f>ROUND(CantidadesConsolidadas[[#This Row],[166632]]*$D69,0)</f>
        <v>14575</v>
      </c>
      <c r="AB69" s="728">
        <f>ROUND(CantidadesConsolidadas[[#This Row],[170228]]*$D69,0)</f>
        <v>9109</v>
      </c>
      <c r="AC69" s="728">
        <f>ROUND(CantidadesConsolidadas[[#This Row],[172926]]*$D69,0)</f>
        <v>5466</v>
      </c>
      <c r="AD69" s="728">
        <f>ROUND(CantidadesConsolidadas[[#This Row],[171152]]*$D69,0)</f>
        <v>23684</v>
      </c>
      <c r="AE69" s="728">
        <f>ROUND(CantidadesConsolidadas[[#This Row],[173058]]*$D69,0)</f>
        <v>0</v>
      </c>
      <c r="AF69" s="728">
        <f>ROUND(CantidadesConsolidadas[[#This Row],[174478]]*$D69,0)</f>
        <v>0</v>
      </c>
      <c r="AG69" s="728">
        <f>ROUND(CantidadesConsolidadas[[#This Row],[91010089]]*$D69,0)</f>
        <v>0</v>
      </c>
      <c r="AH69" s="728">
        <f>ROUND(CantidadesConsolidadas[[#This Row],[176122]]*$D69,0)</f>
        <v>0</v>
      </c>
      <c r="AI69" s="728">
        <f>ROUND(CantidadesConsolidadas[[#This Row],[168536]]*$D69,0)</f>
        <v>0</v>
      </c>
      <c r="AJ69" s="728">
        <f>ROUND(CantidadesConsolidadas[[#This Row],[166934]]*$D69,0)</f>
        <v>34615</v>
      </c>
      <c r="AK69" s="728">
        <f>ROUND(CantidadesConsolidadas[[#This Row],[174353]]*$D69,0)</f>
        <v>23684</v>
      </c>
      <c r="AL69" s="747">
        <f>ROUND(CantidadesConsolidadas[[#This Row],[52531]]*$D69,0)</f>
        <v>0</v>
      </c>
      <c r="AM69" s="746">
        <f>ROUND(CantidadesConsolidadas[[#This Row],[52456]]*$D69,0)</f>
        <v>0</v>
      </c>
      <c r="AN69" s="746">
        <f>ROUND(CantidadesConsolidadas[[#This Row],[92058103]]*$D69,0)</f>
        <v>0</v>
      </c>
      <c r="AO69" s="746">
        <f>ROUND(CantidadesConsolidadas[[#This Row],[20011114]]*$D69,0)</f>
        <v>0</v>
      </c>
      <c r="AP69" s="746">
        <f>ROUND(CantidadesConsolidadas[[#This Row],[20013540]]*$D69,0)</f>
        <v>0</v>
      </c>
      <c r="AQ69" s="746">
        <f>ROUND(CantidadesConsolidadas[[#This Row],[55337]]*$D69,0)</f>
        <v>0</v>
      </c>
      <c r="AR69" s="746">
        <f>ROUND(CantidadesConsolidadas[[#This Row],[92087422]]*$D69,0)</f>
        <v>0</v>
      </c>
      <c r="AS69" s="746">
        <f>ROUND(CantidadesConsolidadas[[#This Row],[55259]]*$D69,0)</f>
        <v>0</v>
      </c>
      <c r="AT69" s="746">
        <f>ROUND(CantidadesConsolidadas[[#This Row],[466904]]*$D69,0)</f>
        <v>0</v>
      </c>
      <c r="AU69" s="746">
        <f>ROUND(CantidadesConsolidadas[[#This Row],[48591]]*$D69,0)</f>
        <v>0</v>
      </c>
      <c r="AV69" s="746">
        <f>ROUND(CantidadesConsolidadas[[#This Row],[48590]]*$D69,0)</f>
        <v>0</v>
      </c>
      <c r="AW69" s="746">
        <f>ROUND(CantidadesConsolidadas[[#This Row],[48561]]*$D69,0)</f>
        <v>0</v>
      </c>
      <c r="AX69" s="746">
        <f>ROUND(CantidadesConsolidadas[[#This Row],[48560]]*$D69,0)</f>
        <v>0</v>
      </c>
      <c r="AY69" s="746">
        <f>ROUND(CantidadesConsolidadas[[#This Row],[48657]]*$D69,0)</f>
        <v>0</v>
      </c>
      <c r="AZ69" s="746">
        <f>ROUND(CantidadesConsolidadas[[#This Row],[48655]]*$D69,0)</f>
        <v>0</v>
      </c>
      <c r="BA69" s="806">
        <f>SUBTOTAL(9,CostoDirecto[[#This Row],[91013913]:[174353]])</f>
        <v>522873</v>
      </c>
      <c r="BB69" s="806">
        <f>SUBTOTAL(9,CostoDirecto[[#This Row],[52531]:[48655]])</f>
        <v>0</v>
      </c>
    </row>
    <row r="70" spans="1:54" ht="28.8" x14ac:dyDescent="0.3">
      <c r="A70">
        <v>3878</v>
      </c>
      <c r="B70" s="511" t="str">
        <f>+_xlfn.XLOOKUP(CostoDirecto[[#This Row],[cod Idu]],APU_IDU[Código],APU_IDU[Nombre],"",0)</f>
        <v>PLACA CUBIERTA D=1.70M POZO INSPEC. (PREFABRICADA. INCLUYE SUMINISTRO E INSTALACIÓN. INCLUYE TAPA)</v>
      </c>
      <c r="C70" s="497" t="str">
        <f>+_xlfn.XLOOKUP(CostoDirecto[[#This Row],[cod Idu]],APU_IDU[Código],APU_IDU[UM],"",0)</f>
        <v>UN</v>
      </c>
      <c r="D70" s="521">
        <f>+_xlfn.XLOOKUP(CostoDirecto[[#This Row],[cod Idu]],APU_IDU[Código],APU_IDU[Valor],"",0)</f>
        <v>2025781</v>
      </c>
      <c r="E70" s="728">
        <f>ROUND(CantidadesConsolidadas[[#This Row],[91013913]]*$D70,0)</f>
        <v>0</v>
      </c>
      <c r="F70" s="728">
        <f>ROUND(CantidadesConsolidadas[[#This Row],[472330]]*$D70,0)</f>
        <v>4051562</v>
      </c>
      <c r="G70" s="728">
        <f>ROUND(CantidadesConsolidadas[[#This Row],[167810]]*$D70,0)</f>
        <v>6077343</v>
      </c>
      <c r="H70" s="728">
        <f>ROUND(CantidadesConsolidadas[[#This Row],[166646]]*$D70,0)</f>
        <v>8103124</v>
      </c>
      <c r="I70" s="728">
        <f>ROUND(CantidadesConsolidadas[[#This Row],[167491]]*$D70,0)</f>
        <v>0</v>
      </c>
      <c r="J70" s="728">
        <f>ROUND(CantidadesConsolidadas[[#This Row],[167266]]*$D70,0)</f>
        <v>0</v>
      </c>
      <c r="K70" s="728">
        <f>ROUND(CantidadesConsolidadas[[#This Row],[170896]]*$D70,0)</f>
        <v>6077343</v>
      </c>
      <c r="L70" s="728">
        <f>ROUND(CantidadesConsolidadas[[#This Row],[170897]]*$D70,0)</f>
        <v>8103124</v>
      </c>
      <c r="M70" s="728">
        <f>ROUND(CantidadesConsolidadas[[#This Row],[170898]]*$D70,0)</f>
        <v>0</v>
      </c>
      <c r="N70" s="728">
        <f>ROUND(CantidadesConsolidadas[[#This Row],[91064150]]*$D70,0)</f>
        <v>8103124</v>
      </c>
      <c r="O70" s="728">
        <f>ROUND(CantidadesConsolidadas[[#This Row],[168919]]*$D70,0)</f>
        <v>0</v>
      </c>
      <c r="P70" s="728">
        <f>ROUND(CantidadesConsolidadas[[#This Row],[168426]]*$D70,0)</f>
        <v>4051562</v>
      </c>
      <c r="Q70" s="728">
        <f>ROUND(CantidadesConsolidadas[[#This Row],[91020796]]*$D70,0)</f>
        <v>8103124</v>
      </c>
      <c r="R70" s="728">
        <f>ROUND(CantidadesConsolidadas[[#This Row],[176184]]*$D70,0)</f>
        <v>0</v>
      </c>
      <c r="S70" s="728">
        <f>ROUND(CantidadesConsolidadas[[#This Row],[167636]]*$D70,0)</f>
        <v>4051562</v>
      </c>
      <c r="T70" s="728">
        <f>ROUND(CantidadesConsolidadas[[#This Row],[176730]]*$D70,0)</f>
        <v>6077343</v>
      </c>
      <c r="U70" s="728">
        <f>ROUND(CantidadesConsolidadas[[#This Row],[173038]]*$D70,0)</f>
        <v>4051562</v>
      </c>
      <c r="V70" s="728">
        <f>ROUND(CantidadesConsolidadas[[#This Row],[170222]]*$D70,0)</f>
        <v>6077343</v>
      </c>
      <c r="W70" s="728">
        <f>ROUND(CantidadesConsolidadas[[#This Row],[170229]]*$D70,0)</f>
        <v>0</v>
      </c>
      <c r="X70" s="728">
        <f>ROUND(CantidadesConsolidadas[[#This Row],[170227]]*$D70,0)</f>
        <v>4051562</v>
      </c>
      <c r="Y70" s="728">
        <f>ROUND(CantidadesConsolidadas[[#This Row],[170226]]*$D70,0)</f>
        <v>0</v>
      </c>
      <c r="Z70" s="728">
        <f>ROUND(CantidadesConsolidadas[[#This Row],[171567]]*$D70,0)</f>
        <v>0</v>
      </c>
      <c r="AA70" s="728">
        <f>ROUND(CantidadesConsolidadas[[#This Row],[166632]]*$D70,0)</f>
        <v>0</v>
      </c>
      <c r="AB70" s="728">
        <f>ROUND(CantidadesConsolidadas[[#This Row],[170228]]*$D70,0)</f>
        <v>0</v>
      </c>
      <c r="AC70" s="728">
        <f>ROUND(CantidadesConsolidadas[[#This Row],[172926]]*$D70,0)</f>
        <v>8103124</v>
      </c>
      <c r="AD70" s="728">
        <f>ROUND(CantidadesConsolidadas[[#This Row],[171152]]*$D70,0)</f>
        <v>6077343</v>
      </c>
      <c r="AE70" s="728">
        <f>ROUND(CantidadesConsolidadas[[#This Row],[173058]]*$D70,0)</f>
        <v>0</v>
      </c>
      <c r="AF70" s="728">
        <f>ROUND(CantidadesConsolidadas[[#This Row],[174478]]*$D70,0)</f>
        <v>0</v>
      </c>
      <c r="AG70" s="728">
        <f>ROUND(CantidadesConsolidadas[[#This Row],[91010089]]*$D70,0)</f>
        <v>0</v>
      </c>
      <c r="AH70" s="728">
        <f>ROUND(CantidadesConsolidadas[[#This Row],[176122]]*$D70,0)</f>
        <v>0</v>
      </c>
      <c r="AI70" s="728">
        <f>ROUND(CantidadesConsolidadas[[#This Row],[168536]]*$D70,0)</f>
        <v>0</v>
      </c>
      <c r="AJ70" s="728">
        <f>ROUND(CantidadesConsolidadas[[#This Row],[166934]]*$D70,0)</f>
        <v>6077343</v>
      </c>
      <c r="AK70" s="728">
        <f>ROUND(CantidadesConsolidadas[[#This Row],[174353]]*$D70,0)</f>
        <v>6077343</v>
      </c>
      <c r="AL70" s="747">
        <f>ROUND(CantidadesConsolidadas[[#This Row],[52531]]*$D70,0)</f>
        <v>0</v>
      </c>
      <c r="AM70" s="746">
        <f>ROUND(CantidadesConsolidadas[[#This Row],[52456]]*$D70,0)</f>
        <v>0</v>
      </c>
      <c r="AN70" s="746">
        <f>ROUND(CantidadesConsolidadas[[#This Row],[92058103]]*$D70,0)</f>
        <v>0</v>
      </c>
      <c r="AO70" s="746">
        <f>ROUND(CantidadesConsolidadas[[#This Row],[20011114]]*$D70,0)</f>
        <v>0</v>
      </c>
      <c r="AP70" s="746">
        <f>ROUND(CantidadesConsolidadas[[#This Row],[20013540]]*$D70,0)</f>
        <v>0</v>
      </c>
      <c r="AQ70" s="746">
        <f>ROUND(CantidadesConsolidadas[[#This Row],[55337]]*$D70,0)</f>
        <v>0</v>
      </c>
      <c r="AR70" s="746">
        <f>ROUND(CantidadesConsolidadas[[#This Row],[92087422]]*$D70,0)</f>
        <v>0</v>
      </c>
      <c r="AS70" s="746">
        <f>ROUND(CantidadesConsolidadas[[#This Row],[55259]]*$D70,0)</f>
        <v>0</v>
      </c>
      <c r="AT70" s="746">
        <f>ROUND(CantidadesConsolidadas[[#This Row],[466904]]*$D70,0)</f>
        <v>0</v>
      </c>
      <c r="AU70" s="746">
        <f>ROUND(CantidadesConsolidadas[[#This Row],[48591]]*$D70,0)</f>
        <v>0</v>
      </c>
      <c r="AV70" s="746">
        <f>ROUND(CantidadesConsolidadas[[#This Row],[48590]]*$D70,0)</f>
        <v>0</v>
      </c>
      <c r="AW70" s="746">
        <f>ROUND(CantidadesConsolidadas[[#This Row],[48561]]*$D70,0)</f>
        <v>0</v>
      </c>
      <c r="AX70" s="746">
        <f>ROUND(CantidadesConsolidadas[[#This Row],[48560]]*$D70,0)</f>
        <v>0</v>
      </c>
      <c r="AY70" s="746">
        <f>ROUND(CantidadesConsolidadas[[#This Row],[48657]]*$D70,0)</f>
        <v>0</v>
      </c>
      <c r="AZ70" s="746">
        <f>ROUND(CantidadesConsolidadas[[#This Row],[48655]]*$D70,0)</f>
        <v>0</v>
      </c>
      <c r="BA70" s="806">
        <f>SUBTOTAL(9,CostoDirecto[[#This Row],[91013913]:[174353]])</f>
        <v>103314831</v>
      </c>
      <c r="BB70" s="806">
        <f>SUBTOTAL(9,CostoDirecto[[#This Row],[52531]:[48655]])</f>
        <v>0</v>
      </c>
    </row>
    <row r="71" spans="1:54" ht="57.6" x14ac:dyDescent="0.3">
      <c r="A71">
        <v>3471</v>
      </c>
      <c r="B71" s="511" t="str">
        <f>+_xlfn.XLOOKUP(CostoDirecto[[#This Row],[cod Idu]],APU_IDU[Código],APU_IDU[Nombre],"",0)</f>
        <v>CILINDRO POZO INSP. EN MAMPOSTERIA E=0.25M (INC. SUMIN. Y CONST, ACERO PARA ESCALERAS, GEOTEXTIL NO TEJIDO CON RESISTENCIA A LA TENSION GRAB: ENTRE 450 N Y 500 N Y PAÑETE IMPERMEAB.)</v>
      </c>
      <c r="C71" s="497" t="str">
        <f>+_xlfn.XLOOKUP(CostoDirecto[[#This Row],[cod Idu]],APU_IDU[Código],APU_IDU[UM],"",0)</f>
        <v>ML</v>
      </c>
      <c r="D71" s="521">
        <f>+_xlfn.XLOOKUP(CostoDirecto[[#This Row],[cod Idu]],APU_IDU[Código],APU_IDU[Valor],"",0)</f>
        <v>907310</v>
      </c>
      <c r="E71" s="728">
        <f>ROUND(CantidadesConsolidadas[[#This Row],[91013913]]*$D71,0)</f>
        <v>0</v>
      </c>
      <c r="F71" s="728">
        <f>ROUND(CantidadesConsolidadas[[#This Row],[472330]]*$D71,0)</f>
        <v>1814620</v>
      </c>
      <c r="G71" s="728">
        <f>ROUND(CantidadesConsolidadas[[#This Row],[167810]]*$D71,0)</f>
        <v>2721930</v>
      </c>
      <c r="H71" s="728">
        <f>ROUND(CantidadesConsolidadas[[#This Row],[166646]]*$D71,0)</f>
        <v>3629240</v>
      </c>
      <c r="I71" s="728">
        <f>ROUND(CantidadesConsolidadas[[#This Row],[167491]]*$D71,0)</f>
        <v>0</v>
      </c>
      <c r="J71" s="728">
        <f>ROUND(CantidadesConsolidadas[[#This Row],[167266]]*$D71,0)</f>
        <v>0</v>
      </c>
      <c r="K71" s="728">
        <f>ROUND(CantidadesConsolidadas[[#This Row],[170896]]*$D71,0)</f>
        <v>2721930</v>
      </c>
      <c r="L71" s="728">
        <f>ROUND(CantidadesConsolidadas[[#This Row],[170897]]*$D71,0)</f>
        <v>3629240</v>
      </c>
      <c r="M71" s="728">
        <f>ROUND(CantidadesConsolidadas[[#This Row],[170898]]*$D71,0)</f>
        <v>0</v>
      </c>
      <c r="N71" s="728">
        <f>ROUND(CantidadesConsolidadas[[#This Row],[91064150]]*$D71,0)</f>
        <v>3629240</v>
      </c>
      <c r="O71" s="728">
        <f>ROUND(CantidadesConsolidadas[[#This Row],[168919]]*$D71,0)</f>
        <v>0</v>
      </c>
      <c r="P71" s="728">
        <f>ROUND(CantidadesConsolidadas[[#This Row],[168426]]*$D71,0)</f>
        <v>1814620</v>
      </c>
      <c r="Q71" s="728">
        <f>ROUND(CantidadesConsolidadas[[#This Row],[91020796]]*$D71,0)</f>
        <v>3629240</v>
      </c>
      <c r="R71" s="728">
        <f>ROUND(CantidadesConsolidadas[[#This Row],[176184]]*$D71,0)</f>
        <v>0</v>
      </c>
      <c r="S71" s="728">
        <f>ROUND(CantidadesConsolidadas[[#This Row],[167636]]*$D71,0)</f>
        <v>1814620</v>
      </c>
      <c r="T71" s="728">
        <f>ROUND(CantidadesConsolidadas[[#This Row],[176730]]*$D71,0)</f>
        <v>2721930</v>
      </c>
      <c r="U71" s="728">
        <f>ROUND(CantidadesConsolidadas[[#This Row],[173038]]*$D71,0)</f>
        <v>1814620</v>
      </c>
      <c r="V71" s="728">
        <f>ROUND(CantidadesConsolidadas[[#This Row],[170222]]*$D71,0)</f>
        <v>2721930</v>
      </c>
      <c r="W71" s="728">
        <f>ROUND(CantidadesConsolidadas[[#This Row],[170229]]*$D71,0)</f>
        <v>0</v>
      </c>
      <c r="X71" s="728">
        <f>ROUND(CantidadesConsolidadas[[#This Row],[170227]]*$D71,0)</f>
        <v>1814620</v>
      </c>
      <c r="Y71" s="728">
        <f>ROUND(CantidadesConsolidadas[[#This Row],[170226]]*$D71,0)</f>
        <v>0</v>
      </c>
      <c r="Z71" s="728">
        <f>ROUND(CantidadesConsolidadas[[#This Row],[171567]]*$D71,0)</f>
        <v>0</v>
      </c>
      <c r="AA71" s="728">
        <f>ROUND(CantidadesConsolidadas[[#This Row],[166632]]*$D71,0)</f>
        <v>0</v>
      </c>
      <c r="AB71" s="728">
        <f>ROUND(CantidadesConsolidadas[[#This Row],[170228]]*$D71,0)</f>
        <v>0</v>
      </c>
      <c r="AC71" s="728">
        <f>ROUND(CantidadesConsolidadas[[#This Row],[172926]]*$D71,0)</f>
        <v>3629240</v>
      </c>
      <c r="AD71" s="728">
        <f>ROUND(CantidadesConsolidadas[[#This Row],[171152]]*$D71,0)</f>
        <v>2721930</v>
      </c>
      <c r="AE71" s="728">
        <f>ROUND(CantidadesConsolidadas[[#This Row],[173058]]*$D71,0)</f>
        <v>0</v>
      </c>
      <c r="AF71" s="728">
        <f>ROUND(CantidadesConsolidadas[[#This Row],[174478]]*$D71,0)</f>
        <v>0</v>
      </c>
      <c r="AG71" s="728">
        <f>ROUND(CantidadesConsolidadas[[#This Row],[91010089]]*$D71,0)</f>
        <v>0</v>
      </c>
      <c r="AH71" s="728">
        <f>ROUND(CantidadesConsolidadas[[#This Row],[176122]]*$D71,0)</f>
        <v>0</v>
      </c>
      <c r="AI71" s="728">
        <f>ROUND(CantidadesConsolidadas[[#This Row],[168536]]*$D71,0)</f>
        <v>0</v>
      </c>
      <c r="AJ71" s="728">
        <f>ROUND(CantidadesConsolidadas[[#This Row],[166934]]*$D71,0)</f>
        <v>2721930</v>
      </c>
      <c r="AK71" s="728">
        <f>ROUND(CantidadesConsolidadas[[#This Row],[174353]]*$D71,0)</f>
        <v>2721930</v>
      </c>
      <c r="AL71" s="747">
        <f>ROUND(CantidadesConsolidadas[[#This Row],[52531]]*$D71,0)</f>
        <v>0</v>
      </c>
      <c r="AM71" s="746">
        <f>ROUND(CantidadesConsolidadas[[#This Row],[52456]]*$D71,0)</f>
        <v>0</v>
      </c>
      <c r="AN71" s="746">
        <f>ROUND(CantidadesConsolidadas[[#This Row],[92058103]]*$D71,0)</f>
        <v>0</v>
      </c>
      <c r="AO71" s="746">
        <f>ROUND(CantidadesConsolidadas[[#This Row],[20011114]]*$D71,0)</f>
        <v>0</v>
      </c>
      <c r="AP71" s="746">
        <f>ROUND(CantidadesConsolidadas[[#This Row],[20013540]]*$D71,0)</f>
        <v>0</v>
      </c>
      <c r="AQ71" s="746">
        <f>ROUND(CantidadesConsolidadas[[#This Row],[55337]]*$D71,0)</f>
        <v>0</v>
      </c>
      <c r="AR71" s="746">
        <f>ROUND(CantidadesConsolidadas[[#This Row],[92087422]]*$D71,0)</f>
        <v>0</v>
      </c>
      <c r="AS71" s="746">
        <f>ROUND(CantidadesConsolidadas[[#This Row],[55259]]*$D71,0)</f>
        <v>0</v>
      </c>
      <c r="AT71" s="746">
        <f>ROUND(CantidadesConsolidadas[[#This Row],[466904]]*$D71,0)</f>
        <v>0</v>
      </c>
      <c r="AU71" s="746">
        <f>ROUND(CantidadesConsolidadas[[#This Row],[48591]]*$D71,0)</f>
        <v>0</v>
      </c>
      <c r="AV71" s="746">
        <f>ROUND(CantidadesConsolidadas[[#This Row],[48590]]*$D71,0)</f>
        <v>0</v>
      </c>
      <c r="AW71" s="746">
        <f>ROUND(CantidadesConsolidadas[[#This Row],[48561]]*$D71,0)</f>
        <v>0</v>
      </c>
      <c r="AX71" s="746">
        <f>ROUND(CantidadesConsolidadas[[#This Row],[48560]]*$D71,0)</f>
        <v>0</v>
      </c>
      <c r="AY71" s="746">
        <f>ROUND(CantidadesConsolidadas[[#This Row],[48657]]*$D71,0)</f>
        <v>0</v>
      </c>
      <c r="AZ71" s="746">
        <f>ROUND(CantidadesConsolidadas[[#This Row],[48655]]*$D71,0)</f>
        <v>0</v>
      </c>
      <c r="BA71" s="806">
        <f>SUBTOTAL(9,CostoDirecto[[#This Row],[91013913]:[174353]])</f>
        <v>46272810</v>
      </c>
      <c r="BB71" s="806">
        <f>SUBTOTAL(9,CostoDirecto[[#This Row],[52531]:[48655]])</f>
        <v>0</v>
      </c>
    </row>
    <row r="72" spans="1:54" ht="28.8" x14ac:dyDescent="0.3">
      <c r="A72">
        <v>3722</v>
      </c>
      <c r="B72" s="511" t="str">
        <f>+_xlfn.XLOOKUP(CostoDirecto[[#This Row],[cod Idu]],APU_IDU[Código],APU_IDU[Nombre],"",0)</f>
        <v>NIVELACIÓN DE POZO (HASTA RASANTE EN CONCRETO 3000 PSI HECHO EN OBRA, H=0.15M. INCLUYE SUMINISTRO Y CONSTRUCCIÓN)</v>
      </c>
      <c r="C72" s="497" t="str">
        <f>+_xlfn.XLOOKUP(CostoDirecto[[#This Row],[cod Idu]],APU_IDU[Código],APU_IDU[UM],"",0)</f>
        <v>UN</v>
      </c>
      <c r="D72" s="521">
        <f>+_xlfn.XLOOKUP(CostoDirecto[[#This Row],[cod Idu]],APU_IDU[Código],APU_IDU[Valor],"",0)</f>
        <v>146651</v>
      </c>
      <c r="E72" s="728">
        <f>ROUND(CantidadesConsolidadas[[#This Row],[91013913]]*$D72,0)</f>
        <v>0</v>
      </c>
      <c r="F72" s="728">
        <f>ROUND(CantidadesConsolidadas[[#This Row],[472330]]*$D72,0)</f>
        <v>293302</v>
      </c>
      <c r="G72" s="728">
        <f>ROUND(CantidadesConsolidadas[[#This Row],[167810]]*$D72,0)</f>
        <v>439953</v>
      </c>
      <c r="H72" s="728">
        <f>ROUND(CantidadesConsolidadas[[#This Row],[166646]]*$D72,0)</f>
        <v>586604</v>
      </c>
      <c r="I72" s="728">
        <f>ROUND(CantidadesConsolidadas[[#This Row],[167491]]*$D72,0)</f>
        <v>0</v>
      </c>
      <c r="J72" s="728">
        <f>ROUND(CantidadesConsolidadas[[#This Row],[167266]]*$D72,0)</f>
        <v>0</v>
      </c>
      <c r="K72" s="728">
        <f>ROUND(CantidadesConsolidadas[[#This Row],[170896]]*$D72,0)</f>
        <v>439953</v>
      </c>
      <c r="L72" s="728">
        <f>ROUND(CantidadesConsolidadas[[#This Row],[170897]]*$D72,0)</f>
        <v>586604</v>
      </c>
      <c r="M72" s="728">
        <f>ROUND(CantidadesConsolidadas[[#This Row],[170898]]*$D72,0)</f>
        <v>0</v>
      </c>
      <c r="N72" s="728">
        <f>ROUND(CantidadesConsolidadas[[#This Row],[91064150]]*$D72,0)</f>
        <v>586604</v>
      </c>
      <c r="O72" s="728">
        <f>ROUND(CantidadesConsolidadas[[#This Row],[168919]]*$D72,0)</f>
        <v>0</v>
      </c>
      <c r="P72" s="728">
        <f>ROUND(CantidadesConsolidadas[[#This Row],[168426]]*$D72,0)</f>
        <v>293302</v>
      </c>
      <c r="Q72" s="728">
        <f>ROUND(CantidadesConsolidadas[[#This Row],[91020796]]*$D72,0)</f>
        <v>586604</v>
      </c>
      <c r="R72" s="728">
        <f>ROUND(CantidadesConsolidadas[[#This Row],[176184]]*$D72,0)</f>
        <v>0</v>
      </c>
      <c r="S72" s="728">
        <f>ROUND(CantidadesConsolidadas[[#This Row],[167636]]*$D72,0)</f>
        <v>293302</v>
      </c>
      <c r="T72" s="728">
        <f>ROUND(CantidadesConsolidadas[[#This Row],[176730]]*$D72,0)</f>
        <v>439953</v>
      </c>
      <c r="U72" s="728">
        <f>ROUND(CantidadesConsolidadas[[#This Row],[173038]]*$D72,0)</f>
        <v>293302</v>
      </c>
      <c r="V72" s="728">
        <f>ROUND(CantidadesConsolidadas[[#This Row],[170222]]*$D72,0)</f>
        <v>439953</v>
      </c>
      <c r="W72" s="728">
        <f>ROUND(CantidadesConsolidadas[[#This Row],[170229]]*$D72,0)</f>
        <v>0</v>
      </c>
      <c r="X72" s="728">
        <f>ROUND(CantidadesConsolidadas[[#This Row],[170227]]*$D72,0)</f>
        <v>293302</v>
      </c>
      <c r="Y72" s="728">
        <f>ROUND(CantidadesConsolidadas[[#This Row],[170226]]*$D72,0)</f>
        <v>0</v>
      </c>
      <c r="Z72" s="728">
        <f>ROUND(CantidadesConsolidadas[[#This Row],[171567]]*$D72,0)</f>
        <v>0</v>
      </c>
      <c r="AA72" s="728">
        <f>ROUND(CantidadesConsolidadas[[#This Row],[166632]]*$D72,0)</f>
        <v>0</v>
      </c>
      <c r="AB72" s="728">
        <f>ROUND(CantidadesConsolidadas[[#This Row],[170228]]*$D72,0)</f>
        <v>0</v>
      </c>
      <c r="AC72" s="728">
        <f>ROUND(CantidadesConsolidadas[[#This Row],[172926]]*$D72,0)</f>
        <v>586604</v>
      </c>
      <c r="AD72" s="728">
        <f>ROUND(CantidadesConsolidadas[[#This Row],[171152]]*$D72,0)</f>
        <v>439953</v>
      </c>
      <c r="AE72" s="728">
        <f>ROUND(CantidadesConsolidadas[[#This Row],[173058]]*$D72,0)</f>
        <v>0</v>
      </c>
      <c r="AF72" s="728">
        <f>ROUND(CantidadesConsolidadas[[#This Row],[174478]]*$D72,0)</f>
        <v>0</v>
      </c>
      <c r="AG72" s="728">
        <f>ROUND(CantidadesConsolidadas[[#This Row],[91010089]]*$D72,0)</f>
        <v>0</v>
      </c>
      <c r="AH72" s="728">
        <f>ROUND(CantidadesConsolidadas[[#This Row],[176122]]*$D72,0)</f>
        <v>0</v>
      </c>
      <c r="AI72" s="728">
        <f>ROUND(CantidadesConsolidadas[[#This Row],[168536]]*$D72,0)</f>
        <v>0</v>
      </c>
      <c r="AJ72" s="728">
        <f>ROUND(CantidadesConsolidadas[[#This Row],[166934]]*$D72,0)</f>
        <v>439953</v>
      </c>
      <c r="AK72" s="728">
        <f>ROUND(CantidadesConsolidadas[[#This Row],[174353]]*$D72,0)</f>
        <v>439953</v>
      </c>
      <c r="AL72" s="747">
        <f>ROUND(CantidadesConsolidadas[[#This Row],[52531]]*$D72,0)</f>
        <v>0</v>
      </c>
      <c r="AM72" s="746">
        <f>ROUND(CantidadesConsolidadas[[#This Row],[52456]]*$D72,0)</f>
        <v>0</v>
      </c>
      <c r="AN72" s="746">
        <f>ROUND(CantidadesConsolidadas[[#This Row],[92058103]]*$D72,0)</f>
        <v>0</v>
      </c>
      <c r="AO72" s="746">
        <f>ROUND(CantidadesConsolidadas[[#This Row],[20011114]]*$D72,0)</f>
        <v>0</v>
      </c>
      <c r="AP72" s="746">
        <f>ROUND(CantidadesConsolidadas[[#This Row],[20013540]]*$D72,0)</f>
        <v>0</v>
      </c>
      <c r="AQ72" s="746">
        <f>ROUND(CantidadesConsolidadas[[#This Row],[55337]]*$D72,0)</f>
        <v>0</v>
      </c>
      <c r="AR72" s="746">
        <f>ROUND(CantidadesConsolidadas[[#This Row],[92087422]]*$D72,0)</f>
        <v>0</v>
      </c>
      <c r="AS72" s="746">
        <f>ROUND(CantidadesConsolidadas[[#This Row],[55259]]*$D72,0)</f>
        <v>0</v>
      </c>
      <c r="AT72" s="746">
        <f>ROUND(CantidadesConsolidadas[[#This Row],[466904]]*$D72,0)</f>
        <v>0</v>
      </c>
      <c r="AU72" s="746">
        <f>ROUND(CantidadesConsolidadas[[#This Row],[48591]]*$D72,0)</f>
        <v>0</v>
      </c>
      <c r="AV72" s="746">
        <f>ROUND(CantidadesConsolidadas[[#This Row],[48590]]*$D72,0)</f>
        <v>0</v>
      </c>
      <c r="AW72" s="746">
        <f>ROUND(CantidadesConsolidadas[[#This Row],[48561]]*$D72,0)</f>
        <v>0</v>
      </c>
      <c r="AX72" s="746">
        <f>ROUND(CantidadesConsolidadas[[#This Row],[48560]]*$D72,0)</f>
        <v>0</v>
      </c>
      <c r="AY72" s="746">
        <f>ROUND(CantidadesConsolidadas[[#This Row],[48657]]*$D72,0)</f>
        <v>0</v>
      </c>
      <c r="AZ72" s="746">
        <f>ROUND(CantidadesConsolidadas[[#This Row],[48655]]*$D72,0)</f>
        <v>0</v>
      </c>
      <c r="BA72" s="806">
        <f>SUBTOTAL(9,CostoDirecto[[#This Row],[91013913]:[174353]])</f>
        <v>7479201</v>
      </c>
      <c r="BB72" s="806">
        <f>SUBTOTAL(9,CostoDirecto[[#This Row],[52531]:[48655]])</f>
        <v>0</v>
      </c>
    </row>
    <row r="73" spans="1:54" ht="28.8" x14ac:dyDescent="0.3">
      <c r="A73">
        <v>4265</v>
      </c>
      <c r="B73" s="511" t="str">
        <f>+_xlfn.XLOOKUP(CostoDirecto[[#This Row],[cod Idu]],APU_IDU[Código],APU_IDU[Nombre],"",0)</f>
        <v>TUBERIA CONCRETO D=10" CL. II SIN REFUERZO (INCLUYE SUMINISTRO E INSTALACIÓN)</v>
      </c>
      <c r="C73" s="497" t="str">
        <f>+_xlfn.XLOOKUP(CostoDirecto[[#This Row],[cod Idu]],APU_IDU[Código],APU_IDU[UM],"",0)</f>
        <v>ML</v>
      </c>
      <c r="D73" s="521">
        <f>+_xlfn.XLOOKUP(CostoDirecto[[#This Row],[cod Idu]],APU_IDU[Código],APU_IDU[Valor],"",0)</f>
        <v>154949</v>
      </c>
      <c r="E73" s="728">
        <f>ROUND(CantidadesConsolidadas[[#This Row],[91013913]]*$D73,0)</f>
        <v>0</v>
      </c>
      <c r="F73" s="728">
        <f>ROUND(CantidadesConsolidadas[[#This Row],[472330]]*$D73,0)</f>
        <v>0</v>
      </c>
      <c r="G73" s="728">
        <f>ROUND(CantidadesConsolidadas[[#This Row],[167810]]*$D73,0)</f>
        <v>10344395</v>
      </c>
      <c r="H73" s="728">
        <f>ROUND(CantidadesConsolidadas[[#This Row],[166646]]*$D73,0)</f>
        <v>7285702</v>
      </c>
      <c r="I73" s="728">
        <f>ROUND(CantidadesConsolidadas[[#This Row],[167491]]*$D73,0)</f>
        <v>0</v>
      </c>
      <c r="J73" s="728">
        <f>ROUND(CantidadesConsolidadas[[#This Row],[167266]]*$D73,0)</f>
        <v>7360078</v>
      </c>
      <c r="K73" s="728">
        <f>ROUND(CantidadesConsolidadas[[#This Row],[170896]]*$D73,0)</f>
        <v>0</v>
      </c>
      <c r="L73" s="728">
        <f>ROUND(CantidadesConsolidadas[[#This Row],[170897]]*$D73,0)</f>
        <v>0</v>
      </c>
      <c r="M73" s="728">
        <f>ROUND(CantidadesConsolidadas[[#This Row],[170898]]*$D73,0)</f>
        <v>0</v>
      </c>
      <c r="N73" s="728">
        <f>ROUND(CantidadesConsolidadas[[#This Row],[91064150]]*$D73,0)</f>
        <v>0</v>
      </c>
      <c r="O73" s="728">
        <f>ROUND(CantidadesConsolidadas[[#This Row],[168919]]*$D73,0)</f>
        <v>5471249</v>
      </c>
      <c r="P73" s="728">
        <f>ROUND(CantidadesConsolidadas[[#This Row],[168426]]*$D73,0)</f>
        <v>0</v>
      </c>
      <c r="Q73" s="728">
        <f>ROUND(CantidadesConsolidadas[[#This Row],[91020796]]*$D73,0)</f>
        <v>1225647</v>
      </c>
      <c r="R73" s="728">
        <f>ROUND(CantidadesConsolidadas[[#This Row],[176184]]*$D73,0)</f>
        <v>2558208</v>
      </c>
      <c r="S73" s="728">
        <f>ROUND(CantidadesConsolidadas[[#This Row],[167636]]*$D73,0)</f>
        <v>7598699</v>
      </c>
      <c r="T73" s="728">
        <f>ROUND(CantidadesConsolidadas[[#This Row],[176730]]*$D73,0)</f>
        <v>0</v>
      </c>
      <c r="U73" s="728">
        <f>ROUND(CantidadesConsolidadas[[#This Row],[173038]]*$D73,0)</f>
        <v>0</v>
      </c>
      <c r="V73" s="728">
        <f>ROUND(CantidadesConsolidadas[[#This Row],[170222]]*$D73,0)</f>
        <v>0</v>
      </c>
      <c r="W73" s="728">
        <f>ROUND(CantidadesConsolidadas[[#This Row],[170229]]*$D73,0)</f>
        <v>0</v>
      </c>
      <c r="X73" s="728">
        <f>ROUND(CantidadesConsolidadas[[#This Row],[170227]]*$D73,0)</f>
        <v>0</v>
      </c>
      <c r="Y73" s="728">
        <f>ROUND(CantidadesConsolidadas[[#This Row],[170226]]*$D73,0)</f>
        <v>0</v>
      </c>
      <c r="Z73" s="728">
        <f>ROUND(CantidadesConsolidadas[[#This Row],[171567]]*$D73,0)</f>
        <v>0</v>
      </c>
      <c r="AA73" s="728">
        <f>ROUND(CantidadesConsolidadas[[#This Row],[166632]]*$D73,0)</f>
        <v>0</v>
      </c>
      <c r="AB73" s="728">
        <f>ROUND(CantidadesConsolidadas[[#This Row],[170228]]*$D73,0)</f>
        <v>0</v>
      </c>
      <c r="AC73" s="728">
        <f>ROUND(CantidadesConsolidadas[[#This Row],[172926]]*$D73,0)</f>
        <v>0</v>
      </c>
      <c r="AD73" s="728">
        <f>ROUND(CantidadesConsolidadas[[#This Row],[171152]]*$D73,0)</f>
        <v>8368795</v>
      </c>
      <c r="AE73" s="728">
        <f>ROUND(CantidadesConsolidadas[[#This Row],[173058]]*$D73,0)</f>
        <v>0</v>
      </c>
      <c r="AF73" s="728">
        <f>ROUND(CantidadesConsolidadas[[#This Row],[174478]]*$D73,0)</f>
        <v>0</v>
      </c>
      <c r="AG73" s="728">
        <f>ROUND(CantidadesConsolidadas[[#This Row],[91010089]]*$D73,0)</f>
        <v>0</v>
      </c>
      <c r="AH73" s="728">
        <f>ROUND(CantidadesConsolidadas[[#This Row],[176122]]*$D73,0)</f>
        <v>0</v>
      </c>
      <c r="AI73" s="728">
        <f>ROUND(CantidadesConsolidadas[[#This Row],[168536]]*$D73,0)</f>
        <v>0</v>
      </c>
      <c r="AJ73" s="728">
        <f>ROUND(CantidadesConsolidadas[[#This Row],[166934]]*$D73,0)</f>
        <v>12468746</v>
      </c>
      <c r="AK73" s="728">
        <f>ROUND(CantidadesConsolidadas[[#This Row],[174353]]*$D73,0)</f>
        <v>8330058</v>
      </c>
      <c r="AL73" s="747">
        <f>ROUND(CantidadesConsolidadas[[#This Row],[52531]]*$D73,0)</f>
        <v>0</v>
      </c>
      <c r="AM73" s="746">
        <f>ROUND(CantidadesConsolidadas[[#This Row],[52456]]*$D73,0)</f>
        <v>0</v>
      </c>
      <c r="AN73" s="746">
        <f>ROUND(CantidadesConsolidadas[[#This Row],[92058103]]*$D73,0)</f>
        <v>0</v>
      </c>
      <c r="AO73" s="746">
        <f>ROUND(CantidadesConsolidadas[[#This Row],[20011114]]*$D73,0)</f>
        <v>0</v>
      </c>
      <c r="AP73" s="746">
        <f>ROUND(CantidadesConsolidadas[[#This Row],[20013540]]*$D73,0)</f>
        <v>0</v>
      </c>
      <c r="AQ73" s="746">
        <f>ROUND(CantidadesConsolidadas[[#This Row],[55337]]*$D73,0)</f>
        <v>0</v>
      </c>
      <c r="AR73" s="746">
        <f>ROUND(CantidadesConsolidadas[[#This Row],[92087422]]*$D73,0)</f>
        <v>0</v>
      </c>
      <c r="AS73" s="746">
        <f>ROUND(CantidadesConsolidadas[[#This Row],[55259]]*$D73,0)</f>
        <v>0</v>
      </c>
      <c r="AT73" s="746">
        <f>ROUND(CantidadesConsolidadas[[#This Row],[466904]]*$D73,0)</f>
        <v>0</v>
      </c>
      <c r="AU73" s="746">
        <f>ROUND(CantidadesConsolidadas[[#This Row],[48591]]*$D73,0)</f>
        <v>0</v>
      </c>
      <c r="AV73" s="746">
        <f>ROUND(CantidadesConsolidadas[[#This Row],[48590]]*$D73,0)</f>
        <v>0</v>
      </c>
      <c r="AW73" s="746">
        <f>ROUND(CantidadesConsolidadas[[#This Row],[48561]]*$D73,0)</f>
        <v>0</v>
      </c>
      <c r="AX73" s="746">
        <f>ROUND(CantidadesConsolidadas[[#This Row],[48560]]*$D73,0)</f>
        <v>0</v>
      </c>
      <c r="AY73" s="746">
        <f>ROUND(CantidadesConsolidadas[[#This Row],[48657]]*$D73,0)</f>
        <v>0</v>
      </c>
      <c r="AZ73" s="746">
        <f>ROUND(CantidadesConsolidadas[[#This Row],[48655]]*$D73,0)</f>
        <v>0</v>
      </c>
      <c r="BA73" s="806">
        <f>SUBTOTAL(9,CostoDirecto[[#This Row],[91013913]:[174353]])</f>
        <v>71011577</v>
      </c>
      <c r="BB73" s="806">
        <f>SUBTOTAL(9,CostoDirecto[[#This Row],[52531]:[48655]])</f>
        <v>0</v>
      </c>
    </row>
    <row r="74" spans="1:54" ht="28.8" x14ac:dyDescent="0.3">
      <c r="A74">
        <v>3934</v>
      </c>
      <c r="B74" s="511" t="str">
        <f>+_xlfn.XLOOKUP(CostoDirecto[[#This Row],[cod Idu]],APU_IDU[Código],APU_IDU[Nombre],"",0)</f>
        <v>TUBERIA CONCRETO D=12" CL. II SIN REFUERZO (INCLUYE SUMINISTRO E INSTALACIÓN)</v>
      </c>
      <c r="C74" s="497" t="str">
        <f>+_xlfn.XLOOKUP(CostoDirecto[[#This Row],[cod Idu]],APU_IDU[Código],APU_IDU[UM],"",0)</f>
        <v>ML</v>
      </c>
      <c r="D74" s="521">
        <f>+_xlfn.XLOOKUP(CostoDirecto[[#This Row],[cod Idu]],APU_IDU[Código],APU_IDU[Valor],"",0)</f>
        <v>209263</v>
      </c>
      <c r="E74" s="728">
        <f>ROUND(CantidadesConsolidadas[[#This Row],[91013913]]*$D74,0)</f>
        <v>0</v>
      </c>
      <c r="F74" s="728">
        <f>ROUND(CantidadesConsolidadas[[#This Row],[472330]]*$D74,0)</f>
        <v>12859211</v>
      </c>
      <c r="G74" s="728">
        <f>ROUND(CantidadesConsolidadas[[#This Row],[167810]]*$D74,0)</f>
        <v>0</v>
      </c>
      <c r="H74" s="728">
        <f>ROUND(CantidadesConsolidadas[[#This Row],[166646]]*$D74,0)</f>
        <v>0</v>
      </c>
      <c r="I74" s="728">
        <f>ROUND(CantidadesConsolidadas[[#This Row],[167491]]*$D74,0)</f>
        <v>0</v>
      </c>
      <c r="J74" s="728">
        <f>ROUND(CantidadesConsolidadas[[#This Row],[167266]]*$D74,0)</f>
        <v>0</v>
      </c>
      <c r="K74" s="728">
        <f>ROUND(CantidadesConsolidadas[[#This Row],[170896]]*$D74,0)</f>
        <v>0</v>
      </c>
      <c r="L74" s="728">
        <f>ROUND(CantidadesConsolidadas[[#This Row],[170897]]*$D74,0)</f>
        <v>2678566</v>
      </c>
      <c r="M74" s="728">
        <f>ROUND(CantidadesConsolidadas[[#This Row],[170898]]*$D74,0)</f>
        <v>0</v>
      </c>
      <c r="N74" s="728">
        <f>ROUND(CantidadesConsolidadas[[#This Row],[91064150]]*$D74,0)</f>
        <v>2848069</v>
      </c>
      <c r="O74" s="728">
        <f>ROUND(CantidadesConsolidadas[[#This Row],[168919]]*$D74,0)</f>
        <v>0</v>
      </c>
      <c r="P74" s="728">
        <f>ROUND(CantidadesConsolidadas[[#This Row],[168426]]*$D74,0)</f>
        <v>7843177</v>
      </c>
      <c r="Q74" s="728">
        <f>ROUND(CantidadesConsolidadas[[#This Row],[91020796]]*$D74,0)</f>
        <v>0</v>
      </c>
      <c r="R74" s="728">
        <f>ROUND(CantidadesConsolidadas[[#This Row],[176184]]*$D74,0)</f>
        <v>0</v>
      </c>
      <c r="S74" s="728">
        <f>ROUND(CantidadesConsolidadas[[#This Row],[167636]]*$D74,0)</f>
        <v>0</v>
      </c>
      <c r="T74" s="728">
        <f>ROUND(CantidadesConsolidadas[[#This Row],[176730]]*$D74,0)</f>
        <v>4241761</v>
      </c>
      <c r="U74" s="728">
        <f>ROUND(CantidadesConsolidadas[[#This Row],[173038]]*$D74,0)</f>
        <v>7910141</v>
      </c>
      <c r="V74" s="728">
        <f>ROUND(CantidadesConsolidadas[[#This Row],[170222]]*$D74,0)</f>
        <v>0</v>
      </c>
      <c r="W74" s="728">
        <f>ROUND(CantidadesConsolidadas[[#This Row],[170229]]*$D74,0)</f>
        <v>0</v>
      </c>
      <c r="X74" s="728">
        <f>ROUND(CantidadesConsolidadas[[#This Row],[170227]]*$D74,0)</f>
        <v>0</v>
      </c>
      <c r="Y74" s="728">
        <f>ROUND(CantidadesConsolidadas[[#This Row],[170226]]*$D74,0)</f>
        <v>0</v>
      </c>
      <c r="Z74" s="728">
        <f>ROUND(CantidadesConsolidadas[[#This Row],[171567]]*$D74,0)</f>
        <v>8992031</v>
      </c>
      <c r="AA74" s="728">
        <f>ROUND(CantidadesConsolidadas[[#This Row],[166632]]*$D74,0)</f>
        <v>6734083</v>
      </c>
      <c r="AB74" s="728">
        <f>ROUND(CantidadesConsolidadas[[#This Row],[170228]]*$D74,0)</f>
        <v>4227113</v>
      </c>
      <c r="AC74" s="728">
        <f>ROUND(CantidadesConsolidadas[[#This Row],[172926]]*$D74,0)</f>
        <v>2912941</v>
      </c>
      <c r="AD74" s="728">
        <f>ROUND(CantidadesConsolidadas[[#This Row],[171152]]*$D74,0)</f>
        <v>0</v>
      </c>
      <c r="AE74" s="728">
        <f>ROUND(CantidadesConsolidadas[[#This Row],[173058]]*$D74,0)</f>
        <v>0</v>
      </c>
      <c r="AF74" s="728">
        <f>ROUND(CantidadesConsolidadas[[#This Row],[174478]]*$D74,0)</f>
        <v>0</v>
      </c>
      <c r="AG74" s="728">
        <f>ROUND(CantidadesConsolidadas[[#This Row],[91010089]]*$D74,0)</f>
        <v>0</v>
      </c>
      <c r="AH74" s="728">
        <f>ROUND(CantidadesConsolidadas[[#This Row],[176122]]*$D74,0)</f>
        <v>0</v>
      </c>
      <c r="AI74" s="728">
        <f>ROUND(CantidadesConsolidadas[[#This Row],[168536]]*$D74,0)</f>
        <v>0</v>
      </c>
      <c r="AJ74" s="728">
        <f>ROUND(CantidadesConsolidadas[[#This Row],[166934]]*$D74,0)</f>
        <v>0</v>
      </c>
      <c r="AK74" s="728">
        <f>ROUND(CantidadesConsolidadas[[#This Row],[174353]]*$D74,0)</f>
        <v>0</v>
      </c>
      <c r="AL74" s="747">
        <f>ROUND(CantidadesConsolidadas[[#This Row],[52531]]*$D74,0)</f>
        <v>0</v>
      </c>
      <c r="AM74" s="746">
        <f>ROUND(CantidadesConsolidadas[[#This Row],[52456]]*$D74,0)</f>
        <v>0</v>
      </c>
      <c r="AN74" s="746">
        <f>ROUND(CantidadesConsolidadas[[#This Row],[92058103]]*$D74,0)</f>
        <v>0</v>
      </c>
      <c r="AO74" s="746">
        <f>ROUND(CantidadesConsolidadas[[#This Row],[20011114]]*$D74,0)</f>
        <v>0</v>
      </c>
      <c r="AP74" s="746">
        <f>ROUND(CantidadesConsolidadas[[#This Row],[20013540]]*$D74,0)</f>
        <v>0</v>
      </c>
      <c r="AQ74" s="746">
        <f>ROUND(CantidadesConsolidadas[[#This Row],[55337]]*$D74,0)</f>
        <v>0</v>
      </c>
      <c r="AR74" s="746">
        <f>ROUND(CantidadesConsolidadas[[#This Row],[92087422]]*$D74,0)</f>
        <v>0</v>
      </c>
      <c r="AS74" s="746">
        <f>ROUND(CantidadesConsolidadas[[#This Row],[55259]]*$D74,0)</f>
        <v>0</v>
      </c>
      <c r="AT74" s="746">
        <f>ROUND(CantidadesConsolidadas[[#This Row],[466904]]*$D74,0)</f>
        <v>0</v>
      </c>
      <c r="AU74" s="746">
        <f>ROUND(CantidadesConsolidadas[[#This Row],[48591]]*$D74,0)</f>
        <v>0</v>
      </c>
      <c r="AV74" s="746">
        <f>ROUND(CantidadesConsolidadas[[#This Row],[48590]]*$D74,0)</f>
        <v>0</v>
      </c>
      <c r="AW74" s="746">
        <f>ROUND(CantidadesConsolidadas[[#This Row],[48561]]*$D74,0)</f>
        <v>0</v>
      </c>
      <c r="AX74" s="746">
        <f>ROUND(CantidadesConsolidadas[[#This Row],[48560]]*$D74,0)</f>
        <v>0</v>
      </c>
      <c r="AY74" s="746">
        <f>ROUND(CantidadesConsolidadas[[#This Row],[48657]]*$D74,0)</f>
        <v>0</v>
      </c>
      <c r="AZ74" s="746">
        <f>ROUND(CantidadesConsolidadas[[#This Row],[48655]]*$D74,0)</f>
        <v>0</v>
      </c>
      <c r="BA74" s="806">
        <f>SUBTOTAL(9,CostoDirecto[[#This Row],[91013913]:[174353]])</f>
        <v>61247093</v>
      </c>
      <c r="BB74" s="806">
        <f>SUBTOTAL(9,CostoDirecto[[#This Row],[52531]:[48655]])</f>
        <v>0</v>
      </c>
    </row>
    <row r="75" spans="1:54" ht="28.8" x14ac:dyDescent="0.3">
      <c r="A75">
        <v>3935</v>
      </c>
      <c r="B75" s="511" t="str">
        <f>+_xlfn.XLOOKUP(CostoDirecto[[#This Row],[cod Idu]],APU_IDU[Código],APU_IDU[Nombre],"",0)</f>
        <v>TUBERIA CONCRETO D=14" CL. II SIN REFUERZO (INCLUYE SUMINISTRO E INSTALACIÓN)</v>
      </c>
      <c r="C75" s="497" t="str">
        <f>+_xlfn.XLOOKUP(CostoDirecto[[#This Row],[cod Idu]],APU_IDU[Código],APU_IDU[UM],"",0)</f>
        <v>ML</v>
      </c>
      <c r="D75" s="521">
        <f>+_xlfn.XLOOKUP(CostoDirecto[[#This Row],[cod Idu]],APU_IDU[Código],APU_IDU[Valor],"",0)</f>
        <v>264640</v>
      </c>
      <c r="E75" s="728">
        <f>ROUND(CantidadesConsolidadas[[#This Row],[91013913]]*$D75,0)</f>
        <v>0</v>
      </c>
      <c r="F75" s="728">
        <f>ROUND(CantidadesConsolidadas[[#This Row],[472330]]*$D75,0)</f>
        <v>0</v>
      </c>
      <c r="G75" s="728">
        <f>ROUND(CantidadesConsolidadas[[#This Row],[167810]]*$D75,0)</f>
        <v>0</v>
      </c>
      <c r="H75" s="728">
        <f>ROUND(CantidadesConsolidadas[[#This Row],[166646]]*$D75,0)</f>
        <v>0</v>
      </c>
      <c r="I75" s="728">
        <f>ROUND(CantidadesConsolidadas[[#This Row],[167491]]*$D75,0)</f>
        <v>0</v>
      </c>
      <c r="J75" s="728">
        <f>ROUND(CantidadesConsolidadas[[#This Row],[167266]]*$D75,0)</f>
        <v>0</v>
      </c>
      <c r="K75" s="728">
        <f>ROUND(CantidadesConsolidadas[[#This Row],[170896]]*$D75,0)</f>
        <v>0</v>
      </c>
      <c r="L75" s="728">
        <f>ROUND(CantidadesConsolidadas[[#This Row],[170897]]*$D75,0)</f>
        <v>0</v>
      </c>
      <c r="M75" s="728">
        <f>ROUND(CantidadesConsolidadas[[#This Row],[170898]]*$D75,0)</f>
        <v>0</v>
      </c>
      <c r="N75" s="728">
        <f>ROUND(CantidadesConsolidadas[[#This Row],[91064150]]*$D75,0)</f>
        <v>0</v>
      </c>
      <c r="O75" s="728">
        <f>ROUND(CantidadesConsolidadas[[#This Row],[168919]]*$D75,0)</f>
        <v>0</v>
      </c>
      <c r="P75" s="728">
        <f>ROUND(CantidadesConsolidadas[[#This Row],[168426]]*$D75,0)</f>
        <v>0</v>
      </c>
      <c r="Q75" s="728">
        <f>ROUND(CantidadesConsolidadas[[#This Row],[91020796]]*$D75,0)</f>
        <v>0</v>
      </c>
      <c r="R75" s="728">
        <f>ROUND(CantidadesConsolidadas[[#This Row],[176184]]*$D75,0)</f>
        <v>0</v>
      </c>
      <c r="S75" s="728">
        <f>ROUND(CantidadesConsolidadas[[#This Row],[167636]]*$D75,0)</f>
        <v>0</v>
      </c>
      <c r="T75" s="728">
        <f>ROUND(CantidadesConsolidadas[[#This Row],[176730]]*$D75,0)</f>
        <v>0</v>
      </c>
      <c r="U75" s="728">
        <f>ROUND(CantidadesConsolidadas[[#This Row],[173038]]*$D75,0)</f>
        <v>0</v>
      </c>
      <c r="V75" s="728">
        <f>ROUND(CantidadesConsolidadas[[#This Row],[170222]]*$D75,0)</f>
        <v>0</v>
      </c>
      <c r="W75" s="728">
        <f>ROUND(CantidadesConsolidadas[[#This Row],[170229]]*$D75,0)</f>
        <v>0</v>
      </c>
      <c r="X75" s="728">
        <f>ROUND(CantidadesConsolidadas[[#This Row],[170227]]*$D75,0)</f>
        <v>5083734</v>
      </c>
      <c r="Y75" s="728">
        <f>ROUND(CantidadesConsolidadas[[#This Row],[170226]]*$D75,0)</f>
        <v>0</v>
      </c>
      <c r="Z75" s="728">
        <f>ROUND(CantidadesConsolidadas[[#This Row],[171567]]*$D75,0)</f>
        <v>0</v>
      </c>
      <c r="AA75" s="728">
        <f>ROUND(CantidadesConsolidadas[[#This Row],[166632]]*$D75,0)</f>
        <v>0</v>
      </c>
      <c r="AB75" s="728">
        <f>ROUND(CantidadesConsolidadas[[#This Row],[170228]]*$D75,0)</f>
        <v>0</v>
      </c>
      <c r="AC75" s="728">
        <f>ROUND(CantidadesConsolidadas[[#This Row],[172926]]*$D75,0)</f>
        <v>0</v>
      </c>
      <c r="AD75" s="728">
        <f>ROUND(CantidadesConsolidadas[[#This Row],[171152]]*$D75,0)</f>
        <v>0</v>
      </c>
      <c r="AE75" s="728">
        <f>ROUND(CantidadesConsolidadas[[#This Row],[173058]]*$D75,0)</f>
        <v>0</v>
      </c>
      <c r="AF75" s="728">
        <f>ROUND(CantidadesConsolidadas[[#This Row],[174478]]*$D75,0)</f>
        <v>0</v>
      </c>
      <c r="AG75" s="728">
        <f>ROUND(CantidadesConsolidadas[[#This Row],[91010089]]*$D75,0)</f>
        <v>0</v>
      </c>
      <c r="AH75" s="728">
        <f>ROUND(CantidadesConsolidadas[[#This Row],[176122]]*$D75,0)</f>
        <v>0</v>
      </c>
      <c r="AI75" s="728">
        <f>ROUND(CantidadesConsolidadas[[#This Row],[168536]]*$D75,0)</f>
        <v>0</v>
      </c>
      <c r="AJ75" s="728">
        <f>ROUND(CantidadesConsolidadas[[#This Row],[166934]]*$D75,0)</f>
        <v>0</v>
      </c>
      <c r="AK75" s="728">
        <f>ROUND(CantidadesConsolidadas[[#This Row],[174353]]*$D75,0)</f>
        <v>0</v>
      </c>
      <c r="AL75" s="747">
        <f>ROUND(CantidadesConsolidadas[[#This Row],[52531]]*$D75,0)</f>
        <v>0</v>
      </c>
      <c r="AM75" s="746">
        <f>ROUND(CantidadesConsolidadas[[#This Row],[52456]]*$D75,0)</f>
        <v>0</v>
      </c>
      <c r="AN75" s="746">
        <f>ROUND(CantidadesConsolidadas[[#This Row],[92058103]]*$D75,0)</f>
        <v>0</v>
      </c>
      <c r="AO75" s="746">
        <f>ROUND(CantidadesConsolidadas[[#This Row],[20011114]]*$D75,0)</f>
        <v>0</v>
      </c>
      <c r="AP75" s="746">
        <f>ROUND(CantidadesConsolidadas[[#This Row],[20013540]]*$D75,0)</f>
        <v>0</v>
      </c>
      <c r="AQ75" s="746">
        <f>ROUND(CantidadesConsolidadas[[#This Row],[55337]]*$D75,0)</f>
        <v>0</v>
      </c>
      <c r="AR75" s="746">
        <f>ROUND(CantidadesConsolidadas[[#This Row],[92087422]]*$D75,0)</f>
        <v>0</v>
      </c>
      <c r="AS75" s="746">
        <f>ROUND(CantidadesConsolidadas[[#This Row],[55259]]*$D75,0)</f>
        <v>0</v>
      </c>
      <c r="AT75" s="746">
        <f>ROUND(CantidadesConsolidadas[[#This Row],[466904]]*$D75,0)</f>
        <v>0</v>
      </c>
      <c r="AU75" s="746">
        <f>ROUND(CantidadesConsolidadas[[#This Row],[48591]]*$D75,0)</f>
        <v>0</v>
      </c>
      <c r="AV75" s="746">
        <f>ROUND(CantidadesConsolidadas[[#This Row],[48590]]*$D75,0)</f>
        <v>0</v>
      </c>
      <c r="AW75" s="746">
        <f>ROUND(CantidadesConsolidadas[[#This Row],[48561]]*$D75,0)</f>
        <v>0</v>
      </c>
      <c r="AX75" s="746">
        <f>ROUND(CantidadesConsolidadas[[#This Row],[48560]]*$D75,0)</f>
        <v>0</v>
      </c>
      <c r="AY75" s="746">
        <f>ROUND(CantidadesConsolidadas[[#This Row],[48657]]*$D75,0)</f>
        <v>0</v>
      </c>
      <c r="AZ75" s="746">
        <f>ROUND(CantidadesConsolidadas[[#This Row],[48655]]*$D75,0)</f>
        <v>0</v>
      </c>
      <c r="BA75" s="806">
        <f>SUBTOTAL(9,CostoDirecto[[#This Row],[91013913]:[174353]])</f>
        <v>5083734</v>
      </c>
      <c r="BB75" s="806">
        <f>SUBTOTAL(9,CostoDirecto[[#This Row],[52531]:[48655]])</f>
        <v>0</v>
      </c>
    </row>
    <row r="76" spans="1:54" ht="28.8" x14ac:dyDescent="0.3">
      <c r="A76">
        <v>3936</v>
      </c>
      <c r="B76" s="511" t="str">
        <f>+_xlfn.XLOOKUP(CostoDirecto[[#This Row],[cod Idu]],APU_IDU[Código],APU_IDU[Nombre],"",0)</f>
        <v>TUBERIA CONCRETO D=16" CL. II SIN REFUERZO (INCLUYE SUMINISTRO E INSTALACIÓN)</v>
      </c>
      <c r="C76" s="497" t="str">
        <f>+_xlfn.XLOOKUP(CostoDirecto[[#This Row],[cod Idu]],APU_IDU[Código],APU_IDU[UM],"",0)</f>
        <v>ML</v>
      </c>
      <c r="D76" s="521">
        <f>+_xlfn.XLOOKUP(CostoDirecto[[#This Row],[cod Idu]],APU_IDU[Código],APU_IDU[Valor],"",0)</f>
        <v>338622</v>
      </c>
      <c r="E76" s="728">
        <f>ROUND(CantidadesConsolidadas[[#This Row],[91013913]]*$D76,0)</f>
        <v>0</v>
      </c>
      <c r="F76" s="728">
        <f>ROUND(CantidadesConsolidadas[[#This Row],[472330]]*$D76,0)</f>
        <v>0</v>
      </c>
      <c r="G76" s="728">
        <f>ROUND(CantidadesConsolidadas[[#This Row],[167810]]*$D76,0)</f>
        <v>0</v>
      </c>
      <c r="H76" s="728">
        <f>ROUND(CantidadesConsolidadas[[#This Row],[166646]]*$D76,0)</f>
        <v>0</v>
      </c>
      <c r="I76" s="728">
        <f>ROUND(CantidadesConsolidadas[[#This Row],[167491]]*$D76,0)</f>
        <v>15386984</v>
      </c>
      <c r="J76" s="728">
        <f>ROUND(CantidadesConsolidadas[[#This Row],[167266]]*$D76,0)</f>
        <v>0</v>
      </c>
      <c r="K76" s="728">
        <f>ROUND(CantidadesConsolidadas[[#This Row],[170896]]*$D76,0)</f>
        <v>0</v>
      </c>
      <c r="L76" s="728">
        <f>ROUND(CantidadesConsolidadas[[#This Row],[170897]]*$D76,0)</f>
        <v>0</v>
      </c>
      <c r="M76" s="728">
        <f>ROUND(CantidadesConsolidadas[[#This Row],[170898]]*$D76,0)</f>
        <v>0</v>
      </c>
      <c r="N76" s="728">
        <f>ROUND(CantidadesConsolidadas[[#This Row],[91064150]]*$D76,0)</f>
        <v>0</v>
      </c>
      <c r="O76" s="728">
        <f>ROUND(CantidadesConsolidadas[[#This Row],[168919]]*$D76,0)</f>
        <v>0</v>
      </c>
      <c r="P76" s="728">
        <f>ROUND(CantidadesConsolidadas[[#This Row],[168426]]*$D76,0)</f>
        <v>0</v>
      </c>
      <c r="Q76" s="728">
        <f>ROUND(CantidadesConsolidadas[[#This Row],[91020796]]*$D76,0)</f>
        <v>0</v>
      </c>
      <c r="R76" s="728">
        <f>ROUND(CantidadesConsolidadas[[#This Row],[176184]]*$D76,0)</f>
        <v>0</v>
      </c>
      <c r="S76" s="728">
        <f>ROUND(CantidadesConsolidadas[[#This Row],[167636]]*$D76,0)</f>
        <v>0</v>
      </c>
      <c r="T76" s="728">
        <f>ROUND(CantidadesConsolidadas[[#This Row],[176730]]*$D76,0)</f>
        <v>0</v>
      </c>
      <c r="U76" s="728">
        <f>ROUND(CantidadesConsolidadas[[#This Row],[173038]]*$D76,0)</f>
        <v>0</v>
      </c>
      <c r="V76" s="728">
        <f>ROUND(CantidadesConsolidadas[[#This Row],[170222]]*$D76,0)</f>
        <v>0</v>
      </c>
      <c r="W76" s="728">
        <f>ROUND(CantidadesConsolidadas[[#This Row],[170229]]*$D76,0)</f>
        <v>0</v>
      </c>
      <c r="X76" s="728">
        <f>ROUND(CantidadesConsolidadas[[#This Row],[170227]]*$D76,0)</f>
        <v>0</v>
      </c>
      <c r="Y76" s="728">
        <f>ROUND(CantidadesConsolidadas[[#This Row],[170226]]*$D76,0)</f>
        <v>0</v>
      </c>
      <c r="Z76" s="728">
        <f>ROUND(CantidadesConsolidadas[[#This Row],[171567]]*$D76,0)</f>
        <v>0</v>
      </c>
      <c r="AA76" s="728">
        <f>ROUND(CantidadesConsolidadas[[#This Row],[166632]]*$D76,0)</f>
        <v>0</v>
      </c>
      <c r="AB76" s="728">
        <f>ROUND(CantidadesConsolidadas[[#This Row],[170228]]*$D76,0)</f>
        <v>0</v>
      </c>
      <c r="AC76" s="728">
        <f>ROUND(CantidadesConsolidadas[[#This Row],[172926]]*$D76,0)</f>
        <v>0</v>
      </c>
      <c r="AD76" s="728">
        <f>ROUND(CantidadesConsolidadas[[#This Row],[171152]]*$D76,0)</f>
        <v>0</v>
      </c>
      <c r="AE76" s="728">
        <f>ROUND(CantidadesConsolidadas[[#This Row],[173058]]*$D76,0)</f>
        <v>0</v>
      </c>
      <c r="AF76" s="728">
        <f>ROUND(CantidadesConsolidadas[[#This Row],[174478]]*$D76,0)</f>
        <v>0</v>
      </c>
      <c r="AG76" s="728">
        <f>ROUND(CantidadesConsolidadas[[#This Row],[91010089]]*$D76,0)</f>
        <v>0</v>
      </c>
      <c r="AH76" s="728">
        <f>ROUND(CantidadesConsolidadas[[#This Row],[176122]]*$D76,0)</f>
        <v>0</v>
      </c>
      <c r="AI76" s="728">
        <f>ROUND(CantidadesConsolidadas[[#This Row],[168536]]*$D76,0)</f>
        <v>0</v>
      </c>
      <c r="AJ76" s="728">
        <f>ROUND(CantidadesConsolidadas[[#This Row],[166934]]*$D76,0)</f>
        <v>0</v>
      </c>
      <c r="AK76" s="728">
        <f>ROUND(CantidadesConsolidadas[[#This Row],[174353]]*$D76,0)</f>
        <v>0</v>
      </c>
      <c r="AL76" s="747">
        <f>ROUND(CantidadesConsolidadas[[#This Row],[52531]]*$D76,0)</f>
        <v>0</v>
      </c>
      <c r="AM76" s="746">
        <f>ROUND(CantidadesConsolidadas[[#This Row],[52456]]*$D76,0)</f>
        <v>0</v>
      </c>
      <c r="AN76" s="746">
        <f>ROUND(CantidadesConsolidadas[[#This Row],[92058103]]*$D76,0)</f>
        <v>0</v>
      </c>
      <c r="AO76" s="746">
        <f>ROUND(CantidadesConsolidadas[[#This Row],[20011114]]*$D76,0)</f>
        <v>0</v>
      </c>
      <c r="AP76" s="746">
        <f>ROUND(CantidadesConsolidadas[[#This Row],[20013540]]*$D76,0)</f>
        <v>0</v>
      </c>
      <c r="AQ76" s="746">
        <f>ROUND(CantidadesConsolidadas[[#This Row],[55337]]*$D76,0)</f>
        <v>0</v>
      </c>
      <c r="AR76" s="746">
        <f>ROUND(CantidadesConsolidadas[[#This Row],[92087422]]*$D76,0)</f>
        <v>0</v>
      </c>
      <c r="AS76" s="746">
        <f>ROUND(CantidadesConsolidadas[[#This Row],[55259]]*$D76,0)</f>
        <v>0</v>
      </c>
      <c r="AT76" s="746">
        <f>ROUND(CantidadesConsolidadas[[#This Row],[466904]]*$D76,0)</f>
        <v>0</v>
      </c>
      <c r="AU76" s="746">
        <f>ROUND(CantidadesConsolidadas[[#This Row],[48591]]*$D76,0)</f>
        <v>0</v>
      </c>
      <c r="AV76" s="746">
        <f>ROUND(CantidadesConsolidadas[[#This Row],[48590]]*$D76,0)</f>
        <v>0</v>
      </c>
      <c r="AW76" s="746">
        <f>ROUND(CantidadesConsolidadas[[#This Row],[48561]]*$D76,0)</f>
        <v>0</v>
      </c>
      <c r="AX76" s="746">
        <f>ROUND(CantidadesConsolidadas[[#This Row],[48560]]*$D76,0)</f>
        <v>0</v>
      </c>
      <c r="AY76" s="746">
        <f>ROUND(CantidadesConsolidadas[[#This Row],[48657]]*$D76,0)</f>
        <v>0</v>
      </c>
      <c r="AZ76" s="746">
        <f>ROUND(CantidadesConsolidadas[[#This Row],[48655]]*$D76,0)</f>
        <v>0</v>
      </c>
      <c r="BA76" s="806">
        <f>SUBTOTAL(9,CostoDirecto[[#This Row],[91013913]:[174353]])</f>
        <v>15386984</v>
      </c>
      <c r="BB76" s="806">
        <f>SUBTOTAL(9,CostoDirecto[[#This Row],[52531]:[48655]])</f>
        <v>0</v>
      </c>
    </row>
    <row r="77" spans="1:54" ht="28.8" x14ac:dyDescent="0.3">
      <c r="A77">
        <v>3041</v>
      </c>
      <c r="B77" s="511" t="str">
        <f>+_xlfn.XLOOKUP(CostoDirecto[[#This Row],[cod Idu]],APU_IDU[Código],APU_IDU[Nombre],"",0)</f>
        <v>TUBERIA PVC U.M. EXT CORRUGADO/INT LISO U.M. NORMA NTC 3722-1 D=4" (INCLUYE SUMINISTRO E INSTALACIÓN)</v>
      </c>
      <c r="C77" s="497" t="str">
        <f>+_xlfn.XLOOKUP(CostoDirecto[[#This Row],[cod Idu]],APU_IDU[Código],APU_IDU[UM],"",0)</f>
        <v>ML</v>
      </c>
      <c r="D77" s="521">
        <f>+_xlfn.XLOOKUP(CostoDirecto[[#This Row],[cod Idu]],APU_IDU[Código],APU_IDU[Valor],"",0)</f>
        <v>39297</v>
      </c>
      <c r="E77" s="728">
        <f>ROUND(CantidadesConsolidadas[[#This Row],[91013913]]*$D77,0)</f>
        <v>0</v>
      </c>
      <c r="F77" s="728">
        <f>ROUND(CantidadesConsolidadas[[#This Row],[472330]]*$D77,0)</f>
        <v>2414801</v>
      </c>
      <c r="G77" s="728">
        <f>ROUND(CantidadesConsolidadas[[#This Row],[167810]]*$D77,0)</f>
        <v>2623468</v>
      </c>
      <c r="H77" s="728">
        <f>ROUND(CantidadesConsolidadas[[#This Row],[166646]]*$D77,0)</f>
        <v>1847745</v>
      </c>
      <c r="I77" s="728">
        <f>ROUND(CantidadesConsolidadas[[#This Row],[167491]]*$D77,0)</f>
        <v>0</v>
      </c>
      <c r="J77" s="728">
        <f>ROUND(CantidadesConsolidadas[[#This Row],[167266]]*$D77,0)</f>
        <v>1866608</v>
      </c>
      <c r="K77" s="728">
        <f>ROUND(CantidadesConsolidadas[[#This Row],[170896]]*$D77,0)</f>
        <v>0</v>
      </c>
      <c r="L77" s="728">
        <f>ROUND(CantidadesConsolidadas[[#This Row],[170897]]*$D77,0)</f>
        <v>0</v>
      </c>
      <c r="M77" s="728">
        <f>ROUND(CantidadesConsolidadas[[#This Row],[170898]]*$D77,0)</f>
        <v>0</v>
      </c>
      <c r="N77" s="728">
        <f>ROUND(CantidadesConsolidadas[[#This Row],[91064150]]*$D77,0)</f>
        <v>534832</v>
      </c>
      <c r="O77" s="728">
        <f>ROUND(CantidadesConsolidadas[[#This Row],[168919]]*$D77,0)</f>
        <v>1387577</v>
      </c>
      <c r="P77" s="728">
        <f>ROUND(CantidadesConsolidadas[[#This Row],[168426]]*$D77,0)</f>
        <v>1472852</v>
      </c>
      <c r="Q77" s="728">
        <f>ROUND(CantidadesConsolidadas[[#This Row],[91020796]]*$D77,0)</f>
        <v>0</v>
      </c>
      <c r="R77" s="728">
        <f>ROUND(CantidadesConsolidadas[[#This Row],[176184]]*$D77,0)</f>
        <v>648793</v>
      </c>
      <c r="S77" s="728">
        <f>ROUND(CantidadesConsolidadas[[#This Row],[167636]]*$D77,0)</f>
        <v>0</v>
      </c>
      <c r="T77" s="728">
        <f>ROUND(CantidadesConsolidadas[[#This Row],[176730]]*$D77,0)</f>
        <v>796550</v>
      </c>
      <c r="U77" s="728">
        <f>ROUND(CantidadesConsolidadas[[#This Row],[173038]]*$D77,0)</f>
        <v>1485427</v>
      </c>
      <c r="V77" s="728">
        <f>ROUND(CantidadesConsolidadas[[#This Row],[170222]]*$D77,0)</f>
        <v>0</v>
      </c>
      <c r="W77" s="728">
        <f>ROUND(CantidadesConsolidadas[[#This Row],[170229]]*$D77,0)</f>
        <v>0</v>
      </c>
      <c r="X77" s="728">
        <f>ROUND(CantidadesConsolidadas[[#This Row],[170227]]*$D77,0)</f>
        <v>0</v>
      </c>
      <c r="Y77" s="728">
        <f>ROUND(CantidadesConsolidadas[[#This Row],[170226]]*$D77,0)</f>
        <v>0</v>
      </c>
      <c r="Z77" s="728">
        <f>ROUND(CantidadesConsolidadas[[#This Row],[171567]]*$D77,0)</f>
        <v>1688592</v>
      </c>
      <c r="AA77" s="728">
        <f>ROUND(CantidadesConsolidadas[[#This Row],[166632]]*$D77,0)</f>
        <v>0</v>
      </c>
      <c r="AB77" s="728">
        <f>ROUND(CantidadesConsolidadas[[#This Row],[170228]]*$D77,0)</f>
        <v>793799</v>
      </c>
      <c r="AC77" s="728">
        <f>ROUND(CantidadesConsolidadas[[#This Row],[172926]]*$D77,0)</f>
        <v>0</v>
      </c>
      <c r="AD77" s="728">
        <f>ROUND(CantidadesConsolidadas[[#This Row],[171152]]*$D77,0)</f>
        <v>2122431</v>
      </c>
      <c r="AE77" s="728">
        <f>ROUND(CantidadesConsolidadas[[#This Row],[173058]]*$D77,0)</f>
        <v>0</v>
      </c>
      <c r="AF77" s="728">
        <f>ROUND(CantidadesConsolidadas[[#This Row],[174478]]*$D77,0)</f>
        <v>0</v>
      </c>
      <c r="AG77" s="728">
        <f>ROUND(CantidadesConsolidadas[[#This Row],[91010089]]*$D77,0)</f>
        <v>0</v>
      </c>
      <c r="AH77" s="728">
        <f>ROUND(CantidadesConsolidadas[[#This Row],[176122]]*$D77,0)</f>
        <v>0</v>
      </c>
      <c r="AI77" s="728">
        <f>ROUND(CantidadesConsolidadas[[#This Row],[168536]]*$D77,0)</f>
        <v>0</v>
      </c>
      <c r="AJ77" s="728">
        <f>ROUND(CantidadesConsolidadas[[#This Row],[166934]]*$D77,0)</f>
        <v>3162230</v>
      </c>
      <c r="AK77" s="728">
        <f>ROUND(CantidadesConsolidadas[[#This Row],[174353]]*$D77,0)</f>
        <v>2112607</v>
      </c>
      <c r="AL77" s="747">
        <f>ROUND(CantidadesConsolidadas[[#This Row],[52531]]*$D77,0)</f>
        <v>0</v>
      </c>
      <c r="AM77" s="746">
        <f>ROUND(CantidadesConsolidadas[[#This Row],[52456]]*$D77,0)</f>
        <v>0</v>
      </c>
      <c r="AN77" s="746">
        <f>ROUND(CantidadesConsolidadas[[#This Row],[92058103]]*$D77,0)</f>
        <v>0</v>
      </c>
      <c r="AO77" s="746">
        <f>ROUND(CantidadesConsolidadas[[#This Row],[20011114]]*$D77,0)</f>
        <v>0</v>
      </c>
      <c r="AP77" s="746">
        <f>ROUND(CantidadesConsolidadas[[#This Row],[20013540]]*$D77,0)</f>
        <v>0</v>
      </c>
      <c r="AQ77" s="746">
        <f>ROUND(CantidadesConsolidadas[[#This Row],[55337]]*$D77,0)</f>
        <v>0</v>
      </c>
      <c r="AR77" s="746">
        <f>ROUND(CantidadesConsolidadas[[#This Row],[92087422]]*$D77,0)</f>
        <v>0</v>
      </c>
      <c r="AS77" s="746">
        <f>ROUND(CantidadesConsolidadas[[#This Row],[55259]]*$D77,0)</f>
        <v>0</v>
      </c>
      <c r="AT77" s="746">
        <f>ROUND(CantidadesConsolidadas[[#This Row],[466904]]*$D77,0)</f>
        <v>0</v>
      </c>
      <c r="AU77" s="746">
        <f>ROUND(CantidadesConsolidadas[[#This Row],[48591]]*$D77,0)</f>
        <v>0</v>
      </c>
      <c r="AV77" s="746">
        <f>ROUND(CantidadesConsolidadas[[#This Row],[48590]]*$D77,0)</f>
        <v>0</v>
      </c>
      <c r="AW77" s="746">
        <f>ROUND(CantidadesConsolidadas[[#This Row],[48561]]*$D77,0)</f>
        <v>0</v>
      </c>
      <c r="AX77" s="746">
        <f>ROUND(CantidadesConsolidadas[[#This Row],[48560]]*$D77,0)</f>
        <v>0</v>
      </c>
      <c r="AY77" s="746">
        <f>ROUND(CantidadesConsolidadas[[#This Row],[48657]]*$D77,0)</f>
        <v>0</v>
      </c>
      <c r="AZ77" s="746">
        <f>ROUND(CantidadesConsolidadas[[#This Row],[48655]]*$D77,0)</f>
        <v>0</v>
      </c>
      <c r="BA77" s="806">
        <f>SUBTOTAL(9,CostoDirecto[[#This Row],[91013913]:[174353]])</f>
        <v>24958312</v>
      </c>
      <c r="BB77" s="806">
        <f>SUBTOTAL(9,CostoDirecto[[#This Row],[52531]:[48655]])</f>
        <v>0</v>
      </c>
    </row>
    <row r="78" spans="1:54" ht="28.8" x14ac:dyDescent="0.3">
      <c r="A78">
        <v>3042</v>
      </c>
      <c r="B78" s="511" t="str">
        <f>+_xlfn.XLOOKUP(CostoDirecto[[#This Row],[cod Idu]],APU_IDU[Código],APU_IDU[Nombre],"",0)</f>
        <v>TUBERIA PVC U.M. EXT CORRUGADO/INT LISO U.M. NORMA NTC 3722-1 D=6" (INCLUYE SUMINISTRO E INSTALACIÓN)</v>
      </c>
      <c r="C78" s="497" t="str">
        <f>+_xlfn.XLOOKUP(CostoDirecto[[#This Row],[cod Idu]],APU_IDU[Código],APU_IDU[UM],"",0)</f>
        <v>ML</v>
      </c>
      <c r="D78" s="521">
        <f>+_xlfn.XLOOKUP(CostoDirecto[[#This Row],[cod Idu]],APU_IDU[Código],APU_IDU[Valor],"",0)</f>
        <v>66044</v>
      </c>
      <c r="E78" s="728">
        <f>ROUND(CantidadesConsolidadas[[#This Row],[91013913]]*$D78,0)</f>
        <v>0</v>
      </c>
      <c r="F78" s="728">
        <f>ROUND(CantidadesConsolidadas[[#This Row],[472330]]*$D78,0)</f>
        <v>0</v>
      </c>
      <c r="G78" s="728">
        <f>ROUND(CantidadesConsolidadas[[#This Row],[167810]]*$D78,0)</f>
        <v>0</v>
      </c>
      <c r="H78" s="728">
        <f>ROUND(CantidadesConsolidadas[[#This Row],[166646]]*$D78,0)</f>
        <v>0</v>
      </c>
      <c r="I78" s="728">
        <f>ROUND(CantidadesConsolidadas[[#This Row],[167491]]*$D78,0)</f>
        <v>0</v>
      </c>
      <c r="J78" s="728">
        <f>ROUND(CantidadesConsolidadas[[#This Row],[167266]]*$D78,0)</f>
        <v>0</v>
      </c>
      <c r="K78" s="728">
        <f>ROUND(CantidadesConsolidadas[[#This Row],[170896]]*$D78,0)</f>
        <v>0</v>
      </c>
      <c r="L78" s="728">
        <f>ROUND(CantidadesConsolidadas[[#This Row],[170897]]*$D78,0)</f>
        <v>0</v>
      </c>
      <c r="M78" s="728">
        <f>ROUND(CantidadesConsolidadas[[#This Row],[170898]]*$D78,0)</f>
        <v>0</v>
      </c>
      <c r="N78" s="728">
        <f>ROUND(CantidadesConsolidadas[[#This Row],[91064150]]*$D78,0)</f>
        <v>0</v>
      </c>
      <c r="O78" s="728">
        <f>ROUND(CantidadesConsolidadas[[#This Row],[168919]]*$D78,0)</f>
        <v>0</v>
      </c>
      <c r="P78" s="728">
        <f>ROUND(CantidadesConsolidadas[[#This Row],[168426]]*$D78,0)</f>
        <v>0</v>
      </c>
      <c r="Q78" s="728">
        <f>ROUND(CantidadesConsolidadas[[#This Row],[91020796]]*$D78,0)</f>
        <v>0</v>
      </c>
      <c r="R78" s="728">
        <f>ROUND(CantidadesConsolidadas[[#This Row],[176184]]*$D78,0)</f>
        <v>0</v>
      </c>
      <c r="S78" s="728">
        <f>ROUND(CantidadesConsolidadas[[#This Row],[167636]]*$D78,0)</f>
        <v>0</v>
      </c>
      <c r="T78" s="728">
        <f>ROUND(CantidadesConsolidadas[[#This Row],[176730]]*$D78,0)</f>
        <v>0</v>
      </c>
      <c r="U78" s="728">
        <f>ROUND(CantidadesConsolidadas[[#This Row],[173038]]*$D78,0)</f>
        <v>0</v>
      </c>
      <c r="V78" s="728">
        <f>ROUND(CantidadesConsolidadas[[#This Row],[170222]]*$D78,0)</f>
        <v>0</v>
      </c>
      <c r="W78" s="728">
        <f>ROUND(CantidadesConsolidadas[[#This Row],[170229]]*$D78,0)</f>
        <v>0</v>
      </c>
      <c r="X78" s="728">
        <f>ROUND(CantidadesConsolidadas[[#This Row],[170227]]*$D78,0)</f>
        <v>0</v>
      </c>
      <c r="Y78" s="728">
        <f>ROUND(CantidadesConsolidadas[[#This Row],[170226]]*$D78,0)</f>
        <v>0</v>
      </c>
      <c r="Z78" s="728">
        <f>ROUND(CantidadesConsolidadas[[#This Row],[171567]]*$D78,0)</f>
        <v>0</v>
      </c>
      <c r="AA78" s="728">
        <f>ROUND(CantidadesConsolidadas[[#This Row],[166632]]*$D78,0)</f>
        <v>2125296</v>
      </c>
      <c r="AB78" s="728">
        <f>ROUND(CantidadesConsolidadas[[#This Row],[170228]]*$D78,0)</f>
        <v>0</v>
      </c>
      <c r="AC78" s="728">
        <f>ROUND(CantidadesConsolidadas[[#This Row],[172926]]*$D78,0)</f>
        <v>919332</v>
      </c>
      <c r="AD78" s="728">
        <f>ROUND(CantidadesConsolidadas[[#This Row],[171152]]*$D78,0)</f>
        <v>0</v>
      </c>
      <c r="AE78" s="728">
        <f>ROUND(CantidadesConsolidadas[[#This Row],[173058]]*$D78,0)</f>
        <v>0</v>
      </c>
      <c r="AF78" s="728">
        <f>ROUND(CantidadesConsolidadas[[#This Row],[174478]]*$D78,0)</f>
        <v>0</v>
      </c>
      <c r="AG78" s="728">
        <f>ROUND(CantidadesConsolidadas[[#This Row],[91010089]]*$D78,0)</f>
        <v>0</v>
      </c>
      <c r="AH78" s="728">
        <f>ROUND(CantidadesConsolidadas[[#This Row],[176122]]*$D78,0)</f>
        <v>0</v>
      </c>
      <c r="AI78" s="728">
        <f>ROUND(CantidadesConsolidadas[[#This Row],[168536]]*$D78,0)</f>
        <v>0</v>
      </c>
      <c r="AJ78" s="728">
        <f>ROUND(CantidadesConsolidadas[[#This Row],[166934]]*$D78,0)</f>
        <v>0</v>
      </c>
      <c r="AK78" s="728">
        <f>ROUND(CantidadesConsolidadas[[#This Row],[174353]]*$D78,0)</f>
        <v>0</v>
      </c>
      <c r="AL78" s="747">
        <f>ROUND(CantidadesConsolidadas[[#This Row],[52531]]*$D78,0)</f>
        <v>0</v>
      </c>
      <c r="AM78" s="746">
        <f>ROUND(CantidadesConsolidadas[[#This Row],[52456]]*$D78,0)</f>
        <v>0</v>
      </c>
      <c r="AN78" s="746">
        <f>ROUND(CantidadesConsolidadas[[#This Row],[92058103]]*$D78,0)</f>
        <v>0</v>
      </c>
      <c r="AO78" s="746">
        <f>ROUND(CantidadesConsolidadas[[#This Row],[20011114]]*$D78,0)</f>
        <v>0</v>
      </c>
      <c r="AP78" s="746">
        <f>ROUND(CantidadesConsolidadas[[#This Row],[20013540]]*$D78,0)</f>
        <v>0</v>
      </c>
      <c r="AQ78" s="746">
        <f>ROUND(CantidadesConsolidadas[[#This Row],[55337]]*$D78,0)</f>
        <v>0</v>
      </c>
      <c r="AR78" s="746">
        <f>ROUND(CantidadesConsolidadas[[#This Row],[92087422]]*$D78,0)</f>
        <v>0</v>
      </c>
      <c r="AS78" s="746">
        <f>ROUND(CantidadesConsolidadas[[#This Row],[55259]]*$D78,0)</f>
        <v>0</v>
      </c>
      <c r="AT78" s="746">
        <f>ROUND(CantidadesConsolidadas[[#This Row],[466904]]*$D78,0)</f>
        <v>0</v>
      </c>
      <c r="AU78" s="746">
        <f>ROUND(CantidadesConsolidadas[[#This Row],[48591]]*$D78,0)</f>
        <v>0</v>
      </c>
      <c r="AV78" s="746">
        <f>ROUND(CantidadesConsolidadas[[#This Row],[48590]]*$D78,0)</f>
        <v>0</v>
      </c>
      <c r="AW78" s="746">
        <f>ROUND(CantidadesConsolidadas[[#This Row],[48561]]*$D78,0)</f>
        <v>0</v>
      </c>
      <c r="AX78" s="746">
        <f>ROUND(CantidadesConsolidadas[[#This Row],[48560]]*$D78,0)</f>
        <v>0</v>
      </c>
      <c r="AY78" s="746">
        <f>ROUND(CantidadesConsolidadas[[#This Row],[48657]]*$D78,0)</f>
        <v>0</v>
      </c>
      <c r="AZ78" s="746">
        <f>ROUND(CantidadesConsolidadas[[#This Row],[48655]]*$D78,0)</f>
        <v>0</v>
      </c>
      <c r="BA78" s="806">
        <f>SUBTOTAL(9,CostoDirecto[[#This Row],[91013913]:[174353]])</f>
        <v>3044628</v>
      </c>
      <c r="BB78" s="806">
        <f>SUBTOTAL(9,CostoDirecto[[#This Row],[52531]:[48655]])</f>
        <v>0</v>
      </c>
    </row>
    <row r="79" spans="1:54" ht="28.8" x14ac:dyDescent="0.3">
      <c r="A79">
        <v>3043</v>
      </c>
      <c r="B79" s="511" t="str">
        <f>+_xlfn.XLOOKUP(CostoDirecto[[#This Row],[cod Idu]],APU_IDU[Código],APU_IDU[Nombre],"",0)</f>
        <v>TUBERIA PVC U.M. EXT CORRUGADO/INT LISO U.M. NORMA NTC 3722-1 D=8" (INCLUYE SUMINISTRO E INSTALACIÓN)</v>
      </c>
      <c r="C79" s="497" t="str">
        <f>+_xlfn.XLOOKUP(CostoDirecto[[#This Row],[cod Idu]],APU_IDU[Código],APU_IDU[UM],"",0)</f>
        <v>ML</v>
      </c>
      <c r="D79" s="521">
        <f>+_xlfn.XLOOKUP(CostoDirecto[[#This Row],[cod Idu]],APU_IDU[Código],APU_IDU[Valor],"",0)</f>
        <v>91366</v>
      </c>
      <c r="E79" s="728">
        <f>ROUND(CantidadesConsolidadas[[#This Row],[91013913]]*$D79,0)</f>
        <v>0</v>
      </c>
      <c r="F79" s="728">
        <f>ROUND(CantidadesConsolidadas[[#This Row],[472330]]*$D79,0)</f>
        <v>0</v>
      </c>
      <c r="G79" s="728">
        <f>ROUND(CantidadesConsolidadas[[#This Row],[167810]]*$D79,0)</f>
        <v>0</v>
      </c>
      <c r="H79" s="728">
        <f>ROUND(CantidadesConsolidadas[[#This Row],[166646]]*$D79,0)</f>
        <v>0</v>
      </c>
      <c r="I79" s="728">
        <f>ROUND(CantidadesConsolidadas[[#This Row],[167491]]*$D79,0)</f>
        <v>4151671</v>
      </c>
      <c r="J79" s="728">
        <f>ROUND(CantidadesConsolidadas[[#This Row],[167266]]*$D79,0)</f>
        <v>0</v>
      </c>
      <c r="K79" s="728">
        <f>ROUND(CantidadesConsolidadas[[#This Row],[170896]]*$D79,0)</f>
        <v>0</v>
      </c>
      <c r="L79" s="728">
        <f>ROUND(CantidadesConsolidadas[[#This Row],[170897]]*$D79,0)</f>
        <v>0</v>
      </c>
      <c r="M79" s="728">
        <f>ROUND(CantidadesConsolidadas[[#This Row],[170898]]*$D79,0)</f>
        <v>0</v>
      </c>
      <c r="N79" s="728">
        <f>ROUND(CantidadesConsolidadas[[#This Row],[91064150]]*$D79,0)</f>
        <v>0</v>
      </c>
      <c r="O79" s="728">
        <f>ROUND(CantidadesConsolidadas[[#This Row],[168919]]*$D79,0)</f>
        <v>0</v>
      </c>
      <c r="P79" s="728">
        <f>ROUND(CantidadesConsolidadas[[#This Row],[168426]]*$D79,0)</f>
        <v>0</v>
      </c>
      <c r="Q79" s="728">
        <f>ROUND(CantidadesConsolidadas[[#This Row],[91020796]]*$D79,0)</f>
        <v>0</v>
      </c>
      <c r="R79" s="728">
        <f>ROUND(CantidadesConsolidadas[[#This Row],[176184]]*$D79,0)</f>
        <v>0</v>
      </c>
      <c r="S79" s="728">
        <f>ROUND(CantidadesConsolidadas[[#This Row],[167636]]*$D79,0)</f>
        <v>0</v>
      </c>
      <c r="T79" s="728">
        <f>ROUND(CantidadesConsolidadas[[#This Row],[176730]]*$D79,0)</f>
        <v>0</v>
      </c>
      <c r="U79" s="728">
        <f>ROUND(CantidadesConsolidadas[[#This Row],[173038]]*$D79,0)</f>
        <v>0</v>
      </c>
      <c r="V79" s="728">
        <f>ROUND(CantidadesConsolidadas[[#This Row],[170222]]*$D79,0)</f>
        <v>0</v>
      </c>
      <c r="W79" s="728">
        <f>ROUND(CantidadesConsolidadas[[#This Row],[170229]]*$D79,0)</f>
        <v>0</v>
      </c>
      <c r="X79" s="728">
        <f>ROUND(CantidadesConsolidadas[[#This Row],[170227]]*$D79,0)</f>
        <v>0</v>
      </c>
      <c r="Y79" s="728">
        <f>ROUND(CantidadesConsolidadas[[#This Row],[170226]]*$D79,0)</f>
        <v>0</v>
      </c>
      <c r="Z79" s="728">
        <f>ROUND(CantidadesConsolidadas[[#This Row],[171567]]*$D79,0)</f>
        <v>0</v>
      </c>
      <c r="AA79" s="728">
        <f>ROUND(CantidadesConsolidadas[[#This Row],[166632]]*$D79,0)</f>
        <v>0</v>
      </c>
      <c r="AB79" s="728">
        <f>ROUND(CantidadesConsolidadas[[#This Row],[170228]]*$D79,0)</f>
        <v>0</v>
      </c>
      <c r="AC79" s="728">
        <f>ROUND(CantidadesConsolidadas[[#This Row],[172926]]*$D79,0)</f>
        <v>0</v>
      </c>
      <c r="AD79" s="728">
        <f>ROUND(CantidadesConsolidadas[[#This Row],[171152]]*$D79,0)</f>
        <v>0</v>
      </c>
      <c r="AE79" s="728">
        <f>ROUND(CantidadesConsolidadas[[#This Row],[173058]]*$D79,0)</f>
        <v>0</v>
      </c>
      <c r="AF79" s="728">
        <f>ROUND(CantidadesConsolidadas[[#This Row],[174478]]*$D79,0)</f>
        <v>0</v>
      </c>
      <c r="AG79" s="728">
        <f>ROUND(CantidadesConsolidadas[[#This Row],[91010089]]*$D79,0)</f>
        <v>0</v>
      </c>
      <c r="AH79" s="728">
        <f>ROUND(CantidadesConsolidadas[[#This Row],[176122]]*$D79,0)</f>
        <v>0</v>
      </c>
      <c r="AI79" s="728">
        <f>ROUND(CantidadesConsolidadas[[#This Row],[168536]]*$D79,0)</f>
        <v>0</v>
      </c>
      <c r="AJ79" s="728">
        <f>ROUND(CantidadesConsolidadas[[#This Row],[166934]]*$D79,0)</f>
        <v>0</v>
      </c>
      <c r="AK79" s="728">
        <f>ROUND(CantidadesConsolidadas[[#This Row],[174353]]*$D79,0)</f>
        <v>0</v>
      </c>
      <c r="AL79" s="747">
        <f>ROUND(CantidadesConsolidadas[[#This Row],[52531]]*$D79,0)</f>
        <v>0</v>
      </c>
      <c r="AM79" s="746">
        <f>ROUND(CantidadesConsolidadas[[#This Row],[52456]]*$D79,0)</f>
        <v>0</v>
      </c>
      <c r="AN79" s="746">
        <f>ROUND(CantidadesConsolidadas[[#This Row],[92058103]]*$D79,0)</f>
        <v>0</v>
      </c>
      <c r="AO79" s="746">
        <f>ROUND(CantidadesConsolidadas[[#This Row],[20011114]]*$D79,0)</f>
        <v>0</v>
      </c>
      <c r="AP79" s="746">
        <f>ROUND(CantidadesConsolidadas[[#This Row],[20013540]]*$D79,0)</f>
        <v>0</v>
      </c>
      <c r="AQ79" s="746">
        <f>ROUND(CantidadesConsolidadas[[#This Row],[55337]]*$D79,0)</f>
        <v>0</v>
      </c>
      <c r="AR79" s="746">
        <f>ROUND(CantidadesConsolidadas[[#This Row],[92087422]]*$D79,0)</f>
        <v>0</v>
      </c>
      <c r="AS79" s="746">
        <f>ROUND(CantidadesConsolidadas[[#This Row],[55259]]*$D79,0)</f>
        <v>0</v>
      </c>
      <c r="AT79" s="746">
        <f>ROUND(CantidadesConsolidadas[[#This Row],[466904]]*$D79,0)</f>
        <v>0</v>
      </c>
      <c r="AU79" s="746">
        <f>ROUND(CantidadesConsolidadas[[#This Row],[48591]]*$D79,0)</f>
        <v>0</v>
      </c>
      <c r="AV79" s="746">
        <f>ROUND(CantidadesConsolidadas[[#This Row],[48590]]*$D79,0)</f>
        <v>0</v>
      </c>
      <c r="AW79" s="746">
        <f>ROUND(CantidadesConsolidadas[[#This Row],[48561]]*$D79,0)</f>
        <v>0</v>
      </c>
      <c r="AX79" s="746">
        <f>ROUND(CantidadesConsolidadas[[#This Row],[48560]]*$D79,0)</f>
        <v>0</v>
      </c>
      <c r="AY79" s="746">
        <f>ROUND(CantidadesConsolidadas[[#This Row],[48657]]*$D79,0)</f>
        <v>0</v>
      </c>
      <c r="AZ79" s="746">
        <f>ROUND(CantidadesConsolidadas[[#This Row],[48655]]*$D79,0)</f>
        <v>0</v>
      </c>
      <c r="BA79" s="806">
        <f>SUBTOTAL(9,CostoDirecto[[#This Row],[91013913]:[174353]])</f>
        <v>4151671</v>
      </c>
      <c r="BB79" s="806">
        <f>SUBTOTAL(9,CostoDirecto[[#This Row],[52531]:[48655]])</f>
        <v>0</v>
      </c>
    </row>
    <row r="80" spans="1:54" ht="28.8" x14ac:dyDescent="0.3">
      <c r="A80">
        <v>3044</v>
      </c>
      <c r="B80" s="511" t="str">
        <f>+_xlfn.XLOOKUP(CostoDirecto[[#This Row],[cod Idu]],APU_IDU[Código],APU_IDU[Nombre],"",0)</f>
        <v>TUBERIA PVC U.M. EXT CORRUGADO/INT LISO U.M. NORMA NTC 3722-1 D=10" (INCLUYE SUMINISTRO E INSTALACIÓN)</v>
      </c>
      <c r="C80" s="497" t="str">
        <f>+_xlfn.XLOOKUP(CostoDirecto[[#This Row],[cod Idu]],APU_IDU[Código],APU_IDU[UM],"",0)</f>
        <v>ML</v>
      </c>
      <c r="D80" s="521">
        <f>+_xlfn.XLOOKUP(CostoDirecto[[#This Row],[cod Idu]],APU_IDU[Código],APU_IDU[Valor],"",0)</f>
        <v>128594</v>
      </c>
      <c r="E80" s="728">
        <f>ROUND(CantidadesConsolidadas[[#This Row],[91013913]]*$D80,0)</f>
        <v>0</v>
      </c>
      <c r="F80" s="728">
        <f>ROUND(CantidadesConsolidadas[[#This Row],[472330]]*$D80,0)</f>
        <v>0</v>
      </c>
      <c r="G80" s="728">
        <f>ROUND(CantidadesConsolidadas[[#This Row],[167810]]*$D80,0)</f>
        <v>0</v>
      </c>
      <c r="H80" s="728">
        <f>ROUND(CantidadesConsolidadas[[#This Row],[166646]]*$D80,0)</f>
        <v>0</v>
      </c>
      <c r="I80" s="728">
        <f>ROUND(CantidadesConsolidadas[[#This Row],[167491]]*$D80,0)</f>
        <v>0</v>
      </c>
      <c r="J80" s="728">
        <f>ROUND(CantidadesConsolidadas[[#This Row],[167266]]*$D80,0)</f>
        <v>0</v>
      </c>
      <c r="K80" s="728">
        <f>ROUND(CantidadesConsolidadas[[#This Row],[170896]]*$D80,0)</f>
        <v>0</v>
      </c>
      <c r="L80" s="728">
        <f>ROUND(CantidadesConsolidadas[[#This Row],[170897]]*$D80,0)</f>
        <v>0</v>
      </c>
      <c r="M80" s="728">
        <f>ROUND(CantidadesConsolidadas[[#This Row],[170898]]*$D80,0)</f>
        <v>0</v>
      </c>
      <c r="N80" s="728">
        <f>ROUND(CantidadesConsolidadas[[#This Row],[91064150]]*$D80,0)</f>
        <v>0</v>
      </c>
      <c r="O80" s="728">
        <f>ROUND(CantidadesConsolidadas[[#This Row],[168919]]*$D80,0)</f>
        <v>0</v>
      </c>
      <c r="P80" s="728">
        <f>ROUND(CantidadesConsolidadas[[#This Row],[168426]]*$D80,0)</f>
        <v>0</v>
      </c>
      <c r="Q80" s="728">
        <f>ROUND(CantidadesConsolidadas[[#This Row],[91020796]]*$D80,0)</f>
        <v>0</v>
      </c>
      <c r="R80" s="728">
        <f>ROUND(CantidadesConsolidadas[[#This Row],[176184]]*$D80,0)</f>
        <v>0</v>
      </c>
      <c r="S80" s="728">
        <f>ROUND(CantidadesConsolidadas[[#This Row],[167636]]*$D80,0)</f>
        <v>6306250</v>
      </c>
      <c r="T80" s="728">
        <f>ROUND(CantidadesConsolidadas[[#This Row],[176730]]*$D80,0)</f>
        <v>0</v>
      </c>
      <c r="U80" s="728">
        <f>ROUND(CantidadesConsolidadas[[#This Row],[173038]]*$D80,0)</f>
        <v>0</v>
      </c>
      <c r="V80" s="728">
        <f>ROUND(CantidadesConsolidadas[[#This Row],[170222]]*$D80,0)</f>
        <v>0</v>
      </c>
      <c r="W80" s="728">
        <f>ROUND(CantidadesConsolidadas[[#This Row],[170229]]*$D80,0)</f>
        <v>0</v>
      </c>
      <c r="X80" s="728">
        <f>ROUND(CantidadesConsolidadas[[#This Row],[170227]]*$D80,0)</f>
        <v>0</v>
      </c>
      <c r="Y80" s="728">
        <f>ROUND(CantidadesConsolidadas[[#This Row],[170226]]*$D80,0)</f>
        <v>0</v>
      </c>
      <c r="Z80" s="728">
        <f>ROUND(CantidadesConsolidadas[[#This Row],[171567]]*$D80,0)</f>
        <v>0</v>
      </c>
      <c r="AA80" s="728">
        <f>ROUND(CantidadesConsolidadas[[#This Row],[166632]]*$D80,0)</f>
        <v>0</v>
      </c>
      <c r="AB80" s="728">
        <f>ROUND(CantidadesConsolidadas[[#This Row],[170228]]*$D80,0)</f>
        <v>0</v>
      </c>
      <c r="AC80" s="728">
        <f>ROUND(CantidadesConsolidadas[[#This Row],[172926]]*$D80,0)</f>
        <v>0</v>
      </c>
      <c r="AD80" s="728">
        <f>ROUND(CantidadesConsolidadas[[#This Row],[171152]]*$D80,0)</f>
        <v>0</v>
      </c>
      <c r="AE80" s="728">
        <f>ROUND(CantidadesConsolidadas[[#This Row],[173058]]*$D80,0)</f>
        <v>0</v>
      </c>
      <c r="AF80" s="728">
        <f>ROUND(CantidadesConsolidadas[[#This Row],[174478]]*$D80,0)</f>
        <v>0</v>
      </c>
      <c r="AG80" s="728">
        <f>ROUND(CantidadesConsolidadas[[#This Row],[91010089]]*$D80,0)</f>
        <v>0</v>
      </c>
      <c r="AH80" s="728">
        <f>ROUND(CantidadesConsolidadas[[#This Row],[176122]]*$D80,0)</f>
        <v>0</v>
      </c>
      <c r="AI80" s="728">
        <f>ROUND(CantidadesConsolidadas[[#This Row],[168536]]*$D80,0)</f>
        <v>0</v>
      </c>
      <c r="AJ80" s="728">
        <f>ROUND(CantidadesConsolidadas[[#This Row],[166934]]*$D80,0)</f>
        <v>0</v>
      </c>
      <c r="AK80" s="728">
        <f>ROUND(CantidadesConsolidadas[[#This Row],[174353]]*$D80,0)</f>
        <v>0</v>
      </c>
      <c r="AL80" s="747">
        <f>ROUND(CantidadesConsolidadas[[#This Row],[52531]]*$D80,0)</f>
        <v>0</v>
      </c>
      <c r="AM80" s="746">
        <f>ROUND(CantidadesConsolidadas[[#This Row],[52456]]*$D80,0)</f>
        <v>0</v>
      </c>
      <c r="AN80" s="746">
        <f>ROUND(CantidadesConsolidadas[[#This Row],[92058103]]*$D80,0)</f>
        <v>0</v>
      </c>
      <c r="AO80" s="746">
        <f>ROUND(CantidadesConsolidadas[[#This Row],[20011114]]*$D80,0)</f>
        <v>0</v>
      </c>
      <c r="AP80" s="746">
        <f>ROUND(CantidadesConsolidadas[[#This Row],[20013540]]*$D80,0)</f>
        <v>0</v>
      </c>
      <c r="AQ80" s="746">
        <f>ROUND(CantidadesConsolidadas[[#This Row],[55337]]*$D80,0)</f>
        <v>0</v>
      </c>
      <c r="AR80" s="746">
        <f>ROUND(CantidadesConsolidadas[[#This Row],[92087422]]*$D80,0)</f>
        <v>0</v>
      </c>
      <c r="AS80" s="746">
        <f>ROUND(CantidadesConsolidadas[[#This Row],[55259]]*$D80,0)</f>
        <v>0</v>
      </c>
      <c r="AT80" s="746">
        <f>ROUND(CantidadesConsolidadas[[#This Row],[466904]]*$D80,0)</f>
        <v>0</v>
      </c>
      <c r="AU80" s="746">
        <f>ROUND(CantidadesConsolidadas[[#This Row],[48591]]*$D80,0)</f>
        <v>0</v>
      </c>
      <c r="AV80" s="746">
        <f>ROUND(CantidadesConsolidadas[[#This Row],[48590]]*$D80,0)</f>
        <v>0</v>
      </c>
      <c r="AW80" s="746">
        <f>ROUND(CantidadesConsolidadas[[#This Row],[48561]]*$D80,0)</f>
        <v>0</v>
      </c>
      <c r="AX80" s="746">
        <f>ROUND(CantidadesConsolidadas[[#This Row],[48560]]*$D80,0)</f>
        <v>0</v>
      </c>
      <c r="AY80" s="746">
        <f>ROUND(CantidadesConsolidadas[[#This Row],[48657]]*$D80,0)</f>
        <v>0</v>
      </c>
      <c r="AZ80" s="746">
        <f>ROUND(CantidadesConsolidadas[[#This Row],[48655]]*$D80,0)</f>
        <v>0</v>
      </c>
      <c r="BA80" s="806">
        <f>SUBTOTAL(9,CostoDirecto[[#This Row],[91013913]:[174353]])</f>
        <v>6306250</v>
      </c>
      <c r="BB80" s="806">
        <f>SUBTOTAL(9,CostoDirecto[[#This Row],[52531]:[48655]])</f>
        <v>0</v>
      </c>
    </row>
    <row r="81" spans="1:54" ht="28.8" x14ac:dyDescent="0.3">
      <c r="A81">
        <v>3045</v>
      </c>
      <c r="B81" s="511" t="str">
        <f>+_xlfn.XLOOKUP(CostoDirecto[[#This Row],[cod Idu]],APU_IDU[Código],APU_IDU[Nombre],"",0)</f>
        <v>TUBERIA PVC U.M. EXT CORRUGADO/INT LISO U.M. NORMA NTC 3722-1 D=12" (INCLUYE SUMINISTRO E INSTALACIÓN)</v>
      </c>
      <c r="C81" s="497" t="str">
        <f>+_xlfn.XLOOKUP(CostoDirecto[[#This Row],[cod Idu]],APU_IDU[Código],APU_IDU[UM],"",0)</f>
        <v>ML</v>
      </c>
      <c r="D81" s="521">
        <f>+_xlfn.XLOOKUP(CostoDirecto[[#This Row],[cod Idu]],APU_IDU[Código],APU_IDU[Valor],"",0)</f>
        <v>179457</v>
      </c>
      <c r="E81" s="728">
        <f>ROUND(CantidadesConsolidadas[[#This Row],[91013913]]*$D81,0)</f>
        <v>0</v>
      </c>
      <c r="F81" s="728">
        <f>ROUND(CantidadesConsolidadas[[#This Row],[472330]]*$D81,0)</f>
        <v>0</v>
      </c>
      <c r="G81" s="728">
        <f>ROUND(CantidadesConsolidadas[[#This Row],[167810]]*$D81,0)</f>
        <v>0</v>
      </c>
      <c r="H81" s="728">
        <f>ROUND(CantidadesConsolidadas[[#This Row],[166646]]*$D81,0)</f>
        <v>0</v>
      </c>
      <c r="I81" s="728">
        <f>ROUND(CantidadesConsolidadas[[#This Row],[167491]]*$D81,0)</f>
        <v>0</v>
      </c>
      <c r="J81" s="728">
        <f>ROUND(CantidadesConsolidadas[[#This Row],[167266]]*$D81,0)</f>
        <v>0</v>
      </c>
      <c r="K81" s="728">
        <f>ROUND(CantidadesConsolidadas[[#This Row],[170896]]*$D81,0)</f>
        <v>0</v>
      </c>
      <c r="L81" s="728">
        <f>ROUND(CantidadesConsolidadas[[#This Row],[170897]]*$D81,0)</f>
        <v>0</v>
      </c>
      <c r="M81" s="728">
        <f>ROUND(CantidadesConsolidadas[[#This Row],[170898]]*$D81,0)</f>
        <v>0</v>
      </c>
      <c r="N81" s="728">
        <f>ROUND(CantidadesConsolidadas[[#This Row],[91064150]]*$D81,0)</f>
        <v>0</v>
      </c>
      <c r="O81" s="728">
        <f>ROUND(CantidadesConsolidadas[[#This Row],[168919]]*$D81,0)</f>
        <v>0</v>
      </c>
      <c r="P81" s="728">
        <f>ROUND(CantidadesConsolidadas[[#This Row],[168426]]*$D81,0)</f>
        <v>0</v>
      </c>
      <c r="Q81" s="728">
        <f>ROUND(CantidadesConsolidadas[[#This Row],[91020796]]*$D81,0)</f>
        <v>1419505</v>
      </c>
      <c r="R81" s="728">
        <f>ROUND(CantidadesConsolidadas[[#This Row],[176184]]*$D81,0)</f>
        <v>0</v>
      </c>
      <c r="S81" s="728">
        <f>ROUND(CantidadesConsolidadas[[#This Row],[167636]]*$D81,0)</f>
        <v>0</v>
      </c>
      <c r="T81" s="728">
        <f>ROUND(CantidadesConsolidadas[[#This Row],[176730]]*$D81,0)</f>
        <v>0</v>
      </c>
      <c r="U81" s="728">
        <f>ROUND(CantidadesConsolidadas[[#This Row],[173038]]*$D81,0)</f>
        <v>0</v>
      </c>
      <c r="V81" s="728">
        <f>ROUND(CantidadesConsolidadas[[#This Row],[170222]]*$D81,0)</f>
        <v>0</v>
      </c>
      <c r="W81" s="728">
        <f>ROUND(CantidadesConsolidadas[[#This Row],[170229]]*$D81,0)</f>
        <v>0</v>
      </c>
      <c r="X81" s="728">
        <f>ROUND(CantidadesConsolidadas[[#This Row],[170227]]*$D81,0)</f>
        <v>0</v>
      </c>
      <c r="Y81" s="728">
        <f>ROUND(CantidadesConsolidadas[[#This Row],[170226]]*$D81,0)</f>
        <v>0</v>
      </c>
      <c r="Z81" s="728">
        <f>ROUND(CantidadesConsolidadas[[#This Row],[171567]]*$D81,0)</f>
        <v>0</v>
      </c>
      <c r="AA81" s="728">
        <f>ROUND(CantidadesConsolidadas[[#This Row],[166632]]*$D81,0)</f>
        <v>0</v>
      </c>
      <c r="AB81" s="728">
        <f>ROUND(CantidadesConsolidadas[[#This Row],[170228]]*$D81,0)</f>
        <v>0</v>
      </c>
      <c r="AC81" s="728">
        <f>ROUND(CantidadesConsolidadas[[#This Row],[172926]]*$D81,0)</f>
        <v>0</v>
      </c>
      <c r="AD81" s="728">
        <f>ROUND(CantidadesConsolidadas[[#This Row],[171152]]*$D81,0)</f>
        <v>0</v>
      </c>
      <c r="AE81" s="728">
        <f>ROUND(CantidadesConsolidadas[[#This Row],[173058]]*$D81,0)</f>
        <v>0</v>
      </c>
      <c r="AF81" s="728">
        <f>ROUND(CantidadesConsolidadas[[#This Row],[174478]]*$D81,0)</f>
        <v>0</v>
      </c>
      <c r="AG81" s="728">
        <f>ROUND(CantidadesConsolidadas[[#This Row],[91010089]]*$D81,0)</f>
        <v>0</v>
      </c>
      <c r="AH81" s="728">
        <f>ROUND(CantidadesConsolidadas[[#This Row],[176122]]*$D81,0)</f>
        <v>0</v>
      </c>
      <c r="AI81" s="728">
        <f>ROUND(CantidadesConsolidadas[[#This Row],[168536]]*$D81,0)</f>
        <v>0</v>
      </c>
      <c r="AJ81" s="728">
        <f>ROUND(CantidadesConsolidadas[[#This Row],[166934]]*$D81,0)</f>
        <v>0</v>
      </c>
      <c r="AK81" s="728">
        <f>ROUND(CantidadesConsolidadas[[#This Row],[174353]]*$D81,0)</f>
        <v>0</v>
      </c>
      <c r="AL81" s="747">
        <f>ROUND(CantidadesConsolidadas[[#This Row],[52531]]*$D81,0)</f>
        <v>0</v>
      </c>
      <c r="AM81" s="746">
        <f>ROUND(CantidadesConsolidadas[[#This Row],[52456]]*$D81,0)</f>
        <v>0</v>
      </c>
      <c r="AN81" s="746">
        <f>ROUND(CantidadesConsolidadas[[#This Row],[92058103]]*$D81,0)</f>
        <v>0</v>
      </c>
      <c r="AO81" s="746">
        <f>ROUND(CantidadesConsolidadas[[#This Row],[20011114]]*$D81,0)</f>
        <v>0</v>
      </c>
      <c r="AP81" s="746">
        <f>ROUND(CantidadesConsolidadas[[#This Row],[20013540]]*$D81,0)</f>
        <v>0</v>
      </c>
      <c r="AQ81" s="746">
        <f>ROUND(CantidadesConsolidadas[[#This Row],[55337]]*$D81,0)</f>
        <v>0</v>
      </c>
      <c r="AR81" s="746">
        <f>ROUND(CantidadesConsolidadas[[#This Row],[92087422]]*$D81,0)</f>
        <v>0</v>
      </c>
      <c r="AS81" s="746">
        <f>ROUND(CantidadesConsolidadas[[#This Row],[55259]]*$D81,0)</f>
        <v>0</v>
      </c>
      <c r="AT81" s="746">
        <f>ROUND(CantidadesConsolidadas[[#This Row],[466904]]*$D81,0)</f>
        <v>0</v>
      </c>
      <c r="AU81" s="746">
        <f>ROUND(CantidadesConsolidadas[[#This Row],[48591]]*$D81,0)</f>
        <v>0</v>
      </c>
      <c r="AV81" s="746">
        <f>ROUND(CantidadesConsolidadas[[#This Row],[48590]]*$D81,0)</f>
        <v>0</v>
      </c>
      <c r="AW81" s="746">
        <f>ROUND(CantidadesConsolidadas[[#This Row],[48561]]*$D81,0)</f>
        <v>0</v>
      </c>
      <c r="AX81" s="746">
        <f>ROUND(CantidadesConsolidadas[[#This Row],[48560]]*$D81,0)</f>
        <v>0</v>
      </c>
      <c r="AY81" s="746">
        <f>ROUND(CantidadesConsolidadas[[#This Row],[48657]]*$D81,0)</f>
        <v>0</v>
      </c>
      <c r="AZ81" s="746">
        <f>ROUND(CantidadesConsolidadas[[#This Row],[48655]]*$D81,0)</f>
        <v>0</v>
      </c>
      <c r="BA81" s="806">
        <f>SUBTOTAL(9,CostoDirecto[[#This Row],[91013913]:[174353]])</f>
        <v>1419505</v>
      </c>
      <c r="BB81" s="806">
        <f>SUBTOTAL(9,CostoDirecto[[#This Row],[52531]:[48655]])</f>
        <v>0</v>
      </c>
    </row>
    <row r="82" spans="1:54" ht="28.8" x14ac:dyDescent="0.3">
      <c r="A82">
        <v>3047</v>
      </c>
      <c r="B82" s="511" t="str">
        <f>+_xlfn.XLOOKUP(CostoDirecto[[#This Row],[cod Idu]],APU_IDU[Código],APU_IDU[Nombre],"",0)</f>
        <v>TUBERIA PVC U.M. EXT CORRUGADO/INT LISO U.M. NORMA NTC 3722-1 D=18" (INCLUYE SUMINISTRO E INSTALACIÓN)</v>
      </c>
      <c r="C82" s="497" t="str">
        <f>+_xlfn.XLOOKUP(CostoDirecto[[#This Row],[cod Idu]],APU_IDU[Código],APU_IDU[UM],"",0)</f>
        <v>ML</v>
      </c>
      <c r="D82" s="521">
        <f>+_xlfn.XLOOKUP(CostoDirecto[[#This Row],[cod Idu]],APU_IDU[Código],APU_IDU[Valor],"",0)</f>
        <v>430046</v>
      </c>
      <c r="E82" s="728">
        <f>ROUND(CantidadesConsolidadas[[#This Row],[91013913]]*$D82,0)</f>
        <v>0</v>
      </c>
      <c r="F82" s="728">
        <f>ROUND(CantidadesConsolidadas[[#This Row],[472330]]*$D82,0)</f>
        <v>0</v>
      </c>
      <c r="G82" s="728">
        <f>ROUND(CantidadesConsolidadas[[#This Row],[167810]]*$D82,0)</f>
        <v>0</v>
      </c>
      <c r="H82" s="728">
        <f>ROUND(CantidadesConsolidadas[[#This Row],[166646]]*$D82,0)</f>
        <v>0</v>
      </c>
      <c r="I82" s="728">
        <f>ROUND(CantidadesConsolidadas[[#This Row],[167491]]*$D82,0)</f>
        <v>0</v>
      </c>
      <c r="J82" s="728">
        <f>ROUND(CantidadesConsolidadas[[#This Row],[167266]]*$D82,0)</f>
        <v>0</v>
      </c>
      <c r="K82" s="728">
        <f>ROUND(CantidadesConsolidadas[[#This Row],[170896]]*$D82,0)</f>
        <v>0</v>
      </c>
      <c r="L82" s="728">
        <f>ROUND(CantidadesConsolidadas[[#This Row],[170897]]*$D82,0)</f>
        <v>5504589</v>
      </c>
      <c r="M82" s="728">
        <f>ROUND(CantidadesConsolidadas[[#This Row],[170898]]*$D82,0)</f>
        <v>0</v>
      </c>
      <c r="N82" s="728">
        <f>ROUND(CantidadesConsolidadas[[#This Row],[91064150]]*$D82,0)</f>
        <v>0</v>
      </c>
      <c r="O82" s="728">
        <f>ROUND(CantidadesConsolidadas[[#This Row],[168919]]*$D82,0)</f>
        <v>0</v>
      </c>
      <c r="P82" s="728">
        <f>ROUND(CantidadesConsolidadas[[#This Row],[168426]]*$D82,0)</f>
        <v>0</v>
      </c>
      <c r="Q82" s="728">
        <f>ROUND(CantidadesConsolidadas[[#This Row],[91020796]]*$D82,0)</f>
        <v>0</v>
      </c>
      <c r="R82" s="728">
        <f>ROUND(CantidadesConsolidadas[[#This Row],[176184]]*$D82,0)</f>
        <v>0</v>
      </c>
      <c r="S82" s="728">
        <f>ROUND(CantidadesConsolidadas[[#This Row],[167636]]*$D82,0)</f>
        <v>0</v>
      </c>
      <c r="T82" s="728">
        <f>ROUND(CantidadesConsolidadas[[#This Row],[176730]]*$D82,0)</f>
        <v>0</v>
      </c>
      <c r="U82" s="728">
        <f>ROUND(CantidadesConsolidadas[[#This Row],[173038]]*$D82,0)</f>
        <v>0</v>
      </c>
      <c r="V82" s="728">
        <f>ROUND(CantidadesConsolidadas[[#This Row],[170222]]*$D82,0)</f>
        <v>0</v>
      </c>
      <c r="W82" s="728">
        <f>ROUND(CantidadesConsolidadas[[#This Row],[170229]]*$D82,0)</f>
        <v>0</v>
      </c>
      <c r="X82" s="728">
        <f>ROUND(CantidadesConsolidadas[[#This Row],[170227]]*$D82,0)</f>
        <v>0</v>
      </c>
      <c r="Y82" s="728">
        <f>ROUND(CantidadesConsolidadas[[#This Row],[170226]]*$D82,0)</f>
        <v>0</v>
      </c>
      <c r="Z82" s="728">
        <f>ROUND(CantidadesConsolidadas[[#This Row],[171567]]*$D82,0)</f>
        <v>0</v>
      </c>
      <c r="AA82" s="728">
        <f>ROUND(CantidadesConsolidadas[[#This Row],[166632]]*$D82,0)</f>
        <v>0</v>
      </c>
      <c r="AB82" s="728">
        <f>ROUND(CantidadesConsolidadas[[#This Row],[170228]]*$D82,0)</f>
        <v>0</v>
      </c>
      <c r="AC82" s="728">
        <f>ROUND(CantidadesConsolidadas[[#This Row],[172926]]*$D82,0)</f>
        <v>0</v>
      </c>
      <c r="AD82" s="728">
        <f>ROUND(CantidadesConsolidadas[[#This Row],[171152]]*$D82,0)</f>
        <v>0</v>
      </c>
      <c r="AE82" s="728">
        <f>ROUND(CantidadesConsolidadas[[#This Row],[173058]]*$D82,0)</f>
        <v>0</v>
      </c>
      <c r="AF82" s="728">
        <f>ROUND(CantidadesConsolidadas[[#This Row],[174478]]*$D82,0)</f>
        <v>0</v>
      </c>
      <c r="AG82" s="728">
        <f>ROUND(CantidadesConsolidadas[[#This Row],[91010089]]*$D82,0)</f>
        <v>0</v>
      </c>
      <c r="AH82" s="728">
        <f>ROUND(CantidadesConsolidadas[[#This Row],[176122]]*$D82,0)</f>
        <v>0</v>
      </c>
      <c r="AI82" s="728">
        <f>ROUND(CantidadesConsolidadas[[#This Row],[168536]]*$D82,0)</f>
        <v>0</v>
      </c>
      <c r="AJ82" s="728">
        <f>ROUND(CantidadesConsolidadas[[#This Row],[166934]]*$D82,0)</f>
        <v>0</v>
      </c>
      <c r="AK82" s="728">
        <f>ROUND(CantidadesConsolidadas[[#This Row],[174353]]*$D82,0)</f>
        <v>0</v>
      </c>
      <c r="AL82" s="747">
        <f>ROUND(CantidadesConsolidadas[[#This Row],[52531]]*$D82,0)</f>
        <v>0</v>
      </c>
      <c r="AM82" s="746">
        <f>ROUND(CantidadesConsolidadas[[#This Row],[52456]]*$D82,0)</f>
        <v>0</v>
      </c>
      <c r="AN82" s="746">
        <f>ROUND(CantidadesConsolidadas[[#This Row],[92058103]]*$D82,0)</f>
        <v>0</v>
      </c>
      <c r="AO82" s="746">
        <f>ROUND(CantidadesConsolidadas[[#This Row],[20011114]]*$D82,0)</f>
        <v>0</v>
      </c>
      <c r="AP82" s="746">
        <f>ROUND(CantidadesConsolidadas[[#This Row],[20013540]]*$D82,0)</f>
        <v>0</v>
      </c>
      <c r="AQ82" s="746">
        <f>ROUND(CantidadesConsolidadas[[#This Row],[55337]]*$D82,0)</f>
        <v>0</v>
      </c>
      <c r="AR82" s="746">
        <f>ROUND(CantidadesConsolidadas[[#This Row],[92087422]]*$D82,0)</f>
        <v>0</v>
      </c>
      <c r="AS82" s="746">
        <f>ROUND(CantidadesConsolidadas[[#This Row],[55259]]*$D82,0)</f>
        <v>0</v>
      </c>
      <c r="AT82" s="746">
        <f>ROUND(CantidadesConsolidadas[[#This Row],[466904]]*$D82,0)</f>
        <v>0</v>
      </c>
      <c r="AU82" s="746">
        <f>ROUND(CantidadesConsolidadas[[#This Row],[48591]]*$D82,0)</f>
        <v>0</v>
      </c>
      <c r="AV82" s="746">
        <f>ROUND(CantidadesConsolidadas[[#This Row],[48590]]*$D82,0)</f>
        <v>0</v>
      </c>
      <c r="AW82" s="746">
        <f>ROUND(CantidadesConsolidadas[[#This Row],[48561]]*$D82,0)</f>
        <v>0</v>
      </c>
      <c r="AX82" s="746">
        <f>ROUND(CantidadesConsolidadas[[#This Row],[48560]]*$D82,0)</f>
        <v>0</v>
      </c>
      <c r="AY82" s="746">
        <f>ROUND(CantidadesConsolidadas[[#This Row],[48657]]*$D82,0)</f>
        <v>0</v>
      </c>
      <c r="AZ82" s="746">
        <f>ROUND(CantidadesConsolidadas[[#This Row],[48655]]*$D82,0)</f>
        <v>0</v>
      </c>
      <c r="BA82" s="806">
        <f>SUBTOTAL(9,CostoDirecto[[#This Row],[91013913]:[174353]])</f>
        <v>5504589</v>
      </c>
      <c r="BB82" s="806">
        <f>SUBTOTAL(9,CostoDirecto[[#This Row],[52531]:[48655]])</f>
        <v>0</v>
      </c>
    </row>
    <row r="83" spans="1:54" ht="144" x14ac:dyDescent="0.3">
      <c r="A83">
        <v>8001</v>
      </c>
      <c r="B83" s="511" t="str">
        <f>+_xlfn.XLOOKUP(CostoDirecto[[#This Row],[cod Idu]],APU_IDU[Código],APU_IDU[Nombre],"",0)</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C83" s="497" t="str">
        <f>+_xlfn.XLOOKUP(CostoDirecto[[#This Row],[cod Idu]],APU_IDU[Código],APU_IDU[UM],"",0)</f>
        <v>ML</v>
      </c>
      <c r="D83" s="521">
        <f>+_xlfn.XLOOKUP(CostoDirecto[[#This Row],[cod Idu]],APU_IDU[Código],APU_IDU[Valor],"",0)</f>
        <v>1725500</v>
      </c>
      <c r="E83" s="728">
        <f>ROUND(CantidadesConsolidadas[[#This Row],[91013913]]*$D83,0)</f>
        <v>0</v>
      </c>
      <c r="F83" s="728">
        <f>ROUND(CantidadesConsolidadas[[#This Row],[472330]]*$D83,0)</f>
        <v>0</v>
      </c>
      <c r="G83" s="728">
        <f>ROUND(CantidadesConsolidadas[[#This Row],[167810]]*$D83,0)</f>
        <v>0</v>
      </c>
      <c r="H83" s="728">
        <f>ROUND(CantidadesConsolidadas[[#This Row],[166646]]*$D83,0)</f>
        <v>0</v>
      </c>
      <c r="I83" s="728">
        <f>ROUND(CantidadesConsolidadas[[#This Row],[167491]]*$D83,0)</f>
        <v>0</v>
      </c>
      <c r="J83" s="728">
        <f>ROUND(CantidadesConsolidadas[[#This Row],[167266]]*$D83,0)</f>
        <v>0</v>
      </c>
      <c r="K83" s="728">
        <f>ROUND(CantidadesConsolidadas[[#This Row],[170896]]*$D83,0)</f>
        <v>0</v>
      </c>
      <c r="L83" s="728">
        <f>ROUND(CantidadesConsolidadas[[#This Row],[170897]]*$D83,0)</f>
        <v>0</v>
      </c>
      <c r="M83" s="728">
        <f>ROUND(CantidadesConsolidadas[[#This Row],[170898]]*$D83,0)</f>
        <v>0</v>
      </c>
      <c r="N83" s="728">
        <f>ROUND(CantidadesConsolidadas[[#This Row],[91064150]]*$D83,0)</f>
        <v>0</v>
      </c>
      <c r="O83" s="728">
        <f>ROUND(CantidadesConsolidadas[[#This Row],[168919]]*$D83,0)</f>
        <v>0</v>
      </c>
      <c r="P83" s="728">
        <f>ROUND(CantidadesConsolidadas[[#This Row],[168426]]*$D83,0)</f>
        <v>0</v>
      </c>
      <c r="Q83" s="728">
        <f>ROUND(CantidadesConsolidadas[[#This Row],[91020796]]*$D83,0)</f>
        <v>0</v>
      </c>
      <c r="R83" s="728">
        <f>ROUND(CantidadesConsolidadas[[#This Row],[176184]]*$D83,0)</f>
        <v>0</v>
      </c>
      <c r="S83" s="728">
        <f>ROUND(CantidadesConsolidadas[[#This Row],[167636]]*$D83,0)</f>
        <v>0</v>
      </c>
      <c r="T83" s="728">
        <f>ROUND(CantidadesConsolidadas[[#This Row],[176730]]*$D83,0)</f>
        <v>0</v>
      </c>
      <c r="U83" s="728">
        <f>ROUND(CantidadesConsolidadas[[#This Row],[173038]]*$D83,0)</f>
        <v>0</v>
      </c>
      <c r="V83" s="728">
        <f>ROUND(CantidadesConsolidadas[[#This Row],[170222]]*$D83,0)</f>
        <v>0</v>
      </c>
      <c r="W83" s="728">
        <f>ROUND(CantidadesConsolidadas[[#This Row],[170229]]*$D83,0)</f>
        <v>22690325</v>
      </c>
      <c r="X83" s="728">
        <f>ROUND(CantidadesConsolidadas[[#This Row],[170227]]*$D83,0)</f>
        <v>0</v>
      </c>
      <c r="Y83" s="728">
        <f>ROUND(CantidadesConsolidadas[[#This Row],[170226]]*$D83,0)</f>
        <v>0</v>
      </c>
      <c r="Z83" s="728">
        <f>ROUND(CantidadesConsolidadas[[#This Row],[171567]]*$D83,0)</f>
        <v>0</v>
      </c>
      <c r="AA83" s="728">
        <f>ROUND(CantidadesConsolidadas[[#This Row],[166632]]*$D83,0)</f>
        <v>0</v>
      </c>
      <c r="AB83" s="728">
        <f>ROUND(CantidadesConsolidadas[[#This Row],[170228]]*$D83,0)</f>
        <v>0</v>
      </c>
      <c r="AC83" s="728">
        <f>ROUND(CantidadesConsolidadas[[#This Row],[172926]]*$D83,0)</f>
        <v>0</v>
      </c>
      <c r="AD83" s="728">
        <f>ROUND(CantidadesConsolidadas[[#This Row],[171152]]*$D83,0)</f>
        <v>0</v>
      </c>
      <c r="AE83" s="728">
        <f>ROUND(CantidadesConsolidadas[[#This Row],[173058]]*$D83,0)</f>
        <v>0</v>
      </c>
      <c r="AF83" s="728">
        <f>ROUND(CantidadesConsolidadas[[#This Row],[174478]]*$D83,0)</f>
        <v>0</v>
      </c>
      <c r="AG83" s="728">
        <f>ROUND(CantidadesConsolidadas[[#This Row],[91010089]]*$D83,0)</f>
        <v>0</v>
      </c>
      <c r="AH83" s="728">
        <f>ROUND(CantidadesConsolidadas[[#This Row],[176122]]*$D83,0)</f>
        <v>0</v>
      </c>
      <c r="AI83" s="728">
        <f>ROUND(CantidadesConsolidadas[[#This Row],[168536]]*$D83,0)</f>
        <v>0</v>
      </c>
      <c r="AJ83" s="728">
        <f>ROUND(CantidadesConsolidadas[[#This Row],[166934]]*$D83,0)</f>
        <v>0</v>
      </c>
      <c r="AK83" s="728">
        <f>ROUND(CantidadesConsolidadas[[#This Row],[174353]]*$D83,0)</f>
        <v>0</v>
      </c>
      <c r="AL83" s="747">
        <f>ROUND(CantidadesConsolidadas[[#This Row],[52531]]*$D83,0)</f>
        <v>0</v>
      </c>
      <c r="AM83" s="746">
        <f>ROUND(CantidadesConsolidadas[[#This Row],[52456]]*$D83,0)</f>
        <v>0</v>
      </c>
      <c r="AN83" s="746">
        <f>ROUND(CantidadesConsolidadas[[#This Row],[92058103]]*$D83,0)</f>
        <v>0</v>
      </c>
      <c r="AO83" s="746">
        <f>ROUND(CantidadesConsolidadas[[#This Row],[20011114]]*$D83,0)</f>
        <v>0</v>
      </c>
      <c r="AP83" s="746">
        <f>ROUND(CantidadesConsolidadas[[#This Row],[20013540]]*$D83,0)</f>
        <v>0</v>
      </c>
      <c r="AQ83" s="746">
        <f>ROUND(CantidadesConsolidadas[[#This Row],[55337]]*$D83,0)</f>
        <v>0</v>
      </c>
      <c r="AR83" s="746">
        <f>ROUND(CantidadesConsolidadas[[#This Row],[92087422]]*$D83,0)</f>
        <v>0</v>
      </c>
      <c r="AS83" s="746">
        <f>ROUND(CantidadesConsolidadas[[#This Row],[55259]]*$D83,0)</f>
        <v>0</v>
      </c>
      <c r="AT83" s="746">
        <f>ROUND(CantidadesConsolidadas[[#This Row],[466904]]*$D83,0)</f>
        <v>0</v>
      </c>
      <c r="AU83" s="746">
        <f>ROUND(CantidadesConsolidadas[[#This Row],[48591]]*$D83,0)</f>
        <v>0</v>
      </c>
      <c r="AV83" s="746">
        <f>ROUND(CantidadesConsolidadas[[#This Row],[48590]]*$D83,0)</f>
        <v>0</v>
      </c>
      <c r="AW83" s="746">
        <f>ROUND(CantidadesConsolidadas[[#This Row],[48561]]*$D83,0)</f>
        <v>0</v>
      </c>
      <c r="AX83" s="746">
        <f>ROUND(CantidadesConsolidadas[[#This Row],[48560]]*$D83,0)</f>
        <v>0</v>
      </c>
      <c r="AY83" s="746">
        <f>ROUND(CantidadesConsolidadas[[#This Row],[48657]]*$D83,0)</f>
        <v>0</v>
      </c>
      <c r="AZ83" s="746">
        <f>ROUND(CantidadesConsolidadas[[#This Row],[48655]]*$D83,0)</f>
        <v>0</v>
      </c>
      <c r="BA83" s="806">
        <f>SUBTOTAL(9,CostoDirecto[[#This Row],[91013913]:[174353]])</f>
        <v>22690325</v>
      </c>
      <c r="BB83" s="806">
        <f>SUBTOTAL(9,CostoDirecto[[#This Row],[52531]:[48655]])</f>
        <v>0</v>
      </c>
    </row>
    <row r="84" spans="1:54" ht="144" x14ac:dyDescent="0.3">
      <c r="A84">
        <v>8002</v>
      </c>
      <c r="B84" s="511" t="str">
        <f>+_xlfn.XLOOKUP(CostoDirecto[[#This Row],[cod Idu]],APU_IDU[Código],APU_IDU[Nombre],"",0)</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C84" s="497" t="str">
        <f>+_xlfn.XLOOKUP(CostoDirecto[[#This Row],[cod Idu]],APU_IDU[Código],APU_IDU[UM],"",0)</f>
        <v>ML</v>
      </c>
      <c r="D84" s="521">
        <f>+_xlfn.XLOOKUP(CostoDirecto[[#This Row],[cod Idu]],APU_IDU[Código],APU_IDU[Valor],"",0)</f>
        <v>1892100</v>
      </c>
      <c r="E84" s="728">
        <f>ROUND(CantidadesConsolidadas[[#This Row],[91013913]]*$D84,0)</f>
        <v>0</v>
      </c>
      <c r="F84" s="728">
        <f>ROUND(CantidadesConsolidadas[[#This Row],[472330]]*$D84,0)</f>
        <v>0</v>
      </c>
      <c r="G84" s="728">
        <f>ROUND(CantidadesConsolidadas[[#This Row],[167810]]*$D84,0)</f>
        <v>0</v>
      </c>
      <c r="H84" s="728">
        <f>ROUND(CantidadesConsolidadas[[#This Row],[166646]]*$D84,0)</f>
        <v>0</v>
      </c>
      <c r="I84" s="728">
        <f>ROUND(CantidadesConsolidadas[[#This Row],[167491]]*$D84,0)</f>
        <v>0</v>
      </c>
      <c r="J84" s="728">
        <f>ROUND(CantidadesConsolidadas[[#This Row],[167266]]*$D84,0)</f>
        <v>0</v>
      </c>
      <c r="K84" s="728">
        <f>ROUND(CantidadesConsolidadas[[#This Row],[170896]]*$D84,0)</f>
        <v>0</v>
      </c>
      <c r="L84" s="728">
        <f>ROUND(CantidadesConsolidadas[[#This Row],[170897]]*$D84,0)</f>
        <v>0</v>
      </c>
      <c r="M84" s="728">
        <f>ROUND(CantidadesConsolidadas[[#This Row],[170898]]*$D84,0)</f>
        <v>0</v>
      </c>
      <c r="N84" s="728">
        <f>ROUND(CantidadesConsolidadas[[#This Row],[91064150]]*$D84,0)</f>
        <v>0</v>
      </c>
      <c r="O84" s="728">
        <f>ROUND(CantidadesConsolidadas[[#This Row],[168919]]*$D84,0)</f>
        <v>0</v>
      </c>
      <c r="P84" s="728">
        <f>ROUND(CantidadesConsolidadas[[#This Row],[168426]]*$D84,0)</f>
        <v>0</v>
      </c>
      <c r="Q84" s="728">
        <f>ROUND(CantidadesConsolidadas[[#This Row],[91020796]]*$D84,0)</f>
        <v>0</v>
      </c>
      <c r="R84" s="728">
        <f>ROUND(CantidadesConsolidadas[[#This Row],[176184]]*$D84,0)</f>
        <v>0</v>
      </c>
      <c r="S84" s="728">
        <f>ROUND(CantidadesConsolidadas[[#This Row],[167636]]*$D84,0)</f>
        <v>0</v>
      </c>
      <c r="T84" s="728">
        <f>ROUND(CantidadesConsolidadas[[#This Row],[176730]]*$D84,0)</f>
        <v>0</v>
      </c>
      <c r="U84" s="728">
        <f>ROUND(CantidadesConsolidadas[[#This Row],[173038]]*$D84,0)</f>
        <v>0</v>
      </c>
      <c r="V84" s="728">
        <f>ROUND(CantidadesConsolidadas[[#This Row],[170222]]*$D84,0)</f>
        <v>0</v>
      </c>
      <c r="W84" s="728">
        <f>ROUND(CantidadesConsolidadas[[#This Row],[170229]]*$D84,0)</f>
        <v>0</v>
      </c>
      <c r="X84" s="728">
        <f>ROUND(CantidadesConsolidadas[[#This Row],[170227]]*$D84,0)</f>
        <v>0</v>
      </c>
      <c r="Y84" s="728">
        <f>ROUND(CantidadesConsolidadas[[#This Row],[170226]]*$D84,0)</f>
        <v>39620574</v>
      </c>
      <c r="Z84" s="728">
        <f>ROUND(CantidadesConsolidadas[[#This Row],[171567]]*$D84,0)</f>
        <v>0</v>
      </c>
      <c r="AA84" s="728">
        <f>ROUND(CantidadesConsolidadas[[#This Row],[166632]]*$D84,0)</f>
        <v>0</v>
      </c>
      <c r="AB84" s="728">
        <f>ROUND(CantidadesConsolidadas[[#This Row],[170228]]*$D84,0)</f>
        <v>0</v>
      </c>
      <c r="AC84" s="728">
        <f>ROUND(CantidadesConsolidadas[[#This Row],[172926]]*$D84,0)</f>
        <v>0</v>
      </c>
      <c r="AD84" s="728">
        <f>ROUND(CantidadesConsolidadas[[#This Row],[171152]]*$D84,0)</f>
        <v>0</v>
      </c>
      <c r="AE84" s="728">
        <f>ROUND(CantidadesConsolidadas[[#This Row],[173058]]*$D84,0)</f>
        <v>0</v>
      </c>
      <c r="AF84" s="728">
        <f>ROUND(CantidadesConsolidadas[[#This Row],[174478]]*$D84,0)</f>
        <v>0</v>
      </c>
      <c r="AG84" s="728">
        <f>ROUND(CantidadesConsolidadas[[#This Row],[91010089]]*$D84,0)</f>
        <v>0</v>
      </c>
      <c r="AH84" s="728">
        <f>ROUND(CantidadesConsolidadas[[#This Row],[176122]]*$D84,0)</f>
        <v>0</v>
      </c>
      <c r="AI84" s="728">
        <f>ROUND(CantidadesConsolidadas[[#This Row],[168536]]*$D84,0)</f>
        <v>0</v>
      </c>
      <c r="AJ84" s="728">
        <f>ROUND(CantidadesConsolidadas[[#This Row],[166934]]*$D84,0)</f>
        <v>0</v>
      </c>
      <c r="AK84" s="728">
        <f>ROUND(CantidadesConsolidadas[[#This Row],[174353]]*$D84,0)</f>
        <v>0</v>
      </c>
      <c r="AL84" s="747">
        <f>ROUND(CantidadesConsolidadas[[#This Row],[52531]]*$D84,0)</f>
        <v>0</v>
      </c>
      <c r="AM84" s="746">
        <f>ROUND(CantidadesConsolidadas[[#This Row],[52456]]*$D84,0)</f>
        <v>0</v>
      </c>
      <c r="AN84" s="746">
        <f>ROUND(CantidadesConsolidadas[[#This Row],[92058103]]*$D84,0)</f>
        <v>0</v>
      </c>
      <c r="AO84" s="746">
        <f>ROUND(CantidadesConsolidadas[[#This Row],[20011114]]*$D84,0)</f>
        <v>0</v>
      </c>
      <c r="AP84" s="746">
        <f>ROUND(CantidadesConsolidadas[[#This Row],[20013540]]*$D84,0)</f>
        <v>0</v>
      </c>
      <c r="AQ84" s="746">
        <f>ROUND(CantidadesConsolidadas[[#This Row],[55337]]*$D84,0)</f>
        <v>0</v>
      </c>
      <c r="AR84" s="746">
        <f>ROUND(CantidadesConsolidadas[[#This Row],[92087422]]*$D84,0)</f>
        <v>0</v>
      </c>
      <c r="AS84" s="746">
        <f>ROUND(CantidadesConsolidadas[[#This Row],[55259]]*$D84,0)</f>
        <v>0</v>
      </c>
      <c r="AT84" s="746">
        <f>ROUND(CantidadesConsolidadas[[#This Row],[466904]]*$D84,0)</f>
        <v>0</v>
      </c>
      <c r="AU84" s="746">
        <f>ROUND(CantidadesConsolidadas[[#This Row],[48591]]*$D84,0)</f>
        <v>0</v>
      </c>
      <c r="AV84" s="746">
        <f>ROUND(CantidadesConsolidadas[[#This Row],[48590]]*$D84,0)</f>
        <v>0</v>
      </c>
      <c r="AW84" s="746">
        <f>ROUND(CantidadesConsolidadas[[#This Row],[48561]]*$D84,0)</f>
        <v>0</v>
      </c>
      <c r="AX84" s="746">
        <f>ROUND(CantidadesConsolidadas[[#This Row],[48560]]*$D84,0)</f>
        <v>0</v>
      </c>
      <c r="AY84" s="746">
        <f>ROUND(CantidadesConsolidadas[[#This Row],[48657]]*$D84,0)</f>
        <v>0</v>
      </c>
      <c r="AZ84" s="746">
        <f>ROUND(CantidadesConsolidadas[[#This Row],[48655]]*$D84,0)</f>
        <v>0</v>
      </c>
      <c r="BA84" s="806">
        <f>SUBTOTAL(9,CostoDirecto[[#This Row],[91013913]:[174353]])</f>
        <v>39620574</v>
      </c>
      <c r="BB84" s="806">
        <f>SUBTOTAL(9,CostoDirecto[[#This Row],[52531]:[48655]])</f>
        <v>0</v>
      </c>
    </row>
    <row r="85" spans="1:54" ht="144" x14ac:dyDescent="0.3">
      <c r="A85">
        <v>8003</v>
      </c>
      <c r="B85" s="511" t="str">
        <f>+_xlfn.XLOOKUP(CostoDirecto[[#This Row],[cod Idu]],APU_IDU[Código],APU_IDU[Nombre],"",0)</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C85" s="497" t="str">
        <f>+_xlfn.XLOOKUP(CostoDirecto[[#This Row],[cod Idu]],APU_IDU[Código],APU_IDU[UM],"",0)</f>
        <v>ML</v>
      </c>
      <c r="D85" s="521">
        <f>+_xlfn.XLOOKUP(CostoDirecto[[#This Row],[cod Idu]],APU_IDU[Código],APU_IDU[Valor],"",0)</f>
        <v>2082500</v>
      </c>
      <c r="E85" s="728">
        <f>ROUND(CantidadesConsolidadas[[#This Row],[91013913]]*$D85,0)</f>
        <v>0</v>
      </c>
      <c r="F85" s="728">
        <f>ROUND(CantidadesConsolidadas[[#This Row],[472330]]*$D85,0)</f>
        <v>0</v>
      </c>
      <c r="G85" s="728">
        <f>ROUND(CantidadesConsolidadas[[#This Row],[167810]]*$D85,0)</f>
        <v>0</v>
      </c>
      <c r="H85" s="728">
        <f>ROUND(CantidadesConsolidadas[[#This Row],[166646]]*$D85,0)</f>
        <v>0</v>
      </c>
      <c r="I85" s="728">
        <f>ROUND(CantidadesConsolidadas[[#This Row],[167491]]*$D85,0)</f>
        <v>0</v>
      </c>
      <c r="J85" s="728">
        <f>ROUND(CantidadesConsolidadas[[#This Row],[167266]]*$D85,0)</f>
        <v>0</v>
      </c>
      <c r="K85" s="728">
        <f>ROUND(CantidadesConsolidadas[[#This Row],[170896]]*$D85,0)</f>
        <v>0</v>
      </c>
      <c r="L85" s="728">
        <f>ROUND(CantidadesConsolidadas[[#This Row],[170897]]*$D85,0)</f>
        <v>0</v>
      </c>
      <c r="M85" s="728">
        <f>ROUND(CantidadesConsolidadas[[#This Row],[170898]]*$D85,0)</f>
        <v>17992800</v>
      </c>
      <c r="N85" s="728">
        <f>ROUND(CantidadesConsolidadas[[#This Row],[91064150]]*$D85,0)</f>
        <v>0</v>
      </c>
      <c r="O85" s="728">
        <f>ROUND(CantidadesConsolidadas[[#This Row],[168919]]*$D85,0)</f>
        <v>0</v>
      </c>
      <c r="P85" s="728">
        <f>ROUND(CantidadesConsolidadas[[#This Row],[168426]]*$D85,0)</f>
        <v>0</v>
      </c>
      <c r="Q85" s="728">
        <f>ROUND(CantidadesConsolidadas[[#This Row],[91020796]]*$D85,0)</f>
        <v>0</v>
      </c>
      <c r="R85" s="728">
        <f>ROUND(CantidadesConsolidadas[[#This Row],[176184]]*$D85,0)</f>
        <v>0</v>
      </c>
      <c r="S85" s="728">
        <f>ROUND(CantidadesConsolidadas[[#This Row],[167636]]*$D85,0)</f>
        <v>0</v>
      </c>
      <c r="T85" s="728">
        <f>ROUND(CantidadesConsolidadas[[#This Row],[176730]]*$D85,0)</f>
        <v>0</v>
      </c>
      <c r="U85" s="728">
        <f>ROUND(CantidadesConsolidadas[[#This Row],[173038]]*$D85,0)</f>
        <v>0</v>
      </c>
      <c r="V85" s="728">
        <f>ROUND(CantidadesConsolidadas[[#This Row],[170222]]*$D85,0)</f>
        <v>0</v>
      </c>
      <c r="W85" s="728">
        <f>ROUND(CantidadesConsolidadas[[#This Row],[170229]]*$D85,0)</f>
        <v>0</v>
      </c>
      <c r="X85" s="728">
        <f>ROUND(CantidadesConsolidadas[[#This Row],[170227]]*$D85,0)</f>
        <v>0</v>
      </c>
      <c r="Y85" s="728">
        <f>ROUND(CantidadesConsolidadas[[#This Row],[170226]]*$D85,0)</f>
        <v>0</v>
      </c>
      <c r="Z85" s="728">
        <f>ROUND(CantidadesConsolidadas[[#This Row],[171567]]*$D85,0)</f>
        <v>0</v>
      </c>
      <c r="AA85" s="728">
        <f>ROUND(CantidadesConsolidadas[[#This Row],[166632]]*$D85,0)</f>
        <v>0</v>
      </c>
      <c r="AB85" s="728">
        <f>ROUND(CantidadesConsolidadas[[#This Row],[170228]]*$D85,0)</f>
        <v>0</v>
      </c>
      <c r="AC85" s="728">
        <f>ROUND(CantidadesConsolidadas[[#This Row],[172926]]*$D85,0)</f>
        <v>0</v>
      </c>
      <c r="AD85" s="728">
        <f>ROUND(CantidadesConsolidadas[[#This Row],[171152]]*$D85,0)</f>
        <v>0</v>
      </c>
      <c r="AE85" s="728">
        <f>ROUND(CantidadesConsolidadas[[#This Row],[173058]]*$D85,0)</f>
        <v>0</v>
      </c>
      <c r="AF85" s="728">
        <f>ROUND(CantidadesConsolidadas[[#This Row],[174478]]*$D85,0)</f>
        <v>0</v>
      </c>
      <c r="AG85" s="728">
        <f>ROUND(CantidadesConsolidadas[[#This Row],[91010089]]*$D85,0)</f>
        <v>0</v>
      </c>
      <c r="AH85" s="728">
        <f>ROUND(CantidadesConsolidadas[[#This Row],[176122]]*$D85,0)</f>
        <v>0</v>
      </c>
      <c r="AI85" s="728">
        <f>ROUND(CantidadesConsolidadas[[#This Row],[168536]]*$D85,0)</f>
        <v>0</v>
      </c>
      <c r="AJ85" s="728">
        <f>ROUND(CantidadesConsolidadas[[#This Row],[166934]]*$D85,0)</f>
        <v>0</v>
      </c>
      <c r="AK85" s="728">
        <f>ROUND(CantidadesConsolidadas[[#This Row],[174353]]*$D85,0)</f>
        <v>0</v>
      </c>
      <c r="AL85" s="747">
        <f>ROUND(CantidadesConsolidadas[[#This Row],[52531]]*$D85,0)</f>
        <v>0</v>
      </c>
      <c r="AM85" s="746">
        <f>ROUND(CantidadesConsolidadas[[#This Row],[52456]]*$D85,0)</f>
        <v>0</v>
      </c>
      <c r="AN85" s="746">
        <f>ROUND(CantidadesConsolidadas[[#This Row],[92058103]]*$D85,0)</f>
        <v>0</v>
      </c>
      <c r="AO85" s="746">
        <f>ROUND(CantidadesConsolidadas[[#This Row],[20011114]]*$D85,0)</f>
        <v>0</v>
      </c>
      <c r="AP85" s="746">
        <f>ROUND(CantidadesConsolidadas[[#This Row],[20013540]]*$D85,0)</f>
        <v>0</v>
      </c>
      <c r="AQ85" s="746">
        <f>ROUND(CantidadesConsolidadas[[#This Row],[55337]]*$D85,0)</f>
        <v>0</v>
      </c>
      <c r="AR85" s="746">
        <f>ROUND(CantidadesConsolidadas[[#This Row],[92087422]]*$D85,0)</f>
        <v>0</v>
      </c>
      <c r="AS85" s="746">
        <f>ROUND(CantidadesConsolidadas[[#This Row],[55259]]*$D85,0)</f>
        <v>0</v>
      </c>
      <c r="AT85" s="746">
        <f>ROUND(CantidadesConsolidadas[[#This Row],[466904]]*$D85,0)</f>
        <v>0</v>
      </c>
      <c r="AU85" s="746">
        <f>ROUND(CantidadesConsolidadas[[#This Row],[48591]]*$D85,0)</f>
        <v>0</v>
      </c>
      <c r="AV85" s="746">
        <f>ROUND(CantidadesConsolidadas[[#This Row],[48590]]*$D85,0)</f>
        <v>0</v>
      </c>
      <c r="AW85" s="746">
        <f>ROUND(CantidadesConsolidadas[[#This Row],[48561]]*$D85,0)</f>
        <v>0</v>
      </c>
      <c r="AX85" s="746">
        <f>ROUND(CantidadesConsolidadas[[#This Row],[48560]]*$D85,0)</f>
        <v>0</v>
      </c>
      <c r="AY85" s="746">
        <f>ROUND(CantidadesConsolidadas[[#This Row],[48657]]*$D85,0)</f>
        <v>0</v>
      </c>
      <c r="AZ85" s="746">
        <f>ROUND(CantidadesConsolidadas[[#This Row],[48655]]*$D85,0)</f>
        <v>0</v>
      </c>
      <c r="BA85" s="806">
        <f>SUBTOTAL(9,CostoDirecto[[#This Row],[91013913]:[174353]])</f>
        <v>17992800</v>
      </c>
      <c r="BB85" s="806">
        <f>SUBTOTAL(9,CostoDirecto[[#This Row],[52531]:[48655]])</f>
        <v>0</v>
      </c>
    </row>
    <row r="86" spans="1:54" ht="43.2" x14ac:dyDescent="0.3">
      <c r="A86">
        <v>4553</v>
      </c>
      <c r="B86" s="511" t="str">
        <f>+_xlfn.XLOOKUP(CostoDirecto[[#This Row],[cod Idu]],APU_IDU[Código],APU_IDU[Nombre],"",0)</f>
        <v>POZO DE INSPECCION D=1.7 M (INCL. SUMINISTRO E INSTALACION). INCLUYE CILINDRO POZO DE INSPECCION EN MAMPOSTERIA, CONO PREFABRICADO, PLACA FONDO.</v>
      </c>
      <c r="C86" s="497" t="str">
        <f>+_xlfn.XLOOKUP(CostoDirecto[[#This Row],[cod Idu]],APU_IDU[Código],APU_IDU[UM],"",0)</f>
        <v>UN</v>
      </c>
      <c r="D86" s="521">
        <f>+_xlfn.XLOOKUP(CostoDirecto[[#This Row],[cod Idu]],APU_IDU[Código],APU_IDU[Valor],"",0)</f>
        <v>4518654</v>
      </c>
      <c r="E86" s="728">
        <f>ROUND(CantidadesConsolidadas[[#This Row],[91013913]]*$D86,0)</f>
        <v>0</v>
      </c>
      <c r="F86" s="728">
        <f>ROUND(CantidadesConsolidadas[[#This Row],[472330]]*$D86,0)</f>
        <v>0</v>
      </c>
      <c r="G86" s="728">
        <f>ROUND(CantidadesConsolidadas[[#This Row],[167810]]*$D86,0)</f>
        <v>0</v>
      </c>
      <c r="H86" s="728">
        <f>ROUND(CantidadesConsolidadas[[#This Row],[166646]]*$D86,0)</f>
        <v>0</v>
      </c>
      <c r="I86" s="728">
        <f>ROUND(CantidadesConsolidadas[[#This Row],[167491]]*$D86,0)</f>
        <v>4518654</v>
      </c>
      <c r="J86" s="728">
        <f>ROUND(CantidadesConsolidadas[[#This Row],[167266]]*$D86,0)</f>
        <v>0</v>
      </c>
      <c r="K86" s="728">
        <f>ROUND(CantidadesConsolidadas[[#This Row],[170896]]*$D86,0)</f>
        <v>0</v>
      </c>
      <c r="L86" s="728">
        <f>ROUND(CantidadesConsolidadas[[#This Row],[170897]]*$D86,0)</f>
        <v>0</v>
      </c>
      <c r="M86" s="728">
        <f>ROUND(CantidadesConsolidadas[[#This Row],[170898]]*$D86,0)</f>
        <v>0</v>
      </c>
      <c r="N86" s="728">
        <f>ROUND(CantidadesConsolidadas[[#This Row],[91064150]]*$D86,0)</f>
        <v>0</v>
      </c>
      <c r="O86" s="728">
        <f>ROUND(CantidadesConsolidadas[[#This Row],[168919]]*$D86,0)</f>
        <v>0</v>
      </c>
      <c r="P86" s="728">
        <f>ROUND(CantidadesConsolidadas[[#This Row],[168426]]*$D86,0)</f>
        <v>0</v>
      </c>
      <c r="Q86" s="728">
        <f>ROUND(CantidadesConsolidadas[[#This Row],[91020796]]*$D86,0)</f>
        <v>0</v>
      </c>
      <c r="R86" s="728">
        <f>ROUND(CantidadesConsolidadas[[#This Row],[176184]]*$D86,0)</f>
        <v>0</v>
      </c>
      <c r="S86" s="728">
        <f>ROUND(CantidadesConsolidadas[[#This Row],[167636]]*$D86,0)</f>
        <v>0</v>
      </c>
      <c r="T86" s="728">
        <f>ROUND(CantidadesConsolidadas[[#This Row],[176730]]*$D86,0)</f>
        <v>0</v>
      </c>
      <c r="U86" s="728">
        <f>ROUND(CantidadesConsolidadas[[#This Row],[173038]]*$D86,0)</f>
        <v>0</v>
      </c>
      <c r="V86" s="728">
        <f>ROUND(CantidadesConsolidadas[[#This Row],[170222]]*$D86,0)</f>
        <v>0</v>
      </c>
      <c r="W86" s="728">
        <f>ROUND(CantidadesConsolidadas[[#This Row],[170229]]*$D86,0)</f>
        <v>0</v>
      </c>
      <c r="X86" s="728">
        <f>ROUND(CantidadesConsolidadas[[#This Row],[170227]]*$D86,0)</f>
        <v>0</v>
      </c>
      <c r="Y86" s="728">
        <f>ROUND(CantidadesConsolidadas[[#This Row],[170226]]*$D86,0)</f>
        <v>0</v>
      </c>
      <c r="Z86" s="728">
        <f>ROUND(CantidadesConsolidadas[[#This Row],[171567]]*$D86,0)</f>
        <v>0</v>
      </c>
      <c r="AA86" s="728">
        <f>ROUND(CantidadesConsolidadas[[#This Row],[166632]]*$D86,0)</f>
        <v>0</v>
      </c>
      <c r="AB86" s="728">
        <f>ROUND(CantidadesConsolidadas[[#This Row],[170228]]*$D86,0)</f>
        <v>0</v>
      </c>
      <c r="AC86" s="728">
        <f>ROUND(CantidadesConsolidadas[[#This Row],[172926]]*$D86,0)</f>
        <v>0</v>
      </c>
      <c r="AD86" s="728">
        <f>ROUND(CantidadesConsolidadas[[#This Row],[171152]]*$D86,0)</f>
        <v>0</v>
      </c>
      <c r="AE86" s="728">
        <f>ROUND(CantidadesConsolidadas[[#This Row],[173058]]*$D86,0)</f>
        <v>0</v>
      </c>
      <c r="AF86" s="728">
        <f>ROUND(CantidadesConsolidadas[[#This Row],[174478]]*$D86,0)</f>
        <v>0</v>
      </c>
      <c r="AG86" s="728">
        <f>ROUND(CantidadesConsolidadas[[#This Row],[91010089]]*$D86,0)</f>
        <v>0</v>
      </c>
      <c r="AH86" s="728">
        <f>ROUND(CantidadesConsolidadas[[#This Row],[176122]]*$D86,0)</f>
        <v>0</v>
      </c>
      <c r="AI86" s="728">
        <f>ROUND(CantidadesConsolidadas[[#This Row],[168536]]*$D86,0)</f>
        <v>0</v>
      </c>
      <c r="AJ86" s="728">
        <f>ROUND(CantidadesConsolidadas[[#This Row],[166934]]*$D86,0)</f>
        <v>0</v>
      </c>
      <c r="AK86" s="728">
        <f>ROUND(CantidadesConsolidadas[[#This Row],[174353]]*$D86,0)</f>
        <v>0</v>
      </c>
      <c r="AL86" s="747">
        <f>ROUND(CantidadesConsolidadas[[#This Row],[52531]]*$D86,0)</f>
        <v>0</v>
      </c>
      <c r="AM86" s="746">
        <f>ROUND(CantidadesConsolidadas[[#This Row],[52456]]*$D86,0)</f>
        <v>0</v>
      </c>
      <c r="AN86" s="746">
        <f>ROUND(CantidadesConsolidadas[[#This Row],[92058103]]*$D86,0)</f>
        <v>0</v>
      </c>
      <c r="AO86" s="746">
        <f>ROUND(CantidadesConsolidadas[[#This Row],[20011114]]*$D86,0)</f>
        <v>0</v>
      </c>
      <c r="AP86" s="746">
        <f>ROUND(CantidadesConsolidadas[[#This Row],[20013540]]*$D86,0)</f>
        <v>0</v>
      </c>
      <c r="AQ86" s="746">
        <f>ROUND(CantidadesConsolidadas[[#This Row],[55337]]*$D86,0)</f>
        <v>0</v>
      </c>
      <c r="AR86" s="746">
        <f>ROUND(CantidadesConsolidadas[[#This Row],[92087422]]*$D86,0)</f>
        <v>0</v>
      </c>
      <c r="AS86" s="746">
        <f>ROUND(CantidadesConsolidadas[[#This Row],[55259]]*$D86,0)</f>
        <v>0</v>
      </c>
      <c r="AT86" s="746">
        <f>ROUND(CantidadesConsolidadas[[#This Row],[466904]]*$D86,0)</f>
        <v>0</v>
      </c>
      <c r="AU86" s="746">
        <f>ROUND(CantidadesConsolidadas[[#This Row],[48591]]*$D86,0)</f>
        <v>0</v>
      </c>
      <c r="AV86" s="746">
        <f>ROUND(CantidadesConsolidadas[[#This Row],[48590]]*$D86,0)</f>
        <v>0</v>
      </c>
      <c r="AW86" s="746">
        <f>ROUND(CantidadesConsolidadas[[#This Row],[48561]]*$D86,0)</f>
        <v>0</v>
      </c>
      <c r="AX86" s="746">
        <f>ROUND(CantidadesConsolidadas[[#This Row],[48560]]*$D86,0)</f>
        <v>0</v>
      </c>
      <c r="AY86" s="746">
        <f>ROUND(CantidadesConsolidadas[[#This Row],[48657]]*$D86,0)</f>
        <v>0</v>
      </c>
      <c r="AZ86" s="746">
        <f>ROUND(CantidadesConsolidadas[[#This Row],[48655]]*$D86,0)</f>
        <v>0</v>
      </c>
      <c r="BA86" s="806">
        <f>SUBTOTAL(9,CostoDirecto[[#This Row],[91013913]:[174353]])</f>
        <v>4518654</v>
      </c>
      <c r="BB86" s="806">
        <f>SUBTOTAL(9,CostoDirecto[[#This Row],[52531]:[48655]])</f>
        <v>0</v>
      </c>
    </row>
    <row r="87" spans="1:54" x14ac:dyDescent="0.3">
      <c r="A87">
        <v>3800</v>
      </c>
      <c r="B87" s="511" t="str">
        <f>+_xlfn.XLOOKUP(CostoDirecto[[#This Row],[cod Idu]],APU_IDU[Código],APU_IDU[Nombre],"",0)</f>
        <v>NIVELACION Y COMPACTACIÓN DE SUBRASANTE</v>
      </c>
      <c r="C87" s="497" t="str">
        <f>+_xlfn.XLOOKUP(CostoDirecto[[#This Row],[cod Idu]],APU_IDU[Código],APU_IDU[UM],"",0)</f>
        <v>M2</v>
      </c>
      <c r="D87" s="521">
        <f>+_xlfn.XLOOKUP(CostoDirecto[[#This Row],[cod Idu]],APU_IDU[Código],APU_IDU[Valor],"",0)</f>
        <v>1919</v>
      </c>
      <c r="E87" s="728">
        <f>ROUND(CantidadesConsolidadas[[#This Row],[91013913]]*$D87,0)</f>
        <v>0</v>
      </c>
      <c r="F87" s="728">
        <f>ROUND(CantidadesConsolidadas[[#This Row],[472330]]*$D87,0)</f>
        <v>0</v>
      </c>
      <c r="G87" s="728">
        <f>ROUND(CantidadesConsolidadas[[#This Row],[167810]]*$D87,0)</f>
        <v>0</v>
      </c>
      <c r="H87" s="728">
        <f>ROUND(CantidadesConsolidadas[[#This Row],[166646]]*$D87,0)</f>
        <v>0</v>
      </c>
      <c r="I87" s="728">
        <f>ROUND(CantidadesConsolidadas[[#This Row],[167491]]*$D87,0)</f>
        <v>0</v>
      </c>
      <c r="J87" s="728">
        <f>ROUND(CantidadesConsolidadas[[#This Row],[167266]]*$D87,0)</f>
        <v>0</v>
      </c>
      <c r="K87" s="728">
        <f>ROUND(CantidadesConsolidadas[[#This Row],[170896]]*$D87,0)</f>
        <v>0</v>
      </c>
      <c r="L87" s="728">
        <f>ROUND(CantidadesConsolidadas[[#This Row],[170897]]*$D87,0)</f>
        <v>0</v>
      </c>
      <c r="M87" s="728">
        <f>ROUND(CantidadesConsolidadas[[#This Row],[170898]]*$D87,0)</f>
        <v>0</v>
      </c>
      <c r="N87" s="728">
        <f>ROUND(CantidadesConsolidadas[[#This Row],[91064150]]*$D87,0)</f>
        <v>0</v>
      </c>
      <c r="O87" s="728">
        <f>ROUND(CantidadesConsolidadas[[#This Row],[168919]]*$D87,0)</f>
        <v>0</v>
      </c>
      <c r="P87" s="728">
        <f>ROUND(CantidadesConsolidadas[[#This Row],[168426]]*$D87,0)</f>
        <v>0</v>
      </c>
      <c r="Q87" s="728">
        <f>ROUND(CantidadesConsolidadas[[#This Row],[91020796]]*$D87,0)</f>
        <v>0</v>
      </c>
      <c r="R87" s="728">
        <f>ROUND(CantidadesConsolidadas[[#This Row],[176184]]*$D87,0)</f>
        <v>0</v>
      </c>
      <c r="S87" s="728">
        <f>ROUND(CantidadesConsolidadas[[#This Row],[167636]]*$D87,0)</f>
        <v>0</v>
      </c>
      <c r="T87" s="728">
        <f>ROUND(CantidadesConsolidadas[[#This Row],[176730]]*$D87,0)</f>
        <v>0</v>
      </c>
      <c r="U87" s="728">
        <f>ROUND(CantidadesConsolidadas[[#This Row],[173038]]*$D87,0)</f>
        <v>0</v>
      </c>
      <c r="V87" s="728">
        <f>ROUND(CantidadesConsolidadas[[#This Row],[170222]]*$D87,0)</f>
        <v>0</v>
      </c>
      <c r="W87" s="728">
        <f>ROUND(CantidadesConsolidadas[[#This Row],[170229]]*$D87,0)</f>
        <v>0</v>
      </c>
      <c r="X87" s="728">
        <f>ROUND(CantidadesConsolidadas[[#This Row],[170227]]*$D87,0)</f>
        <v>0</v>
      </c>
      <c r="Y87" s="728">
        <f>ROUND(CantidadesConsolidadas[[#This Row],[170226]]*$D87,0)</f>
        <v>0</v>
      </c>
      <c r="Z87" s="728">
        <f>ROUND(CantidadesConsolidadas[[#This Row],[171567]]*$D87,0)</f>
        <v>0</v>
      </c>
      <c r="AA87" s="728">
        <f>ROUND(CantidadesConsolidadas[[#This Row],[166632]]*$D87,0)</f>
        <v>0</v>
      </c>
      <c r="AB87" s="728">
        <f>ROUND(CantidadesConsolidadas[[#This Row],[170228]]*$D87,0)</f>
        <v>0</v>
      </c>
      <c r="AC87" s="728">
        <f>ROUND(CantidadesConsolidadas[[#This Row],[172926]]*$D87,0)</f>
        <v>0</v>
      </c>
      <c r="AD87" s="728">
        <f>ROUND(CantidadesConsolidadas[[#This Row],[171152]]*$D87,0)</f>
        <v>0</v>
      </c>
      <c r="AE87" s="728">
        <f>ROUND(CantidadesConsolidadas[[#This Row],[173058]]*$D87,0)</f>
        <v>0</v>
      </c>
      <c r="AF87" s="728">
        <f>ROUND(CantidadesConsolidadas[[#This Row],[174478]]*$D87,0)</f>
        <v>0</v>
      </c>
      <c r="AG87" s="728">
        <f>ROUND(CantidadesConsolidadas[[#This Row],[91010089]]*$D87,0)</f>
        <v>0</v>
      </c>
      <c r="AH87" s="728">
        <f>ROUND(CantidadesConsolidadas[[#This Row],[176122]]*$D87,0)</f>
        <v>0</v>
      </c>
      <c r="AI87" s="728">
        <f>ROUND(CantidadesConsolidadas[[#This Row],[168536]]*$D87,0)</f>
        <v>0</v>
      </c>
      <c r="AJ87" s="728">
        <f>ROUND(CantidadesConsolidadas[[#This Row],[166934]]*$D87,0)</f>
        <v>0</v>
      </c>
      <c r="AK87" s="728">
        <f>ROUND(CantidadesConsolidadas[[#This Row],[174353]]*$D87,0)</f>
        <v>0</v>
      </c>
      <c r="AL87" s="747">
        <f>ROUND(CantidadesConsolidadas[[#This Row],[52531]]*$D87,0)</f>
        <v>302012</v>
      </c>
      <c r="AM87" s="746">
        <f>ROUND(CantidadesConsolidadas[[#This Row],[52456]]*$D87,0)</f>
        <v>211359</v>
      </c>
      <c r="AN87" s="746">
        <f>ROUND(CantidadesConsolidadas[[#This Row],[92058103]]*$D87,0)</f>
        <v>59431</v>
      </c>
      <c r="AO87" s="746">
        <f>ROUND(CantidadesConsolidadas[[#This Row],[20011114]]*$D87,0)</f>
        <v>298117</v>
      </c>
      <c r="AP87" s="746">
        <f>ROUND(CantidadesConsolidadas[[#This Row],[20013540]]*$D87,0)</f>
        <v>130166</v>
      </c>
      <c r="AQ87" s="746">
        <f>ROUND(CantidadesConsolidadas[[#This Row],[55337]]*$D87,0)</f>
        <v>334424</v>
      </c>
      <c r="AR87" s="746">
        <f>ROUND(CantidadesConsolidadas[[#This Row],[92087422]]*$D87,0)</f>
        <v>512853</v>
      </c>
      <c r="AS87" s="746">
        <f>ROUND(CantidadesConsolidadas[[#This Row],[55259]]*$D87,0)</f>
        <v>691013</v>
      </c>
      <c r="AT87" s="746">
        <f>ROUND(CantidadesConsolidadas[[#This Row],[466904]]*$D87,0)</f>
        <v>36499</v>
      </c>
      <c r="AU87" s="746">
        <f>ROUND(CantidadesConsolidadas[[#This Row],[48591]]*$D87,0)</f>
        <v>801278</v>
      </c>
      <c r="AV87" s="746">
        <f>ROUND(CantidadesConsolidadas[[#This Row],[48590]]*$D87,0)</f>
        <v>825899</v>
      </c>
      <c r="AW87" s="746">
        <f>ROUND(CantidadesConsolidadas[[#This Row],[48561]]*$D87,0)</f>
        <v>847066</v>
      </c>
      <c r="AX87" s="746">
        <f>ROUND(CantidadesConsolidadas[[#This Row],[48560]]*$D87,0)</f>
        <v>854032</v>
      </c>
      <c r="AY87" s="746">
        <f>ROUND(CantidadesConsolidadas[[#This Row],[48657]]*$D87,0)</f>
        <v>415425</v>
      </c>
      <c r="AZ87" s="746">
        <f>ROUND(CantidadesConsolidadas[[#This Row],[48655]]*$D87,0)</f>
        <v>129897</v>
      </c>
      <c r="BA87" s="806">
        <f>SUBTOTAL(9,CostoDirecto[[#This Row],[91013913]:[174353]])</f>
        <v>0</v>
      </c>
      <c r="BB87" s="806">
        <f>SUBTOTAL(9,CostoDirecto[[#This Row],[52531]:[48655]])</f>
        <v>6449471</v>
      </c>
    </row>
    <row r="88" spans="1:54" ht="43.2" x14ac:dyDescent="0.3">
      <c r="A88">
        <v>4396</v>
      </c>
      <c r="B88" s="511" t="str">
        <f>+_xlfn.XLOOKUP(CostoDirecto[[#This Row],[cod Idu]],APU_IDU[Código],APU_IDU[Nombre],"",0)</f>
        <v>ADOQUIN DE ARCILLA TR. LIVIANO 20X10X6CM (SUMINISTRO E INSTALACIÓN. INCLUYE BASE 4CM ARENA NIVELACION Y ARENA DE SELLO)</v>
      </c>
      <c r="C88" s="497" t="str">
        <f>+_xlfn.XLOOKUP(CostoDirecto[[#This Row],[cod Idu]],APU_IDU[Código],APU_IDU[UM],"",0)</f>
        <v>M2</v>
      </c>
      <c r="D88" s="521">
        <f>+_xlfn.XLOOKUP(CostoDirecto[[#This Row],[cod Idu]],APU_IDU[Código],APU_IDU[Valor],"",0)</f>
        <v>86412</v>
      </c>
      <c r="E88" s="728">
        <f>ROUND(CantidadesConsolidadas[[#This Row],[91013913]]*$D88,0)</f>
        <v>0</v>
      </c>
      <c r="F88" s="728">
        <f>ROUND(CantidadesConsolidadas[[#This Row],[472330]]*$D88,0)</f>
        <v>0</v>
      </c>
      <c r="G88" s="728">
        <f>ROUND(CantidadesConsolidadas[[#This Row],[167810]]*$D88,0)</f>
        <v>0</v>
      </c>
      <c r="H88" s="728">
        <f>ROUND(CantidadesConsolidadas[[#This Row],[166646]]*$D88,0)</f>
        <v>0</v>
      </c>
      <c r="I88" s="728">
        <f>ROUND(CantidadesConsolidadas[[#This Row],[167491]]*$D88,0)</f>
        <v>0</v>
      </c>
      <c r="J88" s="728">
        <f>ROUND(CantidadesConsolidadas[[#This Row],[167266]]*$D88,0)</f>
        <v>0</v>
      </c>
      <c r="K88" s="728">
        <f>ROUND(CantidadesConsolidadas[[#This Row],[170896]]*$D88,0)</f>
        <v>0</v>
      </c>
      <c r="L88" s="728">
        <f>ROUND(CantidadesConsolidadas[[#This Row],[170897]]*$D88,0)</f>
        <v>0</v>
      </c>
      <c r="M88" s="728">
        <f>ROUND(CantidadesConsolidadas[[#This Row],[170898]]*$D88,0)</f>
        <v>0</v>
      </c>
      <c r="N88" s="728">
        <f>ROUND(CantidadesConsolidadas[[#This Row],[91064150]]*$D88,0)</f>
        <v>0</v>
      </c>
      <c r="O88" s="728">
        <f>ROUND(CantidadesConsolidadas[[#This Row],[168919]]*$D88,0)</f>
        <v>0</v>
      </c>
      <c r="P88" s="728">
        <f>ROUND(CantidadesConsolidadas[[#This Row],[168426]]*$D88,0)</f>
        <v>0</v>
      </c>
      <c r="Q88" s="728">
        <f>ROUND(CantidadesConsolidadas[[#This Row],[91020796]]*$D88,0)</f>
        <v>0</v>
      </c>
      <c r="R88" s="728">
        <f>ROUND(CantidadesConsolidadas[[#This Row],[176184]]*$D88,0)</f>
        <v>0</v>
      </c>
      <c r="S88" s="728">
        <f>ROUND(CantidadesConsolidadas[[#This Row],[167636]]*$D88,0)</f>
        <v>0</v>
      </c>
      <c r="T88" s="728">
        <f>ROUND(CantidadesConsolidadas[[#This Row],[176730]]*$D88,0)</f>
        <v>0</v>
      </c>
      <c r="U88" s="728">
        <f>ROUND(CantidadesConsolidadas[[#This Row],[173038]]*$D88,0)</f>
        <v>0</v>
      </c>
      <c r="V88" s="728">
        <f>ROUND(CantidadesConsolidadas[[#This Row],[170222]]*$D88,0)</f>
        <v>0</v>
      </c>
      <c r="W88" s="728">
        <f>ROUND(CantidadesConsolidadas[[#This Row],[170229]]*$D88,0)</f>
        <v>0</v>
      </c>
      <c r="X88" s="728">
        <f>ROUND(CantidadesConsolidadas[[#This Row],[170227]]*$D88,0)</f>
        <v>0</v>
      </c>
      <c r="Y88" s="728">
        <f>ROUND(CantidadesConsolidadas[[#This Row],[170226]]*$D88,0)</f>
        <v>0</v>
      </c>
      <c r="Z88" s="728">
        <f>ROUND(CantidadesConsolidadas[[#This Row],[171567]]*$D88,0)</f>
        <v>0</v>
      </c>
      <c r="AA88" s="728">
        <f>ROUND(CantidadesConsolidadas[[#This Row],[166632]]*$D88,0)</f>
        <v>0</v>
      </c>
      <c r="AB88" s="728">
        <f>ROUND(CantidadesConsolidadas[[#This Row],[170228]]*$D88,0)</f>
        <v>0</v>
      </c>
      <c r="AC88" s="728">
        <f>ROUND(CantidadesConsolidadas[[#This Row],[172926]]*$D88,0)</f>
        <v>0</v>
      </c>
      <c r="AD88" s="728">
        <f>ROUND(CantidadesConsolidadas[[#This Row],[171152]]*$D88,0)</f>
        <v>0</v>
      </c>
      <c r="AE88" s="728">
        <f>ROUND(CantidadesConsolidadas[[#This Row],[173058]]*$D88,0)</f>
        <v>0</v>
      </c>
      <c r="AF88" s="728">
        <f>ROUND(CantidadesConsolidadas[[#This Row],[174478]]*$D88,0)</f>
        <v>0</v>
      </c>
      <c r="AG88" s="728">
        <f>ROUND(CantidadesConsolidadas[[#This Row],[91010089]]*$D88,0)</f>
        <v>0</v>
      </c>
      <c r="AH88" s="728">
        <f>ROUND(CantidadesConsolidadas[[#This Row],[176122]]*$D88,0)</f>
        <v>0</v>
      </c>
      <c r="AI88" s="728">
        <f>ROUND(CantidadesConsolidadas[[#This Row],[168536]]*$D88,0)</f>
        <v>0</v>
      </c>
      <c r="AJ88" s="728">
        <f>ROUND(CantidadesConsolidadas[[#This Row],[166934]]*$D88,0)</f>
        <v>0</v>
      </c>
      <c r="AK88" s="728">
        <f>ROUND(CantidadesConsolidadas[[#This Row],[174353]]*$D88,0)</f>
        <v>0</v>
      </c>
      <c r="AL88" s="747">
        <f>ROUND(CantidadesConsolidadas[[#This Row],[52531]]*$D88,0)</f>
        <v>3371796</v>
      </c>
      <c r="AM88" s="746">
        <f>ROUND(CantidadesConsolidadas[[#This Row],[52456]]*$D88,0)</f>
        <v>0</v>
      </c>
      <c r="AN88" s="746">
        <f>ROUND(CantidadesConsolidadas[[#This Row],[92058103]]*$D88,0)</f>
        <v>0</v>
      </c>
      <c r="AO88" s="746">
        <f>ROUND(CantidadesConsolidadas[[#This Row],[20011114]]*$D88,0)</f>
        <v>0</v>
      </c>
      <c r="AP88" s="746">
        <f>ROUND(CantidadesConsolidadas[[#This Row],[20013540]]*$D88,0)</f>
        <v>0</v>
      </c>
      <c r="AQ88" s="746">
        <f>ROUND(CantidadesConsolidadas[[#This Row],[55337]]*$D88,0)</f>
        <v>0</v>
      </c>
      <c r="AR88" s="746">
        <f>ROUND(CantidadesConsolidadas[[#This Row],[92087422]]*$D88,0)</f>
        <v>0</v>
      </c>
      <c r="AS88" s="746">
        <f>ROUND(CantidadesConsolidadas[[#This Row],[55259]]*$D88,0)</f>
        <v>0</v>
      </c>
      <c r="AT88" s="746">
        <f>ROUND(CantidadesConsolidadas[[#This Row],[466904]]*$D88,0)</f>
        <v>0</v>
      </c>
      <c r="AU88" s="746">
        <f>ROUND(CantidadesConsolidadas[[#This Row],[48591]]*$D88,0)</f>
        <v>0</v>
      </c>
      <c r="AV88" s="746">
        <f>ROUND(CantidadesConsolidadas[[#This Row],[48590]]*$D88,0)</f>
        <v>0</v>
      </c>
      <c r="AW88" s="746">
        <f>ROUND(CantidadesConsolidadas[[#This Row],[48561]]*$D88,0)</f>
        <v>0</v>
      </c>
      <c r="AX88" s="746">
        <f>ROUND(CantidadesConsolidadas[[#This Row],[48560]]*$D88,0)</f>
        <v>0</v>
      </c>
      <c r="AY88" s="746">
        <f>ROUND(CantidadesConsolidadas[[#This Row],[48657]]*$D88,0)</f>
        <v>0</v>
      </c>
      <c r="AZ88" s="746">
        <f>ROUND(CantidadesConsolidadas[[#This Row],[48655]]*$D88,0)</f>
        <v>0</v>
      </c>
      <c r="BA88" s="806">
        <f>SUBTOTAL(9,CostoDirecto[[#This Row],[91013913]:[174353]])</f>
        <v>0</v>
      </c>
      <c r="BB88" s="806">
        <f>SUBTOTAL(9,CostoDirecto[[#This Row],[52531]:[48655]])</f>
        <v>3371796</v>
      </c>
    </row>
    <row r="89" spans="1:54" ht="43.2" x14ac:dyDescent="0.3">
      <c r="A89">
        <v>4919</v>
      </c>
      <c r="B89" s="511" t="str">
        <f>+_xlfn.XLOOKUP(CostoDirecto[[#This Row],[cod Idu]],APU_IDU[Código],APU_IDU[Nombre],"",0)</f>
        <v>ADOQUIN EN CONCRETO 200X100X60MM A25 (SUMINISTRO E INSTALACIÓN. INCLUYE BASE 4CM MORTERO 2000 PSI Y ARENA DE SELLO).</v>
      </c>
      <c r="C89" s="497" t="str">
        <f>+_xlfn.XLOOKUP(CostoDirecto[[#This Row],[cod Idu]],APU_IDU[Código],APU_IDU[UM],"",0)</f>
        <v>M2</v>
      </c>
      <c r="D89" s="521">
        <f>+_xlfn.XLOOKUP(CostoDirecto[[#This Row],[cod Idu]],APU_IDU[Código],APU_IDU[Valor],"",0)</f>
        <v>147839</v>
      </c>
      <c r="E89" s="728">
        <f>ROUND(CantidadesConsolidadas[[#This Row],[91013913]]*$D89,0)</f>
        <v>0</v>
      </c>
      <c r="F89" s="728">
        <f>ROUND(CantidadesConsolidadas[[#This Row],[472330]]*$D89,0)</f>
        <v>0</v>
      </c>
      <c r="G89" s="728">
        <f>ROUND(CantidadesConsolidadas[[#This Row],[167810]]*$D89,0)</f>
        <v>0</v>
      </c>
      <c r="H89" s="728">
        <f>ROUND(CantidadesConsolidadas[[#This Row],[166646]]*$D89,0)</f>
        <v>0</v>
      </c>
      <c r="I89" s="728">
        <f>ROUND(CantidadesConsolidadas[[#This Row],[167491]]*$D89,0)</f>
        <v>0</v>
      </c>
      <c r="J89" s="728">
        <f>ROUND(CantidadesConsolidadas[[#This Row],[167266]]*$D89,0)</f>
        <v>0</v>
      </c>
      <c r="K89" s="728">
        <f>ROUND(CantidadesConsolidadas[[#This Row],[170896]]*$D89,0)</f>
        <v>0</v>
      </c>
      <c r="L89" s="728">
        <f>ROUND(CantidadesConsolidadas[[#This Row],[170897]]*$D89,0)</f>
        <v>0</v>
      </c>
      <c r="M89" s="728">
        <f>ROUND(CantidadesConsolidadas[[#This Row],[170898]]*$D89,0)</f>
        <v>0</v>
      </c>
      <c r="N89" s="728">
        <f>ROUND(CantidadesConsolidadas[[#This Row],[91064150]]*$D89,0)</f>
        <v>0</v>
      </c>
      <c r="O89" s="728">
        <f>ROUND(CantidadesConsolidadas[[#This Row],[168919]]*$D89,0)</f>
        <v>0</v>
      </c>
      <c r="P89" s="728">
        <f>ROUND(CantidadesConsolidadas[[#This Row],[168426]]*$D89,0)</f>
        <v>0</v>
      </c>
      <c r="Q89" s="728">
        <f>ROUND(CantidadesConsolidadas[[#This Row],[91020796]]*$D89,0)</f>
        <v>0</v>
      </c>
      <c r="R89" s="728">
        <f>ROUND(CantidadesConsolidadas[[#This Row],[176184]]*$D89,0)</f>
        <v>0</v>
      </c>
      <c r="S89" s="728">
        <f>ROUND(CantidadesConsolidadas[[#This Row],[167636]]*$D89,0)</f>
        <v>0</v>
      </c>
      <c r="T89" s="728">
        <f>ROUND(CantidadesConsolidadas[[#This Row],[176730]]*$D89,0)</f>
        <v>0</v>
      </c>
      <c r="U89" s="728">
        <f>ROUND(CantidadesConsolidadas[[#This Row],[173038]]*$D89,0)</f>
        <v>0</v>
      </c>
      <c r="V89" s="728">
        <f>ROUND(CantidadesConsolidadas[[#This Row],[170222]]*$D89,0)</f>
        <v>0</v>
      </c>
      <c r="W89" s="728">
        <f>ROUND(CantidadesConsolidadas[[#This Row],[170229]]*$D89,0)</f>
        <v>0</v>
      </c>
      <c r="X89" s="728">
        <f>ROUND(CantidadesConsolidadas[[#This Row],[170227]]*$D89,0)</f>
        <v>0</v>
      </c>
      <c r="Y89" s="728">
        <f>ROUND(CantidadesConsolidadas[[#This Row],[170226]]*$D89,0)</f>
        <v>0</v>
      </c>
      <c r="Z89" s="728">
        <f>ROUND(CantidadesConsolidadas[[#This Row],[171567]]*$D89,0)</f>
        <v>0</v>
      </c>
      <c r="AA89" s="728">
        <f>ROUND(CantidadesConsolidadas[[#This Row],[166632]]*$D89,0)</f>
        <v>0</v>
      </c>
      <c r="AB89" s="728">
        <f>ROUND(CantidadesConsolidadas[[#This Row],[170228]]*$D89,0)</f>
        <v>0</v>
      </c>
      <c r="AC89" s="728">
        <f>ROUND(CantidadesConsolidadas[[#This Row],[172926]]*$D89,0)</f>
        <v>0</v>
      </c>
      <c r="AD89" s="728">
        <f>ROUND(CantidadesConsolidadas[[#This Row],[171152]]*$D89,0)</f>
        <v>0</v>
      </c>
      <c r="AE89" s="728">
        <f>ROUND(CantidadesConsolidadas[[#This Row],[173058]]*$D89,0)</f>
        <v>0</v>
      </c>
      <c r="AF89" s="728">
        <f>ROUND(CantidadesConsolidadas[[#This Row],[174478]]*$D89,0)</f>
        <v>0</v>
      </c>
      <c r="AG89" s="728">
        <f>ROUND(CantidadesConsolidadas[[#This Row],[91010089]]*$D89,0)</f>
        <v>0</v>
      </c>
      <c r="AH89" s="728">
        <f>ROUND(CantidadesConsolidadas[[#This Row],[176122]]*$D89,0)</f>
        <v>0</v>
      </c>
      <c r="AI89" s="728">
        <f>ROUND(CantidadesConsolidadas[[#This Row],[168536]]*$D89,0)</f>
        <v>0</v>
      </c>
      <c r="AJ89" s="728">
        <f>ROUND(CantidadesConsolidadas[[#This Row],[166934]]*$D89,0)</f>
        <v>0</v>
      </c>
      <c r="AK89" s="728">
        <f>ROUND(CantidadesConsolidadas[[#This Row],[174353]]*$D89,0)</f>
        <v>0</v>
      </c>
      <c r="AL89" s="747">
        <f>ROUND(CantidadesConsolidadas[[#This Row],[52531]]*$D89,0)</f>
        <v>0</v>
      </c>
      <c r="AM89" s="746">
        <f>ROUND(CantidadesConsolidadas[[#This Row],[52456]]*$D89,0)</f>
        <v>9557791</v>
      </c>
      <c r="AN89" s="746">
        <f>ROUND(CantidadesConsolidadas[[#This Row],[92058103]]*$D89,0)</f>
        <v>0</v>
      </c>
      <c r="AO89" s="746">
        <f>ROUND(CantidadesConsolidadas[[#This Row],[20011114]]*$D89,0)</f>
        <v>0</v>
      </c>
      <c r="AP89" s="746">
        <f>ROUND(CantidadesConsolidadas[[#This Row],[20013540]]*$D89,0)</f>
        <v>0</v>
      </c>
      <c r="AQ89" s="746">
        <f>ROUND(CantidadesConsolidadas[[#This Row],[55337]]*$D89,0)</f>
        <v>0</v>
      </c>
      <c r="AR89" s="746">
        <f>ROUND(CantidadesConsolidadas[[#This Row],[92087422]]*$D89,0)</f>
        <v>0</v>
      </c>
      <c r="AS89" s="746">
        <f>ROUND(CantidadesConsolidadas[[#This Row],[55259]]*$D89,0)</f>
        <v>0</v>
      </c>
      <c r="AT89" s="746">
        <f>ROUND(CantidadesConsolidadas[[#This Row],[466904]]*$D89,0)</f>
        <v>0</v>
      </c>
      <c r="AU89" s="746">
        <f>ROUND(CantidadesConsolidadas[[#This Row],[48591]]*$D89,0)</f>
        <v>0</v>
      </c>
      <c r="AV89" s="746">
        <f>ROUND(CantidadesConsolidadas[[#This Row],[48590]]*$D89,0)</f>
        <v>0</v>
      </c>
      <c r="AW89" s="746">
        <f>ROUND(CantidadesConsolidadas[[#This Row],[48561]]*$D89,0)</f>
        <v>0</v>
      </c>
      <c r="AX89" s="746">
        <f>ROUND(CantidadesConsolidadas[[#This Row],[48560]]*$D89,0)</f>
        <v>0</v>
      </c>
      <c r="AY89" s="746">
        <f>ROUND(CantidadesConsolidadas[[#This Row],[48657]]*$D89,0)</f>
        <v>0</v>
      </c>
      <c r="AZ89" s="746">
        <f>ROUND(CantidadesConsolidadas[[#This Row],[48655]]*$D89,0)</f>
        <v>0</v>
      </c>
      <c r="BA89" s="806">
        <f>SUBTOTAL(9,CostoDirecto[[#This Row],[91013913]:[174353]])</f>
        <v>0</v>
      </c>
      <c r="BB89" s="806">
        <f>SUBTOTAL(9,CostoDirecto[[#This Row],[52531]:[48655]])</f>
        <v>9557791</v>
      </c>
    </row>
    <row r="90" spans="1:54" ht="28.8" x14ac:dyDescent="0.3">
      <c r="A90">
        <v>5047</v>
      </c>
      <c r="B90" s="511" t="str">
        <f>+_xlfn.XLOOKUP(CostoDirecto[[#This Row],[cod Idu]],APU_IDU[Código],APU_IDU[Nombre],"",0)</f>
        <v>ADOQUIN EN CONCRETO COLOR OCRE A25 (20X10X6cm) (Suministro e instalación. Incluye base 4cm mortero 2000 PSI y arena de sello)</v>
      </c>
      <c r="C90" s="497" t="str">
        <f>+_xlfn.XLOOKUP(CostoDirecto[[#This Row],[cod Idu]],APU_IDU[Código],APU_IDU[UM],"",0)</f>
        <v>M2</v>
      </c>
      <c r="D90" s="521">
        <f>+_xlfn.XLOOKUP(CostoDirecto[[#This Row],[cod Idu]],APU_IDU[Código],APU_IDU[Valor],"",0)</f>
        <v>159094</v>
      </c>
      <c r="E90" s="728">
        <f>ROUND(CantidadesConsolidadas[[#This Row],[91013913]]*$D90,0)</f>
        <v>0</v>
      </c>
      <c r="F90" s="728">
        <f>ROUND(CantidadesConsolidadas[[#This Row],[472330]]*$D90,0)</f>
        <v>0</v>
      </c>
      <c r="G90" s="728">
        <f>ROUND(CantidadesConsolidadas[[#This Row],[167810]]*$D90,0)</f>
        <v>0</v>
      </c>
      <c r="H90" s="728">
        <f>ROUND(CantidadesConsolidadas[[#This Row],[166646]]*$D90,0)</f>
        <v>0</v>
      </c>
      <c r="I90" s="728">
        <f>ROUND(CantidadesConsolidadas[[#This Row],[167491]]*$D90,0)</f>
        <v>0</v>
      </c>
      <c r="J90" s="728">
        <f>ROUND(CantidadesConsolidadas[[#This Row],[167266]]*$D90,0)</f>
        <v>0</v>
      </c>
      <c r="K90" s="728">
        <f>ROUND(CantidadesConsolidadas[[#This Row],[170896]]*$D90,0)</f>
        <v>0</v>
      </c>
      <c r="L90" s="728">
        <f>ROUND(CantidadesConsolidadas[[#This Row],[170897]]*$D90,0)</f>
        <v>0</v>
      </c>
      <c r="M90" s="728">
        <f>ROUND(CantidadesConsolidadas[[#This Row],[170898]]*$D90,0)</f>
        <v>0</v>
      </c>
      <c r="N90" s="728">
        <f>ROUND(CantidadesConsolidadas[[#This Row],[91064150]]*$D90,0)</f>
        <v>0</v>
      </c>
      <c r="O90" s="728">
        <f>ROUND(CantidadesConsolidadas[[#This Row],[168919]]*$D90,0)</f>
        <v>0</v>
      </c>
      <c r="P90" s="728">
        <f>ROUND(CantidadesConsolidadas[[#This Row],[168426]]*$D90,0)</f>
        <v>0</v>
      </c>
      <c r="Q90" s="728">
        <f>ROUND(CantidadesConsolidadas[[#This Row],[91020796]]*$D90,0)</f>
        <v>0</v>
      </c>
      <c r="R90" s="728">
        <f>ROUND(CantidadesConsolidadas[[#This Row],[176184]]*$D90,0)</f>
        <v>0</v>
      </c>
      <c r="S90" s="728">
        <f>ROUND(CantidadesConsolidadas[[#This Row],[167636]]*$D90,0)</f>
        <v>0</v>
      </c>
      <c r="T90" s="728">
        <f>ROUND(CantidadesConsolidadas[[#This Row],[176730]]*$D90,0)</f>
        <v>0</v>
      </c>
      <c r="U90" s="728">
        <f>ROUND(CantidadesConsolidadas[[#This Row],[173038]]*$D90,0)</f>
        <v>0</v>
      </c>
      <c r="V90" s="728">
        <f>ROUND(CantidadesConsolidadas[[#This Row],[170222]]*$D90,0)</f>
        <v>0</v>
      </c>
      <c r="W90" s="728">
        <f>ROUND(CantidadesConsolidadas[[#This Row],[170229]]*$D90,0)</f>
        <v>0</v>
      </c>
      <c r="X90" s="728">
        <f>ROUND(CantidadesConsolidadas[[#This Row],[170227]]*$D90,0)</f>
        <v>0</v>
      </c>
      <c r="Y90" s="728">
        <f>ROUND(CantidadesConsolidadas[[#This Row],[170226]]*$D90,0)</f>
        <v>0</v>
      </c>
      <c r="Z90" s="728">
        <f>ROUND(CantidadesConsolidadas[[#This Row],[171567]]*$D90,0)</f>
        <v>0</v>
      </c>
      <c r="AA90" s="728">
        <f>ROUND(CantidadesConsolidadas[[#This Row],[166632]]*$D90,0)</f>
        <v>0</v>
      </c>
      <c r="AB90" s="728">
        <f>ROUND(CantidadesConsolidadas[[#This Row],[170228]]*$D90,0)</f>
        <v>0</v>
      </c>
      <c r="AC90" s="728">
        <f>ROUND(CantidadesConsolidadas[[#This Row],[172926]]*$D90,0)</f>
        <v>0</v>
      </c>
      <c r="AD90" s="728">
        <f>ROUND(CantidadesConsolidadas[[#This Row],[171152]]*$D90,0)</f>
        <v>0</v>
      </c>
      <c r="AE90" s="728">
        <f>ROUND(CantidadesConsolidadas[[#This Row],[173058]]*$D90,0)</f>
        <v>0</v>
      </c>
      <c r="AF90" s="728">
        <f>ROUND(CantidadesConsolidadas[[#This Row],[174478]]*$D90,0)</f>
        <v>0</v>
      </c>
      <c r="AG90" s="728">
        <f>ROUND(CantidadesConsolidadas[[#This Row],[91010089]]*$D90,0)</f>
        <v>0</v>
      </c>
      <c r="AH90" s="728">
        <f>ROUND(CantidadesConsolidadas[[#This Row],[176122]]*$D90,0)</f>
        <v>0</v>
      </c>
      <c r="AI90" s="728">
        <f>ROUND(CantidadesConsolidadas[[#This Row],[168536]]*$D90,0)</f>
        <v>0</v>
      </c>
      <c r="AJ90" s="728">
        <f>ROUND(CantidadesConsolidadas[[#This Row],[166934]]*$D90,0)</f>
        <v>0</v>
      </c>
      <c r="AK90" s="728">
        <f>ROUND(CantidadesConsolidadas[[#This Row],[174353]]*$D90,0)</f>
        <v>0</v>
      </c>
      <c r="AL90" s="747">
        <f>ROUND(CantidadesConsolidadas[[#This Row],[52531]]*$D90,0)</f>
        <v>6207848</v>
      </c>
      <c r="AM90" s="746">
        <f>ROUND(CantidadesConsolidadas[[#This Row],[52456]]*$D90,0)</f>
        <v>0</v>
      </c>
      <c r="AN90" s="746">
        <f>ROUND(CantidadesConsolidadas[[#This Row],[92058103]]*$D90,0)</f>
        <v>0</v>
      </c>
      <c r="AO90" s="746">
        <f>ROUND(CantidadesConsolidadas[[#This Row],[20011114]]*$D90,0)</f>
        <v>0</v>
      </c>
      <c r="AP90" s="746">
        <f>ROUND(CantidadesConsolidadas[[#This Row],[20013540]]*$D90,0)</f>
        <v>0</v>
      </c>
      <c r="AQ90" s="746">
        <f>ROUND(CantidadesConsolidadas[[#This Row],[55337]]*$D90,0)</f>
        <v>0</v>
      </c>
      <c r="AR90" s="746">
        <f>ROUND(CantidadesConsolidadas[[#This Row],[92087422]]*$D90,0)</f>
        <v>0</v>
      </c>
      <c r="AS90" s="746">
        <f>ROUND(CantidadesConsolidadas[[#This Row],[55259]]*$D90,0)</f>
        <v>0</v>
      </c>
      <c r="AT90" s="746">
        <f>ROUND(CantidadesConsolidadas[[#This Row],[466904]]*$D90,0)</f>
        <v>0</v>
      </c>
      <c r="AU90" s="746">
        <f>ROUND(CantidadesConsolidadas[[#This Row],[48591]]*$D90,0)</f>
        <v>0</v>
      </c>
      <c r="AV90" s="746">
        <f>ROUND(CantidadesConsolidadas[[#This Row],[48590]]*$D90,0)</f>
        <v>0</v>
      </c>
      <c r="AW90" s="746">
        <f>ROUND(CantidadesConsolidadas[[#This Row],[48561]]*$D90,0)</f>
        <v>0</v>
      </c>
      <c r="AX90" s="746">
        <f>ROUND(CantidadesConsolidadas[[#This Row],[48560]]*$D90,0)</f>
        <v>0</v>
      </c>
      <c r="AY90" s="746">
        <f>ROUND(CantidadesConsolidadas[[#This Row],[48657]]*$D90,0)</f>
        <v>0</v>
      </c>
      <c r="AZ90" s="746">
        <f>ROUND(CantidadesConsolidadas[[#This Row],[48655]]*$D90,0)</f>
        <v>0</v>
      </c>
      <c r="BA90" s="806">
        <f>SUBTOTAL(9,CostoDirecto[[#This Row],[91013913]:[174353]])</f>
        <v>0</v>
      </c>
      <c r="BB90" s="806">
        <f>SUBTOTAL(9,CostoDirecto[[#This Row],[52531]:[48655]])</f>
        <v>6207848</v>
      </c>
    </row>
    <row r="91" spans="1:54" ht="57.6" x14ac:dyDescent="0.3">
      <c r="A91">
        <v>6021</v>
      </c>
      <c r="B91" s="511" t="str">
        <f>+_xlfn.XLOOKUP(CostoDirecto[[#This Row],[cod Idu]],APU_IDU[Código],APU_IDU[Nombre],"",0)</f>
        <v>CONCRETO DE NIVELACIÓN 2000 PSI GRAVA COMÚN (140 KG/CM2) (PREMEZCLADO. INCLUYE SUMINISTRO, FUNDIDA Y NIVELACIÓN Y COLOCACIÓN. NO INCLUYE REFUERZO, CURADO) PARA MEJORAMIENTO, ADECUACIÓN Y REHABILITACIÓN DE ESPACIO PÚBLICO.</v>
      </c>
      <c r="C91" s="497" t="str">
        <f>+_xlfn.XLOOKUP(CostoDirecto[[#This Row],[cod Idu]],APU_IDU[Código],APU_IDU[UM],"",0)</f>
        <v>M3</v>
      </c>
      <c r="D91" s="521">
        <f>+_xlfn.XLOOKUP(CostoDirecto[[#This Row],[cod Idu]],APU_IDU[Código],APU_IDU[Valor],"",0)</f>
        <v>840181</v>
      </c>
      <c r="E91" s="728">
        <f>ROUND(CantidadesConsolidadas[[#This Row],[91013913]]*$D91,0)</f>
        <v>0</v>
      </c>
      <c r="F91" s="728">
        <f>ROUND(CantidadesConsolidadas[[#This Row],[472330]]*$D91,0)</f>
        <v>0</v>
      </c>
      <c r="G91" s="728">
        <f>ROUND(CantidadesConsolidadas[[#This Row],[167810]]*$D91,0)</f>
        <v>0</v>
      </c>
      <c r="H91" s="728">
        <f>ROUND(CantidadesConsolidadas[[#This Row],[166646]]*$D91,0)</f>
        <v>0</v>
      </c>
      <c r="I91" s="728">
        <f>ROUND(CantidadesConsolidadas[[#This Row],[167491]]*$D91,0)</f>
        <v>0</v>
      </c>
      <c r="J91" s="728">
        <f>ROUND(CantidadesConsolidadas[[#This Row],[167266]]*$D91,0)</f>
        <v>0</v>
      </c>
      <c r="K91" s="728">
        <f>ROUND(CantidadesConsolidadas[[#This Row],[170896]]*$D91,0)</f>
        <v>0</v>
      </c>
      <c r="L91" s="728">
        <f>ROUND(CantidadesConsolidadas[[#This Row],[170897]]*$D91,0)</f>
        <v>0</v>
      </c>
      <c r="M91" s="728">
        <f>ROUND(CantidadesConsolidadas[[#This Row],[170898]]*$D91,0)</f>
        <v>0</v>
      </c>
      <c r="N91" s="728">
        <f>ROUND(CantidadesConsolidadas[[#This Row],[91064150]]*$D91,0)</f>
        <v>0</v>
      </c>
      <c r="O91" s="728">
        <f>ROUND(CantidadesConsolidadas[[#This Row],[168919]]*$D91,0)</f>
        <v>0</v>
      </c>
      <c r="P91" s="728">
        <f>ROUND(CantidadesConsolidadas[[#This Row],[168426]]*$D91,0)</f>
        <v>0</v>
      </c>
      <c r="Q91" s="728">
        <f>ROUND(CantidadesConsolidadas[[#This Row],[91020796]]*$D91,0)</f>
        <v>0</v>
      </c>
      <c r="R91" s="728">
        <f>ROUND(CantidadesConsolidadas[[#This Row],[176184]]*$D91,0)</f>
        <v>0</v>
      </c>
      <c r="S91" s="728">
        <f>ROUND(CantidadesConsolidadas[[#This Row],[167636]]*$D91,0)</f>
        <v>0</v>
      </c>
      <c r="T91" s="728">
        <f>ROUND(CantidadesConsolidadas[[#This Row],[176730]]*$D91,0)</f>
        <v>0</v>
      </c>
      <c r="U91" s="728">
        <f>ROUND(CantidadesConsolidadas[[#This Row],[173038]]*$D91,0)</f>
        <v>0</v>
      </c>
      <c r="V91" s="728">
        <f>ROUND(CantidadesConsolidadas[[#This Row],[170222]]*$D91,0)</f>
        <v>0</v>
      </c>
      <c r="W91" s="728">
        <f>ROUND(CantidadesConsolidadas[[#This Row],[170229]]*$D91,0)</f>
        <v>0</v>
      </c>
      <c r="X91" s="728">
        <f>ROUND(CantidadesConsolidadas[[#This Row],[170227]]*$D91,0)</f>
        <v>0</v>
      </c>
      <c r="Y91" s="728">
        <f>ROUND(CantidadesConsolidadas[[#This Row],[170226]]*$D91,0)</f>
        <v>0</v>
      </c>
      <c r="Z91" s="728">
        <f>ROUND(CantidadesConsolidadas[[#This Row],[171567]]*$D91,0)</f>
        <v>0</v>
      </c>
      <c r="AA91" s="728">
        <f>ROUND(CantidadesConsolidadas[[#This Row],[166632]]*$D91,0)</f>
        <v>0</v>
      </c>
      <c r="AB91" s="728">
        <f>ROUND(CantidadesConsolidadas[[#This Row],[170228]]*$D91,0)</f>
        <v>0</v>
      </c>
      <c r="AC91" s="728">
        <f>ROUND(CantidadesConsolidadas[[#This Row],[172926]]*$D91,0)</f>
        <v>0</v>
      </c>
      <c r="AD91" s="728">
        <f>ROUND(CantidadesConsolidadas[[#This Row],[171152]]*$D91,0)</f>
        <v>0</v>
      </c>
      <c r="AE91" s="728">
        <f>ROUND(CantidadesConsolidadas[[#This Row],[173058]]*$D91,0)</f>
        <v>0</v>
      </c>
      <c r="AF91" s="728">
        <f>ROUND(CantidadesConsolidadas[[#This Row],[174478]]*$D91,0)</f>
        <v>0</v>
      </c>
      <c r="AG91" s="728">
        <f>ROUND(CantidadesConsolidadas[[#This Row],[91010089]]*$D91,0)</f>
        <v>0</v>
      </c>
      <c r="AH91" s="728">
        <f>ROUND(CantidadesConsolidadas[[#This Row],[176122]]*$D91,0)</f>
        <v>0</v>
      </c>
      <c r="AI91" s="728">
        <f>ROUND(CantidadesConsolidadas[[#This Row],[168536]]*$D91,0)</f>
        <v>0</v>
      </c>
      <c r="AJ91" s="728">
        <f>ROUND(CantidadesConsolidadas[[#This Row],[166934]]*$D91,0)</f>
        <v>0</v>
      </c>
      <c r="AK91" s="728">
        <f>ROUND(CantidadesConsolidadas[[#This Row],[174353]]*$D91,0)</f>
        <v>0</v>
      </c>
      <c r="AL91" s="747">
        <f>ROUND(CantidadesConsolidadas[[#This Row],[52531]]*$D91,0)</f>
        <v>0</v>
      </c>
      <c r="AM91" s="746">
        <f>ROUND(CantidadesConsolidadas[[#This Row],[52456]]*$D91,0)</f>
        <v>0</v>
      </c>
      <c r="AN91" s="746">
        <f>ROUND(CantidadesConsolidadas[[#This Row],[92058103]]*$D91,0)</f>
        <v>2604561</v>
      </c>
      <c r="AO91" s="746">
        <f>ROUND(CantidadesConsolidadas[[#This Row],[20011114]]*$D91,0)</f>
        <v>0</v>
      </c>
      <c r="AP91" s="746">
        <f>ROUND(CantidadesConsolidadas[[#This Row],[20013540]]*$D91,0)</f>
        <v>0</v>
      </c>
      <c r="AQ91" s="746">
        <f>ROUND(CantidadesConsolidadas[[#This Row],[55337]]*$D91,0)</f>
        <v>0</v>
      </c>
      <c r="AR91" s="746">
        <f>ROUND(CantidadesConsolidadas[[#This Row],[92087422]]*$D91,0)</f>
        <v>0</v>
      </c>
      <c r="AS91" s="746">
        <f>ROUND(CantidadesConsolidadas[[#This Row],[55259]]*$D91,0)</f>
        <v>0</v>
      </c>
      <c r="AT91" s="746">
        <f>ROUND(CantidadesConsolidadas[[#This Row],[466904]]*$D91,0)</f>
        <v>1596344</v>
      </c>
      <c r="AU91" s="746">
        <f>ROUND(CantidadesConsolidadas[[#This Row],[48591]]*$D91,0)</f>
        <v>0</v>
      </c>
      <c r="AV91" s="746">
        <f>ROUND(CantidadesConsolidadas[[#This Row],[48590]]*$D91,0)</f>
        <v>0</v>
      </c>
      <c r="AW91" s="746">
        <f>ROUND(CantidadesConsolidadas[[#This Row],[48561]]*$D91,0)</f>
        <v>0</v>
      </c>
      <c r="AX91" s="746">
        <f>ROUND(CantidadesConsolidadas[[#This Row],[48560]]*$D91,0)</f>
        <v>0</v>
      </c>
      <c r="AY91" s="746">
        <f>ROUND(CantidadesConsolidadas[[#This Row],[48657]]*$D91,0)</f>
        <v>0</v>
      </c>
      <c r="AZ91" s="746">
        <f>ROUND(CantidadesConsolidadas[[#This Row],[48655]]*$D91,0)</f>
        <v>0</v>
      </c>
      <c r="BA91" s="806">
        <f>SUBTOTAL(9,CostoDirecto[[#This Row],[91013913]:[174353]])</f>
        <v>0</v>
      </c>
      <c r="BB91" s="806">
        <f>SUBTOTAL(9,CostoDirecto[[#This Row],[52531]:[48655]])</f>
        <v>4200905</v>
      </c>
    </row>
    <row r="92" spans="1:54" ht="43.2" x14ac:dyDescent="0.3">
      <c r="A92">
        <v>4908</v>
      </c>
      <c r="B92" s="511" t="str">
        <f>+_xlfn.XLOOKUP(CostoDirecto[[#This Row],[cod Idu]],APU_IDU[Código],APU_IDU[Nombre],"",0)</f>
        <v>MATERIAL SELECCIONADO. (INCLUYE SUMINISTRO, EXTENDIDO MANUAL, NIVELACIÓN, HUMEDECIMIENTO, COMPACTACIÓN Y TRANSPORTE A 21Km).</v>
      </c>
      <c r="C92" s="497" t="str">
        <f>+_xlfn.XLOOKUP(CostoDirecto[[#This Row],[cod Idu]],APU_IDU[Código],APU_IDU[UM],"",0)</f>
        <v>M3</v>
      </c>
      <c r="D92" s="521">
        <f>+_xlfn.XLOOKUP(CostoDirecto[[#This Row],[cod Idu]],APU_IDU[Código],APU_IDU[Valor],"",0)</f>
        <v>133633</v>
      </c>
      <c r="E92" s="728">
        <f>ROUND(CantidadesConsolidadas[[#This Row],[91013913]]*$D92,0)</f>
        <v>0</v>
      </c>
      <c r="F92" s="728">
        <f>ROUND(CantidadesConsolidadas[[#This Row],[472330]]*$D92,0)</f>
        <v>0</v>
      </c>
      <c r="G92" s="728">
        <f>ROUND(CantidadesConsolidadas[[#This Row],[167810]]*$D92,0)</f>
        <v>0</v>
      </c>
      <c r="H92" s="728">
        <f>ROUND(CantidadesConsolidadas[[#This Row],[166646]]*$D92,0)</f>
        <v>0</v>
      </c>
      <c r="I92" s="728">
        <f>ROUND(CantidadesConsolidadas[[#This Row],[167491]]*$D92,0)</f>
        <v>0</v>
      </c>
      <c r="J92" s="728">
        <f>ROUND(CantidadesConsolidadas[[#This Row],[167266]]*$D92,0)</f>
        <v>0</v>
      </c>
      <c r="K92" s="728">
        <f>ROUND(CantidadesConsolidadas[[#This Row],[170896]]*$D92,0)</f>
        <v>0</v>
      </c>
      <c r="L92" s="728">
        <f>ROUND(CantidadesConsolidadas[[#This Row],[170897]]*$D92,0)</f>
        <v>0</v>
      </c>
      <c r="M92" s="728">
        <f>ROUND(CantidadesConsolidadas[[#This Row],[170898]]*$D92,0)</f>
        <v>0</v>
      </c>
      <c r="N92" s="728">
        <f>ROUND(CantidadesConsolidadas[[#This Row],[91064150]]*$D92,0)</f>
        <v>0</v>
      </c>
      <c r="O92" s="728">
        <f>ROUND(CantidadesConsolidadas[[#This Row],[168919]]*$D92,0)</f>
        <v>0</v>
      </c>
      <c r="P92" s="728">
        <f>ROUND(CantidadesConsolidadas[[#This Row],[168426]]*$D92,0)</f>
        <v>0</v>
      </c>
      <c r="Q92" s="728">
        <f>ROUND(CantidadesConsolidadas[[#This Row],[91020796]]*$D92,0)</f>
        <v>0</v>
      </c>
      <c r="R92" s="728">
        <f>ROUND(CantidadesConsolidadas[[#This Row],[176184]]*$D92,0)</f>
        <v>0</v>
      </c>
      <c r="S92" s="728">
        <f>ROUND(CantidadesConsolidadas[[#This Row],[167636]]*$D92,0)</f>
        <v>0</v>
      </c>
      <c r="T92" s="728">
        <f>ROUND(CantidadesConsolidadas[[#This Row],[176730]]*$D92,0)</f>
        <v>0</v>
      </c>
      <c r="U92" s="728">
        <f>ROUND(CantidadesConsolidadas[[#This Row],[173038]]*$D92,0)</f>
        <v>0</v>
      </c>
      <c r="V92" s="728">
        <f>ROUND(CantidadesConsolidadas[[#This Row],[170222]]*$D92,0)</f>
        <v>0</v>
      </c>
      <c r="W92" s="728">
        <f>ROUND(CantidadesConsolidadas[[#This Row],[170229]]*$D92,0)</f>
        <v>0</v>
      </c>
      <c r="X92" s="728">
        <f>ROUND(CantidadesConsolidadas[[#This Row],[170227]]*$D92,0)</f>
        <v>0</v>
      </c>
      <c r="Y92" s="728">
        <f>ROUND(CantidadesConsolidadas[[#This Row],[170226]]*$D92,0)</f>
        <v>0</v>
      </c>
      <c r="Z92" s="728">
        <f>ROUND(CantidadesConsolidadas[[#This Row],[171567]]*$D92,0)</f>
        <v>0</v>
      </c>
      <c r="AA92" s="728">
        <f>ROUND(CantidadesConsolidadas[[#This Row],[166632]]*$D92,0)</f>
        <v>0</v>
      </c>
      <c r="AB92" s="728">
        <f>ROUND(CantidadesConsolidadas[[#This Row],[170228]]*$D92,0)</f>
        <v>0</v>
      </c>
      <c r="AC92" s="728">
        <f>ROUND(CantidadesConsolidadas[[#This Row],[172926]]*$D92,0)</f>
        <v>0</v>
      </c>
      <c r="AD92" s="728">
        <f>ROUND(CantidadesConsolidadas[[#This Row],[171152]]*$D92,0)</f>
        <v>0</v>
      </c>
      <c r="AE92" s="728">
        <f>ROUND(CantidadesConsolidadas[[#This Row],[173058]]*$D92,0)</f>
        <v>0</v>
      </c>
      <c r="AF92" s="728">
        <f>ROUND(CantidadesConsolidadas[[#This Row],[174478]]*$D92,0)</f>
        <v>0</v>
      </c>
      <c r="AG92" s="728">
        <f>ROUND(CantidadesConsolidadas[[#This Row],[91010089]]*$D92,0)</f>
        <v>0</v>
      </c>
      <c r="AH92" s="728">
        <f>ROUND(CantidadesConsolidadas[[#This Row],[176122]]*$D92,0)</f>
        <v>0</v>
      </c>
      <c r="AI92" s="728">
        <f>ROUND(CantidadesConsolidadas[[#This Row],[168536]]*$D92,0)</f>
        <v>0</v>
      </c>
      <c r="AJ92" s="728">
        <f>ROUND(CantidadesConsolidadas[[#This Row],[166934]]*$D92,0)</f>
        <v>0</v>
      </c>
      <c r="AK92" s="728">
        <f>ROUND(CantidadesConsolidadas[[#This Row],[174353]]*$D92,0)</f>
        <v>0</v>
      </c>
      <c r="AL92" s="747">
        <f>ROUND(CantidadesConsolidadas[[#This Row],[52531]]*$D92,0)</f>
        <v>0</v>
      </c>
      <c r="AM92" s="746">
        <f>ROUND(CantidadesConsolidadas[[#This Row],[52456]]*$D92,0)</f>
        <v>2207617</v>
      </c>
      <c r="AN92" s="746">
        <f>ROUND(CantidadesConsolidadas[[#This Row],[92058103]]*$D92,0)</f>
        <v>0</v>
      </c>
      <c r="AO92" s="746">
        <f>ROUND(CantidadesConsolidadas[[#This Row],[20011114]]*$D92,0)</f>
        <v>0</v>
      </c>
      <c r="AP92" s="746">
        <f>ROUND(CantidadesConsolidadas[[#This Row],[20013540]]*$D92,0)</f>
        <v>1359048</v>
      </c>
      <c r="AQ92" s="746">
        <f>ROUND(CantidadesConsolidadas[[#This Row],[55337]]*$D92,0)</f>
        <v>0</v>
      </c>
      <c r="AR92" s="746">
        <f>ROUND(CantidadesConsolidadas[[#This Row],[92087422]]*$D92,0)</f>
        <v>0</v>
      </c>
      <c r="AS92" s="746">
        <f>ROUND(CantidadesConsolidadas[[#This Row],[55259]]*$D92,0)</f>
        <v>0</v>
      </c>
      <c r="AT92" s="746">
        <f>ROUND(CantidadesConsolidadas[[#This Row],[466904]]*$D92,0)</f>
        <v>0</v>
      </c>
      <c r="AU92" s="746">
        <f>ROUND(CantidadesConsolidadas[[#This Row],[48591]]*$D92,0)</f>
        <v>0</v>
      </c>
      <c r="AV92" s="746">
        <f>ROUND(CantidadesConsolidadas[[#This Row],[48590]]*$D92,0)</f>
        <v>0</v>
      </c>
      <c r="AW92" s="746">
        <f>ROUND(CantidadesConsolidadas[[#This Row],[48561]]*$D92,0)</f>
        <v>0</v>
      </c>
      <c r="AX92" s="746">
        <f>ROUND(CantidadesConsolidadas[[#This Row],[48560]]*$D92,0)</f>
        <v>0</v>
      </c>
      <c r="AY92" s="746">
        <f>ROUND(CantidadesConsolidadas[[#This Row],[48657]]*$D92,0)</f>
        <v>0</v>
      </c>
      <c r="AZ92" s="746">
        <f>ROUND(CantidadesConsolidadas[[#This Row],[48655]]*$D92,0)</f>
        <v>0</v>
      </c>
      <c r="BA92" s="806">
        <f>SUBTOTAL(9,CostoDirecto[[#This Row],[91013913]:[174353]])</f>
        <v>0</v>
      </c>
      <c r="BB92" s="806">
        <f>SUBTOTAL(9,CostoDirecto[[#This Row],[52531]:[48655]])</f>
        <v>3566665</v>
      </c>
    </row>
    <row r="93" spans="1:54" ht="28.8" x14ac:dyDescent="0.3">
      <c r="A93">
        <v>3011</v>
      </c>
      <c r="B93" s="511" t="str">
        <f>+_xlfn.XLOOKUP(CostoDirecto[[#This Row],[cod Idu]],APU_IDU[Código],APU_IDU[Nombre],"",0)</f>
        <v>DEMOLICION MANUAL SARDINEL EXISTENTE (INCLUYE CARGUE). NO INCLUYE TRANSPORTE Y DISPOSICIÓN FINAL DE SOBRANTES.</v>
      </c>
      <c r="C93" s="497" t="str">
        <f>+_xlfn.XLOOKUP(CostoDirecto[[#This Row],[cod Idu]],APU_IDU[Código],APU_IDU[UM],"",0)</f>
        <v>ML</v>
      </c>
      <c r="D93" s="521">
        <f>+_xlfn.XLOOKUP(CostoDirecto[[#This Row],[cod Idu]],APU_IDU[Código],APU_IDU[Valor],"",0)</f>
        <v>8176</v>
      </c>
      <c r="E93" s="728">
        <f>ROUND(CantidadesConsolidadas[[#This Row],[91013913]]*$D93,0)</f>
        <v>0</v>
      </c>
      <c r="F93" s="728">
        <f>ROUND(CantidadesConsolidadas[[#This Row],[472330]]*$D93,0)</f>
        <v>0</v>
      </c>
      <c r="G93" s="728">
        <f>ROUND(CantidadesConsolidadas[[#This Row],[167810]]*$D93,0)</f>
        <v>0</v>
      </c>
      <c r="H93" s="728">
        <f>ROUND(CantidadesConsolidadas[[#This Row],[166646]]*$D93,0)</f>
        <v>0</v>
      </c>
      <c r="I93" s="728">
        <f>ROUND(CantidadesConsolidadas[[#This Row],[167491]]*$D93,0)</f>
        <v>0</v>
      </c>
      <c r="J93" s="728">
        <f>ROUND(CantidadesConsolidadas[[#This Row],[167266]]*$D93,0)</f>
        <v>0</v>
      </c>
      <c r="K93" s="728">
        <f>ROUND(CantidadesConsolidadas[[#This Row],[170896]]*$D93,0)</f>
        <v>0</v>
      </c>
      <c r="L93" s="728">
        <f>ROUND(CantidadesConsolidadas[[#This Row],[170897]]*$D93,0)</f>
        <v>0</v>
      </c>
      <c r="M93" s="728">
        <f>ROUND(CantidadesConsolidadas[[#This Row],[170898]]*$D93,0)</f>
        <v>0</v>
      </c>
      <c r="N93" s="728">
        <f>ROUND(CantidadesConsolidadas[[#This Row],[91064150]]*$D93,0)</f>
        <v>0</v>
      </c>
      <c r="O93" s="728">
        <f>ROUND(CantidadesConsolidadas[[#This Row],[168919]]*$D93,0)</f>
        <v>0</v>
      </c>
      <c r="P93" s="728">
        <f>ROUND(CantidadesConsolidadas[[#This Row],[168426]]*$D93,0)</f>
        <v>0</v>
      </c>
      <c r="Q93" s="728">
        <f>ROUND(CantidadesConsolidadas[[#This Row],[91020796]]*$D93,0)</f>
        <v>0</v>
      </c>
      <c r="R93" s="728">
        <f>ROUND(CantidadesConsolidadas[[#This Row],[176184]]*$D93,0)</f>
        <v>0</v>
      </c>
      <c r="S93" s="728">
        <f>ROUND(CantidadesConsolidadas[[#This Row],[167636]]*$D93,0)</f>
        <v>0</v>
      </c>
      <c r="T93" s="728">
        <f>ROUND(CantidadesConsolidadas[[#This Row],[176730]]*$D93,0)</f>
        <v>0</v>
      </c>
      <c r="U93" s="728">
        <f>ROUND(CantidadesConsolidadas[[#This Row],[173038]]*$D93,0)</f>
        <v>0</v>
      </c>
      <c r="V93" s="728">
        <f>ROUND(CantidadesConsolidadas[[#This Row],[170222]]*$D93,0)</f>
        <v>0</v>
      </c>
      <c r="W93" s="728">
        <f>ROUND(CantidadesConsolidadas[[#This Row],[170229]]*$D93,0)</f>
        <v>0</v>
      </c>
      <c r="X93" s="728">
        <f>ROUND(CantidadesConsolidadas[[#This Row],[170227]]*$D93,0)</f>
        <v>0</v>
      </c>
      <c r="Y93" s="728">
        <f>ROUND(CantidadesConsolidadas[[#This Row],[170226]]*$D93,0)</f>
        <v>0</v>
      </c>
      <c r="Z93" s="728">
        <f>ROUND(CantidadesConsolidadas[[#This Row],[171567]]*$D93,0)</f>
        <v>0</v>
      </c>
      <c r="AA93" s="728">
        <f>ROUND(CantidadesConsolidadas[[#This Row],[166632]]*$D93,0)</f>
        <v>0</v>
      </c>
      <c r="AB93" s="728">
        <f>ROUND(CantidadesConsolidadas[[#This Row],[170228]]*$D93,0)</f>
        <v>0</v>
      </c>
      <c r="AC93" s="728">
        <f>ROUND(CantidadesConsolidadas[[#This Row],[172926]]*$D93,0)</f>
        <v>0</v>
      </c>
      <c r="AD93" s="728">
        <f>ROUND(CantidadesConsolidadas[[#This Row],[171152]]*$D93,0)</f>
        <v>0</v>
      </c>
      <c r="AE93" s="728">
        <f>ROUND(CantidadesConsolidadas[[#This Row],[173058]]*$D93,0)</f>
        <v>0</v>
      </c>
      <c r="AF93" s="728">
        <f>ROUND(CantidadesConsolidadas[[#This Row],[174478]]*$D93,0)</f>
        <v>0</v>
      </c>
      <c r="AG93" s="728">
        <f>ROUND(CantidadesConsolidadas[[#This Row],[91010089]]*$D93,0)</f>
        <v>0</v>
      </c>
      <c r="AH93" s="728">
        <f>ROUND(CantidadesConsolidadas[[#This Row],[176122]]*$D93,0)</f>
        <v>0</v>
      </c>
      <c r="AI93" s="728">
        <f>ROUND(CantidadesConsolidadas[[#This Row],[168536]]*$D93,0)</f>
        <v>0</v>
      </c>
      <c r="AJ93" s="728">
        <f>ROUND(CantidadesConsolidadas[[#This Row],[166934]]*$D93,0)</f>
        <v>0</v>
      </c>
      <c r="AK93" s="728">
        <f>ROUND(CantidadesConsolidadas[[#This Row],[174353]]*$D93,0)</f>
        <v>0</v>
      </c>
      <c r="AL93" s="747">
        <f>ROUND(CantidadesConsolidadas[[#This Row],[52531]]*$D93,0)</f>
        <v>638055</v>
      </c>
      <c r="AM93" s="746">
        <f>ROUND(CantidadesConsolidadas[[#This Row],[52456]]*$D93,0)</f>
        <v>528578</v>
      </c>
      <c r="AN93" s="746">
        <f>ROUND(CantidadesConsolidadas[[#This Row],[92058103]]*$D93,0)</f>
        <v>163602</v>
      </c>
      <c r="AO93" s="746">
        <f>ROUND(CantidadesConsolidadas[[#This Row],[20011114]]*$D93,0)</f>
        <v>226230</v>
      </c>
      <c r="AP93" s="746">
        <f>ROUND(CantidadesConsolidadas[[#This Row],[20013540]]*$D93,0)</f>
        <v>103835</v>
      </c>
      <c r="AQ93" s="746">
        <f>ROUND(CantidadesConsolidadas[[#This Row],[55337]]*$D93,0)</f>
        <v>342166</v>
      </c>
      <c r="AR93" s="746">
        <f>ROUND(CantidadesConsolidadas[[#This Row],[92087422]]*$D93,0)</f>
        <v>708696</v>
      </c>
      <c r="AS93" s="746">
        <f>ROUND(CantidadesConsolidadas[[#This Row],[55259]]*$D93,0)</f>
        <v>638627</v>
      </c>
      <c r="AT93" s="746">
        <f>ROUND(CantidadesConsolidadas[[#This Row],[466904]]*$D93,0)</f>
        <v>65408</v>
      </c>
      <c r="AU93" s="746">
        <f>ROUND(CantidadesConsolidadas[[#This Row],[48591]]*$D93,0)</f>
        <v>1407989</v>
      </c>
      <c r="AV93" s="746">
        <f>ROUND(CantidadesConsolidadas[[#This Row],[48590]]*$D93,0)</f>
        <v>1405291</v>
      </c>
      <c r="AW93" s="746">
        <f>ROUND(CantidadesConsolidadas[[#This Row],[48561]]*$D93,0)</f>
        <v>1444372</v>
      </c>
      <c r="AX93" s="746">
        <f>ROUND(CantidadesConsolidadas[[#This Row],[48560]]*$D93,0)</f>
        <v>1454265</v>
      </c>
      <c r="AY93" s="746">
        <f>ROUND(CantidadesConsolidadas[[#This Row],[48657]]*$D93,0)</f>
        <v>287305</v>
      </c>
      <c r="AZ93" s="746">
        <f>ROUND(CantidadesConsolidadas[[#This Row],[48655]]*$D93,0)</f>
        <v>325160</v>
      </c>
      <c r="BA93" s="806">
        <f>SUBTOTAL(9,CostoDirecto[[#This Row],[91013913]:[174353]])</f>
        <v>0</v>
      </c>
      <c r="BB93" s="806">
        <f>SUBTOTAL(9,CostoDirecto[[#This Row],[52531]:[48655]])</f>
        <v>9739579</v>
      </c>
    </row>
    <row r="94" spans="1:54" x14ac:dyDescent="0.3">
      <c r="A94">
        <v>3464</v>
      </c>
      <c r="B94" s="511" t="str">
        <f>+_xlfn.XLOOKUP(CostoDirecto[[#This Row],[cod Idu]],APU_IDU[Código],APU_IDU[Nombre],"",0)</f>
        <v>EXCAVACION MANUAL EN MATERIAL COMUN. INCLUYE CARGUE.</v>
      </c>
      <c r="C94" s="497" t="str">
        <f>+_xlfn.XLOOKUP(CostoDirecto[[#This Row],[cod Idu]],APU_IDU[Código],APU_IDU[UM],"",0)</f>
        <v>M3</v>
      </c>
      <c r="D94" s="521">
        <f>+_xlfn.XLOOKUP(CostoDirecto[[#This Row],[cod Idu]],APU_IDU[Código],APU_IDU[Valor],"",0)</f>
        <v>58471</v>
      </c>
      <c r="E94" s="728">
        <f>ROUND(CantidadesConsolidadas[[#This Row],[91013913]]*$D94,0)</f>
        <v>0</v>
      </c>
      <c r="F94" s="728">
        <f>ROUND(CantidadesConsolidadas[[#This Row],[472330]]*$D94,0)</f>
        <v>0</v>
      </c>
      <c r="G94" s="728">
        <f>ROUND(CantidadesConsolidadas[[#This Row],[167810]]*$D94,0)</f>
        <v>0</v>
      </c>
      <c r="H94" s="728">
        <f>ROUND(CantidadesConsolidadas[[#This Row],[166646]]*$D94,0)</f>
        <v>0</v>
      </c>
      <c r="I94" s="728">
        <f>ROUND(CantidadesConsolidadas[[#This Row],[167491]]*$D94,0)</f>
        <v>0</v>
      </c>
      <c r="J94" s="728">
        <f>ROUND(CantidadesConsolidadas[[#This Row],[167266]]*$D94,0)</f>
        <v>0</v>
      </c>
      <c r="K94" s="728">
        <f>ROUND(CantidadesConsolidadas[[#This Row],[170896]]*$D94,0)</f>
        <v>0</v>
      </c>
      <c r="L94" s="728">
        <f>ROUND(CantidadesConsolidadas[[#This Row],[170897]]*$D94,0)</f>
        <v>0</v>
      </c>
      <c r="M94" s="728">
        <f>ROUND(CantidadesConsolidadas[[#This Row],[170898]]*$D94,0)</f>
        <v>0</v>
      </c>
      <c r="N94" s="728">
        <f>ROUND(CantidadesConsolidadas[[#This Row],[91064150]]*$D94,0)</f>
        <v>0</v>
      </c>
      <c r="O94" s="728">
        <f>ROUND(CantidadesConsolidadas[[#This Row],[168919]]*$D94,0)</f>
        <v>0</v>
      </c>
      <c r="P94" s="728">
        <f>ROUND(CantidadesConsolidadas[[#This Row],[168426]]*$D94,0)</f>
        <v>0</v>
      </c>
      <c r="Q94" s="728">
        <f>ROUND(CantidadesConsolidadas[[#This Row],[91020796]]*$D94,0)</f>
        <v>0</v>
      </c>
      <c r="R94" s="728">
        <f>ROUND(CantidadesConsolidadas[[#This Row],[176184]]*$D94,0)</f>
        <v>0</v>
      </c>
      <c r="S94" s="728">
        <f>ROUND(CantidadesConsolidadas[[#This Row],[167636]]*$D94,0)</f>
        <v>0</v>
      </c>
      <c r="T94" s="728">
        <f>ROUND(CantidadesConsolidadas[[#This Row],[176730]]*$D94,0)</f>
        <v>0</v>
      </c>
      <c r="U94" s="728">
        <f>ROUND(CantidadesConsolidadas[[#This Row],[173038]]*$D94,0)</f>
        <v>0</v>
      </c>
      <c r="V94" s="728">
        <f>ROUND(CantidadesConsolidadas[[#This Row],[170222]]*$D94,0)</f>
        <v>0</v>
      </c>
      <c r="W94" s="728">
        <f>ROUND(CantidadesConsolidadas[[#This Row],[170229]]*$D94,0)</f>
        <v>0</v>
      </c>
      <c r="X94" s="728">
        <f>ROUND(CantidadesConsolidadas[[#This Row],[170227]]*$D94,0)</f>
        <v>0</v>
      </c>
      <c r="Y94" s="728">
        <f>ROUND(CantidadesConsolidadas[[#This Row],[170226]]*$D94,0)</f>
        <v>0</v>
      </c>
      <c r="Z94" s="728">
        <f>ROUND(CantidadesConsolidadas[[#This Row],[171567]]*$D94,0)</f>
        <v>0</v>
      </c>
      <c r="AA94" s="728">
        <f>ROUND(CantidadesConsolidadas[[#This Row],[166632]]*$D94,0)</f>
        <v>0</v>
      </c>
      <c r="AB94" s="728">
        <f>ROUND(CantidadesConsolidadas[[#This Row],[170228]]*$D94,0)</f>
        <v>0</v>
      </c>
      <c r="AC94" s="728">
        <f>ROUND(CantidadesConsolidadas[[#This Row],[172926]]*$D94,0)</f>
        <v>0</v>
      </c>
      <c r="AD94" s="728">
        <f>ROUND(CantidadesConsolidadas[[#This Row],[171152]]*$D94,0)</f>
        <v>0</v>
      </c>
      <c r="AE94" s="728">
        <f>ROUND(CantidadesConsolidadas[[#This Row],[173058]]*$D94,0)</f>
        <v>0</v>
      </c>
      <c r="AF94" s="728">
        <f>ROUND(CantidadesConsolidadas[[#This Row],[174478]]*$D94,0)</f>
        <v>0</v>
      </c>
      <c r="AG94" s="728">
        <f>ROUND(CantidadesConsolidadas[[#This Row],[91010089]]*$D94,0)</f>
        <v>0</v>
      </c>
      <c r="AH94" s="728">
        <f>ROUND(CantidadesConsolidadas[[#This Row],[176122]]*$D94,0)</f>
        <v>0</v>
      </c>
      <c r="AI94" s="728">
        <f>ROUND(CantidadesConsolidadas[[#This Row],[168536]]*$D94,0)</f>
        <v>0</v>
      </c>
      <c r="AJ94" s="728">
        <f>ROUND(CantidadesConsolidadas[[#This Row],[166934]]*$D94,0)</f>
        <v>0</v>
      </c>
      <c r="AK94" s="728">
        <f>ROUND(CantidadesConsolidadas[[#This Row],[174353]]*$D94,0)</f>
        <v>0</v>
      </c>
      <c r="AL94" s="747">
        <f>ROUND(CantidadesConsolidadas[[#This Row],[52531]]*$D94,0)</f>
        <v>1380500</v>
      </c>
      <c r="AM94" s="746">
        <f>ROUND(CantidadesConsolidadas[[#This Row],[52456]]*$D94,0)</f>
        <v>965941</v>
      </c>
      <c r="AN94" s="746">
        <f>ROUND(CantidadesConsolidadas[[#This Row],[92058103]]*$D94,0)</f>
        <v>271890</v>
      </c>
      <c r="AO94" s="746">
        <f>ROUND(CantidadesConsolidadas[[#This Row],[20011114]]*$D94,0)</f>
        <v>1362374</v>
      </c>
      <c r="AP94" s="746">
        <f>ROUND(CantidadesConsolidadas[[#This Row],[20013540]]*$D94,0)</f>
        <v>594650</v>
      </c>
      <c r="AQ94" s="746">
        <f>ROUND(CantidadesConsolidadas[[#This Row],[55337]]*$D94,0)</f>
        <v>1528432</v>
      </c>
      <c r="AR94" s="746">
        <f>ROUND(CantidadesConsolidadas[[#This Row],[92087422]]*$D94,0)</f>
        <v>2344102</v>
      </c>
      <c r="AS94" s="746">
        <f>ROUND(CantidadesConsolidadas[[#This Row],[55259]]*$D94,0)</f>
        <v>3158019</v>
      </c>
      <c r="AT94" s="746">
        <f>ROUND(CantidadesConsolidadas[[#This Row],[466904]]*$D94,0)</f>
        <v>166642</v>
      </c>
      <c r="AU94" s="746">
        <f>ROUND(CantidadesConsolidadas[[#This Row],[48591]]*$D94,0)</f>
        <v>3662039</v>
      </c>
      <c r="AV94" s="746">
        <f>ROUND(CantidadesConsolidadas[[#This Row],[48590]]*$D94,0)</f>
        <v>3774888</v>
      </c>
      <c r="AW94" s="746">
        <f>ROUND(CantidadesConsolidadas[[#This Row],[48561]]*$D94,0)</f>
        <v>3871365</v>
      </c>
      <c r="AX94" s="746">
        <f>ROUND(CantidadesConsolidadas[[#This Row],[48560]]*$D94,0)</f>
        <v>3903524</v>
      </c>
      <c r="AY94" s="746">
        <f>ROUND(CantidadesConsolidadas[[#This Row],[48657]]*$D94,0)</f>
        <v>1898553</v>
      </c>
      <c r="AZ94" s="746">
        <f>ROUND(CantidadesConsolidadas[[#This Row],[48655]]*$D94,0)</f>
        <v>593481</v>
      </c>
      <c r="BA94" s="806">
        <f>SUBTOTAL(9,CostoDirecto[[#This Row],[91013913]:[174353]])</f>
        <v>0</v>
      </c>
      <c r="BB94" s="806">
        <f>SUBTOTAL(9,CostoDirecto[[#This Row],[52531]:[48655]])</f>
        <v>29476400</v>
      </c>
    </row>
    <row r="95" spans="1:54" ht="57.6" x14ac:dyDescent="0.3">
      <c r="A95">
        <v>4032</v>
      </c>
      <c r="B95" s="511" t="str">
        <f>+_xlfn.XLOOKUP(CostoDirecto[[#This Row],[cod Idu]],APU_IDU[Código],APU_IDU[Nombre],"",0)</f>
        <v>GEOTEXTIL TEJIDO CON RESISTENCIA A LA TENSION METODO TIRA ANCHA SENTIDO LONGITUDINAL: ENTRE 40 KN/M Y 43 KN/M. PARA SEPARACION SUBRASANTE/CAPAS GRANULARES. (INCLUYE SUMINISTRO E INSTALACION).</v>
      </c>
      <c r="C95" s="497" t="str">
        <f>+_xlfn.XLOOKUP(CostoDirecto[[#This Row],[cod Idu]],APU_IDU[Código],APU_IDU[UM],"",0)</f>
        <v>M2</v>
      </c>
      <c r="D95" s="521">
        <f>+_xlfn.XLOOKUP(CostoDirecto[[#This Row],[cod Idu]],APU_IDU[Código],APU_IDU[Valor],"",0)</f>
        <v>15400</v>
      </c>
      <c r="E95" s="728">
        <f>ROUND(CantidadesConsolidadas[[#This Row],[91013913]]*$D95,0)</f>
        <v>0</v>
      </c>
      <c r="F95" s="728">
        <f>ROUND(CantidadesConsolidadas[[#This Row],[472330]]*$D95,0)</f>
        <v>0</v>
      </c>
      <c r="G95" s="728">
        <f>ROUND(CantidadesConsolidadas[[#This Row],[167810]]*$D95,0)</f>
        <v>0</v>
      </c>
      <c r="H95" s="728">
        <f>ROUND(CantidadesConsolidadas[[#This Row],[166646]]*$D95,0)</f>
        <v>0</v>
      </c>
      <c r="I95" s="728">
        <f>ROUND(CantidadesConsolidadas[[#This Row],[167491]]*$D95,0)</f>
        <v>0</v>
      </c>
      <c r="J95" s="728">
        <f>ROUND(CantidadesConsolidadas[[#This Row],[167266]]*$D95,0)</f>
        <v>0</v>
      </c>
      <c r="K95" s="728">
        <f>ROUND(CantidadesConsolidadas[[#This Row],[170896]]*$D95,0)</f>
        <v>0</v>
      </c>
      <c r="L95" s="728">
        <f>ROUND(CantidadesConsolidadas[[#This Row],[170897]]*$D95,0)</f>
        <v>0</v>
      </c>
      <c r="M95" s="728">
        <f>ROUND(CantidadesConsolidadas[[#This Row],[170898]]*$D95,0)</f>
        <v>0</v>
      </c>
      <c r="N95" s="728">
        <f>ROUND(CantidadesConsolidadas[[#This Row],[91064150]]*$D95,0)</f>
        <v>0</v>
      </c>
      <c r="O95" s="728">
        <f>ROUND(CantidadesConsolidadas[[#This Row],[168919]]*$D95,0)</f>
        <v>0</v>
      </c>
      <c r="P95" s="728">
        <f>ROUND(CantidadesConsolidadas[[#This Row],[168426]]*$D95,0)</f>
        <v>0</v>
      </c>
      <c r="Q95" s="728">
        <f>ROUND(CantidadesConsolidadas[[#This Row],[91020796]]*$D95,0)</f>
        <v>0</v>
      </c>
      <c r="R95" s="728">
        <f>ROUND(CantidadesConsolidadas[[#This Row],[176184]]*$D95,0)</f>
        <v>0</v>
      </c>
      <c r="S95" s="728">
        <f>ROUND(CantidadesConsolidadas[[#This Row],[167636]]*$D95,0)</f>
        <v>0</v>
      </c>
      <c r="T95" s="728">
        <f>ROUND(CantidadesConsolidadas[[#This Row],[176730]]*$D95,0)</f>
        <v>0</v>
      </c>
      <c r="U95" s="728">
        <f>ROUND(CantidadesConsolidadas[[#This Row],[173038]]*$D95,0)</f>
        <v>0</v>
      </c>
      <c r="V95" s="728">
        <f>ROUND(CantidadesConsolidadas[[#This Row],[170222]]*$D95,0)</f>
        <v>0</v>
      </c>
      <c r="W95" s="728">
        <f>ROUND(CantidadesConsolidadas[[#This Row],[170229]]*$D95,0)</f>
        <v>0</v>
      </c>
      <c r="X95" s="728">
        <f>ROUND(CantidadesConsolidadas[[#This Row],[170227]]*$D95,0)</f>
        <v>0</v>
      </c>
      <c r="Y95" s="728">
        <f>ROUND(CantidadesConsolidadas[[#This Row],[170226]]*$D95,0)</f>
        <v>0</v>
      </c>
      <c r="Z95" s="728">
        <f>ROUND(CantidadesConsolidadas[[#This Row],[171567]]*$D95,0)</f>
        <v>0</v>
      </c>
      <c r="AA95" s="728">
        <f>ROUND(CantidadesConsolidadas[[#This Row],[166632]]*$D95,0)</f>
        <v>0</v>
      </c>
      <c r="AB95" s="728">
        <f>ROUND(CantidadesConsolidadas[[#This Row],[170228]]*$D95,0)</f>
        <v>0</v>
      </c>
      <c r="AC95" s="728">
        <f>ROUND(CantidadesConsolidadas[[#This Row],[172926]]*$D95,0)</f>
        <v>0</v>
      </c>
      <c r="AD95" s="728">
        <f>ROUND(CantidadesConsolidadas[[#This Row],[171152]]*$D95,0)</f>
        <v>0</v>
      </c>
      <c r="AE95" s="728">
        <f>ROUND(CantidadesConsolidadas[[#This Row],[173058]]*$D95,0)</f>
        <v>0</v>
      </c>
      <c r="AF95" s="728">
        <f>ROUND(CantidadesConsolidadas[[#This Row],[174478]]*$D95,0)</f>
        <v>0</v>
      </c>
      <c r="AG95" s="728">
        <f>ROUND(CantidadesConsolidadas[[#This Row],[91010089]]*$D95,0)</f>
        <v>0</v>
      </c>
      <c r="AH95" s="728">
        <f>ROUND(CantidadesConsolidadas[[#This Row],[176122]]*$D95,0)</f>
        <v>0</v>
      </c>
      <c r="AI95" s="728">
        <f>ROUND(CantidadesConsolidadas[[#This Row],[168536]]*$D95,0)</f>
        <v>0</v>
      </c>
      <c r="AJ95" s="728">
        <f>ROUND(CantidadesConsolidadas[[#This Row],[166934]]*$D95,0)</f>
        <v>0</v>
      </c>
      <c r="AK95" s="728">
        <f>ROUND(CantidadesConsolidadas[[#This Row],[174353]]*$D95,0)</f>
        <v>0</v>
      </c>
      <c r="AL95" s="747">
        <f>ROUND(CantidadesConsolidadas[[#This Row],[52531]]*$D95,0)</f>
        <v>0</v>
      </c>
      <c r="AM95" s="746">
        <f>ROUND(CantidadesConsolidadas[[#This Row],[52456]]*$D95,0)</f>
        <v>1696156</v>
      </c>
      <c r="AN95" s="746">
        <f>ROUND(CantidadesConsolidadas[[#This Row],[92058103]]*$D95,0)</f>
        <v>476938</v>
      </c>
      <c r="AO95" s="746">
        <f>ROUND(CantidadesConsolidadas[[#This Row],[20011114]]*$D95,0)</f>
        <v>0</v>
      </c>
      <c r="AP95" s="746">
        <f>ROUND(CantidadesConsolidadas[[#This Row],[20013540]]*$D95,0)</f>
        <v>0</v>
      </c>
      <c r="AQ95" s="746">
        <f>ROUND(CantidadesConsolidadas[[#This Row],[55337]]*$D95,0)</f>
        <v>0</v>
      </c>
      <c r="AR95" s="746">
        <f>ROUND(CantidadesConsolidadas[[#This Row],[92087422]]*$D95,0)</f>
        <v>0</v>
      </c>
      <c r="AS95" s="746">
        <f>ROUND(CantidadesConsolidadas[[#This Row],[55259]]*$D95,0)</f>
        <v>0</v>
      </c>
      <c r="AT95" s="746">
        <f>ROUND(CantidadesConsolidadas[[#This Row],[466904]]*$D95,0)</f>
        <v>0</v>
      </c>
      <c r="AU95" s="746">
        <f>ROUND(CantidadesConsolidadas[[#This Row],[48591]]*$D95,0)</f>
        <v>0</v>
      </c>
      <c r="AV95" s="746">
        <f>ROUND(CantidadesConsolidadas[[#This Row],[48590]]*$D95,0)</f>
        <v>0</v>
      </c>
      <c r="AW95" s="746">
        <f>ROUND(CantidadesConsolidadas[[#This Row],[48561]]*$D95,0)</f>
        <v>0</v>
      </c>
      <c r="AX95" s="746">
        <f>ROUND(CantidadesConsolidadas[[#This Row],[48560]]*$D95,0)</f>
        <v>0</v>
      </c>
      <c r="AY95" s="746">
        <f>ROUND(CantidadesConsolidadas[[#This Row],[48657]]*$D95,0)</f>
        <v>0</v>
      </c>
      <c r="AZ95" s="746">
        <f>ROUND(CantidadesConsolidadas[[#This Row],[48655]]*$D95,0)</f>
        <v>0</v>
      </c>
      <c r="BA95" s="806">
        <f>SUBTOTAL(9,CostoDirecto[[#This Row],[91013913]:[174353]])</f>
        <v>0</v>
      </c>
      <c r="BB95" s="806">
        <f>SUBTOTAL(9,CostoDirecto[[#This Row],[52531]:[48655]])</f>
        <v>2173094</v>
      </c>
    </row>
    <row r="96" spans="1:54" ht="57.6" x14ac:dyDescent="0.3">
      <c r="A96">
        <v>6471</v>
      </c>
      <c r="B96" s="511" t="str">
        <f>+_xlfn.XLOOKUP(CostoDirecto[[#This Row],[cod Idu]],APU_IDU[Código],APU_IDU[Nombre],"",0)</f>
        <v>SUBBASE GRANULAR PEATONAL SBG_PEA. (SUMINISTRO, EXTENDIDO  Y NIVELACIÓN MANUAL, HUMEDECIMIENTO MECÁNICO Y COMPACTACIÓN MECÁNICA CON VIBROCOMPACTADOR TÁNDEM PEQUEÑO, INCLUYE OPERARIO Y COMBUSTIBLE).</v>
      </c>
      <c r="C96" s="497" t="str">
        <f>+_xlfn.XLOOKUP(CostoDirecto[[#This Row],[cod Idu]],APU_IDU[Código],APU_IDU[UM],"",0)</f>
        <v>M3</v>
      </c>
      <c r="D96" s="521">
        <f>+_xlfn.XLOOKUP(CostoDirecto[[#This Row],[cod Idu]],APU_IDU[Código],APU_IDU[Valor],"",0)</f>
        <v>199033</v>
      </c>
      <c r="E96" s="728">
        <f>ROUND(CantidadesConsolidadas[[#This Row],[91013913]]*$D96,0)</f>
        <v>0</v>
      </c>
      <c r="F96" s="728">
        <f>ROUND(CantidadesConsolidadas[[#This Row],[472330]]*$D96,0)</f>
        <v>0</v>
      </c>
      <c r="G96" s="728">
        <f>ROUND(CantidadesConsolidadas[[#This Row],[167810]]*$D96,0)</f>
        <v>0</v>
      </c>
      <c r="H96" s="728">
        <f>ROUND(CantidadesConsolidadas[[#This Row],[166646]]*$D96,0)</f>
        <v>0</v>
      </c>
      <c r="I96" s="728">
        <f>ROUND(CantidadesConsolidadas[[#This Row],[167491]]*$D96,0)</f>
        <v>0</v>
      </c>
      <c r="J96" s="728">
        <f>ROUND(CantidadesConsolidadas[[#This Row],[167266]]*$D96,0)</f>
        <v>0</v>
      </c>
      <c r="K96" s="728">
        <f>ROUND(CantidadesConsolidadas[[#This Row],[170896]]*$D96,0)</f>
        <v>0</v>
      </c>
      <c r="L96" s="728">
        <f>ROUND(CantidadesConsolidadas[[#This Row],[170897]]*$D96,0)</f>
        <v>0</v>
      </c>
      <c r="M96" s="728">
        <f>ROUND(CantidadesConsolidadas[[#This Row],[170898]]*$D96,0)</f>
        <v>0</v>
      </c>
      <c r="N96" s="728">
        <f>ROUND(CantidadesConsolidadas[[#This Row],[91064150]]*$D96,0)</f>
        <v>0</v>
      </c>
      <c r="O96" s="728">
        <f>ROUND(CantidadesConsolidadas[[#This Row],[168919]]*$D96,0)</f>
        <v>0</v>
      </c>
      <c r="P96" s="728">
        <f>ROUND(CantidadesConsolidadas[[#This Row],[168426]]*$D96,0)</f>
        <v>0</v>
      </c>
      <c r="Q96" s="728">
        <f>ROUND(CantidadesConsolidadas[[#This Row],[91020796]]*$D96,0)</f>
        <v>0</v>
      </c>
      <c r="R96" s="728">
        <f>ROUND(CantidadesConsolidadas[[#This Row],[176184]]*$D96,0)</f>
        <v>0</v>
      </c>
      <c r="S96" s="728">
        <f>ROUND(CantidadesConsolidadas[[#This Row],[167636]]*$D96,0)</f>
        <v>0</v>
      </c>
      <c r="T96" s="728">
        <f>ROUND(CantidadesConsolidadas[[#This Row],[176730]]*$D96,0)</f>
        <v>0</v>
      </c>
      <c r="U96" s="728">
        <f>ROUND(CantidadesConsolidadas[[#This Row],[173038]]*$D96,0)</f>
        <v>0</v>
      </c>
      <c r="V96" s="728">
        <f>ROUND(CantidadesConsolidadas[[#This Row],[170222]]*$D96,0)</f>
        <v>0</v>
      </c>
      <c r="W96" s="728">
        <f>ROUND(CantidadesConsolidadas[[#This Row],[170229]]*$D96,0)</f>
        <v>0</v>
      </c>
      <c r="X96" s="728">
        <f>ROUND(CantidadesConsolidadas[[#This Row],[170227]]*$D96,0)</f>
        <v>0</v>
      </c>
      <c r="Y96" s="728">
        <f>ROUND(CantidadesConsolidadas[[#This Row],[170226]]*$D96,0)</f>
        <v>0</v>
      </c>
      <c r="Z96" s="728">
        <f>ROUND(CantidadesConsolidadas[[#This Row],[171567]]*$D96,0)</f>
        <v>0</v>
      </c>
      <c r="AA96" s="728">
        <f>ROUND(CantidadesConsolidadas[[#This Row],[166632]]*$D96,0)</f>
        <v>0</v>
      </c>
      <c r="AB96" s="728">
        <f>ROUND(CantidadesConsolidadas[[#This Row],[170228]]*$D96,0)</f>
        <v>0</v>
      </c>
      <c r="AC96" s="728">
        <f>ROUND(CantidadesConsolidadas[[#This Row],[172926]]*$D96,0)</f>
        <v>0</v>
      </c>
      <c r="AD96" s="728">
        <f>ROUND(CantidadesConsolidadas[[#This Row],[171152]]*$D96,0)</f>
        <v>0</v>
      </c>
      <c r="AE96" s="728">
        <f>ROUND(CantidadesConsolidadas[[#This Row],[173058]]*$D96,0)</f>
        <v>0</v>
      </c>
      <c r="AF96" s="728">
        <f>ROUND(CantidadesConsolidadas[[#This Row],[174478]]*$D96,0)</f>
        <v>0</v>
      </c>
      <c r="AG96" s="728">
        <f>ROUND(CantidadesConsolidadas[[#This Row],[91010089]]*$D96,0)</f>
        <v>0</v>
      </c>
      <c r="AH96" s="728">
        <f>ROUND(CantidadesConsolidadas[[#This Row],[176122]]*$D96,0)</f>
        <v>0</v>
      </c>
      <c r="AI96" s="728">
        <f>ROUND(CantidadesConsolidadas[[#This Row],[168536]]*$D96,0)</f>
        <v>0</v>
      </c>
      <c r="AJ96" s="728">
        <f>ROUND(CantidadesConsolidadas[[#This Row],[166934]]*$D96,0)</f>
        <v>0</v>
      </c>
      <c r="AK96" s="728">
        <f>ROUND(CantidadesConsolidadas[[#This Row],[174353]]*$D96,0)</f>
        <v>0</v>
      </c>
      <c r="AL96" s="747">
        <f>ROUND(CantidadesConsolidadas[[#This Row],[52531]]*$D96,0)</f>
        <v>4699169</v>
      </c>
      <c r="AM96" s="746">
        <f>ROUND(CantidadesConsolidadas[[#This Row],[52456]]*$D96,0)</f>
        <v>0</v>
      </c>
      <c r="AN96" s="746">
        <f>ROUND(CantidadesConsolidadas[[#This Row],[92058103]]*$D96,0)</f>
        <v>925503</v>
      </c>
      <c r="AO96" s="746">
        <f>ROUND(CantidadesConsolidadas[[#This Row],[20011114]]*$D96,0)</f>
        <v>4637469</v>
      </c>
      <c r="AP96" s="746">
        <f>ROUND(CantidadesConsolidadas[[#This Row],[20013540]]*$D96,0)</f>
        <v>0</v>
      </c>
      <c r="AQ96" s="746">
        <f>ROUND(CantidadesConsolidadas[[#This Row],[55337]]*$D96,0)</f>
        <v>5202723</v>
      </c>
      <c r="AR96" s="746">
        <f>ROUND(CantidadesConsolidadas[[#This Row],[92087422]]*$D96,0)</f>
        <v>7979233</v>
      </c>
      <c r="AS96" s="746">
        <f>ROUND(CantidadesConsolidadas[[#This Row],[55259]]*$D96,0)</f>
        <v>10749772</v>
      </c>
      <c r="AT96" s="746">
        <f>ROUND(CantidadesConsolidadas[[#This Row],[466904]]*$D96,0)</f>
        <v>567244</v>
      </c>
      <c r="AU96" s="746">
        <f>ROUND(CantidadesConsolidadas[[#This Row],[48591]]*$D96,0)</f>
        <v>12465437</v>
      </c>
      <c r="AV96" s="746">
        <f>ROUND(CantidadesConsolidadas[[#This Row],[48590]]*$D96,0)</f>
        <v>12849570</v>
      </c>
      <c r="AW96" s="746">
        <f>ROUND(CantidadesConsolidadas[[#This Row],[48561]]*$D96,0)</f>
        <v>13177975</v>
      </c>
      <c r="AX96" s="746">
        <f>ROUND(CantidadesConsolidadas[[#This Row],[48560]]*$D96,0)</f>
        <v>13287443</v>
      </c>
      <c r="AY96" s="746">
        <f>ROUND(CantidadesConsolidadas[[#This Row],[48657]]*$D96,0)</f>
        <v>6462602</v>
      </c>
      <c r="AZ96" s="746">
        <f>ROUND(CantidadesConsolidadas[[#This Row],[48655]]*$D96,0)</f>
        <v>2020185</v>
      </c>
      <c r="BA96" s="806">
        <f>SUBTOTAL(9,CostoDirecto[[#This Row],[91013913]:[174353]])</f>
        <v>0</v>
      </c>
      <c r="BB96" s="806">
        <f>SUBTOTAL(9,CostoDirecto[[#This Row],[52531]:[48655]])</f>
        <v>95024325</v>
      </c>
    </row>
    <row r="97" spans="1:54" ht="43.2" x14ac:dyDescent="0.3">
      <c r="A97">
        <v>8228</v>
      </c>
      <c r="B97" s="511" t="str">
        <f>+_xlfn.XLOOKUP(CostoDirecto[[#This Row],[cod Idu]],APU_IDU[Código],APU_IDU[Nombre],"",0)</f>
        <v>CENEFA LINEAL EN LOSETA PREFABRICADA TÁCTIL ALERTA A57 / A58 ANCHO 0.20M COLOR AMARILLO. (SUMINISTRO E INSTALACIÓN. INCLUYE BASE EN ARENA DE NIVELACIÓN E= 4CM Y ARENA DE SELLO).</v>
      </c>
      <c r="C97" s="497" t="str">
        <f>+_xlfn.XLOOKUP(CostoDirecto[[#This Row],[cod Idu]],APU_IDU[Código],APU_IDU[UM],"",0)</f>
        <v>ML</v>
      </c>
      <c r="D97" s="521">
        <f>+_xlfn.XLOOKUP(CostoDirecto[[#This Row],[cod Idu]],APU_IDU[Código],APU_IDU[Valor],"",0)</f>
        <v>34645</v>
      </c>
      <c r="E97" s="728">
        <f>ROUND(CantidadesConsolidadas[[#This Row],[91013913]]*$D97,0)</f>
        <v>0</v>
      </c>
      <c r="F97" s="728">
        <f>ROUND(CantidadesConsolidadas[[#This Row],[472330]]*$D97,0)</f>
        <v>0</v>
      </c>
      <c r="G97" s="728">
        <f>ROUND(CantidadesConsolidadas[[#This Row],[167810]]*$D97,0)</f>
        <v>0</v>
      </c>
      <c r="H97" s="728">
        <f>ROUND(CantidadesConsolidadas[[#This Row],[166646]]*$D97,0)</f>
        <v>0</v>
      </c>
      <c r="I97" s="728">
        <f>ROUND(CantidadesConsolidadas[[#This Row],[167491]]*$D97,0)</f>
        <v>0</v>
      </c>
      <c r="J97" s="728">
        <f>ROUND(CantidadesConsolidadas[[#This Row],[167266]]*$D97,0)</f>
        <v>0</v>
      </c>
      <c r="K97" s="728">
        <f>ROUND(CantidadesConsolidadas[[#This Row],[170896]]*$D97,0)</f>
        <v>0</v>
      </c>
      <c r="L97" s="728">
        <f>ROUND(CantidadesConsolidadas[[#This Row],[170897]]*$D97,0)</f>
        <v>0</v>
      </c>
      <c r="M97" s="728">
        <f>ROUND(CantidadesConsolidadas[[#This Row],[170898]]*$D97,0)</f>
        <v>0</v>
      </c>
      <c r="N97" s="728">
        <f>ROUND(CantidadesConsolidadas[[#This Row],[91064150]]*$D97,0)</f>
        <v>0</v>
      </c>
      <c r="O97" s="728">
        <f>ROUND(CantidadesConsolidadas[[#This Row],[168919]]*$D97,0)</f>
        <v>0</v>
      </c>
      <c r="P97" s="728">
        <f>ROUND(CantidadesConsolidadas[[#This Row],[168426]]*$D97,0)</f>
        <v>0</v>
      </c>
      <c r="Q97" s="728">
        <f>ROUND(CantidadesConsolidadas[[#This Row],[91020796]]*$D97,0)</f>
        <v>0</v>
      </c>
      <c r="R97" s="728">
        <f>ROUND(CantidadesConsolidadas[[#This Row],[176184]]*$D97,0)</f>
        <v>0</v>
      </c>
      <c r="S97" s="728">
        <f>ROUND(CantidadesConsolidadas[[#This Row],[167636]]*$D97,0)</f>
        <v>0</v>
      </c>
      <c r="T97" s="728">
        <f>ROUND(CantidadesConsolidadas[[#This Row],[176730]]*$D97,0)</f>
        <v>0</v>
      </c>
      <c r="U97" s="728">
        <f>ROUND(CantidadesConsolidadas[[#This Row],[173038]]*$D97,0)</f>
        <v>0</v>
      </c>
      <c r="V97" s="728">
        <f>ROUND(CantidadesConsolidadas[[#This Row],[170222]]*$D97,0)</f>
        <v>0</v>
      </c>
      <c r="W97" s="728">
        <f>ROUND(CantidadesConsolidadas[[#This Row],[170229]]*$D97,0)</f>
        <v>0</v>
      </c>
      <c r="X97" s="728">
        <f>ROUND(CantidadesConsolidadas[[#This Row],[170227]]*$D97,0)</f>
        <v>0</v>
      </c>
      <c r="Y97" s="728">
        <f>ROUND(CantidadesConsolidadas[[#This Row],[170226]]*$D97,0)</f>
        <v>0</v>
      </c>
      <c r="Z97" s="728">
        <f>ROUND(CantidadesConsolidadas[[#This Row],[171567]]*$D97,0)</f>
        <v>0</v>
      </c>
      <c r="AA97" s="728">
        <f>ROUND(CantidadesConsolidadas[[#This Row],[166632]]*$D97,0)</f>
        <v>0</v>
      </c>
      <c r="AB97" s="728">
        <f>ROUND(CantidadesConsolidadas[[#This Row],[170228]]*$D97,0)</f>
        <v>0</v>
      </c>
      <c r="AC97" s="728">
        <f>ROUND(CantidadesConsolidadas[[#This Row],[172926]]*$D97,0)</f>
        <v>0</v>
      </c>
      <c r="AD97" s="728">
        <f>ROUND(CantidadesConsolidadas[[#This Row],[171152]]*$D97,0)</f>
        <v>0</v>
      </c>
      <c r="AE97" s="728">
        <f>ROUND(CantidadesConsolidadas[[#This Row],[173058]]*$D97,0)</f>
        <v>0</v>
      </c>
      <c r="AF97" s="728">
        <f>ROUND(CantidadesConsolidadas[[#This Row],[174478]]*$D97,0)</f>
        <v>0</v>
      </c>
      <c r="AG97" s="728">
        <f>ROUND(CantidadesConsolidadas[[#This Row],[91010089]]*$D97,0)</f>
        <v>0</v>
      </c>
      <c r="AH97" s="728">
        <f>ROUND(CantidadesConsolidadas[[#This Row],[176122]]*$D97,0)</f>
        <v>0</v>
      </c>
      <c r="AI97" s="728">
        <f>ROUND(CantidadesConsolidadas[[#This Row],[168536]]*$D97,0)</f>
        <v>0</v>
      </c>
      <c r="AJ97" s="728">
        <f>ROUND(CantidadesConsolidadas[[#This Row],[166934]]*$D97,0)</f>
        <v>0</v>
      </c>
      <c r="AK97" s="728">
        <f>ROUND(CantidadesConsolidadas[[#This Row],[174353]]*$D97,0)</f>
        <v>0</v>
      </c>
      <c r="AL97" s="747">
        <f>ROUND(CantidadesConsolidadas[[#This Row],[52531]]*$D97,0)</f>
        <v>0</v>
      </c>
      <c r="AM97" s="746">
        <f>ROUND(CantidadesConsolidadas[[#This Row],[52456]]*$D97,0)</f>
        <v>0</v>
      </c>
      <c r="AN97" s="746">
        <f>ROUND(CantidadesConsolidadas[[#This Row],[92058103]]*$D97,0)</f>
        <v>693246</v>
      </c>
      <c r="AO97" s="746">
        <f>ROUND(CantidadesConsolidadas[[#This Row],[20011114]]*$D97,0)</f>
        <v>958627</v>
      </c>
      <c r="AP97" s="746">
        <f>ROUND(CantidadesConsolidadas[[#This Row],[20013540]]*$D97,0)</f>
        <v>439992</v>
      </c>
      <c r="AQ97" s="746">
        <f>ROUND(CantidadesConsolidadas[[#This Row],[55337]]*$D97,0)</f>
        <v>1449893</v>
      </c>
      <c r="AR97" s="746">
        <f>ROUND(CantidadesConsolidadas[[#This Row],[92087422]]*$D97,0)</f>
        <v>3003029</v>
      </c>
      <c r="AS97" s="746">
        <f>ROUND(CantidadesConsolidadas[[#This Row],[55259]]*$D97,0)</f>
        <v>2706121</v>
      </c>
      <c r="AT97" s="746">
        <f>ROUND(CantidadesConsolidadas[[#This Row],[466904]]*$D97,0)</f>
        <v>277160</v>
      </c>
      <c r="AU97" s="746">
        <f>ROUND(CantidadesConsolidadas[[#This Row],[48591]]*$D97,0)</f>
        <v>5966215</v>
      </c>
      <c r="AV97" s="746">
        <f>ROUND(CantidadesConsolidadas[[#This Row],[48590]]*$D97,0)</f>
        <v>0</v>
      </c>
      <c r="AW97" s="746">
        <f>ROUND(CantidadesConsolidadas[[#This Row],[48561]]*$D97,0)</f>
        <v>0</v>
      </c>
      <c r="AX97" s="746">
        <f>ROUND(CantidadesConsolidadas[[#This Row],[48560]]*$D97,0)</f>
        <v>0</v>
      </c>
      <c r="AY97" s="746">
        <f>ROUND(CantidadesConsolidadas[[#This Row],[48657]]*$D97,0)</f>
        <v>0</v>
      </c>
      <c r="AZ97" s="746">
        <f>ROUND(CantidadesConsolidadas[[#This Row],[48655]]*$D97,0)</f>
        <v>0</v>
      </c>
      <c r="BA97" s="806">
        <f>SUBTOTAL(9,CostoDirecto[[#This Row],[91013913]:[174353]])</f>
        <v>0</v>
      </c>
      <c r="BB97" s="806">
        <f>SUBTOTAL(9,CostoDirecto[[#This Row],[52531]:[48655]])</f>
        <v>15494283</v>
      </c>
    </row>
    <row r="98" spans="1:54" ht="43.2" x14ac:dyDescent="0.3">
      <c r="A98">
        <v>6102</v>
      </c>
      <c r="B98" s="511" t="str">
        <f>+_xlfn.XLOOKUP(CostoDirecto[[#This Row],[cod Idu]],APU_IDU[Código],APU_IDU[Nombre],"",0)</f>
        <v>CENEFA LINEAL EN LOSETA PREFABRICADA TÁCTIL ALERTA Y GUÍA A55 / A56 ANCHO 0.40m (SUMINISTRO E INSTALACIÓN. INCLUYE BASE EN ARENA DE NIVELACIÓN e= 4cm Y ARENA DE SELLO).</v>
      </c>
      <c r="C98" s="497" t="str">
        <f>+_xlfn.XLOOKUP(CostoDirecto[[#This Row],[cod Idu]],APU_IDU[Código],APU_IDU[UM],"",0)</f>
        <v>ML</v>
      </c>
      <c r="D98" s="521">
        <f>+_xlfn.XLOOKUP(CostoDirecto[[#This Row],[cod Idu]],APU_IDU[Código],APU_IDU[Valor],"",0)</f>
        <v>49918</v>
      </c>
      <c r="E98" s="728">
        <f>ROUND(CantidadesConsolidadas[[#This Row],[91013913]]*$D98,0)</f>
        <v>0</v>
      </c>
      <c r="F98" s="728">
        <f>ROUND(CantidadesConsolidadas[[#This Row],[472330]]*$D98,0)</f>
        <v>0</v>
      </c>
      <c r="G98" s="728">
        <f>ROUND(CantidadesConsolidadas[[#This Row],[167810]]*$D98,0)</f>
        <v>0</v>
      </c>
      <c r="H98" s="728">
        <f>ROUND(CantidadesConsolidadas[[#This Row],[166646]]*$D98,0)</f>
        <v>0</v>
      </c>
      <c r="I98" s="728">
        <f>ROUND(CantidadesConsolidadas[[#This Row],[167491]]*$D98,0)</f>
        <v>0</v>
      </c>
      <c r="J98" s="728">
        <f>ROUND(CantidadesConsolidadas[[#This Row],[167266]]*$D98,0)</f>
        <v>0</v>
      </c>
      <c r="K98" s="728">
        <f>ROUND(CantidadesConsolidadas[[#This Row],[170896]]*$D98,0)</f>
        <v>0</v>
      </c>
      <c r="L98" s="728">
        <f>ROUND(CantidadesConsolidadas[[#This Row],[170897]]*$D98,0)</f>
        <v>0</v>
      </c>
      <c r="M98" s="728">
        <f>ROUND(CantidadesConsolidadas[[#This Row],[170898]]*$D98,0)</f>
        <v>0</v>
      </c>
      <c r="N98" s="728">
        <f>ROUND(CantidadesConsolidadas[[#This Row],[91064150]]*$D98,0)</f>
        <v>0</v>
      </c>
      <c r="O98" s="728">
        <f>ROUND(CantidadesConsolidadas[[#This Row],[168919]]*$D98,0)</f>
        <v>0</v>
      </c>
      <c r="P98" s="728">
        <f>ROUND(CantidadesConsolidadas[[#This Row],[168426]]*$D98,0)</f>
        <v>0</v>
      </c>
      <c r="Q98" s="728">
        <f>ROUND(CantidadesConsolidadas[[#This Row],[91020796]]*$D98,0)</f>
        <v>0</v>
      </c>
      <c r="R98" s="728">
        <f>ROUND(CantidadesConsolidadas[[#This Row],[176184]]*$D98,0)</f>
        <v>0</v>
      </c>
      <c r="S98" s="728">
        <f>ROUND(CantidadesConsolidadas[[#This Row],[167636]]*$D98,0)</f>
        <v>0</v>
      </c>
      <c r="T98" s="728">
        <f>ROUND(CantidadesConsolidadas[[#This Row],[176730]]*$D98,0)</f>
        <v>0</v>
      </c>
      <c r="U98" s="728">
        <f>ROUND(CantidadesConsolidadas[[#This Row],[173038]]*$D98,0)</f>
        <v>0</v>
      </c>
      <c r="V98" s="728">
        <f>ROUND(CantidadesConsolidadas[[#This Row],[170222]]*$D98,0)</f>
        <v>0</v>
      </c>
      <c r="W98" s="728">
        <f>ROUND(CantidadesConsolidadas[[#This Row],[170229]]*$D98,0)</f>
        <v>0</v>
      </c>
      <c r="X98" s="728">
        <f>ROUND(CantidadesConsolidadas[[#This Row],[170227]]*$D98,0)</f>
        <v>0</v>
      </c>
      <c r="Y98" s="728">
        <f>ROUND(CantidadesConsolidadas[[#This Row],[170226]]*$D98,0)</f>
        <v>0</v>
      </c>
      <c r="Z98" s="728">
        <f>ROUND(CantidadesConsolidadas[[#This Row],[171567]]*$D98,0)</f>
        <v>0</v>
      </c>
      <c r="AA98" s="728">
        <f>ROUND(CantidadesConsolidadas[[#This Row],[166632]]*$D98,0)</f>
        <v>0</v>
      </c>
      <c r="AB98" s="728">
        <f>ROUND(CantidadesConsolidadas[[#This Row],[170228]]*$D98,0)</f>
        <v>0</v>
      </c>
      <c r="AC98" s="728">
        <f>ROUND(CantidadesConsolidadas[[#This Row],[172926]]*$D98,0)</f>
        <v>0</v>
      </c>
      <c r="AD98" s="728">
        <f>ROUND(CantidadesConsolidadas[[#This Row],[171152]]*$D98,0)</f>
        <v>0</v>
      </c>
      <c r="AE98" s="728">
        <f>ROUND(CantidadesConsolidadas[[#This Row],[173058]]*$D98,0)</f>
        <v>0</v>
      </c>
      <c r="AF98" s="728">
        <f>ROUND(CantidadesConsolidadas[[#This Row],[174478]]*$D98,0)</f>
        <v>0</v>
      </c>
      <c r="AG98" s="728">
        <f>ROUND(CantidadesConsolidadas[[#This Row],[91010089]]*$D98,0)</f>
        <v>0</v>
      </c>
      <c r="AH98" s="728">
        <f>ROUND(CantidadesConsolidadas[[#This Row],[176122]]*$D98,0)</f>
        <v>0</v>
      </c>
      <c r="AI98" s="728">
        <f>ROUND(CantidadesConsolidadas[[#This Row],[168536]]*$D98,0)</f>
        <v>0</v>
      </c>
      <c r="AJ98" s="728">
        <f>ROUND(CantidadesConsolidadas[[#This Row],[166934]]*$D98,0)</f>
        <v>0</v>
      </c>
      <c r="AK98" s="728">
        <f>ROUND(CantidadesConsolidadas[[#This Row],[174353]]*$D98,0)</f>
        <v>0</v>
      </c>
      <c r="AL98" s="747">
        <f>ROUND(CantidadesConsolidadas[[#This Row],[52531]]*$D98,0)</f>
        <v>0</v>
      </c>
      <c r="AM98" s="746">
        <f>ROUND(CantidadesConsolidadas[[#This Row],[52456]]*$D98,0)</f>
        <v>0</v>
      </c>
      <c r="AN98" s="746">
        <f>ROUND(CantidadesConsolidadas[[#This Row],[92058103]]*$D98,0)</f>
        <v>0</v>
      </c>
      <c r="AO98" s="746">
        <f>ROUND(CantidadesConsolidadas[[#This Row],[20011114]]*$D98,0)</f>
        <v>0</v>
      </c>
      <c r="AP98" s="746">
        <f>ROUND(CantidadesConsolidadas[[#This Row],[20013540]]*$D98,0)</f>
        <v>0</v>
      </c>
      <c r="AQ98" s="746">
        <f>ROUND(CantidadesConsolidadas[[#This Row],[55337]]*$D98,0)</f>
        <v>0</v>
      </c>
      <c r="AR98" s="746">
        <f>ROUND(CantidadesConsolidadas[[#This Row],[92087422]]*$D98,0)</f>
        <v>0</v>
      </c>
      <c r="AS98" s="746">
        <f>ROUND(CantidadesConsolidadas[[#This Row],[55259]]*$D98,0)</f>
        <v>0</v>
      </c>
      <c r="AT98" s="746">
        <f>ROUND(CantidadesConsolidadas[[#This Row],[466904]]*$D98,0)</f>
        <v>0</v>
      </c>
      <c r="AU98" s="746">
        <f>ROUND(CantidadesConsolidadas[[#This Row],[48591]]*$D98,0)</f>
        <v>0</v>
      </c>
      <c r="AV98" s="746">
        <f>ROUND(CantidadesConsolidadas[[#This Row],[48590]]*$D98,0)</f>
        <v>8579906</v>
      </c>
      <c r="AW98" s="746">
        <f>ROUND(CantidadesConsolidadas[[#This Row],[48561]]*$D98,0)</f>
        <v>8818514</v>
      </c>
      <c r="AX98" s="746">
        <f>ROUND(CantidadesConsolidadas[[#This Row],[48560]]*$D98,0)</f>
        <v>8878915</v>
      </c>
      <c r="AY98" s="746">
        <f>ROUND(CantidadesConsolidadas[[#This Row],[48657]]*$D98,0)</f>
        <v>1754119</v>
      </c>
      <c r="AZ98" s="746">
        <f>ROUND(CantidadesConsolidadas[[#This Row],[48655]]*$D98,0)</f>
        <v>1985239</v>
      </c>
      <c r="BA98" s="806">
        <f>SUBTOTAL(9,CostoDirecto[[#This Row],[91013913]:[174353]])</f>
        <v>0</v>
      </c>
      <c r="BB98" s="806">
        <f>SUBTOTAL(9,CostoDirecto[[#This Row],[52531]:[48655]])</f>
        <v>30016693</v>
      </c>
    </row>
    <row r="99" spans="1:54" ht="28.8" x14ac:dyDescent="0.3">
      <c r="A99">
        <v>6422</v>
      </c>
      <c r="B99" s="511" t="str">
        <f>+_xlfn.XLOOKUP(CostoDirecto[[#This Row],[cod Idu]],APU_IDU[Código],APU_IDU[Nombre],"",0)</f>
        <v>REJILLA PREFABRICADA EN CONCRETO 0,4M X 0,4M. (INCLUYE SUMINISTRO Y COLOCACIÓN, MORTERO DE 2000 PSI Y MANO DE OBRA)</v>
      </c>
      <c r="C99" s="497" t="str">
        <f>+_xlfn.XLOOKUP(CostoDirecto[[#This Row],[cod Idu]],APU_IDU[Código],APU_IDU[UM],"",0)</f>
        <v>UN</v>
      </c>
      <c r="D99" s="521">
        <f>+_xlfn.XLOOKUP(CostoDirecto[[#This Row],[cod Idu]],APU_IDU[Código],APU_IDU[Valor],"",0)</f>
        <v>96916</v>
      </c>
      <c r="E99" s="728">
        <f>ROUND(CantidadesConsolidadas[[#This Row],[91013913]]*$D99,0)</f>
        <v>0</v>
      </c>
      <c r="F99" s="728">
        <f>ROUND(CantidadesConsolidadas[[#This Row],[472330]]*$D99,0)</f>
        <v>0</v>
      </c>
      <c r="G99" s="728">
        <f>ROUND(CantidadesConsolidadas[[#This Row],[167810]]*$D99,0)</f>
        <v>0</v>
      </c>
      <c r="H99" s="728">
        <f>ROUND(CantidadesConsolidadas[[#This Row],[166646]]*$D99,0)</f>
        <v>0</v>
      </c>
      <c r="I99" s="728">
        <f>ROUND(CantidadesConsolidadas[[#This Row],[167491]]*$D99,0)</f>
        <v>0</v>
      </c>
      <c r="J99" s="728">
        <f>ROUND(CantidadesConsolidadas[[#This Row],[167266]]*$D99,0)</f>
        <v>0</v>
      </c>
      <c r="K99" s="728">
        <f>ROUND(CantidadesConsolidadas[[#This Row],[170896]]*$D99,0)</f>
        <v>0</v>
      </c>
      <c r="L99" s="728">
        <f>ROUND(CantidadesConsolidadas[[#This Row],[170897]]*$D99,0)</f>
        <v>0</v>
      </c>
      <c r="M99" s="728">
        <f>ROUND(CantidadesConsolidadas[[#This Row],[170898]]*$D99,0)</f>
        <v>0</v>
      </c>
      <c r="N99" s="728">
        <f>ROUND(CantidadesConsolidadas[[#This Row],[91064150]]*$D99,0)</f>
        <v>0</v>
      </c>
      <c r="O99" s="728">
        <f>ROUND(CantidadesConsolidadas[[#This Row],[168919]]*$D99,0)</f>
        <v>0</v>
      </c>
      <c r="P99" s="728">
        <f>ROUND(CantidadesConsolidadas[[#This Row],[168426]]*$D99,0)</f>
        <v>0</v>
      </c>
      <c r="Q99" s="728">
        <f>ROUND(CantidadesConsolidadas[[#This Row],[91020796]]*$D99,0)</f>
        <v>0</v>
      </c>
      <c r="R99" s="728">
        <f>ROUND(CantidadesConsolidadas[[#This Row],[176184]]*$D99,0)</f>
        <v>0</v>
      </c>
      <c r="S99" s="728">
        <f>ROUND(CantidadesConsolidadas[[#This Row],[167636]]*$D99,0)</f>
        <v>0</v>
      </c>
      <c r="T99" s="728">
        <f>ROUND(CantidadesConsolidadas[[#This Row],[176730]]*$D99,0)</f>
        <v>0</v>
      </c>
      <c r="U99" s="728">
        <f>ROUND(CantidadesConsolidadas[[#This Row],[173038]]*$D99,0)</f>
        <v>0</v>
      </c>
      <c r="V99" s="728">
        <f>ROUND(CantidadesConsolidadas[[#This Row],[170222]]*$D99,0)</f>
        <v>0</v>
      </c>
      <c r="W99" s="728">
        <f>ROUND(CantidadesConsolidadas[[#This Row],[170229]]*$D99,0)</f>
        <v>0</v>
      </c>
      <c r="X99" s="728">
        <f>ROUND(CantidadesConsolidadas[[#This Row],[170227]]*$D99,0)</f>
        <v>0</v>
      </c>
      <c r="Y99" s="728">
        <f>ROUND(CantidadesConsolidadas[[#This Row],[170226]]*$D99,0)</f>
        <v>0</v>
      </c>
      <c r="Z99" s="728">
        <f>ROUND(CantidadesConsolidadas[[#This Row],[171567]]*$D99,0)</f>
        <v>0</v>
      </c>
      <c r="AA99" s="728">
        <f>ROUND(CantidadesConsolidadas[[#This Row],[166632]]*$D99,0)</f>
        <v>0</v>
      </c>
      <c r="AB99" s="728">
        <f>ROUND(CantidadesConsolidadas[[#This Row],[170228]]*$D99,0)</f>
        <v>0</v>
      </c>
      <c r="AC99" s="728">
        <f>ROUND(CantidadesConsolidadas[[#This Row],[172926]]*$D99,0)</f>
        <v>0</v>
      </c>
      <c r="AD99" s="728">
        <f>ROUND(CantidadesConsolidadas[[#This Row],[171152]]*$D99,0)</f>
        <v>0</v>
      </c>
      <c r="AE99" s="728">
        <f>ROUND(CantidadesConsolidadas[[#This Row],[173058]]*$D99,0)</f>
        <v>0</v>
      </c>
      <c r="AF99" s="728">
        <f>ROUND(CantidadesConsolidadas[[#This Row],[174478]]*$D99,0)</f>
        <v>0</v>
      </c>
      <c r="AG99" s="728">
        <f>ROUND(CantidadesConsolidadas[[#This Row],[91010089]]*$D99,0)</f>
        <v>0</v>
      </c>
      <c r="AH99" s="728">
        <f>ROUND(CantidadesConsolidadas[[#This Row],[176122]]*$D99,0)</f>
        <v>0</v>
      </c>
      <c r="AI99" s="728">
        <f>ROUND(CantidadesConsolidadas[[#This Row],[168536]]*$D99,0)</f>
        <v>0</v>
      </c>
      <c r="AJ99" s="728">
        <f>ROUND(CantidadesConsolidadas[[#This Row],[166934]]*$D99,0)</f>
        <v>0</v>
      </c>
      <c r="AK99" s="728">
        <f>ROUND(CantidadesConsolidadas[[#This Row],[174353]]*$D99,0)</f>
        <v>0</v>
      </c>
      <c r="AL99" s="747">
        <f>ROUND(CantidadesConsolidadas[[#This Row],[52531]]*$D99,0)</f>
        <v>0</v>
      </c>
      <c r="AM99" s="746">
        <f>ROUND(CantidadesConsolidadas[[#This Row],[52456]]*$D99,0)</f>
        <v>0</v>
      </c>
      <c r="AN99" s="746">
        <f>ROUND(CantidadesConsolidadas[[#This Row],[92058103]]*$D99,0)</f>
        <v>96916</v>
      </c>
      <c r="AO99" s="746">
        <f>ROUND(CantidadesConsolidadas[[#This Row],[20011114]]*$D99,0)</f>
        <v>96916</v>
      </c>
      <c r="AP99" s="746">
        <f>ROUND(CantidadesConsolidadas[[#This Row],[20013540]]*$D99,0)</f>
        <v>96916</v>
      </c>
      <c r="AQ99" s="746">
        <f>ROUND(CantidadesConsolidadas[[#This Row],[55337]]*$D99,0)</f>
        <v>96916</v>
      </c>
      <c r="AR99" s="746">
        <f>ROUND(CantidadesConsolidadas[[#This Row],[92087422]]*$D99,0)</f>
        <v>96916</v>
      </c>
      <c r="AS99" s="746">
        <f>ROUND(CantidadesConsolidadas[[#This Row],[55259]]*$D99,0)</f>
        <v>96916</v>
      </c>
      <c r="AT99" s="746">
        <f>ROUND(CantidadesConsolidadas[[#This Row],[466904]]*$D99,0)</f>
        <v>96916</v>
      </c>
      <c r="AU99" s="746">
        <f>ROUND(CantidadesConsolidadas[[#This Row],[48591]]*$D99,0)</f>
        <v>96916</v>
      </c>
      <c r="AV99" s="746">
        <f>ROUND(CantidadesConsolidadas[[#This Row],[48590]]*$D99,0)</f>
        <v>96916</v>
      </c>
      <c r="AW99" s="746">
        <f>ROUND(CantidadesConsolidadas[[#This Row],[48561]]*$D99,0)</f>
        <v>96916</v>
      </c>
      <c r="AX99" s="746">
        <f>ROUND(CantidadesConsolidadas[[#This Row],[48560]]*$D99,0)</f>
        <v>96916</v>
      </c>
      <c r="AY99" s="746">
        <f>ROUND(CantidadesConsolidadas[[#This Row],[48657]]*$D99,0)</f>
        <v>0</v>
      </c>
      <c r="AZ99" s="746">
        <f>ROUND(CantidadesConsolidadas[[#This Row],[48655]]*$D99,0)</f>
        <v>0</v>
      </c>
      <c r="BA99" s="806">
        <f>SUBTOTAL(9,CostoDirecto[[#This Row],[91013913]:[174353]])</f>
        <v>0</v>
      </c>
      <c r="BB99" s="806">
        <f>SUBTOTAL(9,CostoDirecto[[#This Row],[52531]:[48655]])</f>
        <v>1066076</v>
      </c>
    </row>
    <row r="100" spans="1:54" ht="28.8" x14ac:dyDescent="0.3">
      <c r="A100">
        <v>4751</v>
      </c>
      <c r="B100" s="511" t="str">
        <f>+_xlfn.XLOOKUP(CostoDirecto[[#This Row],[cod Idu]],APU_IDU[Código],APU_IDU[Nombre],"",0)</f>
        <v>FRANJA DE AJUSTE EN CONCRETO 3000 PSI E= 10 CM ANCHO ENTRE 12-20CM</v>
      </c>
      <c r="C100" s="497" t="str">
        <f>+_xlfn.XLOOKUP(CostoDirecto[[#This Row],[cod Idu]],APU_IDU[Código],APU_IDU[UM],"",0)</f>
        <v>ML</v>
      </c>
      <c r="D100" s="521">
        <f>+_xlfn.XLOOKUP(CostoDirecto[[#This Row],[cod Idu]],APU_IDU[Código],APU_IDU[Valor],"",0)</f>
        <v>16528</v>
      </c>
      <c r="E100" s="728">
        <f>ROUND(CantidadesConsolidadas[[#This Row],[91013913]]*$D100,0)</f>
        <v>0</v>
      </c>
      <c r="F100" s="728">
        <f>ROUND(CantidadesConsolidadas[[#This Row],[472330]]*$D100,0)</f>
        <v>0</v>
      </c>
      <c r="G100" s="728">
        <f>ROUND(CantidadesConsolidadas[[#This Row],[167810]]*$D100,0)</f>
        <v>0</v>
      </c>
      <c r="H100" s="728">
        <f>ROUND(CantidadesConsolidadas[[#This Row],[166646]]*$D100,0)</f>
        <v>0</v>
      </c>
      <c r="I100" s="728">
        <f>ROUND(CantidadesConsolidadas[[#This Row],[167491]]*$D100,0)</f>
        <v>0</v>
      </c>
      <c r="J100" s="728">
        <f>ROUND(CantidadesConsolidadas[[#This Row],[167266]]*$D100,0)</f>
        <v>0</v>
      </c>
      <c r="K100" s="728">
        <f>ROUND(CantidadesConsolidadas[[#This Row],[170896]]*$D100,0)</f>
        <v>0</v>
      </c>
      <c r="L100" s="728">
        <f>ROUND(CantidadesConsolidadas[[#This Row],[170897]]*$D100,0)</f>
        <v>0</v>
      </c>
      <c r="M100" s="728">
        <f>ROUND(CantidadesConsolidadas[[#This Row],[170898]]*$D100,0)</f>
        <v>0</v>
      </c>
      <c r="N100" s="728">
        <f>ROUND(CantidadesConsolidadas[[#This Row],[91064150]]*$D100,0)</f>
        <v>0</v>
      </c>
      <c r="O100" s="728">
        <f>ROUND(CantidadesConsolidadas[[#This Row],[168919]]*$D100,0)</f>
        <v>0</v>
      </c>
      <c r="P100" s="728">
        <f>ROUND(CantidadesConsolidadas[[#This Row],[168426]]*$D100,0)</f>
        <v>0</v>
      </c>
      <c r="Q100" s="728">
        <f>ROUND(CantidadesConsolidadas[[#This Row],[91020796]]*$D100,0)</f>
        <v>0</v>
      </c>
      <c r="R100" s="728">
        <f>ROUND(CantidadesConsolidadas[[#This Row],[176184]]*$D100,0)</f>
        <v>0</v>
      </c>
      <c r="S100" s="728">
        <f>ROUND(CantidadesConsolidadas[[#This Row],[167636]]*$D100,0)</f>
        <v>0</v>
      </c>
      <c r="T100" s="728">
        <f>ROUND(CantidadesConsolidadas[[#This Row],[176730]]*$D100,0)</f>
        <v>0</v>
      </c>
      <c r="U100" s="728">
        <f>ROUND(CantidadesConsolidadas[[#This Row],[173038]]*$D100,0)</f>
        <v>0</v>
      </c>
      <c r="V100" s="728">
        <f>ROUND(CantidadesConsolidadas[[#This Row],[170222]]*$D100,0)</f>
        <v>0</v>
      </c>
      <c r="W100" s="728">
        <f>ROUND(CantidadesConsolidadas[[#This Row],[170229]]*$D100,0)</f>
        <v>0</v>
      </c>
      <c r="X100" s="728">
        <f>ROUND(CantidadesConsolidadas[[#This Row],[170227]]*$D100,0)</f>
        <v>0</v>
      </c>
      <c r="Y100" s="728">
        <f>ROUND(CantidadesConsolidadas[[#This Row],[170226]]*$D100,0)</f>
        <v>0</v>
      </c>
      <c r="Z100" s="728">
        <f>ROUND(CantidadesConsolidadas[[#This Row],[171567]]*$D100,0)</f>
        <v>0</v>
      </c>
      <c r="AA100" s="728">
        <f>ROUND(CantidadesConsolidadas[[#This Row],[166632]]*$D100,0)</f>
        <v>0</v>
      </c>
      <c r="AB100" s="728">
        <f>ROUND(CantidadesConsolidadas[[#This Row],[170228]]*$D100,0)</f>
        <v>0</v>
      </c>
      <c r="AC100" s="728">
        <f>ROUND(CantidadesConsolidadas[[#This Row],[172926]]*$D100,0)</f>
        <v>0</v>
      </c>
      <c r="AD100" s="728">
        <f>ROUND(CantidadesConsolidadas[[#This Row],[171152]]*$D100,0)</f>
        <v>0</v>
      </c>
      <c r="AE100" s="728">
        <f>ROUND(CantidadesConsolidadas[[#This Row],[173058]]*$D100,0)</f>
        <v>0</v>
      </c>
      <c r="AF100" s="728">
        <f>ROUND(CantidadesConsolidadas[[#This Row],[174478]]*$D100,0)</f>
        <v>0</v>
      </c>
      <c r="AG100" s="728">
        <f>ROUND(CantidadesConsolidadas[[#This Row],[91010089]]*$D100,0)</f>
        <v>0</v>
      </c>
      <c r="AH100" s="728">
        <f>ROUND(CantidadesConsolidadas[[#This Row],[176122]]*$D100,0)</f>
        <v>0</v>
      </c>
      <c r="AI100" s="728">
        <f>ROUND(CantidadesConsolidadas[[#This Row],[168536]]*$D100,0)</f>
        <v>0</v>
      </c>
      <c r="AJ100" s="728">
        <f>ROUND(CantidadesConsolidadas[[#This Row],[166934]]*$D100,0)</f>
        <v>0</v>
      </c>
      <c r="AK100" s="728">
        <f>ROUND(CantidadesConsolidadas[[#This Row],[174353]]*$D100,0)</f>
        <v>0</v>
      </c>
      <c r="AL100" s="747">
        <f>ROUND(CantidadesConsolidadas[[#This Row],[52531]]*$D100,0)</f>
        <v>0</v>
      </c>
      <c r="AM100" s="746">
        <f>ROUND(CantidadesConsolidadas[[#This Row],[52456]]*$D100,0)</f>
        <v>0</v>
      </c>
      <c r="AN100" s="746">
        <f>ROUND(CantidadesConsolidadas[[#This Row],[92058103]]*$D100,0)</f>
        <v>0</v>
      </c>
      <c r="AO100" s="746">
        <f>ROUND(CantidadesConsolidadas[[#This Row],[20011114]]*$D100,0)</f>
        <v>457330</v>
      </c>
      <c r="AP100" s="746">
        <f>ROUND(CantidadesConsolidadas[[#This Row],[20013540]]*$D100,0)</f>
        <v>0</v>
      </c>
      <c r="AQ100" s="746">
        <f>ROUND(CantidadesConsolidadas[[#This Row],[55337]]*$D100,0)</f>
        <v>0</v>
      </c>
      <c r="AR100" s="746">
        <f>ROUND(CantidadesConsolidadas[[#This Row],[92087422]]*$D100,0)</f>
        <v>0</v>
      </c>
      <c r="AS100" s="746">
        <f>ROUND(CantidadesConsolidadas[[#This Row],[55259]]*$D100,0)</f>
        <v>0</v>
      </c>
      <c r="AT100" s="746">
        <f>ROUND(CantidadesConsolidadas[[#This Row],[466904]]*$D100,0)</f>
        <v>0</v>
      </c>
      <c r="AU100" s="746">
        <f>ROUND(CantidadesConsolidadas[[#This Row],[48591]]*$D100,0)</f>
        <v>0</v>
      </c>
      <c r="AV100" s="746">
        <f>ROUND(CantidadesConsolidadas[[#This Row],[48590]]*$D100,0)</f>
        <v>0</v>
      </c>
      <c r="AW100" s="746">
        <f>ROUND(CantidadesConsolidadas[[#This Row],[48561]]*$D100,0)</f>
        <v>0</v>
      </c>
      <c r="AX100" s="746">
        <f>ROUND(CantidadesConsolidadas[[#This Row],[48560]]*$D100,0)</f>
        <v>0</v>
      </c>
      <c r="AY100" s="746">
        <f>ROUND(CantidadesConsolidadas[[#This Row],[48657]]*$D100,0)</f>
        <v>0</v>
      </c>
      <c r="AZ100" s="746">
        <f>ROUND(CantidadesConsolidadas[[#This Row],[48655]]*$D100,0)</f>
        <v>0</v>
      </c>
      <c r="BA100" s="806">
        <f>SUBTOTAL(9,CostoDirecto[[#This Row],[91013913]:[174353]])</f>
        <v>0</v>
      </c>
      <c r="BB100" s="806">
        <f>SUBTOTAL(9,CostoDirecto[[#This Row],[52531]:[48655]])</f>
        <v>457330</v>
      </c>
    </row>
    <row r="101" spans="1:54" ht="28.8" x14ac:dyDescent="0.3">
      <c r="A101">
        <v>3210</v>
      </c>
      <c r="B101" s="511" t="str">
        <f>+_xlfn.XLOOKUP(CostoDirecto[[#This Row],[cod Idu]],APU_IDU[Código],APU_IDU[Nombre],"",0)</f>
        <v>BORDILLO PREFABRICADO A80 (SUMINISTRO E INSTALACIÓN. INCLUYE 3CM MORTERO DE NIVELACIÓN 2000 PSI)</v>
      </c>
      <c r="C101" s="497" t="str">
        <f>+_xlfn.XLOOKUP(CostoDirecto[[#This Row],[cod Idu]],APU_IDU[Código],APU_IDU[UM],"",0)</f>
        <v>ML</v>
      </c>
      <c r="D101" s="521">
        <f>+_xlfn.XLOOKUP(CostoDirecto[[#This Row],[cod Idu]],APU_IDU[Código],APU_IDU[Valor],"",0)</f>
        <v>82582</v>
      </c>
      <c r="E101" s="728">
        <f>ROUND(CantidadesConsolidadas[[#This Row],[91013913]]*$D101,0)</f>
        <v>0</v>
      </c>
      <c r="F101" s="728">
        <f>ROUND(CantidadesConsolidadas[[#This Row],[472330]]*$D101,0)</f>
        <v>0</v>
      </c>
      <c r="G101" s="728">
        <f>ROUND(CantidadesConsolidadas[[#This Row],[167810]]*$D101,0)</f>
        <v>0</v>
      </c>
      <c r="H101" s="728">
        <f>ROUND(CantidadesConsolidadas[[#This Row],[166646]]*$D101,0)</f>
        <v>0</v>
      </c>
      <c r="I101" s="728">
        <f>ROUND(CantidadesConsolidadas[[#This Row],[167491]]*$D101,0)</f>
        <v>0</v>
      </c>
      <c r="J101" s="728">
        <f>ROUND(CantidadesConsolidadas[[#This Row],[167266]]*$D101,0)</f>
        <v>0</v>
      </c>
      <c r="K101" s="728">
        <f>ROUND(CantidadesConsolidadas[[#This Row],[170896]]*$D101,0)</f>
        <v>0</v>
      </c>
      <c r="L101" s="728">
        <f>ROUND(CantidadesConsolidadas[[#This Row],[170897]]*$D101,0)</f>
        <v>0</v>
      </c>
      <c r="M101" s="728">
        <f>ROUND(CantidadesConsolidadas[[#This Row],[170898]]*$D101,0)</f>
        <v>0</v>
      </c>
      <c r="N101" s="728">
        <f>ROUND(CantidadesConsolidadas[[#This Row],[91064150]]*$D101,0)</f>
        <v>0</v>
      </c>
      <c r="O101" s="728">
        <f>ROUND(CantidadesConsolidadas[[#This Row],[168919]]*$D101,0)</f>
        <v>0</v>
      </c>
      <c r="P101" s="728">
        <f>ROUND(CantidadesConsolidadas[[#This Row],[168426]]*$D101,0)</f>
        <v>0</v>
      </c>
      <c r="Q101" s="728">
        <f>ROUND(CantidadesConsolidadas[[#This Row],[91020796]]*$D101,0)</f>
        <v>0</v>
      </c>
      <c r="R101" s="728">
        <f>ROUND(CantidadesConsolidadas[[#This Row],[176184]]*$D101,0)</f>
        <v>0</v>
      </c>
      <c r="S101" s="728">
        <f>ROUND(CantidadesConsolidadas[[#This Row],[167636]]*$D101,0)</f>
        <v>0</v>
      </c>
      <c r="T101" s="728">
        <f>ROUND(CantidadesConsolidadas[[#This Row],[176730]]*$D101,0)</f>
        <v>0</v>
      </c>
      <c r="U101" s="728">
        <f>ROUND(CantidadesConsolidadas[[#This Row],[173038]]*$D101,0)</f>
        <v>0</v>
      </c>
      <c r="V101" s="728">
        <f>ROUND(CantidadesConsolidadas[[#This Row],[170222]]*$D101,0)</f>
        <v>0</v>
      </c>
      <c r="W101" s="728">
        <f>ROUND(CantidadesConsolidadas[[#This Row],[170229]]*$D101,0)</f>
        <v>0</v>
      </c>
      <c r="X101" s="728">
        <f>ROUND(CantidadesConsolidadas[[#This Row],[170227]]*$D101,0)</f>
        <v>0</v>
      </c>
      <c r="Y101" s="728">
        <f>ROUND(CantidadesConsolidadas[[#This Row],[170226]]*$D101,0)</f>
        <v>0</v>
      </c>
      <c r="Z101" s="728">
        <f>ROUND(CantidadesConsolidadas[[#This Row],[171567]]*$D101,0)</f>
        <v>0</v>
      </c>
      <c r="AA101" s="728">
        <f>ROUND(CantidadesConsolidadas[[#This Row],[166632]]*$D101,0)</f>
        <v>0</v>
      </c>
      <c r="AB101" s="728">
        <f>ROUND(CantidadesConsolidadas[[#This Row],[170228]]*$D101,0)</f>
        <v>0</v>
      </c>
      <c r="AC101" s="728">
        <f>ROUND(CantidadesConsolidadas[[#This Row],[172926]]*$D101,0)</f>
        <v>0</v>
      </c>
      <c r="AD101" s="728">
        <f>ROUND(CantidadesConsolidadas[[#This Row],[171152]]*$D101,0)</f>
        <v>0</v>
      </c>
      <c r="AE101" s="728">
        <f>ROUND(CantidadesConsolidadas[[#This Row],[173058]]*$D101,0)</f>
        <v>0</v>
      </c>
      <c r="AF101" s="728">
        <f>ROUND(CantidadesConsolidadas[[#This Row],[174478]]*$D101,0)</f>
        <v>0</v>
      </c>
      <c r="AG101" s="728">
        <f>ROUND(CantidadesConsolidadas[[#This Row],[91010089]]*$D101,0)</f>
        <v>0</v>
      </c>
      <c r="AH101" s="728">
        <f>ROUND(CantidadesConsolidadas[[#This Row],[176122]]*$D101,0)</f>
        <v>0</v>
      </c>
      <c r="AI101" s="728">
        <f>ROUND(CantidadesConsolidadas[[#This Row],[168536]]*$D101,0)</f>
        <v>0</v>
      </c>
      <c r="AJ101" s="728">
        <f>ROUND(CantidadesConsolidadas[[#This Row],[166934]]*$D101,0)</f>
        <v>0</v>
      </c>
      <c r="AK101" s="728">
        <f>ROUND(CantidadesConsolidadas[[#This Row],[174353]]*$D101,0)</f>
        <v>0</v>
      </c>
      <c r="AL101" s="747">
        <f>ROUND(CantidadesConsolidadas[[#This Row],[52531]]*$D101,0)</f>
        <v>0</v>
      </c>
      <c r="AM101" s="746">
        <f>ROUND(CantidadesConsolidadas[[#This Row],[52456]]*$D101,0)</f>
        <v>0</v>
      </c>
      <c r="AN101" s="746">
        <f>ROUND(CantidadesConsolidadas[[#This Row],[92058103]]*$D101,0)</f>
        <v>1652466</v>
      </c>
      <c r="AO101" s="746">
        <f>ROUND(CantidadesConsolidadas[[#This Row],[20011114]]*$D101,0)</f>
        <v>0</v>
      </c>
      <c r="AP101" s="746">
        <f>ROUND(CantidadesConsolidadas[[#This Row],[20013540]]*$D101,0)</f>
        <v>0</v>
      </c>
      <c r="AQ101" s="746">
        <f>ROUND(CantidadesConsolidadas[[#This Row],[55337]]*$D101,0)</f>
        <v>0</v>
      </c>
      <c r="AR101" s="746">
        <f>ROUND(CantidadesConsolidadas[[#This Row],[92087422]]*$D101,0)</f>
        <v>0</v>
      </c>
      <c r="AS101" s="746">
        <f>ROUND(CantidadesConsolidadas[[#This Row],[55259]]*$D101,0)</f>
        <v>0</v>
      </c>
      <c r="AT101" s="746">
        <f>ROUND(CantidadesConsolidadas[[#This Row],[466904]]*$D101,0)</f>
        <v>0</v>
      </c>
      <c r="AU101" s="746">
        <f>ROUND(CantidadesConsolidadas[[#This Row],[48591]]*$D101,0)</f>
        <v>14221446</v>
      </c>
      <c r="AV101" s="746">
        <f>ROUND(CantidadesConsolidadas[[#This Row],[48590]]*$D101,0)</f>
        <v>14194194</v>
      </c>
      <c r="AW101" s="746">
        <f>ROUND(CantidadesConsolidadas[[#This Row],[48561]]*$D101,0)</f>
        <v>14588936</v>
      </c>
      <c r="AX101" s="746">
        <f>ROUND(CantidadesConsolidadas[[#This Row],[48560]]*$D101,0)</f>
        <v>14688860</v>
      </c>
      <c r="AY101" s="746">
        <f>ROUND(CantidadesConsolidadas[[#This Row],[48657]]*$D101,0)</f>
        <v>2901931</v>
      </c>
      <c r="AZ101" s="746">
        <f>ROUND(CantidadesConsolidadas[[#This Row],[48655]]*$D101,0)</f>
        <v>3284286</v>
      </c>
      <c r="BA101" s="806">
        <f>SUBTOTAL(9,CostoDirecto[[#This Row],[91013913]:[174353]])</f>
        <v>0</v>
      </c>
      <c r="BB101" s="806">
        <f>SUBTOTAL(9,CostoDirecto[[#This Row],[52531]:[48655]])</f>
        <v>65532119</v>
      </c>
    </row>
    <row r="102" spans="1:54" ht="43.2" x14ac:dyDescent="0.3">
      <c r="A102">
        <v>6475</v>
      </c>
      <c r="B102" s="511" t="str">
        <f>+_xlfn.XLOOKUP(CostoDirecto[[#This Row],[cod Idu]],APU_IDU[Código],APU_IDU[Nombre],"",0)</f>
        <v>BORDILLO PREFABRICADO A80 (SUMINISTRO E INSTALACIÓN. INCLUYE 3CM MORTERO DE PEGA 2000 PSI Y NIVELACIÓN DEL TERRENO CON RELLENO EN MATERIAL SELECCIONADO PROVENIENTE DE EXCAVACIÓN).</v>
      </c>
      <c r="C102" s="497" t="str">
        <f>+_xlfn.XLOOKUP(CostoDirecto[[#This Row],[cod Idu]],APU_IDU[Código],APU_IDU[UM],"",0)</f>
        <v>ML</v>
      </c>
      <c r="D102" s="521">
        <f>+_xlfn.XLOOKUP(CostoDirecto[[#This Row],[cod Idu]],APU_IDU[Código],APU_IDU[Valor],"",0)</f>
        <v>89764</v>
      </c>
      <c r="E102" s="728">
        <f>ROUND(CantidadesConsolidadas[[#This Row],[91013913]]*$D102,0)</f>
        <v>0</v>
      </c>
      <c r="F102" s="728">
        <f>ROUND(CantidadesConsolidadas[[#This Row],[472330]]*$D102,0)</f>
        <v>0</v>
      </c>
      <c r="G102" s="728">
        <f>ROUND(CantidadesConsolidadas[[#This Row],[167810]]*$D102,0)</f>
        <v>0</v>
      </c>
      <c r="H102" s="728">
        <f>ROUND(CantidadesConsolidadas[[#This Row],[166646]]*$D102,0)</f>
        <v>0</v>
      </c>
      <c r="I102" s="728">
        <f>ROUND(CantidadesConsolidadas[[#This Row],[167491]]*$D102,0)</f>
        <v>0</v>
      </c>
      <c r="J102" s="728">
        <f>ROUND(CantidadesConsolidadas[[#This Row],[167266]]*$D102,0)</f>
        <v>0</v>
      </c>
      <c r="K102" s="728">
        <f>ROUND(CantidadesConsolidadas[[#This Row],[170896]]*$D102,0)</f>
        <v>0</v>
      </c>
      <c r="L102" s="728">
        <f>ROUND(CantidadesConsolidadas[[#This Row],[170897]]*$D102,0)</f>
        <v>0</v>
      </c>
      <c r="M102" s="728">
        <f>ROUND(CantidadesConsolidadas[[#This Row],[170898]]*$D102,0)</f>
        <v>0</v>
      </c>
      <c r="N102" s="728">
        <f>ROUND(CantidadesConsolidadas[[#This Row],[91064150]]*$D102,0)</f>
        <v>0</v>
      </c>
      <c r="O102" s="728">
        <f>ROUND(CantidadesConsolidadas[[#This Row],[168919]]*$D102,0)</f>
        <v>0</v>
      </c>
      <c r="P102" s="728">
        <f>ROUND(CantidadesConsolidadas[[#This Row],[168426]]*$D102,0)</f>
        <v>0</v>
      </c>
      <c r="Q102" s="728">
        <f>ROUND(CantidadesConsolidadas[[#This Row],[91020796]]*$D102,0)</f>
        <v>0</v>
      </c>
      <c r="R102" s="728">
        <f>ROUND(CantidadesConsolidadas[[#This Row],[176184]]*$D102,0)</f>
        <v>0</v>
      </c>
      <c r="S102" s="728">
        <f>ROUND(CantidadesConsolidadas[[#This Row],[167636]]*$D102,0)</f>
        <v>0</v>
      </c>
      <c r="T102" s="728">
        <f>ROUND(CantidadesConsolidadas[[#This Row],[176730]]*$D102,0)</f>
        <v>0</v>
      </c>
      <c r="U102" s="728">
        <f>ROUND(CantidadesConsolidadas[[#This Row],[173038]]*$D102,0)</f>
        <v>0</v>
      </c>
      <c r="V102" s="728">
        <f>ROUND(CantidadesConsolidadas[[#This Row],[170222]]*$D102,0)</f>
        <v>0</v>
      </c>
      <c r="W102" s="728">
        <f>ROUND(CantidadesConsolidadas[[#This Row],[170229]]*$D102,0)</f>
        <v>0</v>
      </c>
      <c r="X102" s="728">
        <f>ROUND(CantidadesConsolidadas[[#This Row],[170227]]*$D102,0)</f>
        <v>0</v>
      </c>
      <c r="Y102" s="728">
        <f>ROUND(CantidadesConsolidadas[[#This Row],[170226]]*$D102,0)</f>
        <v>0</v>
      </c>
      <c r="Z102" s="728">
        <f>ROUND(CantidadesConsolidadas[[#This Row],[171567]]*$D102,0)</f>
        <v>0</v>
      </c>
      <c r="AA102" s="728">
        <f>ROUND(CantidadesConsolidadas[[#This Row],[166632]]*$D102,0)</f>
        <v>0</v>
      </c>
      <c r="AB102" s="728">
        <f>ROUND(CantidadesConsolidadas[[#This Row],[170228]]*$D102,0)</f>
        <v>0</v>
      </c>
      <c r="AC102" s="728">
        <f>ROUND(CantidadesConsolidadas[[#This Row],[172926]]*$D102,0)</f>
        <v>0</v>
      </c>
      <c r="AD102" s="728">
        <f>ROUND(CantidadesConsolidadas[[#This Row],[171152]]*$D102,0)</f>
        <v>0</v>
      </c>
      <c r="AE102" s="728">
        <f>ROUND(CantidadesConsolidadas[[#This Row],[173058]]*$D102,0)</f>
        <v>0</v>
      </c>
      <c r="AF102" s="728">
        <f>ROUND(CantidadesConsolidadas[[#This Row],[174478]]*$D102,0)</f>
        <v>0</v>
      </c>
      <c r="AG102" s="728">
        <f>ROUND(CantidadesConsolidadas[[#This Row],[91010089]]*$D102,0)</f>
        <v>0</v>
      </c>
      <c r="AH102" s="728">
        <f>ROUND(CantidadesConsolidadas[[#This Row],[176122]]*$D102,0)</f>
        <v>0</v>
      </c>
      <c r="AI102" s="728">
        <f>ROUND(CantidadesConsolidadas[[#This Row],[168536]]*$D102,0)</f>
        <v>0</v>
      </c>
      <c r="AJ102" s="728">
        <f>ROUND(CantidadesConsolidadas[[#This Row],[166934]]*$D102,0)</f>
        <v>0</v>
      </c>
      <c r="AK102" s="728">
        <f>ROUND(CantidadesConsolidadas[[#This Row],[174353]]*$D102,0)</f>
        <v>0</v>
      </c>
      <c r="AL102" s="747">
        <f>ROUND(CantidadesConsolidadas[[#This Row],[52531]]*$D102,0)</f>
        <v>0</v>
      </c>
      <c r="AM102" s="746">
        <f>ROUND(CantidadesConsolidadas[[#This Row],[52456]]*$D102,0)</f>
        <v>0</v>
      </c>
      <c r="AN102" s="746">
        <f>ROUND(CantidadesConsolidadas[[#This Row],[92058103]]*$D102,0)</f>
        <v>0</v>
      </c>
      <c r="AO102" s="746">
        <f>ROUND(CantidadesConsolidadas[[#This Row],[20011114]]*$D102,0)</f>
        <v>0</v>
      </c>
      <c r="AP102" s="746">
        <f>ROUND(CantidadesConsolidadas[[#This Row],[20013540]]*$D102,0)</f>
        <v>1140003</v>
      </c>
      <c r="AQ102" s="746">
        <f>ROUND(CantidadesConsolidadas[[#This Row],[55337]]*$D102,0)</f>
        <v>0</v>
      </c>
      <c r="AR102" s="746">
        <f>ROUND(CantidadesConsolidadas[[#This Row],[92087422]]*$D102,0)</f>
        <v>0</v>
      </c>
      <c r="AS102" s="746">
        <f>ROUND(CantidadesConsolidadas[[#This Row],[55259]]*$D102,0)</f>
        <v>0</v>
      </c>
      <c r="AT102" s="746">
        <f>ROUND(CantidadesConsolidadas[[#This Row],[466904]]*$D102,0)</f>
        <v>0</v>
      </c>
      <c r="AU102" s="746">
        <f>ROUND(CantidadesConsolidadas[[#This Row],[48591]]*$D102,0)</f>
        <v>0</v>
      </c>
      <c r="AV102" s="746">
        <f>ROUND(CantidadesConsolidadas[[#This Row],[48590]]*$D102,0)</f>
        <v>0</v>
      </c>
      <c r="AW102" s="746">
        <f>ROUND(CantidadesConsolidadas[[#This Row],[48561]]*$D102,0)</f>
        <v>0</v>
      </c>
      <c r="AX102" s="746">
        <f>ROUND(CantidadesConsolidadas[[#This Row],[48560]]*$D102,0)</f>
        <v>0</v>
      </c>
      <c r="AY102" s="746">
        <f>ROUND(CantidadesConsolidadas[[#This Row],[48657]]*$D102,0)</f>
        <v>0</v>
      </c>
      <c r="AZ102" s="746">
        <f>ROUND(CantidadesConsolidadas[[#This Row],[48655]]*$D102,0)</f>
        <v>0</v>
      </c>
      <c r="BA102" s="806">
        <f>SUBTOTAL(9,CostoDirecto[[#This Row],[91013913]:[174353]])</f>
        <v>0</v>
      </c>
      <c r="BB102" s="806">
        <f>SUBTOTAL(9,CostoDirecto[[#This Row],[52531]:[48655]])</f>
        <v>1140003</v>
      </c>
    </row>
    <row r="103" spans="1:54" ht="28.8" x14ac:dyDescent="0.3">
      <c r="A103">
        <v>4054</v>
      </c>
      <c r="B103" s="511" t="str">
        <f>+_xlfn.XLOOKUP(CostoDirecto[[#This Row],[cod Idu]],APU_IDU[Código],APU_IDU[Nombre],"",0)</f>
        <v>SARDINEL TIPO A10 (SUMINISTRO E INSTALACIÓN. INCLUYE 3CM MORTERO 2000 PSI)</v>
      </c>
      <c r="C103" s="497" t="str">
        <f>+_xlfn.XLOOKUP(CostoDirecto[[#This Row],[cod Idu]],APU_IDU[Código],APU_IDU[UM],"",0)</f>
        <v>ML</v>
      </c>
      <c r="D103" s="521">
        <f>+_xlfn.XLOOKUP(CostoDirecto[[#This Row],[cod Idu]],APU_IDU[Código],APU_IDU[Valor],"",0)</f>
        <v>92669</v>
      </c>
      <c r="E103" s="728">
        <f>ROUND(CantidadesConsolidadas[[#This Row],[91013913]]*$D103,0)</f>
        <v>0</v>
      </c>
      <c r="F103" s="728">
        <f>ROUND(CantidadesConsolidadas[[#This Row],[472330]]*$D103,0)</f>
        <v>0</v>
      </c>
      <c r="G103" s="728">
        <f>ROUND(CantidadesConsolidadas[[#This Row],[167810]]*$D103,0)</f>
        <v>0</v>
      </c>
      <c r="H103" s="728">
        <f>ROUND(CantidadesConsolidadas[[#This Row],[166646]]*$D103,0)</f>
        <v>0</v>
      </c>
      <c r="I103" s="728">
        <f>ROUND(CantidadesConsolidadas[[#This Row],[167491]]*$D103,0)</f>
        <v>0</v>
      </c>
      <c r="J103" s="728">
        <f>ROUND(CantidadesConsolidadas[[#This Row],[167266]]*$D103,0)</f>
        <v>0</v>
      </c>
      <c r="K103" s="728">
        <f>ROUND(CantidadesConsolidadas[[#This Row],[170896]]*$D103,0)</f>
        <v>0</v>
      </c>
      <c r="L103" s="728">
        <f>ROUND(CantidadesConsolidadas[[#This Row],[170897]]*$D103,0)</f>
        <v>0</v>
      </c>
      <c r="M103" s="728">
        <f>ROUND(CantidadesConsolidadas[[#This Row],[170898]]*$D103,0)</f>
        <v>0</v>
      </c>
      <c r="N103" s="728">
        <f>ROUND(CantidadesConsolidadas[[#This Row],[91064150]]*$D103,0)</f>
        <v>0</v>
      </c>
      <c r="O103" s="728">
        <f>ROUND(CantidadesConsolidadas[[#This Row],[168919]]*$D103,0)</f>
        <v>0</v>
      </c>
      <c r="P103" s="728">
        <f>ROUND(CantidadesConsolidadas[[#This Row],[168426]]*$D103,0)</f>
        <v>0</v>
      </c>
      <c r="Q103" s="728">
        <f>ROUND(CantidadesConsolidadas[[#This Row],[91020796]]*$D103,0)</f>
        <v>0</v>
      </c>
      <c r="R103" s="728">
        <f>ROUND(CantidadesConsolidadas[[#This Row],[176184]]*$D103,0)</f>
        <v>0</v>
      </c>
      <c r="S103" s="728">
        <f>ROUND(CantidadesConsolidadas[[#This Row],[167636]]*$D103,0)</f>
        <v>0</v>
      </c>
      <c r="T103" s="728">
        <f>ROUND(CantidadesConsolidadas[[#This Row],[176730]]*$D103,0)</f>
        <v>0</v>
      </c>
      <c r="U103" s="728">
        <f>ROUND(CantidadesConsolidadas[[#This Row],[173038]]*$D103,0)</f>
        <v>0</v>
      </c>
      <c r="V103" s="728">
        <f>ROUND(CantidadesConsolidadas[[#This Row],[170222]]*$D103,0)</f>
        <v>0</v>
      </c>
      <c r="W103" s="728">
        <f>ROUND(CantidadesConsolidadas[[#This Row],[170229]]*$D103,0)</f>
        <v>0</v>
      </c>
      <c r="X103" s="728">
        <f>ROUND(CantidadesConsolidadas[[#This Row],[170227]]*$D103,0)</f>
        <v>0</v>
      </c>
      <c r="Y103" s="728">
        <f>ROUND(CantidadesConsolidadas[[#This Row],[170226]]*$D103,0)</f>
        <v>0</v>
      </c>
      <c r="Z103" s="728">
        <f>ROUND(CantidadesConsolidadas[[#This Row],[171567]]*$D103,0)</f>
        <v>0</v>
      </c>
      <c r="AA103" s="728">
        <f>ROUND(CantidadesConsolidadas[[#This Row],[166632]]*$D103,0)</f>
        <v>0</v>
      </c>
      <c r="AB103" s="728">
        <f>ROUND(CantidadesConsolidadas[[#This Row],[170228]]*$D103,0)</f>
        <v>0</v>
      </c>
      <c r="AC103" s="728">
        <f>ROUND(CantidadesConsolidadas[[#This Row],[172926]]*$D103,0)</f>
        <v>0</v>
      </c>
      <c r="AD103" s="728">
        <f>ROUND(CantidadesConsolidadas[[#This Row],[171152]]*$D103,0)</f>
        <v>0</v>
      </c>
      <c r="AE103" s="728">
        <f>ROUND(CantidadesConsolidadas[[#This Row],[173058]]*$D103,0)</f>
        <v>0</v>
      </c>
      <c r="AF103" s="728">
        <f>ROUND(CantidadesConsolidadas[[#This Row],[174478]]*$D103,0)</f>
        <v>0</v>
      </c>
      <c r="AG103" s="728">
        <f>ROUND(CantidadesConsolidadas[[#This Row],[91010089]]*$D103,0)</f>
        <v>0</v>
      </c>
      <c r="AH103" s="728">
        <f>ROUND(CantidadesConsolidadas[[#This Row],[176122]]*$D103,0)</f>
        <v>0</v>
      </c>
      <c r="AI103" s="728">
        <f>ROUND(CantidadesConsolidadas[[#This Row],[168536]]*$D103,0)</f>
        <v>0</v>
      </c>
      <c r="AJ103" s="728">
        <f>ROUND(CantidadesConsolidadas[[#This Row],[166934]]*$D103,0)</f>
        <v>0</v>
      </c>
      <c r="AK103" s="728">
        <f>ROUND(CantidadesConsolidadas[[#This Row],[174353]]*$D103,0)</f>
        <v>0</v>
      </c>
      <c r="AL103" s="747">
        <f>ROUND(CantidadesConsolidadas[[#This Row],[52531]]*$D103,0)</f>
        <v>7231889</v>
      </c>
      <c r="AM103" s="746">
        <f>ROUND(CantidadesConsolidadas[[#This Row],[52456]]*$D103,0)</f>
        <v>5991051</v>
      </c>
      <c r="AN103" s="746">
        <f>ROUND(CantidadesConsolidadas[[#This Row],[92058103]]*$D103,0)</f>
        <v>0</v>
      </c>
      <c r="AO103" s="746">
        <f>ROUND(CantidadesConsolidadas[[#This Row],[20011114]]*$D103,0)</f>
        <v>2564151</v>
      </c>
      <c r="AP103" s="746">
        <f>ROUND(CantidadesConsolidadas[[#This Row],[20013540]]*$D103,0)</f>
        <v>0</v>
      </c>
      <c r="AQ103" s="746">
        <f>ROUND(CantidadesConsolidadas[[#This Row],[55337]]*$D103,0)</f>
        <v>3878198</v>
      </c>
      <c r="AR103" s="746">
        <f>ROUND(CantidadesConsolidadas[[#This Row],[92087422]]*$D103,0)</f>
        <v>8032549</v>
      </c>
      <c r="AS103" s="746">
        <f>ROUND(CantidadesConsolidadas[[#This Row],[55259]]*$D103,0)</f>
        <v>7238376</v>
      </c>
      <c r="AT103" s="746">
        <f>ROUND(CantidadesConsolidadas[[#This Row],[466904]]*$D103,0)</f>
        <v>741352</v>
      </c>
      <c r="AU103" s="746">
        <f>ROUND(CantidadesConsolidadas[[#This Row],[48591]]*$D103,0)</f>
        <v>0</v>
      </c>
      <c r="AV103" s="746">
        <f>ROUND(CantidadesConsolidadas[[#This Row],[48590]]*$D103,0)</f>
        <v>0</v>
      </c>
      <c r="AW103" s="746">
        <f>ROUND(CantidadesConsolidadas[[#This Row],[48561]]*$D103,0)</f>
        <v>0</v>
      </c>
      <c r="AX103" s="746">
        <f>ROUND(CantidadesConsolidadas[[#This Row],[48560]]*$D103,0)</f>
        <v>0</v>
      </c>
      <c r="AY103" s="746">
        <f>ROUND(CantidadesConsolidadas[[#This Row],[48657]]*$D103,0)</f>
        <v>0</v>
      </c>
      <c r="AZ103" s="746">
        <f>ROUND(CantidadesConsolidadas[[#This Row],[48655]]*$D103,0)</f>
        <v>0</v>
      </c>
      <c r="BA103" s="806">
        <f>SUBTOTAL(9,CostoDirecto[[#This Row],[91013913]:[174353]])</f>
        <v>0</v>
      </c>
      <c r="BB103" s="806">
        <f>SUBTOTAL(9,CostoDirecto[[#This Row],[52531]:[48655]])</f>
        <v>35677566</v>
      </c>
    </row>
    <row r="104" spans="1:54" ht="28.8" x14ac:dyDescent="0.3">
      <c r="A104">
        <v>4088</v>
      </c>
      <c r="B104" s="511" t="str">
        <f>+_xlfn.XLOOKUP(CostoDirecto[[#This Row],[cod Idu]],APU_IDU[Código],APU_IDU[Nombre],"",0)</f>
        <v>SARDINEL BAJO A85 PARA RAMPAS (SUMINISTRO E INSTALACIÓN. INCLUYE 3CM MORTERO 2000 PSI)</v>
      </c>
      <c r="C104" s="497" t="str">
        <f>+_xlfn.XLOOKUP(CostoDirecto[[#This Row],[cod Idu]],APU_IDU[Código],APU_IDU[UM],"",0)</f>
        <v>ML</v>
      </c>
      <c r="D104" s="521">
        <f>+_xlfn.XLOOKUP(CostoDirecto[[#This Row],[cod Idu]],APU_IDU[Código],APU_IDU[Valor],"",0)</f>
        <v>74246</v>
      </c>
      <c r="E104" s="728">
        <f>ROUND(CantidadesConsolidadas[[#This Row],[91013913]]*$D104,0)</f>
        <v>0</v>
      </c>
      <c r="F104" s="728">
        <f>ROUND(CantidadesConsolidadas[[#This Row],[472330]]*$D104,0)</f>
        <v>0</v>
      </c>
      <c r="G104" s="728">
        <f>ROUND(CantidadesConsolidadas[[#This Row],[167810]]*$D104,0)</f>
        <v>0</v>
      </c>
      <c r="H104" s="728">
        <f>ROUND(CantidadesConsolidadas[[#This Row],[166646]]*$D104,0)</f>
        <v>0</v>
      </c>
      <c r="I104" s="728">
        <f>ROUND(CantidadesConsolidadas[[#This Row],[167491]]*$D104,0)</f>
        <v>0</v>
      </c>
      <c r="J104" s="728">
        <f>ROUND(CantidadesConsolidadas[[#This Row],[167266]]*$D104,0)</f>
        <v>0</v>
      </c>
      <c r="K104" s="728">
        <f>ROUND(CantidadesConsolidadas[[#This Row],[170896]]*$D104,0)</f>
        <v>0</v>
      </c>
      <c r="L104" s="728">
        <f>ROUND(CantidadesConsolidadas[[#This Row],[170897]]*$D104,0)</f>
        <v>0</v>
      </c>
      <c r="M104" s="728">
        <f>ROUND(CantidadesConsolidadas[[#This Row],[170898]]*$D104,0)</f>
        <v>0</v>
      </c>
      <c r="N104" s="728">
        <f>ROUND(CantidadesConsolidadas[[#This Row],[91064150]]*$D104,0)</f>
        <v>0</v>
      </c>
      <c r="O104" s="728">
        <f>ROUND(CantidadesConsolidadas[[#This Row],[168919]]*$D104,0)</f>
        <v>0</v>
      </c>
      <c r="P104" s="728">
        <f>ROUND(CantidadesConsolidadas[[#This Row],[168426]]*$D104,0)</f>
        <v>0</v>
      </c>
      <c r="Q104" s="728">
        <f>ROUND(CantidadesConsolidadas[[#This Row],[91020796]]*$D104,0)</f>
        <v>0</v>
      </c>
      <c r="R104" s="728">
        <f>ROUND(CantidadesConsolidadas[[#This Row],[176184]]*$D104,0)</f>
        <v>0</v>
      </c>
      <c r="S104" s="728">
        <f>ROUND(CantidadesConsolidadas[[#This Row],[167636]]*$D104,0)</f>
        <v>0</v>
      </c>
      <c r="T104" s="728">
        <f>ROUND(CantidadesConsolidadas[[#This Row],[176730]]*$D104,0)</f>
        <v>0</v>
      </c>
      <c r="U104" s="728">
        <f>ROUND(CantidadesConsolidadas[[#This Row],[173038]]*$D104,0)</f>
        <v>0</v>
      </c>
      <c r="V104" s="728">
        <f>ROUND(CantidadesConsolidadas[[#This Row],[170222]]*$D104,0)</f>
        <v>0</v>
      </c>
      <c r="W104" s="728">
        <f>ROUND(CantidadesConsolidadas[[#This Row],[170229]]*$D104,0)</f>
        <v>0</v>
      </c>
      <c r="X104" s="728">
        <f>ROUND(CantidadesConsolidadas[[#This Row],[170227]]*$D104,0)</f>
        <v>0</v>
      </c>
      <c r="Y104" s="728">
        <f>ROUND(CantidadesConsolidadas[[#This Row],[170226]]*$D104,0)</f>
        <v>0</v>
      </c>
      <c r="Z104" s="728">
        <f>ROUND(CantidadesConsolidadas[[#This Row],[171567]]*$D104,0)</f>
        <v>0</v>
      </c>
      <c r="AA104" s="728">
        <f>ROUND(CantidadesConsolidadas[[#This Row],[166632]]*$D104,0)</f>
        <v>0</v>
      </c>
      <c r="AB104" s="728">
        <f>ROUND(CantidadesConsolidadas[[#This Row],[170228]]*$D104,0)</f>
        <v>0</v>
      </c>
      <c r="AC104" s="728">
        <f>ROUND(CantidadesConsolidadas[[#This Row],[172926]]*$D104,0)</f>
        <v>0</v>
      </c>
      <c r="AD104" s="728">
        <f>ROUND(CantidadesConsolidadas[[#This Row],[171152]]*$D104,0)</f>
        <v>0</v>
      </c>
      <c r="AE104" s="728">
        <f>ROUND(CantidadesConsolidadas[[#This Row],[173058]]*$D104,0)</f>
        <v>0</v>
      </c>
      <c r="AF104" s="728">
        <f>ROUND(CantidadesConsolidadas[[#This Row],[174478]]*$D104,0)</f>
        <v>0</v>
      </c>
      <c r="AG104" s="728">
        <f>ROUND(CantidadesConsolidadas[[#This Row],[91010089]]*$D104,0)</f>
        <v>0</v>
      </c>
      <c r="AH104" s="728">
        <f>ROUND(CantidadesConsolidadas[[#This Row],[176122]]*$D104,0)</f>
        <v>0</v>
      </c>
      <c r="AI104" s="728">
        <f>ROUND(CantidadesConsolidadas[[#This Row],[168536]]*$D104,0)</f>
        <v>0</v>
      </c>
      <c r="AJ104" s="728">
        <f>ROUND(CantidadesConsolidadas[[#This Row],[166934]]*$D104,0)</f>
        <v>0</v>
      </c>
      <c r="AK104" s="728">
        <f>ROUND(CantidadesConsolidadas[[#This Row],[174353]]*$D104,0)</f>
        <v>0</v>
      </c>
      <c r="AL104" s="747">
        <f>ROUND(CantidadesConsolidadas[[#This Row],[52531]]*$D104,0)</f>
        <v>1738099</v>
      </c>
      <c r="AM104" s="746">
        <f>ROUND(CantidadesConsolidadas[[#This Row],[52456]]*$D104,0)</f>
        <v>1440372</v>
      </c>
      <c r="AN104" s="746">
        <f>ROUND(CantidadesConsolidadas[[#This Row],[92058103]]*$D104,0)</f>
        <v>0</v>
      </c>
      <c r="AO104" s="746">
        <f>ROUND(CantidadesConsolidadas[[#This Row],[20011114]]*$D104,0)</f>
        <v>616242</v>
      </c>
      <c r="AP104" s="746">
        <f>ROUND(CantidadesConsolidadas[[#This Row],[20013540]]*$D104,0)</f>
        <v>0</v>
      </c>
      <c r="AQ104" s="746">
        <f>ROUND(CantidadesConsolidadas[[#This Row],[55337]]*$D104,0)</f>
        <v>932530</v>
      </c>
      <c r="AR104" s="746">
        <f>ROUND(CantidadesConsolidadas[[#This Row],[92087422]]*$D104,0)</f>
        <v>1930396</v>
      </c>
      <c r="AS104" s="746">
        <f>ROUND(CantidadesConsolidadas[[#This Row],[55259]]*$D104,0)</f>
        <v>1739584</v>
      </c>
      <c r="AT104" s="746">
        <f>ROUND(CantidadesConsolidadas[[#This Row],[466904]]*$D104,0)</f>
        <v>178190</v>
      </c>
      <c r="AU104" s="746">
        <f>ROUND(CantidadesConsolidadas[[#This Row],[48591]]*$D104,0)</f>
        <v>0</v>
      </c>
      <c r="AV104" s="746">
        <f>ROUND(CantidadesConsolidadas[[#This Row],[48590]]*$D104,0)</f>
        <v>0</v>
      </c>
      <c r="AW104" s="746">
        <f>ROUND(CantidadesConsolidadas[[#This Row],[48561]]*$D104,0)</f>
        <v>0</v>
      </c>
      <c r="AX104" s="746">
        <f>ROUND(CantidadesConsolidadas[[#This Row],[48560]]*$D104,0)</f>
        <v>0</v>
      </c>
      <c r="AY104" s="746">
        <f>ROUND(CantidadesConsolidadas[[#This Row],[48657]]*$D104,0)</f>
        <v>0</v>
      </c>
      <c r="AZ104" s="746">
        <f>ROUND(CantidadesConsolidadas[[#This Row],[48655]]*$D104,0)</f>
        <v>0</v>
      </c>
      <c r="BA104" s="806">
        <f>SUBTOTAL(9,CostoDirecto[[#This Row],[91013913]:[174353]])</f>
        <v>0</v>
      </c>
      <c r="BB104" s="806">
        <f>SUBTOTAL(9,CostoDirecto[[#This Row],[52531]:[48655]])</f>
        <v>8575413</v>
      </c>
    </row>
    <row r="105" spans="1:54" ht="43.2" x14ac:dyDescent="0.3">
      <c r="A105">
        <v>6880</v>
      </c>
      <c r="B105" s="606" t="str">
        <f>+_xlfn.XLOOKUP(CostoDirecto[[#This Row],[cod Idu]],APU_IDU[Código],APU_IDU[Nombre],"",0)</f>
        <v>CONCRETO MR41 COLOR OCRE PARA RAMPAS Y ESCALERAS (PREMEZCLADO. INCLUYE SUMINISTRO, FORMALETEO, COLOCACIÓN Y CURADO. NO INCLUYE REFUERZO).</v>
      </c>
      <c r="C105" s="609" t="str">
        <f>+_xlfn.XLOOKUP(CostoDirecto[[#This Row],[cod Idu]],APU_IDU[Código],APU_IDU[UM],"",0)</f>
        <v>M3</v>
      </c>
      <c r="D105" s="745">
        <f>+_xlfn.XLOOKUP(CostoDirecto[[#This Row],[cod Idu]],APU_IDU[Código],APU_IDU[Valor],"",0)</f>
        <v>1566542</v>
      </c>
      <c r="E105" s="746">
        <f>ROUND(CantidadesConsolidadas[[#This Row],[91013913]]*$D105,0)</f>
        <v>0</v>
      </c>
      <c r="F105" s="746">
        <f>ROUND(CantidadesConsolidadas[[#This Row],[472330]]*$D105,0)</f>
        <v>0</v>
      </c>
      <c r="G105" s="746">
        <f>ROUND(CantidadesConsolidadas[[#This Row],[167810]]*$D105,0)</f>
        <v>0</v>
      </c>
      <c r="H105" s="746">
        <f>ROUND(CantidadesConsolidadas[[#This Row],[166646]]*$D105,0)</f>
        <v>0</v>
      </c>
      <c r="I105" s="746">
        <f>ROUND(CantidadesConsolidadas[[#This Row],[167491]]*$D105,0)</f>
        <v>0</v>
      </c>
      <c r="J105" s="746">
        <f>ROUND(CantidadesConsolidadas[[#This Row],[167266]]*$D105,0)</f>
        <v>0</v>
      </c>
      <c r="K105" s="746">
        <f>ROUND(CantidadesConsolidadas[[#This Row],[170896]]*$D105,0)</f>
        <v>0</v>
      </c>
      <c r="L105" s="746">
        <f>ROUND(CantidadesConsolidadas[[#This Row],[170897]]*$D105,0)</f>
        <v>0</v>
      </c>
      <c r="M105" s="746">
        <f>ROUND(CantidadesConsolidadas[[#This Row],[170898]]*$D105,0)</f>
        <v>0</v>
      </c>
      <c r="N105" s="746">
        <f>ROUND(CantidadesConsolidadas[[#This Row],[91064150]]*$D105,0)</f>
        <v>0</v>
      </c>
      <c r="O105" s="746">
        <f>ROUND(CantidadesConsolidadas[[#This Row],[168919]]*$D105,0)</f>
        <v>0</v>
      </c>
      <c r="P105" s="746">
        <f>ROUND(CantidadesConsolidadas[[#This Row],[168426]]*$D105,0)</f>
        <v>0</v>
      </c>
      <c r="Q105" s="746">
        <f>ROUND(CantidadesConsolidadas[[#This Row],[91020796]]*$D105,0)</f>
        <v>0</v>
      </c>
      <c r="R105" s="746">
        <f>ROUND(CantidadesConsolidadas[[#This Row],[176184]]*$D105,0)</f>
        <v>0</v>
      </c>
      <c r="S105" s="746">
        <f>ROUND(CantidadesConsolidadas[[#This Row],[167636]]*$D105,0)</f>
        <v>0</v>
      </c>
      <c r="T105" s="746">
        <f>ROUND(CantidadesConsolidadas[[#This Row],[176730]]*$D105,0)</f>
        <v>0</v>
      </c>
      <c r="U105" s="746">
        <f>ROUND(CantidadesConsolidadas[[#This Row],[173038]]*$D105,0)</f>
        <v>0</v>
      </c>
      <c r="V105" s="746">
        <f>ROUND(CantidadesConsolidadas[[#This Row],[170222]]*$D105,0)</f>
        <v>0</v>
      </c>
      <c r="W105" s="746">
        <f>ROUND(CantidadesConsolidadas[[#This Row],[170229]]*$D105,0)</f>
        <v>0</v>
      </c>
      <c r="X105" s="746">
        <f>ROUND(CantidadesConsolidadas[[#This Row],[170227]]*$D105,0)</f>
        <v>0</v>
      </c>
      <c r="Y105" s="746">
        <f>ROUND(CantidadesConsolidadas[[#This Row],[170226]]*$D105,0)</f>
        <v>0</v>
      </c>
      <c r="Z105" s="746">
        <f>ROUND(CantidadesConsolidadas[[#This Row],[171567]]*$D105,0)</f>
        <v>0</v>
      </c>
      <c r="AA105" s="746">
        <f>ROUND(CantidadesConsolidadas[[#This Row],[166632]]*$D105,0)</f>
        <v>0</v>
      </c>
      <c r="AB105" s="746">
        <f>ROUND(CantidadesConsolidadas[[#This Row],[170228]]*$D105,0)</f>
        <v>0</v>
      </c>
      <c r="AC105" s="746">
        <f>ROUND(CantidadesConsolidadas[[#This Row],[172926]]*$D105,0)</f>
        <v>0</v>
      </c>
      <c r="AD105" s="746">
        <f>ROUND(CantidadesConsolidadas[[#This Row],[171152]]*$D105,0)</f>
        <v>0</v>
      </c>
      <c r="AE105" s="746">
        <f>ROUND(CantidadesConsolidadas[[#This Row],[173058]]*$D105,0)</f>
        <v>0</v>
      </c>
      <c r="AF105" s="746">
        <f>ROUND(CantidadesConsolidadas[[#This Row],[174478]]*$D105,0)</f>
        <v>0</v>
      </c>
      <c r="AG105" s="746">
        <f>ROUND(CantidadesConsolidadas[[#This Row],[91010089]]*$D105,0)</f>
        <v>0</v>
      </c>
      <c r="AH105" s="746">
        <f>ROUND(CantidadesConsolidadas[[#This Row],[176122]]*$D105,0)</f>
        <v>0</v>
      </c>
      <c r="AI105" s="746">
        <f>ROUND(CantidadesConsolidadas[[#This Row],[168536]]*$D105,0)</f>
        <v>0</v>
      </c>
      <c r="AJ105" s="746">
        <f>ROUND(CantidadesConsolidadas[[#This Row],[166934]]*$D105,0)</f>
        <v>0</v>
      </c>
      <c r="AK105" s="746">
        <f>ROUND(CantidadesConsolidadas[[#This Row],[174353]]*$D105,0)</f>
        <v>0</v>
      </c>
      <c r="AL105" s="823">
        <f>ROUND(CantidadesConsolidadas[[#This Row],[52531]]*$D105,0)</f>
        <v>0</v>
      </c>
      <c r="AM105" s="746">
        <f>ROUND(CantidadesConsolidadas[[#This Row],[52456]]*$D105,0)</f>
        <v>0</v>
      </c>
      <c r="AN105" s="746">
        <f>ROUND(CantidadesConsolidadas[[#This Row],[92058103]]*$D105,0)</f>
        <v>0</v>
      </c>
      <c r="AO105" s="746">
        <f>ROUND(CantidadesConsolidadas[[#This Row],[20011114]]*$D105,0)</f>
        <v>0</v>
      </c>
      <c r="AP105" s="746">
        <f>ROUND(CantidadesConsolidadas[[#This Row],[20013540]]*$D105,0)</f>
        <v>1065249</v>
      </c>
      <c r="AQ105" s="746">
        <f>ROUND(CantidadesConsolidadas[[#This Row],[55337]]*$D105,0)</f>
        <v>0</v>
      </c>
      <c r="AR105" s="746">
        <f>ROUND(CantidadesConsolidadas[[#This Row],[92087422]]*$D105,0)</f>
        <v>4182667</v>
      </c>
      <c r="AS105" s="746">
        <f>ROUND(CantidadesConsolidadas[[#This Row],[55259]]*$D105,0)</f>
        <v>0</v>
      </c>
      <c r="AT105" s="746">
        <f>ROUND(CantidadesConsolidadas[[#This Row],[466904]]*$D105,0)</f>
        <v>0</v>
      </c>
      <c r="AU105" s="746">
        <f>ROUND(CantidadesConsolidadas[[#This Row],[48591]]*$D105,0)</f>
        <v>0</v>
      </c>
      <c r="AV105" s="746">
        <f>ROUND(CantidadesConsolidadas[[#This Row],[48590]]*$D105,0)</f>
        <v>0</v>
      </c>
      <c r="AW105" s="746">
        <f>ROUND(CantidadesConsolidadas[[#This Row],[48561]]*$D105,0)</f>
        <v>0</v>
      </c>
      <c r="AX105" s="746">
        <f>ROUND(CantidadesConsolidadas[[#This Row],[48560]]*$D105,0)</f>
        <v>0</v>
      </c>
      <c r="AY105" s="746">
        <f>ROUND(CantidadesConsolidadas[[#This Row],[48657]]*$D105,0)</f>
        <v>0</v>
      </c>
      <c r="AZ105" s="746">
        <f>ROUND(CantidadesConsolidadas[[#This Row],[48655]]*$D105,0)</f>
        <v>0</v>
      </c>
      <c r="BA105" s="806">
        <f>SUBTOTAL(9,CostoDirecto[[#This Row],[91013913]:[174353]])</f>
        <v>0</v>
      </c>
      <c r="BB105" s="806">
        <f>SUBTOTAL(9,CostoDirecto[[#This Row],[52531]:[48655]])</f>
        <v>5247916</v>
      </c>
    </row>
    <row r="106" spans="1:54" ht="43.2" x14ac:dyDescent="0.3">
      <c r="A106">
        <v>4920</v>
      </c>
      <c r="B106" s="606" t="str">
        <f>+_xlfn.XLOOKUP(CostoDirecto[[#This Row],[cod Idu]],APU_IDU[Código],APU_IDU[Nombre],"",0)</f>
        <v>CANECA DE ACERO INOXIDABLE M121 TIPO BARCELONA (SUMINISTRO E INSTALACIÓN. INCLUYE CONCRETO PARA ANCLAJE DE 3000 PSI PREMEZCLADO GRAVA COMÚN.</v>
      </c>
      <c r="C106" s="609" t="str">
        <f>+_xlfn.XLOOKUP(CostoDirecto[[#This Row],[cod Idu]],APU_IDU[Código],APU_IDU[UM],"",0)</f>
        <v>UN</v>
      </c>
      <c r="D106" s="745">
        <f>+_xlfn.XLOOKUP(CostoDirecto[[#This Row],[cod Idu]],APU_IDU[Código],APU_IDU[Valor],"",0)</f>
        <v>913129</v>
      </c>
      <c r="E106" s="746">
        <f>ROUND(CantidadesConsolidadas[[#This Row],[91013913]]*$D106,0)</f>
        <v>0</v>
      </c>
      <c r="F106" s="746">
        <f>ROUND(CantidadesConsolidadas[[#This Row],[472330]]*$D106,0)</f>
        <v>0</v>
      </c>
      <c r="G106" s="746">
        <f>ROUND(CantidadesConsolidadas[[#This Row],[167810]]*$D106,0)</f>
        <v>0</v>
      </c>
      <c r="H106" s="746">
        <f>ROUND(CantidadesConsolidadas[[#This Row],[166646]]*$D106,0)</f>
        <v>0</v>
      </c>
      <c r="I106" s="746">
        <f>ROUND(CantidadesConsolidadas[[#This Row],[167491]]*$D106,0)</f>
        <v>0</v>
      </c>
      <c r="J106" s="746">
        <f>ROUND(CantidadesConsolidadas[[#This Row],[167266]]*$D106,0)</f>
        <v>0</v>
      </c>
      <c r="K106" s="746">
        <f>ROUND(CantidadesConsolidadas[[#This Row],[170896]]*$D106,0)</f>
        <v>0</v>
      </c>
      <c r="L106" s="746">
        <f>ROUND(CantidadesConsolidadas[[#This Row],[170897]]*$D106,0)</f>
        <v>0</v>
      </c>
      <c r="M106" s="746">
        <f>ROUND(CantidadesConsolidadas[[#This Row],[170898]]*$D106,0)</f>
        <v>0</v>
      </c>
      <c r="N106" s="746">
        <f>ROUND(CantidadesConsolidadas[[#This Row],[91064150]]*$D106,0)</f>
        <v>0</v>
      </c>
      <c r="O106" s="746">
        <f>ROUND(CantidadesConsolidadas[[#This Row],[168919]]*$D106,0)</f>
        <v>0</v>
      </c>
      <c r="P106" s="746">
        <f>ROUND(CantidadesConsolidadas[[#This Row],[168426]]*$D106,0)</f>
        <v>0</v>
      </c>
      <c r="Q106" s="746">
        <f>ROUND(CantidadesConsolidadas[[#This Row],[91020796]]*$D106,0)</f>
        <v>0</v>
      </c>
      <c r="R106" s="746">
        <f>ROUND(CantidadesConsolidadas[[#This Row],[176184]]*$D106,0)</f>
        <v>0</v>
      </c>
      <c r="S106" s="746">
        <f>ROUND(CantidadesConsolidadas[[#This Row],[167636]]*$D106,0)</f>
        <v>0</v>
      </c>
      <c r="T106" s="746">
        <f>ROUND(CantidadesConsolidadas[[#This Row],[176730]]*$D106,0)</f>
        <v>0</v>
      </c>
      <c r="U106" s="746">
        <f>ROUND(CantidadesConsolidadas[[#This Row],[173038]]*$D106,0)</f>
        <v>0</v>
      </c>
      <c r="V106" s="746">
        <f>ROUND(CantidadesConsolidadas[[#This Row],[170222]]*$D106,0)</f>
        <v>0</v>
      </c>
      <c r="W106" s="746">
        <f>ROUND(CantidadesConsolidadas[[#This Row],[170229]]*$D106,0)</f>
        <v>0</v>
      </c>
      <c r="X106" s="746">
        <f>ROUND(CantidadesConsolidadas[[#This Row],[170227]]*$D106,0)</f>
        <v>0</v>
      </c>
      <c r="Y106" s="746">
        <f>ROUND(CantidadesConsolidadas[[#This Row],[170226]]*$D106,0)</f>
        <v>0</v>
      </c>
      <c r="Z106" s="746">
        <f>ROUND(CantidadesConsolidadas[[#This Row],[171567]]*$D106,0)</f>
        <v>0</v>
      </c>
      <c r="AA106" s="746">
        <f>ROUND(CantidadesConsolidadas[[#This Row],[166632]]*$D106,0)</f>
        <v>0</v>
      </c>
      <c r="AB106" s="746">
        <f>ROUND(CantidadesConsolidadas[[#This Row],[170228]]*$D106,0)</f>
        <v>0</v>
      </c>
      <c r="AC106" s="746">
        <f>ROUND(CantidadesConsolidadas[[#This Row],[172926]]*$D106,0)</f>
        <v>0</v>
      </c>
      <c r="AD106" s="746">
        <f>ROUND(CantidadesConsolidadas[[#This Row],[171152]]*$D106,0)</f>
        <v>0</v>
      </c>
      <c r="AE106" s="746">
        <f>ROUND(CantidadesConsolidadas[[#This Row],[173058]]*$D106,0)</f>
        <v>0</v>
      </c>
      <c r="AF106" s="746">
        <f>ROUND(CantidadesConsolidadas[[#This Row],[174478]]*$D106,0)</f>
        <v>0</v>
      </c>
      <c r="AG106" s="746">
        <f>ROUND(CantidadesConsolidadas[[#This Row],[91010089]]*$D106,0)</f>
        <v>0</v>
      </c>
      <c r="AH106" s="746">
        <f>ROUND(CantidadesConsolidadas[[#This Row],[176122]]*$D106,0)</f>
        <v>0</v>
      </c>
      <c r="AI106" s="746">
        <f>ROUND(CantidadesConsolidadas[[#This Row],[168536]]*$D106,0)</f>
        <v>0</v>
      </c>
      <c r="AJ106" s="746">
        <f>ROUND(CantidadesConsolidadas[[#This Row],[166934]]*$D106,0)</f>
        <v>0</v>
      </c>
      <c r="AK106" s="746">
        <f>ROUND(CantidadesConsolidadas[[#This Row],[174353]]*$D106,0)</f>
        <v>0</v>
      </c>
      <c r="AL106" s="823">
        <f>ROUND(CantidadesConsolidadas[[#This Row],[52531]]*$D106,0)</f>
        <v>0</v>
      </c>
      <c r="AM106" s="746">
        <f>ROUND(CantidadesConsolidadas[[#This Row],[52456]]*$D106,0)</f>
        <v>0</v>
      </c>
      <c r="AN106" s="746">
        <f>ROUND(CantidadesConsolidadas[[#This Row],[92058103]]*$D106,0)</f>
        <v>913129</v>
      </c>
      <c r="AO106" s="746">
        <f>ROUND(CantidadesConsolidadas[[#This Row],[20011114]]*$D106,0)</f>
        <v>0</v>
      </c>
      <c r="AP106" s="746">
        <f>ROUND(CantidadesConsolidadas[[#This Row],[20013540]]*$D106,0)</f>
        <v>0</v>
      </c>
      <c r="AQ106" s="746">
        <f>ROUND(CantidadesConsolidadas[[#This Row],[55337]]*$D106,0)</f>
        <v>0</v>
      </c>
      <c r="AR106" s="746">
        <f>ROUND(CantidadesConsolidadas[[#This Row],[92087422]]*$D106,0)</f>
        <v>0</v>
      </c>
      <c r="AS106" s="746">
        <f>ROUND(CantidadesConsolidadas[[#This Row],[55259]]*$D106,0)</f>
        <v>0</v>
      </c>
      <c r="AT106" s="746">
        <f>ROUND(CantidadesConsolidadas[[#This Row],[466904]]*$D106,0)</f>
        <v>913129</v>
      </c>
      <c r="AU106" s="746">
        <f>ROUND(CantidadesConsolidadas[[#This Row],[48591]]*$D106,0)</f>
        <v>0</v>
      </c>
      <c r="AV106" s="746">
        <f>ROUND(CantidadesConsolidadas[[#This Row],[48590]]*$D106,0)</f>
        <v>0</v>
      </c>
      <c r="AW106" s="746">
        <f>ROUND(CantidadesConsolidadas[[#This Row],[48561]]*$D106,0)</f>
        <v>0</v>
      </c>
      <c r="AX106" s="746">
        <f>ROUND(CantidadesConsolidadas[[#This Row],[48560]]*$D106,0)</f>
        <v>913129</v>
      </c>
      <c r="AY106" s="746">
        <f>ROUND(CantidadesConsolidadas[[#This Row],[48657]]*$D106,0)</f>
        <v>0</v>
      </c>
      <c r="AZ106" s="746">
        <f>ROUND(CantidadesConsolidadas[[#This Row],[48655]]*$D106,0)</f>
        <v>0</v>
      </c>
      <c r="BA106" s="806">
        <f>SUBTOTAL(9,CostoDirecto[[#This Row],[91013913]:[174353]])</f>
        <v>0</v>
      </c>
      <c r="BB106" s="806">
        <f>SUBTOTAL(9,CostoDirecto[[#This Row],[52531]:[48655]])</f>
        <v>2739387</v>
      </c>
    </row>
    <row r="107" spans="1:54" ht="43.2" x14ac:dyDescent="0.3">
      <c r="A107">
        <v>8953</v>
      </c>
      <c r="B107" s="606" t="str">
        <f>+_xlfn.XLOOKUP(CostoDirecto[[#This Row],[cod Idu]],APU_IDU[Código],APU_IDU[Nombre],"",0)</f>
        <v>BARANDA METALICA M-82 PREFABRICADA MOV. REDUCIDA BORDE DE VIA (Incluye dados de concreto 3000psi grava común de 0.20 x 0.20m y recubrimiento en epóxico y esmalte uretano). Suministro e Instalación</v>
      </c>
      <c r="C107" s="609" t="str">
        <f>+_xlfn.XLOOKUP(CostoDirecto[[#This Row],[cod Idu]],APU_IDU[Código],APU_IDU[UM],"",0)</f>
        <v>ML</v>
      </c>
      <c r="D107" s="745">
        <f>+_xlfn.XLOOKUP(CostoDirecto[[#This Row],[cod Idu]],APU_IDU[Código],APU_IDU[Valor],"",0)</f>
        <v>639161</v>
      </c>
      <c r="E107" s="746">
        <f>ROUND(CantidadesConsolidadas[[#This Row],[91013913]]*$D107,0)</f>
        <v>0</v>
      </c>
      <c r="F107" s="746">
        <f>ROUND(CantidadesConsolidadas[[#This Row],[472330]]*$D107,0)</f>
        <v>0</v>
      </c>
      <c r="G107" s="746">
        <f>ROUND(CantidadesConsolidadas[[#This Row],[167810]]*$D107,0)</f>
        <v>0</v>
      </c>
      <c r="H107" s="746">
        <f>ROUND(CantidadesConsolidadas[[#This Row],[166646]]*$D107,0)</f>
        <v>0</v>
      </c>
      <c r="I107" s="746">
        <f>ROUND(CantidadesConsolidadas[[#This Row],[167491]]*$D107,0)</f>
        <v>0</v>
      </c>
      <c r="J107" s="746">
        <f>ROUND(CantidadesConsolidadas[[#This Row],[167266]]*$D107,0)</f>
        <v>0</v>
      </c>
      <c r="K107" s="746">
        <f>ROUND(CantidadesConsolidadas[[#This Row],[170896]]*$D107,0)</f>
        <v>0</v>
      </c>
      <c r="L107" s="746">
        <f>ROUND(CantidadesConsolidadas[[#This Row],[170897]]*$D107,0)</f>
        <v>0</v>
      </c>
      <c r="M107" s="746">
        <f>ROUND(CantidadesConsolidadas[[#This Row],[170898]]*$D107,0)</f>
        <v>0</v>
      </c>
      <c r="N107" s="746">
        <f>ROUND(CantidadesConsolidadas[[#This Row],[91064150]]*$D107,0)</f>
        <v>0</v>
      </c>
      <c r="O107" s="746">
        <f>ROUND(CantidadesConsolidadas[[#This Row],[168919]]*$D107,0)</f>
        <v>0</v>
      </c>
      <c r="P107" s="746">
        <f>ROUND(CantidadesConsolidadas[[#This Row],[168426]]*$D107,0)</f>
        <v>0</v>
      </c>
      <c r="Q107" s="746">
        <f>ROUND(CantidadesConsolidadas[[#This Row],[91020796]]*$D107,0)</f>
        <v>0</v>
      </c>
      <c r="R107" s="746">
        <f>ROUND(CantidadesConsolidadas[[#This Row],[176184]]*$D107,0)</f>
        <v>0</v>
      </c>
      <c r="S107" s="746">
        <f>ROUND(CantidadesConsolidadas[[#This Row],[167636]]*$D107,0)</f>
        <v>0</v>
      </c>
      <c r="T107" s="746">
        <f>ROUND(CantidadesConsolidadas[[#This Row],[176730]]*$D107,0)</f>
        <v>0</v>
      </c>
      <c r="U107" s="746">
        <f>ROUND(CantidadesConsolidadas[[#This Row],[173038]]*$D107,0)</f>
        <v>0</v>
      </c>
      <c r="V107" s="746">
        <f>ROUND(CantidadesConsolidadas[[#This Row],[170222]]*$D107,0)</f>
        <v>0</v>
      </c>
      <c r="W107" s="746">
        <f>ROUND(CantidadesConsolidadas[[#This Row],[170229]]*$D107,0)</f>
        <v>0</v>
      </c>
      <c r="X107" s="746">
        <f>ROUND(CantidadesConsolidadas[[#This Row],[170227]]*$D107,0)</f>
        <v>0</v>
      </c>
      <c r="Y107" s="746">
        <f>ROUND(CantidadesConsolidadas[[#This Row],[170226]]*$D107,0)</f>
        <v>0</v>
      </c>
      <c r="Z107" s="746">
        <f>ROUND(CantidadesConsolidadas[[#This Row],[171567]]*$D107,0)</f>
        <v>0</v>
      </c>
      <c r="AA107" s="746">
        <f>ROUND(CantidadesConsolidadas[[#This Row],[166632]]*$D107,0)</f>
        <v>0</v>
      </c>
      <c r="AB107" s="746">
        <f>ROUND(CantidadesConsolidadas[[#This Row],[170228]]*$D107,0)</f>
        <v>0</v>
      </c>
      <c r="AC107" s="746">
        <f>ROUND(CantidadesConsolidadas[[#This Row],[172926]]*$D107,0)</f>
        <v>0</v>
      </c>
      <c r="AD107" s="746">
        <f>ROUND(CantidadesConsolidadas[[#This Row],[171152]]*$D107,0)</f>
        <v>0</v>
      </c>
      <c r="AE107" s="746">
        <f>ROUND(CantidadesConsolidadas[[#This Row],[173058]]*$D107,0)</f>
        <v>0</v>
      </c>
      <c r="AF107" s="746">
        <f>ROUND(CantidadesConsolidadas[[#This Row],[174478]]*$D107,0)</f>
        <v>0</v>
      </c>
      <c r="AG107" s="746">
        <f>ROUND(CantidadesConsolidadas[[#This Row],[91010089]]*$D107,0)</f>
        <v>0</v>
      </c>
      <c r="AH107" s="746">
        <f>ROUND(CantidadesConsolidadas[[#This Row],[176122]]*$D107,0)</f>
        <v>0</v>
      </c>
      <c r="AI107" s="746">
        <f>ROUND(CantidadesConsolidadas[[#This Row],[168536]]*$D107,0)</f>
        <v>0</v>
      </c>
      <c r="AJ107" s="746">
        <f>ROUND(CantidadesConsolidadas[[#This Row],[166934]]*$D107,0)</f>
        <v>0</v>
      </c>
      <c r="AK107" s="746">
        <f>ROUND(CantidadesConsolidadas[[#This Row],[174353]]*$D107,0)</f>
        <v>0</v>
      </c>
      <c r="AL107" s="823">
        <f>ROUND(CantidadesConsolidadas[[#This Row],[52531]]*$D107,0)</f>
        <v>0</v>
      </c>
      <c r="AM107" s="746">
        <f>ROUND(CantidadesConsolidadas[[#This Row],[52456]]*$D107,0)</f>
        <v>0</v>
      </c>
      <c r="AN107" s="746">
        <f>ROUND(CantidadesConsolidadas[[#This Row],[92058103]]*$D107,0)</f>
        <v>0</v>
      </c>
      <c r="AO107" s="746">
        <f>ROUND(CantidadesConsolidadas[[#This Row],[20011114]]*$D107,0)</f>
        <v>0</v>
      </c>
      <c r="AP107" s="746">
        <f>ROUND(CantidadesConsolidadas[[#This Row],[20013540]]*$D107,0)</f>
        <v>0</v>
      </c>
      <c r="AQ107" s="746">
        <f>ROUND(CantidadesConsolidadas[[#This Row],[55337]]*$D107,0)</f>
        <v>14962759</v>
      </c>
      <c r="AR107" s="746">
        <f>ROUND(CantidadesConsolidadas[[#This Row],[92087422]]*$D107,0)</f>
        <v>0</v>
      </c>
      <c r="AS107" s="746">
        <f>ROUND(CantidadesConsolidadas[[#This Row],[55259]]*$D107,0)</f>
        <v>0</v>
      </c>
      <c r="AT107" s="746">
        <f>ROUND(CantidadesConsolidadas[[#This Row],[466904]]*$D107,0)</f>
        <v>0</v>
      </c>
      <c r="AU107" s="746">
        <f>ROUND(CantidadesConsolidadas[[#This Row],[48591]]*$D107,0)</f>
        <v>0</v>
      </c>
      <c r="AV107" s="746">
        <f>ROUND(CantidadesConsolidadas[[#This Row],[48590]]*$D107,0)</f>
        <v>0</v>
      </c>
      <c r="AW107" s="746">
        <f>ROUND(CantidadesConsolidadas[[#This Row],[48561]]*$D107,0)</f>
        <v>0</v>
      </c>
      <c r="AX107" s="746">
        <f>ROUND(CantidadesConsolidadas[[#This Row],[48560]]*$D107,0)</f>
        <v>0</v>
      </c>
      <c r="AY107" s="746">
        <f>ROUND(CantidadesConsolidadas[[#This Row],[48657]]*$D107,0)</f>
        <v>0</v>
      </c>
      <c r="AZ107" s="746">
        <f>ROUND(CantidadesConsolidadas[[#This Row],[48655]]*$D107,0)</f>
        <v>0</v>
      </c>
      <c r="BA107" s="806">
        <f>SUBTOTAL(9,CostoDirecto[[#This Row],[91013913]:[174353]])</f>
        <v>0</v>
      </c>
      <c r="BB107" s="806">
        <f>SUBTOTAL(9,CostoDirecto[[#This Row],[52531]:[48655]])</f>
        <v>14962759</v>
      </c>
    </row>
    <row r="108" spans="1:54" ht="28.8" x14ac:dyDescent="0.3">
      <c r="A108">
        <v>4859</v>
      </c>
      <c r="B108" s="511" t="str">
        <f>+_xlfn.XLOOKUP(CostoDirecto[[#This Row],[cod Idu]],APU_IDU[Código],APU_IDU[Nombre],"",0)</f>
        <v>BORDE CONTENEDOR DE RAICES A 70 (INCLUYE SUMINISTRO E INSTALACIÓN, INCLUYE BASE DE 3CM EN MORTERO 1:3 HECHO EN OBRA)</v>
      </c>
      <c r="C108" s="497" t="str">
        <f>+_xlfn.XLOOKUP(CostoDirecto[[#This Row],[cod Idu]],APU_IDU[Código],APU_IDU[UM],"",0)</f>
        <v>ML</v>
      </c>
      <c r="D108" s="521">
        <f>+_xlfn.XLOOKUP(CostoDirecto[[#This Row],[cod Idu]],APU_IDU[Código],APU_IDU[Valor],"",0)</f>
        <v>53964</v>
      </c>
      <c r="E108" s="728">
        <f>ROUND(CantidadesConsolidadas[[#This Row],[91013913]]*$D108,0)</f>
        <v>0</v>
      </c>
      <c r="F108" s="728">
        <f>ROUND(CantidadesConsolidadas[[#This Row],[472330]]*$D108,0)</f>
        <v>0</v>
      </c>
      <c r="G108" s="728">
        <f>ROUND(CantidadesConsolidadas[[#This Row],[167810]]*$D108,0)</f>
        <v>0</v>
      </c>
      <c r="H108" s="728">
        <f>ROUND(CantidadesConsolidadas[[#This Row],[166646]]*$D108,0)</f>
        <v>0</v>
      </c>
      <c r="I108" s="728">
        <f>ROUND(CantidadesConsolidadas[[#This Row],[167491]]*$D108,0)</f>
        <v>0</v>
      </c>
      <c r="J108" s="728">
        <f>ROUND(CantidadesConsolidadas[[#This Row],[167266]]*$D108,0)</f>
        <v>0</v>
      </c>
      <c r="K108" s="728">
        <f>ROUND(CantidadesConsolidadas[[#This Row],[170896]]*$D108,0)</f>
        <v>0</v>
      </c>
      <c r="L108" s="728">
        <f>ROUND(CantidadesConsolidadas[[#This Row],[170897]]*$D108,0)</f>
        <v>0</v>
      </c>
      <c r="M108" s="728">
        <f>ROUND(CantidadesConsolidadas[[#This Row],[170898]]*$D108,0)</f>
        <v>0</v>
      </c>
      <c r="N108" s="728">
        <f>ROUND(CantidadesConsolidadas[[#This Row],[91064150]]*$D108,0)</f>
        <v>0</v>
      </c>
      <c r="O108" s="728">
        <f>ROUND(CantidadesConsolidadas[[#This Row],[168919]]*$D108,0)</f>
        <v>0</v>
      </c>
      <c r="P108" s="728">
        <f>ROUND(CantidadesConsolidadas[[#This Row],[168426]]*$D108,0)</f>
        <v>0</v>
      </c>
      <c r="Q108" s="728">
        <f>ROUND(CantidadesConsolidadas[[#This Row],[91020796]]*$D108,0)</f>
        <v>0</v>
      </c>
      <c r="R108" s="728">
        <f>ROUND(CantidadesConsolidadas[[#This Row],[176184]]*$D108,0)</f>
        <v>0</v>
      </c>
      <c r="S108" s="728">
        <f>ROUND(CantidadesConsolidadas[[#This Row],[167636]]*$D108,0)</f>
        <v>0</v>
      </c>
      <c r="T108" s="728">
        <f>ROUND(CantidadesConsolidadas[[#This Row],[176730]]*$D108,0)</f>
        <v>0</v>
      </c>
      <c r="U108" s="728">
        <f>ROUND(CantidadesConsolidadas[[#This Row],[173038]]*$D108,0)</f>
        <v>0</v>
      </c>
      <c r="V108" s="728">
        <f>ROUND(CantidadesConsolidadas[[#This Row],[170222]]*$D108,0)</f>
        <v>0</v>
      </c>
      <c r="W108" s="728">
        <f>ROUND(CantidadesConsolidadas[[#This Row],[170229]]*$D108,0)</f>
        <v>0</v>
      </c>
      <c r="X108" s="728">
        <f>ROUND(CantidadesConsolidadas[[#This Row],[170227]]*$D108,0)</f>
        <v>0</v>
      </c>
      <c r="Y108" s="728">
        <f>ROUND(CantidadesConsolidadas[[#This Row],[170226]]*$D108,0)</f>
        <v>0</v>
      </c>
      <c r="Z108" s="728">
        <f>ROUND(CantidadesConsolidadas[[#This Row],[171567]]*$D108,0)</f>
        <v>0</v>
      </c>
      <c r="AA108" s="728">
        <f>ROUND(CantidadesConsolidadas[[#This Row],[166632]]*$D108,0)</f>
        <v>0</v>
      </c>
      <c r="AB108" s="728">
        <f>ROUND(CantidadesConsolidadas[[#This Row],[170228]]*$D108,0)</f>
        <v>0</v>
      </c>
      <c r="AC108" s="728">
        <f>ROUND(CantidadesConsolidadas[[#This Row],[172926]]*$D108,0)</f>
        <v>0</v>
      </c>
      <c r="AD108" s="728">
        <f>ROUND(CantidadesConsolidadas[[#This Row],[171152]]*$D108,0)</f>
        <v>0</v>
      </c>
      <c r="AE108" s="728">
        <f>ROUND(CantidadesConsolidadas[[#This Row],[173058]]*$D108,0)</f>
        <v>0</v>
      </c>
      <c r="AF108" s="728">
        <f>ROUND(CantidadesConsolidadas[[#This Row],[174478]]*$D108,0)</f>
        <v>0</v>
      </c>
      <c r="AG108" s="728">
        <f>ROUND(CantidadesConsolidadas[[#This Row],[91010089]]*$D108,0)</f>
        <v>0</v>
      </c>
      <c r="AH108" s="728">
        <f>ROUND(CantidadesConsolidadas[[#This Row],[176122]]*$D108,0)</f>
        <v>0</v>
      </c>
      <c r="AI108" s="728">
        <f>ROUND(CantidadesConsolidadas[[#This Row],[168536]]*$D108,0)</f>
        <v>0</v>
      </c>
      <c r="AJ108" s="728">
        <f>ROUND(CantidadesConsolidadas[[#This Row],[166934]]*$D108,0)</f>
        <v>0</v>
      </c>
      <c r="AK108" s="728">
        <f>ROUND(CantidadesConsolidadas[[#This Row],[174353]]*$D108,0)</f>
        <v>0</v>
      </c>
      <c r="AL108" s="747">
        <f>ROUND(CantidadesConsolidadas[[#This Row],[52531]]*$D108,0)</f>
        <v>0</v>
      </c>
      <c r="AM108" s="746">
        <f>ROUND(CantidadesConsolidadas[[#This Row],[52456]]*$D108,0)</f>
        <v>0</v>
      </c>
      <c r="AN108" s="746">
        <f>ROUND(CantidadesConsolidadas[[#This Row],[92058103]]*$D108,0)</f>
        <v>0</v>
      </c>
      <c r="AO108" s="746">
        <f>ROUND(CantidadesConsolidadas[[#This Row],[20011114]]*$D108,0)</f>
        <v>0</v>
      </c>
      <c r="AP108" s="746">
        <f>ROUND(CantidadesConsolidadas[[#This Row],[20013540]]*$D108,0)</f>
        <v>269820</v>
      </c>
      <c r="AQ108" s="746">
        <f>ROUND(CantidadesConsolidadas[[#This Row],[55337]]*$D108,0)</f>
        <v>0</v>
      </c>
      <c r="AR108" s="746">
        <f>ROUND(CantidadesConsolidadas[[#This Row],[92087422]]*$D108,0)</f>
        <v>0</v>
      </c>
      <c r="AS108" s="746">
        <f>ROUND(CantidadesConsolidadas[[#This Row],[55259]]*$D108,0)</f>
        <v>0</v>
      </c>
      <c r="AT108" s="746">
        <f>ROUND(CantidadesConsolidadas[[#This Row],[466904]]*$D108,0)</f>
        <v>0</v>
      </c>
      <c r="AU108" s="746">
        <f>ROUND(CantidadesConsolidadas[[#This Row],[48591]]*$D108,0)</f>
        <v>0</v>
      </c>
      <c r="AV108" s="746">
        <f>ROUND(CantidadesConsolidadas[[#This Row],[48590]]*$D108,0)</f>
        <v>0</v>
      </c>
      <c r="AW108" s="746">
        <f>ROUND(CantidadesConsolidadas[[#This Row],[48561]]*$D108,0)</f>
        <v>0</v>
      </c>
      <c r="AX108" s="746">
        <f>ROUND(CantidadesConsolidadas[[#This Row],[48560]]*$D108,0)</f>
        <v>0</v>
      </c>
      <c r="AY108" s="746">
        <f>ROUND(CantidadesConsolidadas[[#This Row],[48657]]*$D108,0)</f>
        <v>0</v>
      </c>
      <c r="AZ108" s="746">
        <f>ROUND(CantidadesConsolidadas[[#This Row],[48655]]*$D108,0)</f>
        <v>0</v>
      </c>
      <c r="BA108" s="806">
        <f>SUBTOTAL(9,CostoDirecto[[#This Row],[91013913]:[174353]])</f>
        <v>0</v>
      </c>
      <c r="BB108" s="806">
        <f>SUBTOTAL(9,CostoDirecto[[#This Row],[52531]:[48655]])</f>
        <v>269820</v>
      </c>
    </row>
    <row r="109" spans="1:54" ht="28.8" x14ac:dyDescent="0.3">
      <c r="A109">
        <v>3403</v>
      </c>
      <c r="B109" s="511" t="str">
        <f>+_xlfn.XLOOKUP(CostoDirecto[[#This Row],[cod Idu]],APU_IDU[Código],APU_IDU[Nombre],"",0)</f>
        <v>CONTENEDOR DE RAICES TIPO B20 (TIPO A) (1.2X1.2X1.40M. INC. SUMINISTRO, CONSTRUCCIÓN Y FILTRO EN GRAVILLA. NO INC. TIERRA)</v>
      </c>
      <c r="C109" s="497" t="str">
        <f>+_xlfn.XLOOKUP(CostoDirecto[[#This Row],[cod Idu]],APU_IDU[Código],APU_IDU[UM],"",0)</f>
        <v>UN</v>
      </c>
      <c r="D109" s="521">
        <f>+_xlfn.XLOOKUP(CostoDirecto[[#This Row],[cod Idu]],APU_IDU[Código],APU_IDU[Valor],"",0)</f>
        <v>974631</v>
      </c>
      <c r="E109" s="728">
        <f>ROUND(CantidadesConsolidadas[[#This Row],[91013913]]*$D109,0)</f>
        <v>0</v>
      </c>
      <c r="F109" s="728">
        <f>ROUND(CantidadesConsolidadas[[#This Row],[472330]]*$D109,0)</f>
        <v>0</v>
      </c>
      <c r="G109" s="728">
        <f>ROUND(CantidadesConsolidadas[[#This Row],[167810]]*$D109,0)</f>
        <v>0</v>
      </c>
      <c r="H109" s="728">
        <f>ROUND(CantidadesConsolidadas[[#This Row],[166646]]*$D109,0)</f>
        <v>0</v>
      </c>
      <c r="I109" s="728">
        <f>ROUND(CantidadesConsolidadas[[#This Row],[167491]]*$D109,0)</f>
        <v>0</v>
      </c>
      <c r="J109" s="728">
        <f>ROUND(CantidadesConsolidadas[[#This Row],[167266]]*$D109,0)</f>
        <v>0</v>
      </c>
      <c r="K109" s="728">
        <f>ROUND(CantidadesConsolidadas[[#This Row],[170896]]*$D109,0)</f>
        <v>0</v>
      </c>
      <c r="L109" s="728">
        <f>ROUND(CantidadesConsolidadas[[#This Row],[170897]]*$D109,0)</f>
        <v>0</v>
      </c>
      <c r="M109" s="728">
        <f>ROUND(CantidadesConsolidadas[[#This Row],[170898]]*$D109,0)</f>
        <v>0</v>
      </c>
      <c r="N109" s="728">
        <f>ROUND(CantidadesConsolidadas[[#This Row],[91064150]]*$D109,0)</f>
        <v>0</v>
      </c>
      <c r="O109" s="728">
        <f>ROUND(CantidadesConsolidadas[[#This Row],[168919]]*$D109,0)</f>
        <v>0</v>
      </c>
      <c r="P109" s="728">
        <f>ROUND(CantidadesConsolidadas[[#This Row],[168426]]*$D109,0)</f>
        <v>0</v>
      </c>
      <c r="Q109" s="728">
        <f>ROUND(CantidadesConsolidadas[[#This Row],[91020796]]*$D109,0)</f>
        <v>0</v>
      </c>
      <c r="R109" s="728">
        <f>ROUND(CantidadesConsolidadas[[#This Row],[176184]]*$D109,0)</f>
        <v>0</v>
      </c>
      <c r="S109" s="728">
        <f>ROUND(CantidadesConsolidadas[[#This Row],[167636]]*$D109,0)</f>
        <v>0</v>
      </c>
      <c r="T109" s="728">
        <f>ROUND(CantidadesConsolidadas[[#This Row],[176730]]*$D109,0)</f>
        <v>0</v>
      </c>
      <c r="U109" s="728">
        <f>ROUND(CantidadesConsolidadas[[#This Row],[173038]]*$D109,0)</f>
        <v>0</v>
      </c>
      <c r="V109" s="728">
        <f>ROUND(CantidadesConsolidadas[[#This Row],[170222]]*$D109,0)</f>
        <v>0</v>
      </c>
      <c r="W109" s="728">
        <f>ROUND(CantidadesConsolidadas[[#This Row],[170229]]*$D109,0)</f>
        <v>0</v>
      </c>
      <c r="X109" s="728">
        <f>ROUND(CantidadesConsolidadas[[#This Row],[170227]]*$D109,0)</f>
        <v>0</v>
      </c>
      <c r="Y109" s="728">
        <f>ROUND(CantidadesConsolidadas[[#This Row],[170226]]*$D109,0)</f>
        <v>0</v>
      </c>
      <c r="Z109" s="728">
        <f>ROUND(CantidadesConsolidadas[[#This Row],[171567]]*$D109,0)</f>
        <v>0</v>
      </c>
      <c r="AA109" s="728">
        <f>ROUND(CantidadesConsolidadas[[#This Row],[166632]]*$D109,0)</f>
        <v>0</v>
      </c>
      <c r="AB109" s="728">
        <f>ROUND(CantidadesConsolidadas[[#This Row],[170228]]*$D109,0)</f>
        <v>0</v>
      </c>
      <c r="AC109" s="728">
        <f>ROUND(CantidadesConsolidadas[[#This Row],[172926]]*$D109,0)</f>
        <v>0</v>
      </c>
      <c r="AD109" s="728">
        <f>ROUND(CantidadesConsolidadas[[#This Row],[171152]]*$D109,0)</f>
        <v>0</v>
      </c>
      <c r="AE109" s="728">
        <f>ROUND(CantidadesConsolidadas[[#This Row],[173058]]*$D109,0)</f>
        <v>0</v>
      </c>
      <c r="AF109" s="728">
        <f>ROUND(CantidadesConsolidadas[[#This Row],[174478]]*$D109,0)</f>
        <v>0</v>
      </c>
      <c r="AG109" s="728">
        <f>ROUND(CantidadesConsolidadas[[#This Row],[91010089]]*$D109,0)</f>
        <v>0</v>
      </c>
      <c r="AH109" s="728">
        <f>ROUND(CantidadesConsolidadas[[#This Row],[176122]]*$D109,0)</f>
        <v>0</v>
      </c>
      <c r="AI109" s="728">
        <f>ROUND(CantidadesConsolidadas[[#This Row],[168536]]*$D109,0)</f>
        <v>0</v>
      </c>
      <c r="AJ109" s="728">
        <f>ROUND(CantidadesConsolidadas[[#This Row],[166934]]*$D109,0)</f>
        <v>0</v>
      </c>
      <c r="AK109" s="728">
        <f>ROUND(CantidadesConsolidadas[[#This Row],[174353]]*$D109,0)</f>
        <v>0</v>
      </c>
      <c r="AL109" s="747">
        <f>ROUND(CantidadesConsolidadas[[#This Row],[52531]]*$D109,0)</f>
        <v>0</v>
      </c>
      <c r="AM109" s="746">
        <f>ROUND(CantidadesConsolidadas[[#This Row],[52456]]*$D109,0)</f>
        <v>0</v>
      </c>
      <c r="AN109" s="746">
        <f>ROUND(CantidadesConsolidadas[[#This Row],[92058103]]*$D109,0)</f>
        <v>0</v>
      </c>
      <c r="AO109" s="746">
        <f>ROUND(CantidadesConsolidadas[[#This Row],[20011114]]*$D109,0)</f>
        <v>0</v>
      </c>
      <c r="AP109" s="746">
        <f>ROUND(CantidadesConsolidadas[[#This Row],[20013540]]*$D109,0)</f>
        <v>3898524</v>
      </c>
      <c r="AQ109" s="746">
        <f>ROUND(CantidadesConsolidadas[[#This Row],[55337]]*$D109,0)</f>
        <v>0</v>
      </c>
      <c r="AR109" s="746">
        <f>ROUND(CantidadesConsolidadas[[#This Row],[92087422]]*$D109,0)</f>
        <v>0</v>
      </c>
      <c r="AS109" s="746">
        <f>ROUND(CantidadesConsolidadas[[#This Row],[55259]]*$D109,0)</f>
        <v>0</v>
      </c>
      <c r="AT109" s="746">
        <f>ROUND(CantidadesConsolidadas[[#This Row],[466904]]*$D109,0)</f>
        <v>0</v>
      </c>
      <c r="AU109" s="746">
        <f>ROUND(CantidadesConsolidadas[[#This Row],[48591]]*$D109,0)</f>
        <v>0</v>
      </c>
      <c r="AV109" s="746">
        <f>ROUND(CantidadesConsolidadas[[#This Row],[48590]]*$D109,0)</f>
        <v>0</v>
      </c>
      <c r="AW109" s="746">
        <f>ROUND(CantidadesConsolidadas[[#This Row],[48561]]*$D109,0)</f>
        <v>0</v>
      </c>
      <c r="AX109" s="746">
        <f>ROUND(CantidadesConsolidadas[[#This Row],[48560]]*$D109,0)</f>
        <v>0</v>
      </c>
      <c r="AY109" s="746">
        <f>ROUND(CantidadesConsolidadas[[#This Row],[48657]]*$D109,0)</f>
        <v>0</v>
      </c>
      <c r="AZ109" s="746">
        <f>ROUND(CantidadesConsolidadas[[#This Row],[48655]]*$D109,0)</f>
        <v>0</v>
      </c>
      <c r="BA109" s="806">
        <f>SUBTOTAL(9,CostoDirecto[[#This Row],[91013913]:[174353]])</f>
        <v>0</v>
      </c>
      <c r="BB109" s="806">
        <f>SUBTOTAL(9,CostoDirecto[[#This Row],[52531]:[48655]])</f>
        <v>3898524</v>
      </c>
    </row>
    <row r="110" spans="1:54" ht="28.8" x14ac:dyDescent="0.3">
      <c r="A110">
        <v>3721</v>
      </c>
      <c r="B110" s="511" t="str">
        <f>+_xlfn.XLOOKUP(CostoDirecto[[#This Row],[cod Idu]],APU_IDU[Código],APU_IDU[Nombre],"",0)</f>
        <v>SIEMBRA DE GRAMA (INCLUYE SUMINISTRO E INSTALACIÓN. INCLUYE 10CM DE TIERRA NEGRA)</v>
      </c>
      <c r="C110" s="497" t="str">
        <f>+_xlfn.XLOOKUP(CostoDirecto[[#This Row],[cod Idu]],APU_IDU[Código],APU_IDU[UM],"",0)</f>
        <v>M2</v>
      </c>
      <c r="D110" s="521">
        <f>+_xlfn.XLOOKUP(CostoDirecto[[#This Row],[cod Idu]],APU_IDU[Código],APU_IDU[Valor],"",0)</f>
        <v>35923</v>
      </c>
      <c r="E110" s="728">
        <f>ROUND(CantidadesConsolidadas[[#This Row],[91013913]]*$D110,0)</f>
        <v>0</v>
      </c>
      <c r="F110" s="728">
        <f>ROUND(CantidadesConsolidadas[[#This Row],[472330]]*$D110,0)</f>
        <v>0</v>
      </c>
      <c r="G110" s="728">
        <f>ROUND(CantidadesConsolidadas[[#This Row],[167810]]*$D110,0)</f>
        <v>0</v>
      </c>
      <c r="H110" s="728">
        <f>ROUND(CantidadesConsolidadas[[#This Row],[166646]]*$D110,0)</f>
        <v>0</v>
      </c>
      <c r="I110" s="728">
        <f>ROUND(CantidadesConsolidadas[[#This Row],[167491]]*$D110,0)</f>
        <v>0</v>
      </c>
      <c r="J110" s="728">
        <f>ROUND(CantidadesConsolidadas[[#This Row],[167266]]*$D110,0)</f>
        <v>0</v>
      </c>
      <c r="K110" s="728">
        <f>ROUND(CantidadesConsolidadas[[#This Row],[170896]]*$D110,0)</f>
        <v>0</v>
      </c>
      <c r="L110" s="728">
        <f>ROUND(CantidadesConsolidadas[[#This Row],[170897]]*$D110,0)</f>
        <v>0</v>
      </c>
      <c r="M110" s="728">
        <f>ROUND(CantidadesConsolidadas[[#This Row],[170898]]*$D110,0)</f>
        <v>0</v>
      </c>
      <c r="N110" s="728">
        <f>ROUND(CantidadesConsolidadas[[#This Row],[91064150]]*$D110,0)</f>
        <v>0</v>
      </c>
      <c r="O110" s="728">
        <f>ROUND(CantidadesConsolidadas[[#This Row],[168919]]*$D110,0)</f>
        <v>0</v>
      </c>
      <c r="P110" s="728">
        <f>ROUND(CantidadesConsolidadas[[#This Row],[168426]]*$D110,0)</f>
        <v>0</v>
      </c>
      <c r="Q110" s="728">
        <f>ROUND(CantidadesConsolidadas[[#This Row],[91020796]]*$D110,0)</f>
        <v>0</v>
      </c>
      <c r="R110" s="728">
        <f>ROUND(CantidadesConsolidadas[[#This Row],[176184]]*$D110,0)</f>
        <v>0</v>
      </c>
      <c r="S110" s="728">
        <f>ROUND(CantidadesConsolidadas[[#This Row],[167636]]*$D110,0)</f>
        <v>0</v>
      </c>
      <c r="T110" s="728">
        <f>ROUND(CantidadesConsolidadas[[#This Row],[176730]]*$D110,0)</f>
        <v>0</v>
      </c>
      <c r="U110" s="728">
        <f>ROUND(CantidadesConsolidadas[[#This Row],[173038]]*$D110,0)</f>
        <v>0</v>
      </c>
      <c r="V110" s="728">
        <f>ROUND(CantidadesConsolidadas[[#This Row],[170222]]*$D110,0)</f>
        <v>0</v>
      </c>
      <c r="W110" s="728">
        <f>ROUND(CantidadesConsolidadas[[#This Row],[170229]]*$D110,0)</f>
        <v>0</v>
      </c>
      <c r="X110" s="728">
        <f>ROUND(CantidadesConsolidadas[[#This Row],[170227]]*$D110,0)</f>
        <v>0</v>
      </c>
      <c r="Y110" s="728">
        <f>ROUND(CantidadesConsolidadas[[#This Row],[170226]]*$D110,0)</f>
        <v>0</v>
      </c>
      <c r="Z110" s="728">
        <f>ROUND(CantidadesConsolidadas[[#This Row],[171567]]*$D110,0)</f>
        <v>0</v>
      </c>
      <c r="AA110" s="728">
        <f>ROUND(CantidadesConsolidadas[[#This Row],[166632]]*$D110,0)</f>
        <v>0</v>
      </c>
      <c r="AB110" s="728">
        <f>ROUND(CantidadesConsolidadas[[#This Row],[170228]]*$D110,0)</f>
        <v>0</v>
      </c>
      <c r="AC110" s="728">
        <f>ROUND(CantidadesConsolidadas[[#This Row],[172926]]*$D110,0)</f>
        <v>0</v>
      </c>
      <c r="AD110" s="728">
        <f>ROUND(CantidadesConsolidadas[[#This Row],[171152]]*$D110,0)</f>
        <v>0</v>
      </c>
      <c r="AE110" s="728">
        <f>ROUND(CantidadesConsolidadas[[#This Row],[173058]]*$D110,0)</f>
        <v>0</v>
      </c>
      <c r="AF110" s="728">
        <f>ROUND(CantidadesConsolidadas[[#This Row],[174478]]*$D110,0)</f>
        <v>0</v>
      </c>
      <c r="AG110" s="728">
        <f>ROUND(CantidadesConsolidadas[[#This Row],[91010089]]*$D110,0)</f>
        <v>0</v>
      </c>
      <c r="AH110" s="728">
        <f>ROUND(CantidadesConsolidadas[[#This Row],[176122]]*$D110,0)</f>
        <v>0</v>
      </c>
      <c r="AI110" s="728">
        <f>ROUND(CantidadesConsolidadas[[#This Row],[168536]]*$D110,0)</f>
        <v>0</v>
      </c>
      <c r="AJ110" s="728">
        <f>ROUND(CantidadesConsolidadas[[#This Row],[166934]]*$D110,0)</f>
        <v>0</v>
      </c>
      <c r="AK110" s="728">
        <f>ROUND(CantidadesConsolidadas[[#This Row],[174353]]*$D110,0)</f>
        <v>0</v>
      </c>
      <c r="AL110" s="747">
        <f>ROUND(CantidadesConsolidadas[[#This Row],[52531]]*$D110,0)</f>
        <v>0</v>
      </c>
      <c r="AM110" s="746">
        <f>ROUND(CantidadesConsolidadas[[#This Row],[52456]]*$D110,0)</f>
        <v>0</v>
      </c>
      <c r="AN110" s="746">
        <f>ROUND(CantidadesConsolidadas[[#This Row],[92058103]]*$D110,0)</f>
        <v>0</v>
      </c>
      <c r="AO110" s="746">
        <f>ROUND(CantidadesConsolidadas[[#This Row],[20011114]]*$D110,0)</f>
        <v>0</v>
      </c>
      <c r="AP110" s="746">
        <f>ROUND(CantidadesConsolidadas[[#This Row],[20013540]]*$D110,0)</f>
        <v>0</v>
      </c>
      <c r="AQ110" s="746">
        <f>ROUND(CantidadesConsolidadas[[#This Row],[55337]]*$D110,0)</f>
        <v>0</v>
      </c>
      <c r="AR110" s="746">
        <f>ROUND(CantidadesConsolidadas[[#This Row],[92087422]]*$D110,0)</f>
        <v>0</v>
      </c>
      <c r="AS110" s="746">
        <f>ROUND(CantidadesConsolidadas[[#This Row],[55259]]*$D110,0)</f>
        <v>0</v>
      </c>
      <c r="AT110" s="746">
        <f>ROUND(CantidadesConsolidadas[[#This Row],[466904]]*$D110,0)</f>
        <v>0</v>
      </c>
      <c r="AU110" s="746">
        <f>ROUND(CantidadesConsolidadas[[#This Row],[48591]]*$D110,0)</f>
        <v>0</v>
      </c>
      <c r="AV110" s="746">
        <f>ROUND(CantidadesConsolidadas[[#This Row],[48590]]*$D110,0)</f>
        <v>359230</v>
      </c>
      <c r="AW110" s="746">
        <f>ROUND(CantidadesConsolidadas[[#This Row],[48561]]*$D110,0)</f>
        <v>0</v>
      </c>
      <c r="AX110" s="746">
        <f>ROUND(CantidadesConsolidadas[[#This Row],[48560]]*$D110,0)</f>
        <v>0</v>
      </c>
      <c r="AY110" s="746">
        <f>ROUND(CantidadesConsolidadas[[#This Row],[48657]]*$D110,0)</f>
        <v>0</v>
      </c>
      <c r="AZ110" s="746">
        <f>ROUND(CantidadesConsolidadas[[#This Row],[48655]]*$D110,0)</f>
        <v>0</v>
      </c>
      <c r="BA110" s="806">
        <f>SUBTOTAL(9,CostoDirecto[[#This Row],[91013913]:[174353]])</f>
        <v>0</v>
      </c>
      <c r="BB110" s="806">
        <f>SUBTOTAL(9,CostoDirecto[[#This Row],[52531]:[48655]])</f>
        <v>359230</v>
      </c>
    </row>
    <row r="111" spans="1:54" ht="57.6" x14ac:dyDescent="0.3">
      <c r="A111">
        <v>4909</v>
      </c>
      <c r="B111" s="511" t="str">
        <f>+_xlfn.XLOOKUP(CostoDirecto[[#This Row],[cod Idu]],APU_IDU[Código],APU_IDU[Nombre],"",0)</f>
        <v>RAMPA VEHICULAR FUNDIDA EN EL SITIO EN CONCRETO PREMEZCLADO DE 3000 PSI (GRAVA COMUN) SUM, CONSTR. E INSTALACIÓN. INCLUYE ACABADO EN ADOQUIN DE ARCILLA TIPO TRÁFICO PESADO O SIMILAR, BASE DE 4CM EN MORTERO DE 2000 PSI.</v>
      </c>
      <c r="C111" s="497" t="str">
        <f>+_xlfn.XLOOKUP(CostoDirecto[[#This Row],[cod Idu]],APU_IDU[Código],APU_IDU[UM],"",0)</f>
        <v>M2</v>
      </c>
      <c r="D111" s="521">
        <f>+_xlfn.XLOOKUP(CostoDirecto[[#This Row],[cod Idu]],APU_IDU[Código],APU_IDU[Valor],"",0)</f>
        <v>215223</v>
      </c>
      <c r="E111" s="728">
        <f>ROUND(CantidadesConsolidadas[[#This Row],[91013913]]*$D111,0)</f>
        <v>0</v>
      </c>
      <c r="F111" s="728">
        <f>ROUND(CantidadesConsolidadas[[#This Row],[472330]]*$D111,0)</f>
        <v>0</v>
      </c>
      <c r="G111" s="728">
        <f>ROUND(CantidadesConsolidadas[[#This Row],[167810]]*$D111,0)</f>
        <v>0</v>
      </c>
      <c r="H111" s="728">
        <f>ROUND(CantidadesConsolidadas[[#This Row],[166646]]*$D111,0)</f>
        <v>0</v>
      </c>
      <c r="I111" s="728">
        <f>ROUND(CantidadesConsolidadas[[#This Row],[167491]]*$D111,0)</f>
        <v>0</v>
      </c>
      <c r="J111" s="728">
        <f>ROUND(CantidadesConsolidadas[[#This Row],[167266]]*$D111,0)</f>
        <v>0</v>
      </c>
      <c r="K111" s="728">
        <f>ROUND(CantidadesConsolidadas[[#This Row],[170896]]*$D111,0)</f>
        <v>0</v>
      </c>
      <c r="L111" s="728">
        <f>ROUND(CantidadesConsolidadas[[#This Row],[170897]]*$D111,0)</f>
        <v>0</v>
      </c>
      <c r="M111" s="728">
        <f>ROUND(CantidadesConsolidadas[[#This Row],[170898]]*$D111,0)</f>
        <v>0</v>
      </c>
      <c r="N111" s="728">
        <f>ROUND(CantidadesConsolidadas[[#This Row],[91064150]]*$D111,0)</f>
        <v>0</v>
      </c>
      <c r="O111" s="728">
        <f>ROUND(CantidadesConsolidadas[[#This Row],[168919]]*$D111,0)</f>
        <v>0</v>
      </c>
      <c r="P111" s="728">
        <f>ROUND(CantidadesConsolidadas[[#This Row],[168426]]*$D111,0)</f>
        <v>0</v>
      </c>
      <c r="Q111" s="728">
        <f>ROUND(CantidadesConsolidadas[[#This Row],[91020796]]*$D111,0)</f>
        <v>0</v>
      </c>
      <c r="R111" s="728">
        <f>ROUND(CantidadesConsolidadas[[#This Row],[176184]]*$D111,0)</f>
        <v>0</v>
      </c>
      <c r="S111" s="728">
        <f>ROUND(CantidadesConsolidadas[[#This Row],[167636]]*$D111,0)</f>
        <v>0</v>
      </c>
      <c r="T111" s="728">
        <f>ROUND(CantidadesConsolidadas[[#This Row],[176730]]*$D111,0)</f>
        <v>0</v>
      </c>
      <c r="U111" s="728">
        <f>ROUND(CantidadesConsolidadas[[#This Row],[173038]]*$D111,0)</f>
        <v>0</v>
      </c>
      <c r="V111" s="728">
        <f>ROUND(CantidadesConsolidadas[[#This Row],[170222]]*$D111,0)</f>
        <v>0</v>
      </c>
      <c r="W111" s="728">
        <f>ROUND(CantidadesConsolidadas[[#This Row],[170229]]*$D111,0)</f>
        <v>0</v>
      </c>
      <c r="X111" s="728">
        <f>ROUND(CantidadesConsolidadas[[#This Row],[170227]]*$D111,0)</f>
        <v>0</v>
      </c>
      <c r="Y111" s="728">
        <f>ROUND(CantidadesConsolidadas[[#This Row],[170226]]*$D111,0)</f>
        <v>0</v>
      </c>
      <c r="Z111" s="728">
        <f>ROUND(CantidadesConsolidadas[[#This Row],[171567]]*$D111,0)</f>
        <v>0</v>
      </c>
      <c r="AA111" s="728">
        <f>ROUND(CantidadesConsolidadas[[#This Row],[166632]]*$D111,0)</f>
        <v>0</v>
      </c>
      <c r="AB111" s="728">
        <f>ROUND(CantidadesConsolidadas[[#This Row],[170228]]*$D111,0)</f>
        <v>0</v>
      </c>
      <c r="AC111" s="728">
        <f>ROUND(CantidadesConsolidadas[[#This Row],[172926]]*$D111,0)</f>
        <v>0</v>
      </c>
      <c r="AD111" s="728">
        <f>ROUND(CantidadesConsolidadas[[#This Row],[171152]]*$D111,0)</f>
        <v>0</v>
      </c>
      <c r="AE111" s="728">
        <f>ROUND(CantidadesConsolidadas[[#This Row],[173058]]*$D111,0)</f>
        <v>0</v>
      </c>
      <c r="AF111" s="728">
        <f>ROUND(CantidadesConsolidadas[[#This Row],[174478]]*$D111,0)</f>
        <v>0</v>
      </c>
      <c r="AG111" s="728">
        <f>ROUND(CantidadesConsolidadas[[#This Row],[91010089]]*$D111,0)</f>
        <v>0</v>
      </c>
      <c r="AH111" s="728">
        <f>ROUND(CantidadesConsolidadas[[#This Row],[176122]]*$D111,0)</f>
        <v>0</v>
      </c>
      <c r="AI111" s="728">
        <f>ROUND(CantidadesConsolidadas[[#This Row],[168536]]*$D111,0)</f>
        <v>0</v>
      </c>
      <c r="AJ111" s="728">
        <f>ROUND(CantidadesConsolidadas[[#This Row],[166934]]*$D111,0)</f>
        <v>0</v>
      </c>
      <c r="AK111" s="728">
        <f>ROUND(CantidadesConsolidadas[[#This Row],[174353]]*$D111,0)</f>
        <v>0</v>
      </c>
      <c r="AL111" s="747">
        <f>ROUND(CantidadesConsolidadas[[#This Row],[52531]]*$D111,0)</f>
        <v>0</v>
      </c>
      <c r="AM111" s="746">
        <f>ROUND(CantidadesConsolidadas[[#This Row],[52456]]*$D111,0)</f>
        <v>0</v>
      </c>
      <c r="AN111" s="746">
        <f>ROUND(CantidadesConsolidadas[[#This Row],[92058103]]*$D111,0)</f>
        <v>667191</v>
      </c>
      <c r="AO111" s="746">
        <f>ROUND(CantidadesConsolidadas[[#This Row],[20011114]]*$D111,0)</f>
        <v>0</v>
      </c>
      <c r="AP111" s="746">
        <f>ROUND(CantidadesConsolidadas[[#This Row],[20013540]]*$D111,0)</f>
        <v>0</v>
      </c>
      <c r="AQ111" s="746">
        <f>ROUND(CantidadesConsolidadas[[#This Row],[55337]]*$D111,0)</f>
        <v>0</v>
      </c>
      <c r="AR111" s="746">
        <f>ROUND(CantidadesConsolidadas[[#This Row],[92087422]]*$D111,0)</f>
        <v>0</v>
      </c>
      <c r="AS111" s="746">
        <f>ROUND(CantidadesConsolidadas[[#This Row],[55259]]*$D111,0)</f>
        <v>0</v>
      </c>
      <c r="AT111" s="746">
        <f>ROUND(CantidadesConsolidadas[[#This Row],[466904]]*$D111,0)</f>
        <v>0</v>
      </c>
      <c r="AU111" s="746">
        <f>ROUND(CantidadesConsolidadas[[#This Row],[48591]]*$D111,0)</f>
        <v>8987712</v>
      </c>
      <c r="AV111" s="746">
        <f>ROUND(CantidadesConsolidadas[[#This Row],[48590]]*$D111,0)</f>
        <v>0</v>
      </c>
      <c r="AW111" s="746">
        <f>ROUND(CantidadesConsolidadas[[#This Row],[48561]]*$D111,0)</f>
        <v>0</v>
      </c>
      <c r="AX111" s="746">
        <f>ROUND(CantidadesConsolidadas[[#This Row],[48560]]*$D111,0)</f>
        <v>0</v>
      </c>
      <c r="AY111" s="746">
        <f>ROUND(CantidadesConsolidadas[[#This Row],[48657]]*$D111,0)</f>
        <v>0</v>
      </c>
      <c r="AZ111" s="746">
        <f>ROUND(CantidadesConsolidadas[[#This Row],[48655]]*$D111,0)</f>
        <v>0</v>
      </c>
      <c r="BA111" s="806">
        <f>SUBTOTAL(9,CostoDirecto[[#This Row],[91013913]:[174353]])</f>
        <v>0</v>
      </c>
      <c r="BB111" s="806">
        <f>SUBTOTAL(9,CostoDirecto[[#This Row],[52531]:[48655]])</f>
        <v>9654903</v>
      </c>
    </row>
    <row r="112" spans="1:54" ht="43.2" x14ac:dyDescent="0.3">
      <c r="A112">
        <v>8499</v>
      </c>
      <c r="B112" s="606" t="str">
        <f>+_xlfn.XLOOKUP(CostoDirecto[[#This Row],[cod Idu]],APU_IDU[Código],APU_IDU[Nombre],"",0)</f>
        <v>LOSETA PREFABRICADA EN CONCRETO A20 TIPO PANOT DE 20X20X6CM COLOR GRIS (SUMINISTRO E INSTALACIÓN. INCLUYE MORTERO DE 1500 PSI DE NIVELACIÓN)</v>
      </c>
      <c r="C112" s="609" t="str">
        <f>+_xlfn.XLOOKUP(CostoDirecto[[#This Row],[cod Idu]],APU_IDU[Código],APU_IDU[UM],"",0)</f>
        <v>M2</v>
      </c>
      <c r="D112" s="745">
        <f>+_xlfn.XLOOKUP(CostoDirecto[[#This Row],[cod Idu]],APU_IDU[Código],APU_IDU[Valor],"",0)</f>
        <v>152558</v>
      </c>
      <c r="E112" s="728">
        <f>ROUND(CantidadesConsolidadas[[#This Row],[91013913]]*$D112,0)</f>
        <v>0</v>
      </c>
      <c r="F112" s="728">
        <f>ROUND(CantidadesConsolidadas[[#This Row],[472330]]*$D112,0)</f>
        <v>0</v>
      </c>
      <c r="G112" s="728">
        <f>ROUND(CantidadesConsolidadas[[#This Row],[167810]]*$D112,0)</f>
        <v>0</v>
      </c>
      <c r="H112" s="728">
        <f>ROUND(CantidadesConsolidadas[[#This Row],[166646]]*$D112,0)</f>
        <v>0</v>
      </c>
      <c r="I112" s="728">
        <f>ROUND(CantidadesConsolidadas[[#This Row],[167491]]*$D112,0)</f>
        <v>0</v>
      </c>
      <c r="J112" s="728">
        <f>ROUND(CantidadesConsolidadas[[#This Row],[167266]]*$D112,0)</f>
        <v>0</v>
      </c>
      <c r="K112" s="728">
        <f>ROUND(CantidadesConsolidadas[[#This Row],[170896]]*$D112,0)</f>
        <v>0</v>
      </c>
      <c r="L112" s="728">
        <f>ROUND(CantidadesConsolidadas[[#This Row],[170897]]*$D112,0)</f>
        <v>0</v>
      </c>
      <c r="M112" s="728">
        <f>ROUND(CantidadesConsolidadas[[#This Row],[170898]]*$D112,0)</f>
        <v>0</v>
      </c>
      <c r="N112" s="728">
        <f>ROUND(CantidadesConsolidadas[[#This Row],[91064150]]*$D112,0)</f>
        <v>0</v>
      </c>
      <c r="O112" s="728">
        <f>ROUND(CantidadesConsolidadas[[#This Row],[168919]]*$D112,0)</f>
        <v>0</v>
      </c>
      <c r="P112" s="728">
        <f>ROUND(CantidadesConsolidadas[[#This Row],[168426]]*$D112,0)</f>
        <v>0</v>
      </c>
      <c r="Q112" s="728">
        <f>ROUND(CantidadesConsolidadas[[#This Row],[91020796]]*$D112,0)</f>
        <v>0</v>
      </c>
      <c r="R112" s="728">
        <f>ROUND(CantidadesConsolidadas[[#This Row],[176184]]*$D112,0)</f>
        <v>0</v>
      </c>
      <c r="S112" s="728">
        <f>ROUND(CantidadesConsolidadas[[#This Row],[167636]]*$D112,0)</f>
        <v>0</v>
      </c>
      <c r="T112" s="728">
        <f>ROUND(CantidadesConsolidadas[[#This Row],[176730]]*$D112,0)</f>
        <v>0</v>
      </c>
      <c r="U112" s="728">
        <f>ROUND(CantidadesConsolidadas[[#This Row],[173038]]*$D112,0)</f>
        <v>0</v>
      </c>
      <c r="V112" s="728">
        <f>ROUND(CantidadesConsolidadas[[#This Row],[170222]]*$D112,0)</f>
        <v>0</v>
      </c>
      <c r="W112" s="728">
        <f>ROUND(CantidadesConsolidadas[[#This Row],[170229]]*$D112,0)</f>
        <v>0</v>
      </c>
      <c r="X112" s="728">
        <f>ROUND(CantidadesConsolidadas[[#This Row],[170227]]*$D112,0)</f>
        <v>0</v>
      </c>
      <c r="Y112" s="728">
        <f>ROUND(CantidadesConsolidadas[[#This Row],[170226]]*$D112,0)</f>
        <v>0</v>
      </c>
      <c r="Z112" s="728">
        <f>ROUND(CantidadesConsolidadas[[#This Row],[171567]]*$D112,0)</f>
        <v>0</v>
      </c>
      <c r="AA112" s="728">
        <f>ROUND(CantidadesConsolidadas[[#This Row],[166632]]*$D112,0)</f>
        <v>0</v>
      </c>
      <c r="AB112" s="728">
        <f>ROUND(CantidadesConsolidadas[[#This Row],[170228]]*$D112,0)</f>
        <v>0</v>
      </c>
      <c r="AC112" s="728">
        <f>ROUND(CantidadesConsolidadas[[#This Row],[172926]]*$D112,0)</f>
        <v>0</v>
      </c>
      <c r="AD112" s="728">
        <f>ROUND(CantidadesConsolidadas[[#This Row],[171152]]*$D112,0)</f>
        <v>0</v>
      </c>
      <c r="AE112" s="728">
        <f>ROUND(CantidadesConsolidadas[[#This Row],[173058]]*$D112,0)</f>
        <v>0</v>
      </c>
      <c r="AF112" s="728">
        <f>ROUND(CantidadesConsolidadas[[#This Row],[174478]]*$D112,0)</f>
        <v>0</v>
      </c>
      <c r="AG112" s="728">
        <f>ROUND(CantidadesConsolidadas[[#This Row],[91010089]]*$D112,0)</f>
        <v>0</v>
      </c>
      <c r="AH112" s="728">
        <f>ROUND(CantidadesConsolidadas[[#This Row],[176122]]*$D112,0)</f>
        <v>0</v>
      </c>
      <c r="AI112" s="728">
        <f>ROUND(CantidadesConsolidadas[[#This Row],[168536]]*$D112,0)</f>
        <v>0</v>
      </c>
      <c r="AJ112" s="728">
        <f>ROUND(CantidadesConsolidadas[[#This Row],[166934]]*$D112,0)</f>
        <v>0</v>
      </c>
      <c r="AK112" s="728">
        <f>ROUND(CantidadesConsolidadas[[#This Row],[174353]]*$D112,0)</f>
        <v>0</v>
      </c>
      <c r="AL112" s="747">
        <f>ROUND(CantidadesConsolidadas[[#This Row],[52531]]*$D112,0)</f>
        <v>0</v>
      </c>
      <c r="AM112" s="746">
        <f>ROUND(CantidadesConsolidadas[[#This Row],[52456]]*$D112,0)</f>
        <v>0</v>
      </c>
      <c r="AN112" s="746">
        <f>ROUND(CantidadesConsolidadas[[#This Row],[92058103]]*$D112,0)</f>
        <v>0</v>
      </c>
      <c r="AO112" s="746">
        <f>ROUND(CantidadesConsolidadas[[#This Row],[20011114]]*$D112,0)</f>
        <v>23699885</v>
      </c>
      <c r="AP112" s="746">
        <f>ROUND(CantidadesConsolidadas[[#This Row],[20013540]]*$D112,0)</f>
        <v>0</v>
      </c>
      <c r="AQ112" s="746">
        <f>ROUND(CantidadesConsolidadas[[#This Row],[55337]]*$D112,0)</f>
        <v>0</v>
      </c>
      <c r="AR112" s="746">
        <f>ROUND(CantidadesConsolidadas[[#This Row],[92087422]]*$D112,0)</f>
        <v>0</v>
      </c>
      <c r="AS112" s="746">
        <f>ROUND(CantidadesConsolidadas[[#This Row],[55259]]*$D112,0)</f>
        <v>54934610</v>
      </c>
      <c r="AT112" s="746">
        <f>ROUND(CantidadesConsolidadas[[#This Row],[466904]]*$D112,0)</f>
        <v>0</v>
      </c>
      <c r="AU112" s="746">
        <f>ROUND(CantidadesConsolidadas[[#This Row],[48591]]*$D112,0)</f>
        <v>0</v>
      </c>
      <c r="AV112" s="746">
        <f>ROUND(CantidadesConsolidadas[[#This Row],[48590]]*$D112,0)</f>
        <v>0</v>
      </c>
      <c r="AW112" s="746">
        <f>ROUND(CantidadesConsolidadas[[#This Row],[48561]]*$D112,0)</f>
        <v>0</v>
      </c>
      <c r="AX112" s="746">
        <f>ROUND(CantidadesConsolidadas[[#This Row],[48560]]*$D112,0)</f>
        <v>0</v>
      </c>
      <c r="AY112" s="746">
        <f>ROUND(CantidadesConsolidadas[[#This Row],[48657]]*$D112,0)</f>
        <v>0</v>
      </c>
      <c r="AZ112" s="746">
        <f>ROUND(CantidadesConsolidadas[[#This Row],[48655]]*$D112,0)</f>
        <v>0</v>
      </c>
      <c r="BA112" s="806">
        <f>SUBTOTAL(9,CostoDirecto[[#This Row],[91013913]:[174353]])</f>
        <v>0</v>
      </c>
      <c r="BB112" s="806">
        <f>SUBTOTAL(9,CostoDirecto[[#This Row],[52531]:[48655]])</f>
        <v>78634495</v>
      </c>
    </row>
    <row r="113" spans="1:58" ht="43.2" x14ac:dyDescent="0.3">
      <c r="A113">
        <v>5426</v>
      </c>
      <c r="B113" s="606" t="str">
        <f>+_xlfn.XLOOKUP(CostoDirecto[[#This Row],[cod Idu]],APU_IDU[Código],APU_IDU[Nombre],"",0)</f>
        <v>CONCRETO 4000 PSI GRAVA COMÚN PARA RAMPAS Y ESCALERAS (PREMEZCLADO. INCL. SUMINISTRO, FORMALETEO Y COLOCACIÓN. NO INCL. REFUERZO, CURADO).</v>
      </c>
      <c r="C113" s="609" t="str">
        <f>+_xlfn.XLOOKUP(CostoDirecto[[#This Row],[cod Idu]],APU_IDU[Código],APU_IDU[UM],"",0)</f>
        <v>M3</v>
      </c>
      <c r="D113" s="745">
        <f>+_xlfn.XLOOKUP(CostoDirecto[[#This Row],[cod Idu]],APU_IDU[Código],APU_IDU[Valor],"",0)</f>
        <v>1041490</v>
      </c>
      <c r="E113" s="728">
        <f>ROUND(CantidadesConsolidadas[[#This Row],[91013913]]*$D113,0)</f>
        <v>0</v>
      </c>
      <c r="F113" s="728">
        <f>ROUND(CantidadesConsolidadas[[#This Row],[472330]]*$D113,0)</f>
        <v>0</v>
      </c>
      <c r="G113" s="728">
        <f>ROUND(CantidadesConsolidadas[[#This Row],[167810]]*$D113,0)</f>
        <v>0</v>
      </c>
      <c r="H113" s="728">
        <f>ROUND(CantidadesConsolidadas[[#This Row],[166646]]*$D113,0)</f>
        <v>0</v>
      </c>
      <c r="I113" s="728">
        <f>ROUND(CantidadesConsolidadas[[#This Row],[167491]]*$D113,0)</f>
        <v>0</v>
      </c>
      <c r="J113" s="728">
        <f>ROUND(CantidadesConsolidadas[[#This Row],[167266]]*$D113,0)</f>
        <v>0</v>
      </c>
      <c r="K113" s="728">
        <f>ROUND(CantidadesConsolidadas[[#This Row],[170896]]*$D113,0)</f>
        <v>0</v>
      </c>
      <c r="L113" s="728">
        <f>ROUND(CantidadesConsolidadas[[#This Row],[170897]]*$D113,0)</f>
        <v>0</v>
      </c>
      <c r="M113" s="728">
        <f>ROUND(CantidadesConsolidadas[[#This Row],[170898]]*$D113,0)</f>
        <v>0</v>
      </c>
      <c r="N113" s="728">
        <f>ROUND(CantidadesConsolidadas[[#This Row],[91064150]]*$D113,0)</f>
        <v>0</v>
      </c>
      <c r="O113" s="728">
        <f>ROUND(CantidadesConsolidadas[[#This Row],[168919]]*$D113,0)</f>
        <v>0</v>
      </c>
      <c r="P113" s="728">
        <f>ROUND(CantidadesConsolidadas[[#This Row],[168426]]*$D113,0)</f>
        <v>0</v>
      </c>
      <c r="Q113" s="728">
        <f>ROUND(CantidadesConsolidadas[[#This Row],[91020796]]*$D113,0)</f>
        <v>0</v>
      </c>
      <c r="R113" s="728">
        <f>ROUND(CantidadesConsolidadas[[#This Row],[176184]]*$D113,0)</f>
        <v>0</v>
      </c>
      <c r="S113" s="728">
        <f>ROUND(CantidadesConsolidadas[[#This Row],[167636]]*$D113,0)</f>
        <v>0</v>
      </c>
      <c r="T113" s="728">
        <f>ROUND(CantidadesConsolidadas[[#This Row],[176730]]*$D113,0)</f>
        <v>0</v>
      </c>
      <c r="U113" s="728">
        <f>ROUND(CantidadesConsolidadas[[#This Row],[173038]]*$D113,0)</f>
        <v>0</v>
      </c>
      <c r="V113" s="728">
        <f>ROUND(CantidadesConsolidadas[[#This Row],[170222]]*$D113,0)</f>
        <v>0</v>
      </c>
      <c r="W113" s="728">
        <f>ROUND(CantidadesConsolidadas[[#This Row],[170229]]*$D113,0)</f>
        <v>0</v>
      </c>
      <c r="X113" s="728">
        <f>ROUND(CantidadesConsolidadas[[#This Row],[170227]]*$D113,0)</f>
        <v>0</v>
      </c>
      <c r="Y113" s="728">
        <f>ROUND(CantidadesConsolidadas[[#This Row],[170226]]*$D113,0)</f>
        <v>0</v>
      </c>
      <c r="Z113" s="728">
        <f>ROUND(CantidadesConsolidadas[[#This Row],[171567]]*$D113,0)</f>
        <v>0</v>
      </c>
      <c r="AA113" s="728">
        <f>ROUND(CantidadesConsolidadas[[#This Row],[166632]]*$D113,0)</f>
        <v>0</v>
      </c>
      <c r="AB113" s="728">
        <f>ROUND(CantidadesConsolidadas[[#This Row],[170228]]*$D113,0)</f>
        <v>0</v>
      </c>
      <c r="AC113" s="728">
        <f>ROUND(CantidadesConsolidadas[[#This Row],[172926]]*$D113,0)</f>
        <v>0</v>
      </c>
      <c r="AD113" s="728">
        <f>ROUND(CantidadesConsolidadas[[#This Row],[171152]]*$D113,0)</f>
        <v>0</v>
      </c>
      <c r="AE113" s="728">
        <f>ROUND(CantidadesConsolidadas[[#This Row],[173058]]*$D113,0)</f>
        <v>0</v>
      </c>
      <c r="AF113" s="728">
        <f>ROUND(CantidadesConsolidadas[[#This Row],[174478]]*$D113,0)</f>
        <v>0</v>
      </c>
      <c r="AG113" s="728">
        <f>ROUND(CantidadesConsolidadas[[#This Row],[91010089]]*$D113,0)</f>
        <v>0</v>
      </c>
      <c r="AH113" s="728">
        <f>ROUND(CantidadesConsolidadas[[#This Row],[176122]]*$D113,0)</f>
        <v>0</v>
      </c>
      <c r="AI113" s="728">
        <f>ROUND(CantidadesConsolidadas[[#This Row],[168536]]*$D113,0)</f>
        <v>0</v>
      </c>
      <c r="AJ113" s="728">
        <f>ROUND(CantidadesConsolidadas[[#This Row],[166934]]*$D113,0)</f>
        <v>0</v>
      </c>
      <c r="AK113" s="728">
        <f>ROUND(CantidadesConsolidadas[[#This Row],[174353]]*$D113,0)</f>
        <v>0</v>
      </c>
      <c r="AL113" s="747">
        <f>ROUND(CantidadesConsolidadas[[#This Row],[52531]]*$D113,0)</f>
        <v>0</v>
      </c>
      <c r="AM113" s="746">
        <f>ROUND(CantidadesConsolidadas[[#This Row],[52456]]*$D113,0)</f>
        <v>0</v>
      </c>
      <c r="AN113" s="746">
        <f>ROUND(CantidadesConsolidadas[[#This Row],[92058103]]*$D113,0)</f>
        <v>0</v>
      </c>
      <c r="AO113" s="746">
        <f>ROUND(CantidadesConsolidadas[[#This Row],[20011114]]*$D113,0)</f>
        <v>0</v>
      </c>
      <c r="AP113" s="746">
        <f>ROUND(CantidadesConsolidadas[[#This Row],[20013540]]*$D113,0)</f>
        <v>0</v>
      </c>
      <c r="AQ113" s="746">
        <f>ROUND(CantidadesConsolidadas[[#This Row],[55337]]*$D113,0)</f>
        <v>0</v>
      </c>
      <c r="AR113" s="746">
        <f>ROUND(CantidadesConsolidadas[[#This Row],[92087422]]*$D113,0)</f>
        <v>0</v>
      </c>
      <c r="AS113" s="746">
        <f>ROUND(CantidadesConsolidadas[[#This Row],[55259]]*$D113,0)</f>
        <v>3749364</v>
      </c>
      <c r="AT113" s="746">
        <f>ROUND(CantidadesConsolidadas[[#This Row],[466904]]*$D113,0)</f>
        <v>0</v>
      </c>
      <c r="AU113" s="746">
        <f>ROUND(CantidadesConsolidadas[[#This Row],[48591]]*$D113,0)</f>
        <v>0</v>
      </c>
      <c r="AV113" s="746">
        <f>ROUND(CantidadesConsolidadas[[#This Row],[48590]]*$D113,0)</f>
        <v>0</v>
      </c>
      <c r="AW113" s="746">
        <f>ROUND(CantidadesConsolidadas[[#This Row],[48561]]*$D113,0)</f>
        <v>0</v>
      </c>
      <c r="AX113" s="746">
        <f>ROUND(CantidadesConsolidadas[[#This Row],[48560]]*$D113,0)</f>
        <v>0</v>
      </c>
      <c r="AY113" s="746">
        <f>ROUND(CantidadesConsolidadas[[#This Row],[48657]]*$D113,0)</f>
        <v>0</v>
      </c>
      <c r="AZ113" s="746">
        <f>ROUND(CantidadesConsolidadas[[#This Row],[48655]]*$D113,0)</f>
        <v>0</v>
      </c>
      <c r="BA113" s="806">
        <f>SUBTOTAL(9,CostoDirecto[[#This Row],[91013913]:[174353]])</f>
        <v>0</v>
      </c>
      <c r="BB113" s="806">
        <f>SUBTOTAL(9,CostoDirecto[[#This Row],[52531]:[48655]])</f>
        <v>3749364</v>
      </c>
    </row>
    <row r="114" spans="1:58" ht="28.8" x14ac:dyDescent="0.3">
      <c r="A114">
        <v>4051</v>
      </c>
      <c r="B114" s="606" t="str">
        <f>+_xlfn.XLOOKUP(CostoDirecto[[#This Row],[cod Idu]],APU_IDU[Código],APU_IDU[Nombre],"",0)</f>
        <v>ANDEN CONCRETO 3000 PSI (210 KG/CM2) HECHO EN OBRA E=0.10M (INCLUYE MEZCLA, FORMALETEO, FUNDIDA Y CURADO)</v>
      </c>
      <c r="C114" s="609" t="str">
        <f>+_xlfn.XLOOKUP(CostoDirecto[[#This Row],[cod Idu]],APU_IDU[Código],APU_IDU[UM],"",0)</f>
        <v>M2</v>
      </c>
      <c r="D114" s="745">
        <f>+_xlfn.XLOOKUP(CostoDirecto[[#This Row],[cod Idu]],APU_IDU[Código],APU_IDU[Valor],"",0)</f>
        <v>89665</v>
      </c>
      <c r="E114" s="728">
        <f>ROUND(CantidadesConsolidadas[[#This Row],[91013913]]*$D114,0)</f>
        <v>0</v>
      </c>
      <c r="F114" s="728">
        <f>ROUND(CantidadesConsolidadas[[#This Row],[472330]]*$D114,0)</f>
        <v>0</v>
      </c>
      <c r="G114" s="728">
        <f>ROUND(CantidadesConsolidadas[[#This Row],[167810]]*$D114,0)</f>
        <v>0</v>
      </c>
      <c r="H114" s="728">
        <f>ROUND(CantidadesConsolidadas[[#This Row],[166646]]*$D114,0)</f>
        <v>0</v>
      </c>
      <c r="I114" s="728">
        <f>ROUND(CantidadesConsolidadas[[#This Row],[167491]]*$D114,0)</f>
        <v>0</v>
      </c>
      <c r="J114" s="728">
        <f>ROUND(CantidadesConsolidadas[[#This Row],[167266]]*$D114,0)</f>
        <v>0</v>
      </c>
      <c r="K114" s="728">
        <f>ROUND(CantidadesConsolidadas[[#This Row],[170896]]*$D114,0)</f>
        <v>0</v>
      </c>
      <c r="L114" s="728">
        <f>ROUND(CantidadesConsolidadas[[#This Row],[170897]]*$D114,0)</f>
        <v>0</v>
      </c>
      <c r="M114" s="728">
        <f>ROUND(CantidadesConsolidadas[[#This Row],[170898]]*$D114,0)</f>
        <v>0</v>
      </c>
      <c r="N114" s="728">
        <f>ROUND(CantidadesConsolidadas[[#This Row],[91064150]]*$D114,0)</f>
        <v>0</v>
      </c>
      <c r="O114" s="728">
        <f>ROUND(CantidadesConsolidadas[[#This Row],[168919]]*$D114,0)</f>
        <v>0</v>
      </c>
      <c r="P114" s="728">
        <f>ROUND(CantidadesConsolidadas[[#This Row],[168426]]*$D114,0)</f>
        <v>0</v>
      </c>
      <c r="Q114" s="728">
        <f>ROUND(CantidadesConsolidadas[[#This Row],[91020796]]*$D114,0)</f>
        <v>0</v>
      </c>
      <c r="R114" s="728">
        <f>ROUND(CantidadesConsolidadas[[#This Row],[176184]]*$D114,0)</f>
        <v>0</v>
      </c>
      <c r="S114" s="728">
        <f>ROUND(CantidadesConsolidadas[[#This Row],[167636]]*$D114,0)</f>
        <v>0</v>
      </c>
      <c r="T114" s="728">
        <f>ROUND(CantidadesConsolidadas[[#This Row],[176730]]*$D114,0)</f>
        <v>0</v>
      </c>
      <c r="U114" s="728">
        <f>ROUND(CantidadesConsolidadas[[#This Row],[173038]]*$D114,0)</f>
        <v>0</v>
      </c>
      <c r="V114" s="728">
        <f>ROUND(CantidadesConsolidadas[[#This Row],[170222]]*$D114,0)</f>
        <v>0</v>
      </c>
      <c r="W114" s="728">
        <f>ROUND(CantidadesConsolidadas[[#This Row],[170229]]*$D114,0)</f>
        <v>0</v>
      </c>
      <c r="X114" s="728">
        <f>ROUND(CantidadesConsolidadas[[#This Row],[170227]]*$D114,0)</f>
        <v>0</v>
      </c>
      <c r="Y114" s="728">
        <f>ROUND(CantidadesConsolidadas[[#This Row],[170226]]*$D114,0)</f>
        <v>0</v>
      </c>
      <c r="Z114" s="728">
        <f>ROUND(CantidadesConsolidadas[[#This Row],[171567]]*$D114,0)</f>
        <v>0</v>
      </c>
      <c r="AA114" s="728">
        <f>ROUND(CantidadesConsolidadas[[#This Row],[166632]]*$D114,0)</f>
        <v>0</v>
      </c>
      <c r="AB114" s="728">
        <f>ROUND(CantidadesConsolidadas[[#This Row],[170228]]*$D114,0)</f>
        <v>0</v>
      </c>
      <c r="AC114" s="728">
        <f>ROUND(CantidadesConsolidadas[[#This Row],[172926]]*$D114,0)</f>
        <v>0</v>
      </c>
      <c r="AD114" s="728">
        <f>ROUND(CantidadesConsolidadas[[#This Row],[171152]]*$D114,0)</f>
        <v>0</v>
      </c>
      <c r="AE114" s="728">
        <f>ROUND(CantidadesConsolidadas[[#This Row],[173058]]*$D114,0)</f>
        <v>0</v>
      </c>
      <c r="AF114" s="728">
        <f>ROUND(CantidadesConsolidadas[[#This Row],[174478]]*$D114,0)</f>
        <v>0</v>
      </c>
      <c r="AG114" s="728">
        <f>ROUND(CantidadesConsolidadas[[#This Row],[91010089]]*$D114,0)</f>
        <v>0</v>
      </c>
      <c r="AH114" s="728">
        <f>ROUND(CantidadesConsolidadas[[#This Row],[176122]]*$D114,0)</f>
        <v>0</v>
      </c>
      <c r="AI114" s="728">
        <f>ROUND(CantidadesConsolidadas[[#This Row],[168536]]*$D114,0)</f>
        <v>0</v>
      </c>
      <c r="AJ114" s="728">
        <f>ROUND(CantidadesConsolidadas[[#This Row],[166934]]*$D114,0)</f>
        <v>0</v>
      </c>
      <c r="AK114" s="728">
        <f>ROUND(CantidadesConsolidadas[[#This Row],[174353]]*$D114,0)</f>
        <v>0</v>
      </c>
      <c r="AL114" s="747">
        <f>ROUND(CantidadesConsolidadas[[#This Row],[52531]]*$D114,0)</f>
        <v>0</v>
      </c>
      <c r="AM114" s="746">
        <f>ROUND(CantidadesConsolidadas[[#This Row],[52456]]*$D114,0)</f>
        <v>0</v>
      </c>
      <c r="AN114" s="746">
        <f>ROUND(CantidadesConsolidadas[[#This Row],[92058103]]*$D114,0)</f>
        <v>2776925</v>
      </c>
      <c r="AO114" s="746">
        <f>ROUND(CantidadesConsolidadas[[#This Row],[20011114]]*$D114,0)</f>
        <v>0</v>
      </c>
      <c r="AP114" s="746">
        <f>ROUND(CantidadesConsolidadas[[#This Row],[20013540]]*$D114,0)</f>
        <v>6081977</v>
      </c>
      <c r="AQ114" s="746">
        <f>ROUND(CantidadesConsolidadas[[#This Row],[55337]]*$D114,0)</f>
        <v>15625920</v>
      </c>
      <c r="AR114" s="746">
        <f>ROUND(CantidadesConsolidadas[[#This Row],[92087422]]*$D114,0)</f>
        <v>23962971</v>
      </c>
      <c r="AS114" s="746">
        <f>ROUND(CantidadesConsolidadas[[#This Row],[55259]]*$D114,0)</f>
        <v>0</v>
      </c>
      <c r="AT114" s="746">
        <f>ROUND(CantidadesConsolidadas[[#This Row],[466904]]*$D114,0)</f>
        <v>1705428</v>
      </c>
      <c r="AU114" s="746">
        <f>ROUND(CantidadesConsolidadas[[#This Row],[48591]]*$D114,0)</f>
        <v>37439621</v>
      </c>
      <c r="AV114" s="746">
        <f>ROUND(CantidadesConsolidadas[[#This Row],[48590]]*$D114,0)</f>
        <v>38590023</v>
      </c>
      <c r="AW114" s="746">
        <f>ROUND(CantidadesConsolidadas[[#This Row],[48561]]*$D114,0)</f>
        <v>39579028</v>
      </c>
      <c r="AX114" s="746">
        <f>ROUND(CantidadesConsolidadas[[#This Row],[48560]]*$D114,0)</f>
        <v>39904512</v>
      </c>
      <c r="AY114" s="746">
        <f>ROUND(CantidadesConsolidadas[[#This Row],[48657]]*$D114,0)</f>
        <v>19410679</v>
      </c>
      <c r="AZ114" s="746">
        <f>ROUND(CantidadesConsolidadas[[#This Row],[48655]]*$D114,0)</f>
        <v>6069424</v>
      </c>
      <c r="BA114" s="806">
        <f>SUBTOTAL(9,CostoDirecto[[#This Row],[91013913]:[174353]])</f>
        <v>0</v>
      </c>
      <c r="BB114" s="806">
        <f>SUBTOTAL(9,CostoDirecto[[#This Row],[52531]:[48655]])</f>
        <v>231146508</v>
      </c>
    </row>
    <row r="115" spans="1:58" x14ac:dyDescent="0.3">
      <c r="A115" s="640" t="s">
        <v>6740</v>
      </c>
      <c r="B115" s="641"/>
      <c r="C115" s="642"/>
      <c r="D115" s="642"/>
      <c r="E115" s="643">
        <f>SUBTOTAL(109,CostoDirecto[91013913])</f>
        <v>726711175</v>
      </c>
      <c r="F115" s="643">
        <f>SUBTOTAL(109,CostoDirecto[472330])</f>
        <v>358970488</v>
      </c>
      <c r="G115" s="643">
        <f>SUBTOTAL(109,CostoDirecto[167810])</f>
        <v>385790334</v>
      </c>
      <c r="H115" s="643">
        <f>SUBTOTAL(109,CostoDirecto[166646])</f>
        <v>260779399</v>
      </c>
      <c r="I115" s="643">
        <f>SUBTOTAL(109,CostoDirecto[167491])</f>
        <v>232415809</v>
      </c>
      <c r="J115" s="643">
        <f>SUBTOTAL(109,CostoDirecto[167266])</f>
        <v>301239482</v>
      </c>
      <c r="K115" s="643">
        <f>SUBTOTAL(109,CostoDirecto[170896])</f>
        <v>68390998</v>
      </c>
      <c r="L115" s="643">
        <f>SUBTOTAL(109,CostoDirecto[170897])</f>
        <v>90841066</v>
      </c>
      <c r="M115" s="643">
        <f>SUBTOTAL(109,CostoDirecto[170898])</f>
        <v>45523307</v>
      </c>
      <c r="N115" s="643">
        <f>SUBTOTAL(109,CostoDirecto[91064150])</f>
        <v>99862875</v>
      </c>
      <c r="O115" s="643">
        <f>SUBTOTAL(109,CostoDirecto[168919])</f>
        <v>263705309</v>
      </c>
      <c r="P115" s="643">
        <f>SUBTOTAL(109,CostoDirecto[168426])</f>
        <v>242800577</v>
      </c>
      <c r="Q115" s="643">
        <f>SUBTOTAL(109,CostoDirecto[91020796])</f>
        <v>89279686</v>
      </c>
      <c r="R115" s="643">
        <f>SUBTOTAL(109,CostoDirecto[176184])</f>
        <v>141821564</v>
      </c>
      <c r="S115" s="643">
        <f>SUBTOTAL(109,CostoDirecto[167636])</f>
        <v>313923732</v>
      </c>
      <c r="T115" s="643">
        <f>SUBTOTAL(109,CostoDirecto[176730])</f>
        <v>93329197</v>
      </c>
      <c r="U115" s="643">
        <f>SUBTOTAL(109,CostoDirecto[173038])</f>
        <v>268536350</v>
      </c>
      <c r="V115" s="643">
        <f>SUBTOTAL(109,CostoDirecto[170222])</f>
        <v>437179690</v>
      </c>
      <c r="W115" s="643">
        <f>SUBTOTAL(109,CostoDirecto[170229])</f>
        <v>62093002</v>
      </c>
      <c r="X115" s="643">
        <f>SUBTOTAL(109,CostoDirecto[170227])</f>
        <v>102275990</v>
      </c>
      <c r="Y115" s="643">
        <f>SUBTOTAL(109,CostoDirecto[170226])</f>
        <v>101066684</v>
      </c>
      <c r="Z115" s="643">
        <f>SUBTOTAL(109,CostoDirecto[171567])</f>
        <v>585408493</v>
      </c>
      <c r="AA115" s="643">
        <f>SUBTOTAL(109,CostoDirecto[166632])</f>
        <v>187179749</v>
      </c>
      <c r="AB115" s="643">
        <f>SUBTOTAL(109,CostoDirecto[170228])</f>
        <v>113176548</v>
      </c>
      <c r="AC115" s="643">
        <f>SUBTOTAL(109,CostoDirecto[172926])</f>
        <v>91583867</v>
      </c>
      <c r="AD115" s="643">
        <f>SUBTOTAL(109,CostoDirecto[171152])</f>
        <v>344551175</v>
      </c>
      <c r="AE115" s="643">
        <f>SUBTOTAL(109,CostoDirecto[173058])</f>
        <v>95834788</v>
      </c>
      <c r="AF115" s="643">
        <f>SUBTOTAL(109,CostoDirecto[174478])</f>
        <v>367467142</v>
      </c>
      <c r="AG115" s="643">
        <f>SUBTOTAL(109,CostoDirecto[91010089])</f>
        <v>120866196</v>
      </c>
      <c r="AH115" s="643">
        <f>SUBTOTAL(109,CostoDirecto[176122])</f>
        <v>277966382</v>
      </c>
      <c r="AI115" s="643">
        <f>SUBTOTAL(109,CostoDirecto[168536])</f>
        <v>242750263</v>
      </c>
      <c r="AJ115" s="643">
        <f>SUBTOTAL(109,CostoDirecto[166934])</f>
        <v>522688322</v>
      </c>
      <c r="AK115" s="643">
        <f>SUBTOTAL(109,CostoDirecto[174353])</f>
        <v>304838147</v>
      </c>
      <c r="AL115" s="727">
        <f>SUBTOTAL(109,CostoDirecto[52531])</f>
        <v>30574497</v>
      </c>
      <c r="AM115" s="727">
        <f>SUBTOTAL(109,CostoDirecto[52456])</f>
        <v>26560344</v>
      </c>
      <c r="AN115" s="727">
        <f>SUBTOTAL(109,CostoDirecto[92058103])</f>
        <v>14212739</v>
      </c>
      <c r="AO115" s="727">
        <f>SUBTOTAL(109,CostoDirecto[20011114])</f>
        <v>46193593</v>
      </c>
      <c r="AP115" s="727">
        <f>SUBTOTAL(109,CostoDirecto[20013540])</f>
        <v>20131935</v>
      </c>
      <c r="AQ115" s="727">
        <f>SUBTOTAL(109,CostoDirecto[55337])</f>
        <v>57498193</v>
      </c>
      <c r="AR115" s="727">
        <f>SUBTOTAL(109,CostoDirecto[92087422])</f>
        <v>73939641</v>
      </c>
      <c r="AS115" s="727">
        <f>SUBTOTAL(109,CostoDirecto[55259])</f>
        <v>112479313</v>
      </c>
      <c r="AT115" s="727">
        <f>SUBTOTAL(109,CostoDirecto[466904])</f>
        <v>7935646</v>
      </c>
      <c r="AU115" s="727">
        <f>SUBTOTAL(109,CostoDirecto[48591])</f>
        <v>119831761</v>
      </c>
      <c r="AV115" s="727">
        <f>SUBTOTAL(109,CostoDirecto[48590])</f>
        <v>116270729</v>
      </c>
      <c r="AW115" s="727">
        <f>SUBTOTAL(109,CostoDirecto[48561])</f>
        <v>118948353</v>
      </c>
      <c r="AX115" s="727">
        <f>SUBTOTAL(109,CostoDirecto[48560])</f>
        <v>120795302</v>
      </c>
      <c r="AY115" s="727">
        <f>SUBTOTAL(109,CostoDirecto[48657])</f>
        <v>48687983</v>
      </c>
      <c r="AZ115" s="727">
        <f>SUBTOTAL(109,CostoDirecto[48655])</f>
        <v>20588330</v>
      </c>
      <c r="BA115" s="727">
        <f>+SUM(CostoDirecto[[COSTO DIRECTO MALLA VIAL ]])</f>
        <v>7940847786</v>
      </c>
      <c r="BB115" s="727">
        <f>+SUM(CostoDirecto[COSTO DIRECTO ESPACIO PUBLICO])</f>
        <v>934648359</v>
      </c>
    </row>
    <row r="116" spans="1:58" x14ac:dyDescent="0.3">
      <c r="D116" s="17"/>
    </row>
    <row r="117" spans="1:58" x14ac:dyDescent="0.3">
      <c r="AU117" s="8"/>
      <c r="BF117" s="8"/>
    </row>
    <row r="118" spans="1:58" x14ac:dyDescent="0.3">
      <c r="BD118" s="17"/>
      <c r="BE118" s="18"/>
      <c r="BF118" s="739"/>
    </row>
    <row r="119" spans="1:58" x14ac:dyDescent="0.3">
      <c r="E119" s="18"/>
      <c r="BE119" s="739"/>
    </row>
  </sheetData>
  <phoneticPr fontId="18" type="noConversion"/>
  <conditionalFormatting sqref="E1:AK1">
    <cfRule type="containsBlanks" dxfId="1" priority="1">
      <formula>LEN(TRIM(E1))=0</formula>
    </cfRule>
  </conditionalFormatting>
  <conditionalFormatting sqref="AL1:AZ1">
    <cfRule type="containsBlanks" dxfId="0" priority="2">
      <formula>LEN(TRIM(AL1))=0</formula>
    </cfRule>
  </conditionalFormatting>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2EEE7-1BE9-409C-856C-42CB607CD4B5}">
  <sheetPr>
    <tabColor theme="5" tint="0.39997558519241921"/>
  </sheetPr>
  <dimension ref="B1:U38"/>
  <sheetViews>
    <sheetView topLeftCell="A22" zoomScale="85" zoomScaleNormal="85" workbookViewId="0">
      <selection activeCell="C23" sqref="C23"/>
    </sheetView>
  </sheetViews>
  <sheetFormatPr baseColWidth="10" defaultColWidth="8" defaultRowHeight="14.4" x14ac:dyDescent="0.3"/>
  <cols>
    <col min="1" max="1" width="8" style="532"/>
    <col min="2" max="2" width="6" style="532" customWidth="1"/>
    <col min="3" max="3" width="50.77734375" style="532" customWidth="1"/>
    <col min="4" max="4" width="14.21875" style="532" customWidth="1"/>
    <col min="5" max="5" width="9.44140625" style="532" customWidth="1"/>
    <col min="6" max="6" width="11.77734375" style="532" customWidth="1"/>
    <col min="7" max="7" width="10.21875" style="532" customWidth="1"/>
    <col min="8" max="8" width="15.5546875" style="532" customWidth="1"/>
    <col min="9" max="9" width="2.44140625" style="532" customWidth="1"/>
    <col min="10" max="10" width="8" style="532"/>
    <col min="11" max="11" width="21.109375" style="532" customWidth="1"/>
    <col min="12" max="16384" width="8" style="532"/>
  </cols>
  <sheetData>
    <row r="1" spans="2:21" x14ac:dyDescent="0.3">
      <c r="B1" s="921" t="s">
        <v>6196</v>
      </c>
      <c r="C1" s="921"/>
      <c r="D1" s="920" t="s">
        <v>6197</v>
      </c>
      <c r="E1" s="920"/>
      <c r="F1" s="920"/>
      <c r="G1" s="920"/>
      <c r="H1" s="920"/>
      <c r="I1" s="533"/>
      <c r="J1" s="534"/>
      <c r="K1" s="534"/>
      <c r="L1" s="534"/>
      <c r="M1" s="534"/>
      <c r="N1" s="534"/>
      <c r="O1" s="534"/>
      <c r="P1" s="534"/>
      <c r="Q1" s="534"/>
      <c r="R1" s="534"/>
      <c r="S1" s="534"/>
      <c r="T1" s="534"/>
      <c r="U1" s="534"/>
    </row>
    <row r="2" spans="2:21" x14ac:dyDescent="0.3">
      <c r="B2" s="923"/>
      <c r="C2" s="923"/>
      <c r="D2" s="563"/>
      <c r="E2" s="563"/>
      <c r="F2" s="563"/>
      <c r="G2" s="561" t="s">
        <v>5129</v>
      </c>
      <c r="H2" s="564">
        <f ca="1">TODAY()</f>
        <v>46293</v>
      </c>
      <c r="I2" s="534"/>
      <c r="J2" s="534"/>
      <c r="K2" s="534"/>
      <c r="L2" s="534"/>
      <c r="M2" s="534"/>
      <c r="N2" s="534"/>
      <c r="O2" s="534"/>
      <c r="P2" s="534"/>
      <c r="Q2" s="534"/>
      <c r="R2" s="534"/>
      <c r="S2" s="534"/>
      <c r="T2" s="534"/>
      <c r="U2" s="534"/>
    </row>
    <row r="3" spans="2:21" x14ac:dyDescent="0.3">
      <c r="B3" s="921" t="s">
        <v>5247</v>
      </c>
      <c r="C3" s="921"/>
      <c r="D3" s="921"/>
      <c r="E3" s="921"/>
      <c r="F3" s="921"/>
      <c r="G3" s="921"/>
      <c r="H3" s="921"/>
      <c r="I3" s="533"/>
      <c r="J3" s="534"/>
      <c r="K3" s="534"/>
      <c r="L3" s="534"/>
      <c r="M3" s="534"/>
      <c r="N3" s="534"/>
      <c r="O3" s="534"/>
      <c r="P3" s="534"/>
      <c r="Q3" s="534"/>
      <c r="R3" s="534"/>
      <c r="S3" s="534"/>
      <c r="T3" s="534"/>
      <c r="U3" s="534"/>
    </row>
    <row r="4" spans="2:21" x14ac:dyDescent="0.3">
      <c r="B4" s="921" t="str">
        <f>+'DATOS DEL PROCESO'!B2</f>
        <v>ALCALDÍA LOCAL DE SUBA</v>
      </c>
      <c r="C4" s="921"/>
      <c r="D4" s="921"/>
      <c r="E4" s="921"/>
      <c r="F4" s="921"/>
      <c r="G4" s="921"/>
      <c r="H4" s="921"/>
      <c r="I4" s="533"/>
      <c r="J4" s="534"/>
      <c r="K4" s="534"/>
      <c r="L4" s="534"/>
      <c r="M4" s="534"/>
      <c r="N4" s="534"/>
      <c r="O4" s="534"/>
      <c r="P4" s="534"/>
      <c r="Q4" s="534"/>
      <c r="R4" s="534"/>
      <c r="S4" s="534"/>
      <c r="T4" s="534"/>
      <c r="U4" s="534"/>
    </row>
    <row r="5" spans="2:21" x14ac:dyDescent="0.3">
      <c r="B5" s="921" t="s">
        <v>5271</v>
      </c>
      <c r="C5" s="921"/>
      <c r="D5" s="921"/>
      <c r="E5" s="921"/>
      <c r="F5" s="921"/>
      <c r="G5" s="921"/>
      <c r="H5" s="921"/>
      <c r="I5" s="533"/>
      <c r="J5" s="534"/>
      <c r="K5" s="534"/>
      <c r="L5" s="534"/>
      <c r="M5" s="534"/>
      <c r="N5" s="534"/>
      <c r="O5" s="534"/>
      <c r="P5" s="534"/>
      <c r="Q5" s="534"/>
      <c r="R5" s="534"/>
      <c r="S5" s="534"/>
      <c r="T5" s="534"/>
      <c r="U5" s="534"/>
    </row>
    <row r="6" spans="2:21" x14ac:dyDescent="0.3">
      <c r="B6" s="921" t="s">
        <v>5272</v>
      </c>
      <c r="C6" s="921"/>
      <c r="D6" s="921"/>
      <c r="E6" s="921"/>
      <c r="F6" s="921"/>
      <c r="G6" s="921"/>
      <c r="H6" s="921"/>
      <c r="I6" s="533"/>
      <c r="K6" s="533"/>
      <c r="L6" s="533"/>
      <c r="M6" s="533"/>
      <c r="N6" s="533"/>
      <c r="O6" s="533"/>
      <c r="P6" s="533"/>
      <c r="Q6" s="533"/>
      <c r="R6" s="533"/>
      <c r="S6" s="533"/>
      <c r="T6" s="533"/>
      <c r="U6" s="533"/>
    </row>
    <row r="7" spans="2:21" x14ac:dyDescent="0.3">
      <c r="B7" s="561" t="s">
        <v>0</v>
      </c>
      <c r="C7" s="561"/>
      <c r="D7" s="920" t="str">
        <f>+'DATOS DEL PROCESO'!B6</f>
        <v>EJECUTAR POR EL SISTEMA DE PRECIOS UNITARIOS Y A MONTO AGOTABLE LAS ACTIVIDADES PARA LA CONSERVACION DE LA MALLA VIAL LOCAL E INTERMEDIA Y ESPACIO PÚBLICO EN LA LOCALIDAD DE SUBA EN LA CIUDAD DE BOGOTA D.C</v>
      </c>
      <c r="E7" s="920"/>
      <c r="F7" s="920"/>
      <c r="G7" s="920"/>
      <c r="H7" s="920"/>
      <c r="I7" s="535"/>
      <c r="J7" s="535"/>
      <c r="K7" s="535"/>
      <c r="L7" s="535"/>
      <c r="M7" s="535"/>
      <c r="N7" s="535"/>
      <c r="O7" s="535"/>
      <c r="P7" s="535"/>
      <c r="Q7" s="535"/>
      <c r="R7" s="535"/>
      <c r="S7" s="535"/>
      <c r="T7" s="535"/>
      <c r="U7" s="535"/>
    </row>
    <row r="8" spans="2:21" x14ac:dyDescent="0.3">
      <c r="B8" s="925" t="s">
        <v>6198</v>
      </c>
      <c r="C8" s="925"/>
      <c r="D8" s="925"/>
      <c r="E8" s="925"/>
      <c r="F8" s="924">
        <f>+'DATOS DEL PROCESO'!$C$16</f>
        <v>9416618564</v>
      </c>
      <c r="G8" s="924"/>
      <c r="H8" s="924"/>
      <c r="I8" s="534"/>
      <c r="K8" s="536"/>
      <c r="L8" s="536"/>
      <c r="M8" s="536"/>
      <c r="N8" s="536"/>
      <c r="O8" s="536"/>
      <c r="P8" s="536"/>
      <c r="Q8" s="536"/>
      <c r="R8" s="536"/>
      <c r="S8" s="536"/>
      <c r="T8" s="536"/>
      <c r="U8" s="536"/>
    </row>
    <row r="9" spans="2:21" x14ac:dyDescent="0.3">
      <c r="B9" s="925" t="s">
        <v>5249</v>
      </c>
      <c r="C9" s="925"/>
      <c r="D9" s="925"/>
      <c r="E9" s="925"/>
      <c r="F9" s="562">
        <v>11</v>
      </c>
      <c r="G9" s="925" t="s">
        <v>5</v>
      </c>
      <c r="H9" s="925"/>
      <c r="I9" s="534"/>
      <c r="J9" s="534" t="s">
        <v>1</v>
      </c>
      <c r="K9" s="534"/>
      <c r="L9" s="534"/>
      <c r="M9" s="534"/>
      <c r="N9" s="534"/>
      <c r="O9" s="534"/>
      <c r="P9" s="534"/>
      <c r="Q9" s="534"/>
      <c r="R9" s="534"/>
      <c r="S9" s="534"/>
      <c r="T9" s="534"/>
      <c r="U9" s="534"/>
    </row>
    <row r="10" spans="2:21" ht="79.2" x14ac:dyDescent="0.3">
      <c r="B10" s="570" t="s">
        <v>5188</v>
      </c>
      <c r="C10" s="570" t="s">
        <v>6199</v>
      </c>
      <c r="D10" s="565" t="s">
        <v>5250</v>
      </c>
      <c r="E10" s="565" t="s">
        <v>6200</v>
      </c>
      <c r="F10" s="566" t="s">
        <v>6201</v>
      </c>
      <c r="G10" s="567" t="s">
        <v>6202</v>
      </c>
      <c r="H10" s="566" t="s">
        <v>6203</v>
      </c>
    </row>
    <row r="11" spans="2:21" x14ac:dyDescent="0.25">
      <c r="B11" s="922" t="s">
        <v>6204</v>
      </c>
      <c r="C11" s="922"/>
      <c r="D11" s="568"/>
      <c r="E11" s="537"/>
      <c r="F11" s="537"/>
      <c r="G11" s="537"/>
      <c r="H11" s="537"/>
    </row>
    <row r="12" spans="2:21" ht="24" x14ac:dyDescent="0.3">
      <c r="B12" s="571">
        <v>10996</v>
      </c>
      <c r="C12" s="572" t="str">
        <f>+_xlfn.XLOOKUP(B12,INSUMO_IDU[Código],INSUMO_IDU[Nombre],"",0)</f>
        <v>APIQUE MANUAL HASTA 2 M DE 1.5 M X 1.5 M - RELLENO Y ADECUACIÓN DEL SITIO - INCLUYE TRANSPORTE</v>
      </c>
      <c r="D12" s="569">
        <v>32</v>
      </c>
      <c r="E12" s="578" t="str">
        <f>+_xlfn.XLOOKUP(B12,INSUMO_IDU[Código],INSUMO_IDU[UM],"",0)</f>
        <v>UN</v>
      </c>
      <c r="F12" s="579">
        <f>+_xlfn.XLOOKUP(B12,INSUMO_IDU[Código],INSUMO_IDU[Precio],"",0)</f>
        <v>476000</v>
      </c>
      <c r="G12" s="538">
        <v>1.1000000000000001</v>
      </c>
      <c r="H12" s="579">
        <f>+ROUND(D12*F12*G12,0)</f>
        <v>16755200</v>
      </c>
    </row>
    <row r="13" spans="2:21" x14ac:dyDescent="0.3">
      <c r="B13" s="913" t="s">
        <v>6205</v>
      </c>
      <c r="C13" s="914"/>
      <c r="D13" s="580"/>
      <c r="E13" s="581"/>
      <c r="F13" s="581"/>
      <c r="G13" s="581"/>
      <c r="H13" s="581"/>
    </row>
    <row r="14" spans="2:21" ht="24" x14ac:dyDescent="0.3">
      <c r="B14" s="571">
        <v>8012</v>
      </c>
      <c r="C14" s="572" t="str">
        <f>+_xlfn.XLOOKUP(B14,INSUMO_IDU[Código],INSUMO_IDU[Nombre],"",0)</f>
        <v>CBR SOBRE MUESTRA INALTERADA (METODO II). Norma técnica: INVE-148-13 NTC-2122-13 ASTM D1883-21.</v>
      </c>
      <c r="D14" s="569">
        <v>32</v>
      </c>
      <c r="E14" s="578" t="str">
        <f>+_xlfn.XLOOKUP(B14,INSUMO_IDU[Código],INSUMO_IDU[UM],"",0)</f>
        <v>UN</v>
      </c>
      <c r="F14" s="579">
        <f>+_xlfn.XLOOKUP(B14,INSUMO_IDU[Código],INSUMO_IDU[Precio],"",0)</f>
        <v>186830</v>
      </c>
      <c r="G14" s="538">
        <v>1.1000000000000001</v>
      </c>
      <c r="H14" s="579">
        <f>+ROUND(D14*F14*G14,0)</f>
        <v>6576416</v>
      </c>
    </row>
    <row r="15" spans="2:21" ht="36" x14ac:dyDescent="0.3">
      <c r="B15" s="571">
        <v>7511</v>
      </c>
      <c r="C15" s="572" t="str">
        <f>+_xlfn.XLOOKUP(B15,INSUMO_IDU[Código],INSUMO_IDU[Nombre],"",0)</f>
        <v>CBR DE SUELOS COMPACTADOS EN EL LABORATORIO (METODO I). Norma técnica: INVE-148-13 NTC-2122-13 ASTM D1883-21.</v>
      </c>
      <c r="D15" s="569">
        <v>32</v>
      </c>
      <c r="E15" s="578" t="str">
        <f>+_xlfn.XLOOKUP(B15,INSUMO_IDU[Código],INSUMO_IDU[UM],"",0)</f>
        <v>UN</v>
      </c>
      <c r="F15" s="579">
        <f>+_xlfn.XLOOKUP(B15,INSUMO_IDU[Código],INSUMO_IDU[Precio],"",0)</f>
        <v>323561</v>
      </c>
      <c r="G15" s="538">
        <v>1.1000000000000001</v>
      </c>
      <c r="H15" s="579">
        <f>+ROUND(D15*F15*G15,0)</f>
        <v>11389347</v>
      </c>
    </row>
    <row r="16" spans="2:21" ht="48" x14ac:dyDescent="0.3">
      <c r="B16" s="571">
        <v>10019</v>
      </c>
      <c r="C16" s="572" t="str">
        <f>+_xlfn.XLOOKUP(B16,INSUMO_IDU[Código],INSUMO_IDU[Nombre],"",0)</f>
        <v>DETERMINACION DEL LIMITE LIQUIDO DE LOS SUELOS - LIMITE PLASTICO E INDICE DE PLASTICIDAD DE LOS SUELOS. Norma técnica: INVE-125-13 INVE-126-13 NTC-4630-99 ASTM D4318-17e1 (18).</v>
      </c>
      <c r="D16" s="569">
        <v>32</v>
      </c>
      <c r="E16" s="578" t="str">
        <f>+_xlfn.XLOOKUP(B16,INSUMO_IDU[Código],INSUMO_IDU[UM],"",0)</f>
        <v>UN</v>
      </c>
      <c r="F16" s="579">
        <f>+_xlfn.XLOOKUP(B16,INSUMO_IDU[Código],INSUMO_IDU[Precio],"",0)</f>
        <v>77469</v>
      </c>
      <c r="G16" s="538">
        <v>1.1000000000000001</v>
      </c>
      <c r="H16" s="579">
        <f>+ROUND(D16*F16*G16,0)</f>
        <v>2726909</v>
      </c>
    </row>
    <row r="17" spans="2:8" ht="24" x14ac:dyDescent="0.3">
      <c r="B17" s="571">
        <v>8062</v>
      </c>
      <c r="C17" s="572" t="str">
        <f>+_xlfn.XLOOKUP(B17,INSUMO_IDU[Código],INSUMO_IDU[Nombre],"",0)</f>
        <v>MODULO RESILIENTE DE SUELOS Y AGREGADOS. Norma técnica: INVE-156-13 AASHTO T-307-99 (21)</v>
      </c>
      <c r="D17" s="569">
        <v>32</v>
      </c>
      <c r="E17" s="578" t="str">
        <f>+_xlfn.XLOOKUP(B17,INSUMO_IDU[Código],INSUMO_IDU[UM],"",0)</f>
        <v>UN</v>
      </c>
      <c r="F17" s="579">
        <f>+_xlfn.XLOOKUP(B17,INSUMO_IDU[Código],INSUMO_IDU[Precio],"",0)</f>
        <v>1557829</v>
      </c>
      <c r="G17" s="538">
        <v>1.1000000000000001</v>
      </c>
      <c r="H17" s="579">
        <f t="shared" ref="H17:H28" si="0">+ROUND(D17*F17*G17,0)</f>
        <v>54835581</v>
      </c>
    </row>
    <row r="18" spans="2:8" ht="48" x14ac:dyDescent="0.3">
      <c r="B18" s="571">
        <v>7493</v>
      </c>
      <c r="C18" s="572" t="str">
        <f>+_xlfn.XLOOKUP(B18,INSUMO_IDU[Código],INSUMO_IDU[Nombre],"",0)</f>
        <v>DETERMINACION DE LA CANTIDAD DE MATERIAL QUE PASA EL TAMIZ DE 75 μm (N° 200) EN LOS AGREGADOS PETREOS MEDIANTE LAVADO. Norma técnica: INVE-214-19 NTC-78-19 ASTM C117-23 ASTM D1140-17</v>
      </c>
      <c r="D18" s="569">
        <v>32</v>
      </c>
      <c r="E18" s="578" t="str">
        <f>+_xlfn.XLOOKUP(B18,INSUMO_IDU[Código],INSUMO_IDU[UM],"",0)</f>
        <v>UN</v>
      </c>
      <c r="F18" s="579">
        <f>+_xlfn.XLOOKUP(B18,INSUMO_IDU[Código],INSUMO_IDU[Precio],"",0)</f>
        <v>53193</v>
      </c>
      <c r="G18" s="538">
        <v>1.1000000000000001</v>
      </c>
      <c r="H18" s="579">
        <f t="shared" si="0"/>
        <v>1872394</v>
      </c>
    </row>
    <row r="19" spans="2:8" ht="36" x14ac:dyDescent="0.3">
      <c r="B19" s="571">
        <v>7496</v>
      </c>
      <c r="C19" s="572" t="str">
        <f>+_xlfn.XLOOKUP(B19,INSUMO_IDU[Código],INSUMO_IDU[Nombre],"",0)</f>
        <v>DETERMINACION DE LOS FACTORES DE CONTRACCION DE LOS SUELOS. Norma técnica: INVE-127-13 NTC-1503-01 ASTM D427-04</v>
      </c>
      <c r="D19" s="569">
        <v>32</v>
      </c>
      <c r="E19" s="578" t="str">
        <f>+_xlfn.XLOOKUP(B19,INSUMO_IDU[Código],INSUMO_IDU[UM],"",0)</f>
        <v>UN</v>
      </c>
      <c r="F19" s="579">
        <f>+_xlfn.XLOOKUP(B19,INSUMO_IDU[Código],INSUMO_IDU[Precio],"",0)</f>
        <v>96390</v>
      </c>
      <c r="G19" s="538">
        <v>1.1000000000000001</v>
      </c>
      <c r="H19" s="579">
        <f t="shared" si="0"/>
        <v>3392928</v>
      </c>
    </row>
    <row r="20" spans="2:8" ht="24" x14ac:dyDescent="0.3">
      <c r="B20" s="571">
        <v>7737</v>
      </c>
      <c r="C20" s="572" t="str">
        <f>+_xlfn.XLOOKUP(B20,INSUMO_IDU[Código],INSUMO_IDU[Nombre],"",0)</f>
        <v>ANALISIS GRANULOMETRICO DE LOS AGREGADOS GRUESO Y FINO. Norma técnica: INVE-213-13 NTC-77-18.</v>
      </c>
      <c r="D20" s="569">
        <v>32</v>
      </c>
      <c r="E20" s="578" t="str">
        <f>+_xlfn.XLOOKUP(B20,INSUMO_IDU[Código],INSUMO_IDU[UM],"",0)</f>
        <v>UN</v>
      </c>
      <c r="F20" s="579">
        <f>+_xlfn.XLOOKUP(B20,INSUMO_IDU[Código],INSUMO_IDU[Precio],"",0)</f>
        <v>109956</v>
      </c>
      <c r="G20" s="538">
        <v>1.1000000000000001</v>
      </c>
      <c r="H20" s="579">
        <f t="shared" si="0"/>
        <v>3870451</v>
      </c>
    </row>
    <row r="21" spans="2:8" x14ac:dyDescent="0.3">
      <c r="B21" s="573"/>
      <c r="C21" s="574" t="s">
        <v>6206</v>
      </c>
      <c r="D21" s="580"/>
      <c r="E21" s="578"/>
      <c r="F21" s="581"/>
      <c r="G21" s="581"/>
      <c r="H21" s="581"/>
    </row>
    <row r="22" spans="2:8" ht="72" x14ac:dyDescent="0.3">
      <c r="B22" s="575">
        <v>11455</v>
      </c>
      <c r="C22" s="572" t="str">
        <f>+_xlfn.XLOOKUP(B22,INSUMO_IDU[Código],INSUMO_IDU[Nombre],"",0)</f>
        <v>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v>
      </c>
      <c r="D22" s="580">
        <v>11</v>
      </c>
      <c r="E22" s="578" t="str">
        <f>+_xlfn.XLOOKUP(B22,INSUMO_IDU[Código],INSUMO_IDU[UM],"",0)</f>
        <v>Pto.3R</v>
      </c>
      <c r="F22" s="579">
        <f>+_xlfn.XLOOKUP(B22,INSUMO_IDU[Código],INSUMO_IDU[Precio],"",0)</f>
        <v>40092</v>
      </c>
      <c r="G22" s="538">
        <v>1.1000000000000001</v>
      </c>
      <c r="H22" s="579">
        <f t="shared" si="0"/>
        <v>485113</v>
      </c>
    </row>
    <row r="23" spans="2:8" ht="72" x14ac:dyDescent="0.3">
      <c r="B23" s="575">
        <v>11456</v>
      </c>
      <c r="C23" s="572" t="str">
        <f>+_xlfn.XLOOKUP(B23,INSUMO_IDU[Código],INSUMO_IDU[Nombre],"",0)</f>
        <v>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v>
      </c>
      <c r="D23" s="580">
        <v>11</v>
      </c>
      <c r="E23" s="578" t="str">
        <f>+_xlfn.XLOOKUP(B23,INSUMO_IDU[Código],INSUMO_IDU[UM],"",0)</f>
        <v>Pto.3R</v>
      </c>
      <c r="F23" s="579">
        <f>+_xlfn.XLOOKUP(B23,INSUMO_IDU[Código],INSUMO_IDU[Precio],"",0)</f>
        <v>49679</v>
      </c>
      <c r="G23" s="538">
        <v>1.1000000000000001</v>
      </c>
      <c r="H23" s="579">
        <f t="shared" si="0"/>
        <v>601116</v>
      </c>
    </row>
    <row r="24" spans="2:8" x14ac:dyDescent="0.3">
      <c r="B24" s="913" t="s">
        <v>6207</v>
      </c>
      <c r="C24" s="914"/>
      <c r="D24" s="580"/>
      <c r="E24" s="581"/>
      <c r="F24" s="581"/>
      <c r="G24" s="581"/>
      <c r="H24" s="581"/>
    </row>
    <row r="25" spans="2:8" ht="48" x14ac:dyDescent="0.3">
      <c r="B25" s="571">
        <v>8000</v>
      </c>
      <c r="C25" s="572" t="str">
        <f>+_xlfn.XLOOKUP(B25,INSUMO_IDU[Código],INSUMO_IDU[Nombre],"",0)</f>
        <v>INSPECCIÓN DE REDES DE ALCANTARILLADO CON SISTEMA CCTV PARA DIÁMETROS ENTRE 6" Y 36". INCL MANO DE OBRA IDÓNEA, INFORME ESCRITO DE DIAGNÓSTICO Y DVD CON VIDEO. INCL IVA</v>
      </c>
      <c r="D25" s="577">
        <v>400</v>
      </c>
      <c r="E25" s="578" t="str">
        <f>+_xlfn.XLOOKUP(B25,INSUMO_IDU[Código],INSUMO_IDU[UM],"",0)</f>
        <v>ML</v>
      </c>
      <c r="F25" s="579">
        <f>+_xlfn.XLOOKUP(B25,INSUMO_IDU[Código],INSUMO_IDU[Precio],"",0)</f>
        <v>14999</v>
      </c>
      <c r="G25" s="538">
        <v>1.1000000000000001</v>
      </c>
      <c r="H25" s="579">
        <f t="shared" si="0"/>
        <v>6599560</v>
      </c>
    </row>
    <row r="26" spans="2:8" ht="60" x14ac:dyDescent="0.3">
      <c r="B26" s="571">
        <v>8003</v>
      </c>
      <c r="C26" s="572" t="str">
        <f>+_xlfn.XLOOKUP(B26,INSUMO_IDU[Código],INSUMO_IDU[Nombre],"",0)</f>
        <v>LAVADO Y SONDEO DE REDES DE ALCANTARILLADO ENTRE 18" Y 36" DE DIÁMETRO Y CON GRADO DE COLMATACIÓN MENOR DEL 30%. INCLUYE MANO DE OBRA IDÓNEA, SEÑALIZACIÓN BÁSICA, SUMIN DE COMBUSTIBLE Y AGUA. INCL IVA</v>
      </c>
      <c r="D26" s="577">
        <v>400</v>
      </c>
      <c r="E26" s="578" t="str">
        <f>+_xlfn.XLOOKUP(B26,INSUMO_IDU[Código],INSUMO_IDU[UM],"",0)</f>
        <v>ML</v>
      </c>
      <c r="F26" s="579">
        <f>+_xlfn.XLOOKUP(B26,INSUMO_IDU[Código],INSUMO_IDU[Precio],"",0)</f>
        <v>45220</v>
      </c>
      <c r="G26" s="538">
        <v>1.1000000000000001</v>
      </c>
      <c r="H26" s="579">
        <f t="shared" si="0"/>
        <v>19896800</v>
      </c>
    </row>
    <row r="27" spans="2:8" ht="24" x14ac:dyDescent="0.3">
      <c r="B27" s="571">
        <v>7892</v>
      </c>
      <c r="C27" s="572" t="str">
        <f>+_xlfn.XLOOKUP(B27,INSUMO_IDU[Código],INSUMO_IDU[Nombre],"",0)</f>
        <v>EQUIPO DE PRESION - SUCCION - SONDEO - LIMPIEZA - RECOLECCIÓN DE LODOS NO PELIGROSOS (No incluye agua).</v>
      </c>
      <c r="D27" s="569">
        <v>445.64260196815565</v>
      </c>
      <c r="E27" s="578" t="str">
        <f>+_xlfn.XLOOKUP(B27,INSUMO_IDU[Código],INSUMO_IDU[UM],"",0)</f>
        <v>HR</v>
      </c>
      <c r="F27" s="579">
        <f>+_xlfn.XLOOKUP(B27,INSUMO_IDU[Código],INSUMO_IDU[Precio],"",0)</f>
        <v>380000</v>
      </c>
      <c r="G27" s="538">
        <v>1.1000000000000001</v>
      </c>
      <c r="H27" s="579">
        <f t="shared" si="0"/>
        <v>186278608</v>
      </c>
    </row>
    <row r="28" spans="2:8" x14ac:dyDescent="0.3">
      <c r="B28" s="582">
        <v>6098</v>
      </c>
      <c r="C28" s="572" t="str">
        <f>+_xlfn.XLOOKUP(B28,INSUMO_IDU[Código],INSUMO_IDU[Nombre],"",0)</f>
        <v>AGUA</v>
      </c>
      <c r="D28" s="583">
        <v>400</v>
      </c>
      <c r="E28" s="578" t="str">
        <f>+_xlfn.XLOOKUP(B28,INSUMO_IDU[Código],INSUMO_IDU[UM],"",0)</f>
        <v>LT</v>
      </c>
      <c r="F28" s="579">
        <f>+_xlfn.XLOOKUP(B28,INSUMO_IDU[Código],INSUMO_IDU[Precio],"",0)</f>
        <v>28</v>
      </c>
      <c r="G28" s="584">
        <v>1.1000000000000001</v>
      </c>
      <c r="H28" s="579">
        <f t="shared" si="0"/>
        <v>12320</v>
      </c>
    </row>
    <row r="29" spans="2:8" ht="14.4" customHeight="1" x14ac:dyDescent="0.3">
      <c r="B29" s="915" t="s">
        <v>6208</v>
      </c>
      <c r="C29" s="915"/>
      <c r="D29" s="918"/>
      <c r="E29" s="918"/>
      <c r="F29" s="918"/>
      <c r="G29" s="918"/>
      <c r="H29" s="621">
        <f>SUBTOTAL(9,H11:H28)</f>
        <v>315292743</v>
      </c>
    </row>
    <row r="30" spans="2:8" x14ac:dyDescent="0.25">
      <c r="B30" s="911"/>
      <c r="C30" s="911"/>
      <c r="D30" s="916"/>
      <c r="E30" s="916"/>
      <c r="F30" s="916"/>
      <c r="G30" s="916"/>
      <c r="H30" s="585"/>
    </row>
    <row r="31" spans="2:8" ht="14.4" customHeight="1" x14ac:dyDescent="0.25">
      <c r="B31" s="586" t="s">
        <v>6209</v>
      </c>
      <c r="C31" s="586"/>
      <c r="D31" s="917"/>
      <c r="E31" s="917"/>
      <c r="F31" s="917"/>
      <c r="G31" s="917"/>
      <c r="H31" s="587">
        <v>0</v>
      </c>
    </row>
    <row r="32" spans="2:8" x14ac:dyDescent="0.25">
      <c r="B32" s="911"/>
      <c r="C32" s="911"/>
      <c r="D32" s="916"/>
      <c r="E32" s="916"/>
      <c r="F32" s="916"/>
      <c r="G32" s="916"/>
      <c r="H32" s="585"/>
    </row>
    <row r="33" spans="2:11" ht="14.4" customHeight="1" x14ac:dyDescent="0.3">
      <c r="B33" s="586" t="s">
        <v>6210</v>
      </c>
      <c r="C33" s="586"/>
      <c r="D33" s="918"/>
      <c r="E33" s="918"/>
      <c r="F33" s="918"/>
      <c r="G33" s="918"/>
      <c r="H33" s="621">
        <f>+H29+H31</f>
        <v>315292743</v>
      </c>
    </row>
    <row r="34" spans="2:11" ht="14.4" customHeight="1" x14ac:dyDescent="0.3">
      <c r="B34" s="586" t="s">
        <v>6211</v>
      </c>
      <c r="C34" s="586"/>
      <c r="D34" s="919">
        <v>0.19</v>
      </c>
      <c r="E34" s="919"/>
      <c r="F34" s="919"/>
      <c r="G34" s="919"/>
      <c r="H34" s="622">
        <f>ROUND(H33*D34,0)</f>
        <v>59905621</v>
      </c>
    </row>
    <row r="35" spans="2:11" ht="14.4" customHeight="1" x14ac:dyDescent="0.3">
      <c r="B35" s="586" t="s">
        <v>6212</v>
      </c>
      <c r="C35" s="586"/>
      <c r="D35" s="918"/>
      <c r="E35" s="918"/>
      <c r="F35" s="918"/>
      <c r="G35" s="918"/>
      <c r="H35" s="622">
        <f>+H33+H34</f>
        <v>375198364</v>
      </c>
      <c r="K35" s="576"/>
    </row>
    <row r="36" spans="2:11" x14ac:dyDescent="0.3">
      <c r="B36" s="911"/>
      <c r="C36" s="911"/>
      <c r="D36" s="911"/>
      <c r="E36" s="911"/>
      <c r="F36" s="911"/>
      <c r="G36" s="911"/>
      <c r="H36" s="911"/>
    </row>
    <row r="37" spans="2:11" ht="14.4" customHeight="1" x14ac:dyDescent="0.3">
      <c r="B37" s="912" t="s">
        <v>6213</v>
      </c>
      <c r="C37" s="912"/>
      <c r="D37" s="912"/>
      <c r="E37" s="912"/>
      <c r="F37" s="912"/>
      <c r="G37" s="912"/>
      <c r="H37" s="539">
        <f>+H35/F8</f>
        <v>3.9844277587540181E-2</v>
      </c>
    </row>
    <row r="38" spans="2:11" x14ac:dyDescent="0.3">
      <c r="C38" s="532" t="s">
        <v>6214</v>
      </c>
    </row>
  </sheetData>
  <mergeCells count="28">
    <mergeCell ref="B13:C13"/>
    <mergeCell ref="D1:H1"/>
    <mergeCell ref="E4:H6"/>
    <mergeCell ref="B11:C11"/>
    <mergeCell ref="B1:C1"/>
    <mergeCell ref="B2:C2"/>
    <mergeCell ref="B3:H3"/>
    <mergeCell ref="B4:D4"/>
    <mergeCell ref="B5:D5"/>
    <mergeCell ref="B6:D6"/>
    <mergeCell ref="D7:H7"/>
    <mergeCell ref="F8:H8"/>
    <mergeCell ref="G9:H9"/>
    <mergeCell ref="B8:E8"/>
    <mergeCell ref="B9:E9"/>
    <mergeCell ref="B36:H36"/>
    <mergeCell ref="B37:G37"/>
    <mergeCell ref="B24:C24"/>
    <mergeCell ref="B29:C29"/>
    <mergeCell ref="B30:C30"/>
    <mergeCell ref="B32:C32"/>
    <mergeCell ref="D30:G30"/>
    <mergeCell ref="D31:G31"/>
    <mergeCell ref="D32:G32"/>
    <mergeCell ref="D33:G33"/>
    <mergeCell ref="D34:G34"/>
    <mergeCell ref="D35:G35"/>
    <mergeCell ref="D29:G29"/>
  </mergeCells>
  <pageMargins left="0.7" right="0.7" top="0.75" bottom="0.75" header="0.3" footer="0.3"/>
  <pageSetup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5CE7-6DD6-4814-BE23-4C44C5CBCC76}">
  <sheetPr codeName="Hoja12"/>
  <dimension ref="A1:M94"/>
  <sheetViews>
    <sheetView topLeftCell="F25" zoomScale="115" zoomScaleNormal="115" workbookViewId="0">
      <selection activeCell="I46" sqref="I46"/>
    </sheetView>
  </sheetViews>
  <sheetFormatPr baseColWidth="10" defaultColWidth="8.88671875" defaultRowHeight="14.4" x14ac:dyDescent="0.3"/>
  <cols>
    <col min="2" max="2" width="14.6640625" customWidth="1"/>
    <col min="4" max="4" width="13.5546875" customWidth="1"/>
    <col min="6" max="6" width="13.88671875" customWidth="1"/>
    <col min="8" max="11" width="39.6640625" customWidth="1"/>
  </cols>
  <sheetData>
    <row r="1" spans="1:13" s="605" customFormat="1" ht="26.4" x14ac:dyDescent="0.45">
      <c r="A1" s="603" t="s">
        <v>6693</v>
      </c>
      <c r="B1" s="603" t="s">
        <v>6694</v>
      </c>
      <c r="C1" s="604" t="s">
        <v>6695</v>
      </c>
      <c r="D1" s="604" t="s">
        <v>6696</v>
      </c>
      <c r="E1" s="604" t="s">
        <v>6697</v>
      </c>
      <c r="F1" s="604" t="s">
        <v>6698</v>
      </c>
      <c r="G1"/>
      <c r="H1" s="926" t="s">
        <v>6699</v>
      </c>
      <c r="I1" s="927"/>
      <c r="J1" s="927"/>
      <c r="K1" s="928"/>
      <c r="L1"/>
      <c r="M1"/>
    </row>
    <row r="2" spans="1:13" s="605" customFormat="1" x14ac:dyDescent="0.3">
      <c r="A2" s="606">
        <v>1</v>
      </c>
      <c r="B2" s="606" t="str">
        <f>C2&amp;D2</f>
        <v>2021Enero</v>
      </c>
      <c r="C2" s="604">
        <v>2021</v>
      </c>
      <c r="D2" s="607" t="s">
        <v>6700</v>
      </c>
      <c r="E2" s="609">
        <v>100.887</v>
      </c>
      <c r="F2" s="609">
        <f>A2*$I$7+$I$8</f>
        <v>100.85993000000001</v>
      </c>
      <c r="G2"/>
      <c r="H2" s="929" t="s">
        <v>6701</v>
      </c>
      <c r="I2" s="930"/>
      <c r="J2" s="930"/>
      <c r="K2" s="931"/>
      <c r="L2"/>
      <c r="M2"/>
    </row>
    <row r="3" spans="1:13" s="605" customFormat="1" x14ac:dyDescent="0.3">
      <c r="A3" s="606">
        <v>2</v>
      </c>
      <c r="B3" s="606" t="str">
        <f t="shared" ref="B3:B66" si="0">C3&amp;D3</f>
        <v>2021Febrero</v>
      </c>
      <c r="C3" s="604">
        <f>C2</f>
        <v>2021</v>
      </c>
      <c r="D3" s="610" t="s">
        <v>6702</v>
      </c>
      <c r="E3" s="609">
        <v>101.25</v>
      </c>
      <c r="F3" s="609">
        <f t="shared" ref="F3:F65" si="1">A3*$I$7+$I$8</f>
        <v>101.57363000000001</v>
      </c>
      <c r="G3"/>
      <c r="H3" s="611" t="s">
        <v>6703</v>
      </c>
      <c r="I3" s="611" t="s">
        <v>6704</v>
      </c>
      <c r="J3" s="611" t="s">
        <v>6705</v>
      </c>
      <c r="K3" s="612" t="s">
        <v>6706</v>
      </c>
      <c r="L3"/>
      <c r="M3"/>
    </row>
    <row r="4" spans="1:13" s="605" customFormat="1" x14ac:dyDescent="0.3">
      <c r="A4" s="606">
        <v>3</v>
      </c>
      <c r="B4" s="606" t="str">
        <f t="shared" si="0"/>
        <v>2021Marzo</v>
      </c>
      <c r="C4" s="604">
        <f>C2</f>
        <v>2021</v>
      </c>
      <c r="D4" s="607" t="s">
        <v>6707</v>
      </c>
      <c r="E4" s="609">
        <v>101.88200000000001</v>
      </c>
      <c r="F4" s="609">
        <f t="shared" si="1"/>
        <v>102.28733</v>
      </c>
      <c r="G4"/>
      <c r="H4" s="613">
        <v>530201</v>
      </c>
      <c r="I4" s="614" t="s">
        <v>6708</v>
      </c>
      <c r="J4" s="615">
        <v>55.649000000000001</v>
      </c>
      <c r="K4" s="616">
        <v>46234</v>
      </c>
      <c r="L4"/>
      <c r="M4"/>
    </row>
    <row r="5" spans="1:13" s="605" customFormat="1" x14ac:dyDescent="0.3">
      <c r="A5" s="606">
        <v>4</v>
      </c>
      <c r="B5" s="606" t="str">
        <f t="shared" si="0"/>
        <v>2021Abril</v>
      </c>
      <c r="C5" s="604">
        <f>C2</f>
        <v>2021</v>
      </c>
      <c r="D5" s="610" t="s">
        <v>6709</v>
      </c>
      <c r="E5" s="609">
        <v>102.289</v>
      </c>
      <c r="F5" s="609">
        <f t="shared" si="1"/>
        <v>103.00103</v>
      </c>
      <c r="G5"/>
      <c r="H5"/>
      <c r="I5"/>
      <c r="J5"/>
      <c r="K5"/>
      <c r="L5"/>
      <c r="M5"/>
    </row>
    <row r="6" spans="1:13" s="605" customFormat="1" x14ac:dyDescent="0.3">
      <c r="A6" s="606">
        <v>5</v>
      </c>
      <c r="B6" s="606" t="str">
        <f t="shared" si="0"/>
        <v>2021Mayo</v>
      </c>
      <c r="C6" s="604">
        <f>C2</f>
        <v>2021</v>
      </c>
      <c r="D6" s="610" t="s">
        <v>6710</v>
      </c>
      <c r="E6" s="609">
        <v>102.699</v>
      </c>
      <c r="F6" s="609">
        <f t="shared" si="1"/>
        <v>103.71473</v>
      </c>
      <c r="G6"/>
      <c r="H6"/>
      <c r="I6"/>
      <c r="J6"/>
      <c r="K6"/>
      <c r="L6"/>
      <c r="M6"/>
    </row>
    <row r="7" spans="1:13" s="605" customFormat="1" x14ac:dyDescent="0.3">
      <c r="A7" s="606">
        <v>6</v>
      </c>
      <c r="B7" s="606" t="str">
        <f t="shared" si="0"/>
        <v>2021Junio</v>
      </c>
      <c r="C7" s="604">
        <f>C2</f>
        <v>2021</v>
      </c>
      <c r="D7" s="610" t="s">
        <v>6711</v>
      </c>
      <c r="E7" s="609">
        <v>103.14</v>
      </c>
      <c r="F7" s="609">
        <f t="shared" si="1"/>
        <v>104.42843000000001</v>
      </c>
      <c r="G7"/>
      <c r="H7" t="s">
        <v>6712</v>
      </c>
      <c r="I7">
        <v>0.7137</v>
      </c>
      <c r="J7"/>
      <c r="K7"/>
      <c r="L7"/>
      <c r="M7"/>
    </row>
    <row r="8" spans="1:13" s="605" customFormat="1" x14ac:dyDescent="0.3">
      <c r="A8" s="606">
        <v>7</v>
      </c>
      <c r="B8" s="606" t="str">
        <f t="shared" si="0"/>
        <v>2021Julio</v>
      </c>
      <c r="C8" s="604">
        <f>C2</f>
        <v>2021</v>
      </c>
      <c r="D8" s="610" t="s">
        <v>6713</v>
      </c>
      <c r="E8" s="609">
        <v>104.218</v>
      </c>
      <c r="F8" s="609">
        <f t="shared" si="1"/>
        <v>105.14213000000001</v>
      </c>
      <c r="G8"/>
      <c r="H8" t="s">
        <v>6714</v>
      </c>
      <c r="I8">
        <v>100.14623</v>
      </c>
      <c r="J8"/>
      <c r="K8"/>
      <c r="L8"/>
      <c r="M8"/>
    </row>
    <row r="9" spans="1:13" s="605" customFormat="1" x14ac:dyDescent="0.3">
      <c r="A9" s="606">
        <v>8</v>
      </c>
      <c r="B9" s="606" t="str">
        <f t="shared" si="0"/>
        <v xml:space="preserve">2021Agosto </v>
      </c>
      <c r="C9" s="604">
        <f>C2</f>
        <v>2021</v>
      </c>
      <c r="D9" s="610" t="s">
        <v>6715</v>
      </c>
      <c r="E9" s="609">
        <v>104.363</v>
      </c>
      <c r="F9" s="609">
        <f t="shared" si="1"/>
        <v>105.85583</v>
      </c>
      <c r="G9"/>
      <c r="H9"/>
      <c r="I9"/>
      <c r="J9"/>
      <c r="K9"/>
      <c r="L9"/>
      <c r="M9"/>
    </row>
    <row r="10" spans="1:13" s="605" customFormat="1" x14ac:dyDescent="0.3">
      <c r="A10" s="606">
        <v>9</v>
      </c>
      <c r="B10" s="606" t="str">
        <f t="shared" si="0"/>
        <v>2021Septiembre</v>
      </c>
      <c r="C10" s="604">
        <f>C2</f>
        <v>2021</v>
      </c>
      <c r="D10" s="610" t="s">
        <v>6716</v>
      </c>
      <c r="E10" s="609">
        <v>104.34699999999999</v>
      </c>
      <c r="F10" s="609">
        <f t="shared" si="1"/>
        <v>106.56953</v>
      </c>
      <c r="G10"/>
      <c r="H10"/>
      <c r="I10"/>
      <c r="J10"/>
      <c r="K10"/>
      <c r="L10"/>
      <c r="M10"/>
    </row>
    <row r="11" spans="1:13" s="605" customFormat="1" x14ac:dyDescent="0.3">
      <c r="A11" s="606">
        <v>10</v>
      </c>
      <c r="B11" s="606" t="str">
        <f t="shared" si="0"/>
        <v>2021Octubre</v>
      </c>
      <c r="C11" s="604">
        <f>C2</f>
        <v>2021</v>
      </c>
      <c r="D11" s="610" t="s">
        <v>6717</v>
      </c>
      <c r="E11" s="609">
        <v>104.392</v>
      </c>
      <c r="F11" s="609">
        <f t="shared" si="1"/>
        <v>107.28323</v>
      </c>
      <c r="G11"/>
      <c r="H11"/>
      <c r="I11"/>
      <c r="J11"/>
      <c r="K11"/>
      <c r="L11"/>
      <c r="M11"/>
    </row>
    <row r="12" spans="1:13" s="605" customFormat="1" x14ac:dyDescent="0.3">
      <c r="A12" s="606">
        <v>11</v>
      </c>
      <c r="B12" s="606" t="str">
        <f t="shared" si="0"/>
        <v>2021Noviembre</v>
      </c>
      <c r="C12" s="604">
        <f>C2</f>
        <v>2021</v>
      </c>
      <c r="D12" s="610" t="s">
        <v>6718</v>
      </c>
      <c r="E12" s="609">
        <v>104.61799999999999</v>
      </c>
      <c r="F12" s="609">
        <f t="shared" si="1"/>
        <v>107.99693000000001</v>
      </c>
      <c r="G12"/>
      <c r="H12"/>
      <c r="I12"/>
      <c r="J12"/>
      <c r="K12"/>
      <c r="L12"/>
      <c r="M12"/>
    </row>
    <row r="13" spans="1:13" s="605" customFormat="1" x14ac:dyDescent="0.3">
      <c r="A13" s="606">
        <v>12</v>
      </c>
      <c r="B13" s="606" t="str">
        <f t="shared" si="0"/>
        <v>2021Diciembre</v>
      </c>
      <c r="C13" s="604">
        <f>C2</f>
        <v>2021</v>
      </c>
      <c r="D13" s="610" t="s">
        <v>6719</v>
      </c>
      <c r="E13" s="609">
        <v>105.005</v>
      </c>
      <c r="F13" s="609">
        <f t="shared" si="1"/>
        <v>108.71063000000001</v>
      </c>
      <c r="G13"/>
      <c r="H13"/>
      <c r="I13"/>
      <c r="J13"/>
      <c r="K13"/>
      <c r="L13"/>
      <c r="M13"/>
    </row>
    <row r="14" spans="1:13" s="605" customFormat="1" x14ac:dyDescent="0.3">
      <c r="A14" s="606">
        <v>13</v>
      </c>
      <c r="B14" s="606" t="str">
        <f t="shared" si="0"/>
        <v>2022Enero</v>
      </c>
      <c r="C14" s="617">
        <f>C2+1</f>
        <v>2022</v>
      </c>
      <c r="D14" s="610" t="s">
        <v>6700</v>
      </c>
      <c r="E14" s="609">
        <v>106.881</v>
      </c>
      <c r="F14" s="609">
        <f t="shared" si="1"/>
        <v>109.42433</v>
      </c>
      <c r="G14"/>
      <c r="H14"/>
      <c r="I14"/>
      <c r="J14"/>
      <c r="K14"/>
      <c r="L14"/>
      <c r="M14"/>
    </row>
    <row r="15" spans="1:13" s="605" customFormat="1" x14ac:dyDescent="0.3">
      <c r="A15" s="606">
        <v>14</v>
      </c>
      <c r="B15" s="606" t="str">
        <f t="shared" si="0"/>
        <v>2022Febrero</v>
      </c>
      <c r="C15" s="604">
        <f>C14</f>
        <v>2022</v>
      </c>
      <c r="D15" s="610" t="s">
        <v>6702</v>
      </c>
      <c r="E15" s="609">
        <v>108.504</v>
      </c>
      <c r="F15" s="609">
        <f t="shared" si="1"/>
        <v>110.13803</v>
      </c>
      <c r="G15"/>
      <c r="H15"/>
      <c r="I15"/>
      <c r="J15"/>
      <c r="K15"/>
      <c r="L15"/>
      <c r="M15"/>
    </row>
    <row r="16" spans="1:13" s="605" customFormat="1" x14ac:dyDescent="0.3">
      <c r="A16" s="606">
        <v>15</v>
      </c>
      <c r="B16" s="606" t="str">
        <f t="shared" si="0"/>
        <v>2022Marzo</v>
      </c>
      <c r="C16" s="604">
        <f>C14</f>
        <v>2022</v>
      </c>
      <c r="D16" s="610" t="s">
        <v>6707</v>
      </c>
      <c r="E16" s="609">
        <v>109.422</v>
      </c>
      <c r="F16" s="609">
        <f t="shared" si="1"/>
        <v>110.85173</v>
      </c>
      <c r="G16"/>
      <c r="H16"/>
      <c r="I16"/>
      <c r="J16"/>
      <c r="K16"/>
      <c r="L16"/>
      <c r="M16"/>
    </row>
    <row r="17" spans="1:13" s="605" customFormat="1" x14ac:dyDescent="0.3">
      <c r="A17" s="606">
        <v>16</v>
      </c>
      <c r="B17" s="606" t="str">
        <f t="shared" si="0"/>
        <v>2022Abril</v>
      </c>
      <c r="C17" s="604">
        <f>C14</f>
        <v>2022</v>
      </c>
      <c r="D17" s="610" t="s">
        <v>6709</v>
      </c>
      <c r="E17" s="609">
        <v>110.747</v>
      </c>
      <c r="F17" s="609">
        <f t="shared" si="1"/>
        <v>111.56543000000001</v>
      </c>
      <c r="G17"/>
      <c r="H17"/>
      <c r="I17"/>
      <c r="J17"/>
      <c r="K17"/>
      <c r="L17"/>
      <c r="M17"/>
    </row>
    <row r="18" spans="1:13" s="605" customFormat="1" x14ac:dyDescent="0.3">
      <c r="A18" s="606">
        <v>17</v>
      </c>
      <c r="B18" s="606" t="str">
        <f t="shared" si="0"/>
        <v>2022Mayo</v>
      </c>
      <c r="C18" s="604">
        <f>C14</f>
        <v>2022</v>
      </c>
      <c r="D18" s="610" t="s">
        <v>6710</v>
      </c>
      <c r="E18" s="609">
        <v>111.461</v>
      </c>
      <c r="F18" s="609">
        <f t="shared" si="1"/>
        <v>112.27913000000001</v>
      </c>
      <c r="G18"/>
      <c r="H18"/>
      <c r="I18"/>
      <c r="J18"/>
      <c r="K18"/>
      <c r="L18"/>
      <c r="M18"/>
    </row>
    <row r="19" spans="1:13" s="605" customFormat="1" x14ac:dyDescent="0.3">
      <c r="A19" s="606">
        <v>18</v>
      </c>
      <c r="B19" s="606" t="str">
        <f t="shared" si="0"/>
        <v>2022Junio</v>
      </c>
      <c r="C19" s="604">
        <f>C14</f>
        <v>2022</v>
      </c>
      <c r="D19" s="610" t="s">
        <v>6711</v>
      </c>
      <c r="E19" s="609">
        <v>111.55800000000001</v>
      </c>
      <c r="F19" s="609">
        <f t="shared" si="1"/>
        <v>112.99283</v>
      </c>
      <c r="G19"/>
      <c r="H19"/>
      <c r="I19"/>
      <c r="J19"/>
      <c r="K19"/>
      <c r="L19"/>
      <c r="M19"/>
    </row>
    <row r="20" spans="1:13" s="605" customFormat="1" x14ac:dyDescent="0.3">
      <c r="A20" s="606">
        <v>19</v>
      </c>
      <c r="B20" s="606" t="str">
        <f t="shared" si="0"/>
        <v>2022Julio</v>
      </c>
      <c r="C20" s="604">
        <f>C14</f>
        <v>2022</v>
      </c>
      <c r="D20" s="610" t="s">
        <v>6713</v>
      </c>
      <c r="E20" s="609">
        <v>112.959</v>
      </c>
      <c r="F20" s="609">
        <f t="shared" si="1"/>
        <v>113.70653</v>
      </c>
      <c r="G20"/>
      <c r="H20"/>
      <c r="I20"/>
      <c r="J20"/>
      <c r="K20"/>
      <c r="L20"/>
      <c r="M20"/>
    </row>
    <row r="21" spans="1:13" s="605" customFormat="1" x14ac:dyDescent="0.3">
      <c r="A21" s="606">
        <v>20</v>
      </c>
      <c r="B21" s="606" t="str">
        <f t="shared" si="0"/>
        <v xml:space="preserve">2022Agosto </v>
      </c>
      <c r="C21" s="604">
        <f>C14</f>
        <v>2022</v>
      </c>
      <c r="D21" s="610" t="s">
        <v>6715</v>
      </c>
      <c r="E21" s="609">
        <v>113.01</v>
      </c>
      <c r="F21" s="609">
        <f t="shared" si="1"/>
        <v>114.42023</v>
      </c>
      <c r="G21"/>
      <c r="H21"/>
      <c r="I21"/>
      <c r="J21"/>
      <c r="K21"/>
      <c r="L21"/>
      <c r="M21"/>
    </row>
    <row r="22" spans="1:13" s="605" customFormat="1" x14ac:dyDescent="0.3">
      <c r="A22" s="606">
        <v>21</v>
      </c>
      <c r="B22" s="606" t="str">
        <f t="shared" si="0"/>
        <v>2022Septiembre</v>
      </c>
      <c r="C22" s="604">
        <f>C14</f>
        <v>2022</v>
      </c>
      <c r="D22" s="610" t="s">
        <v>6716</v>
      </c>
      <c r="E22" s="609">
        <v>113.248</v>
      </c>
      <c r="F22" s="609">
        <f t="shared" si="1"/>
        <v>115.13393000000001</v>
      </c>
      <c r="G22"/>
      <c r="H22"/>
      <c r="I22"/>
      <c r="J22"/>
      <c r="K22"/>
      <c r="L22"/>
      <c r="M22"/>
    </row>
    <row r="23" spans="1:13" s="605" customFormat="1" x14ac:dyDescent="0.3">
      <c r="A23" s="606">
        <v>22</v>
      </c>
      <c r="B23" s="606" t="str">
        <f t="shared" si="0"/>
        <v>2022Octubre</v>
      </c>
      <c r="C23" s="604">
        <f>C14</f>
        <v>2022</v>
      </c>
      <c r="D23" s="610" t="s">
        <v>6717</v>
      </c>
      <c r="E23" s="609">
        <v>114.574</v>
      </c>
      <c r="F23" s="609">
        <f t="shared" si="1"/>
        <v>115.84763000000001</v>
      </c>
      <c r="G23"/>
      <c r="H23"/>
      <c r="I23"/>
      <c r="J23"/>
      <c r="K23"/>
      <c r="L23"/>
      <c r="M23"/>
    </row>
    <row r="24" spans="1:13" s="605" customFormat="1" x14ac:dyDescent="0.3">
      <c r="A24" s="606">
        <v>23</v>
      </c>
      <c r="B24" s="606" t="str">
        <f t="shared" si="0"/>
        <v>2022Noviembre</v>
      </c>
      <c r="C24" s="604">
        <f>C14</f>
        <v>2022</v>
      </c>
      <c r="D24" s="610" t="s">
        <v>6718</v>
      </c>
      <c r="E24" s="609">
        <v>114.943</v>
      </c>
      <c r="F24" s="609">
        <f t="shared" si="1"/>
        <v>116.56133</v>
      </c>
      <c r="G24"/>
      <c r="H24"/>
      <c r="I24"/>
      <c r="J24"/>
      <c r="K24"/>
      <c r="L24"/>
      <c r="M24"/>
    </row>
    <row r="25" spans="1:13" s="605" customFormat="1" x14ac:dyDescent="0.3">
      <c r="A25" s="606">
        <v>24</v>
      </c>
      <c r="B25" s="606" t="str">
        <f t="shared" si="0"/>
        <v>2022Diciembre</v>
      </c>
      <c r="C25" s="604">
        <f>C14</f>
        <v>2022</v>
      </c>
      <c r="D25" s="610" t="s">
        <v>6719</v>
      </c>
      <c r="E25" s="609">
        <v>114.735</v>
      </c>
      <c r="F25" s="609">
        <f t="shared" si="1"/>
        <v>117.27503</v>
      </c>
      <c r="G25"/>
      <c r="H25"/>
      <c r="I25"/>
      <c r="J25"/>
      <c r="K25"/>
      <c r="L25"/>
      <c r="M25"/>
    </row>
    <row r="26" spans="1:13" s="605" customFormat="1" x14ac:dyDescent="0.3">
      <c r="A26" s="606">
        <v>25</v>
      </c>
      <c r="B26" s="606" t="str">
        <f t="shared" si="0"/>
        <v>2023Enero</v>
      </c>
      <c r="C26" s="617">
        <f>C14+1</f>
        <v>2023</v>
      </c>
      <c r="D26" s="610" t="s">
        <v>6700</v>
      </c>
      <c r="E26" s="609">
        <v>120.76</v>
      </c>
      <c r="F26" s="609">
        <f t="shared" si="1"/>
        <v>117.98873</v>
      </c>
      <c r="G26"/>
      <c r="H26"/>
      <c r="I26"/>
      <c r="J26"/>
      <c r="K26"/>
      <c r="L26"/>
      <c r="M26"/>
    </row>
    <row r="27" spans="1:13" s="605" customFormat="1" x14ac:dyDescent="0.3">
      <c r="A27" s="606">
        <v>26</v>
      </c>
      <c r="B27" s="606" t="str">
        <f t="shared" si="0"/>
        <v>2023Febrero</v>
      </c>
      <c r="C27" s="604">
        <f>C26</f>
        <v>2023</v>
      </c>
      <c r="D27" s="610" t="s">
        <v>6702</v>
      </c>
      <c r="E27" s="609">
        <v>123.88</v>
      </c>
      <c r="F27" s="609">
        <f t="shared" si="1"/>
        <v>118.70243000000001</v>
      </c>
      <c r="G27"/>
      <c r="H27"/>
      <c r="I27"/>
      <c r="J27"/>
      <c r="K27"/>
      <c r="L27"/>
      <c r="M27"/>
    </row>
    <row r="28" spans="1:13" s="605" customFormat="1" x14ac:dyDescent="0.3">
      <c r="A28" s="606">
        <v>27</v>
      </c>
      <c r="B28" s="606" t="str">
        <f t="shared" si="0"/>
        <v>2023Marzo</v>
      </c>
      <c r="C28" s="604">
        <f>C26</f>
        <v>2023</v>
      </c>
      <c r="D28" s="610" t="s">
        <v>6707</v>
      </c>
      <c r="E28" s="609">
        <v>124.76</v>
      </c>
      <c r="F28" s="609">
        <f t="shared" si="1"/>
        <v>119.41613000000001</v>
      </c>
      <c r="G28"/>
      <c r="H28"/>
      <c r="I28"/>
      <c r="J28"/>
      <c r="K28"/>
      <c r="L28"/>
      <c r="M28"/>
    </row>
    <row r="29" spans="1:13" s="605" customFormat="1" x14ac:dyDescent="0.3">
      <c r="A29" s="606">
        <v>28</v>
      </c>
      <c r="B29" s="606" t="str">
        <f t="shared" si="0"/>
        <v>2023Abril</v>
      </c>
      <c r="C29" s="604">
        <f>C26</f>
        <v>2023</v>
      </c>
      <c r="D29" s="610" t="s">
        <v>6709</v>
      </c>
      <c r="E29" s="609">
        <v>125.44</v>
      </c>
      <c r="F29" s="609">
        <f t="shared" si="1"/>
        <v>120.12983</v>
      </c>
      <c r="G29"/>
      <c r="H29"/>
      <c r="I29"/>
      <c r="J29"/>
      <c r="K29"/>
      <c r="L29"/>
      <c r="M29"/>
    </row>
    <row r="30" spans="1:13" s="605" customFormat="1" x14ac:dyDescent="0.3">
      <c r="A30" s="606">
        <v>29</v>
      </c>
      <c r="B30" s="606" t="str">
        <f t="shared" si="0"/>
        <v>2023Mayo</v>
      </c>
      <c r="C30" s="604">
        <f>C26</f>
        <v>2023</v>
      </c>
      <c r="D30" s="610" t="s">
        <v>6710</v>
      </c>
      <c r="E30" s="609">
        <v>125.82</v>
      </c>
      <c r="F30" s="609">
        <f t="shared" si="1"/>
        <v>120.84353</v>
      </c>
      <c r="G30"/>
      <c r="H30" s="609" t="s">
        <v>5141</v>
      </c>
      <c r="I30" s="618">
        <f>ROUND(I31/I32*I33*I34/100,0)</f>
        <v>165258683</v>
      </c>
      <c r="J30"/>
      <c r="K30"/>
      <c r="L30"/>
      <c r="M30"/>
    </row>
    <row r="31" spans="1:13" s="605" customFormat="1" x14ac:dyDescent="0.3">
      <c r="A31" s="606">
        <v>30</v>
      </c>
      <c r="B31" s="606" t="str">
        <f t="shared" si="0"/>
        <v>2023Junio</v>
      </c>
      <c r="C31" s="604">
        <f>C26</f>
        <v>2023</v>
      </c>
      <c r="D31" s="610" t="s">
        <v>6711</v>
      </c>
      <c r="E31" s="609">
        <v>125.98</v>
      </c>
      <c r="F31" s="609">
        <f t="shared" si="1"/>
        <v>121.55723</v>
      </c>
      <c r="G31"/>
      <c r="H31" s="609" t="s">
        <v>6720</v>
      </c>
      <c r="I31" s="619">
        <v>13024801636</v>
      </c>
      <c r="J31"/>
      <c r="K31"/>
      <c r="L31"/>
      <c r="M31"/>
    </row>
    <row r="32" spans="1:13" s="605" customFormat="1" x14ac:dyDescent="0.3">
      <c r="A32" s="606">
        <v>31</v>
      </c>
      <c r="B32" s="606" t="str">
        <f t="shared" si="0"/>
        <v>2023Julio</v>
      </c>
      <c r="C32" s="604">
        <f>C26</f>
        <v>2023</v>
      </c>
      <c r="D32" s="610" t="s">
        <v>6713</v>
      </c>
      <c r="E32" s="609">
        <v>126.45</v>
      </c>
      <c r="F32" s="609">
        <f t="shared" si="1"/>
        <v>122.27093000000001</v>
      </c>
      <c r="G32"/>
      <c r="H32" s="609" t="s">
        <v>6721</v>
      </c>
      <c r="I32" s="609">
        <v>9</v>
      </c>
      <c r="J32"/>
      <c r="K32"/>
      <c r="L32"/>
      <c r="M32"/>
    </row>
    <row r="33" spans="1:13" s="605" customFormat="1" x14ac:dyDescent="0.3">
      <c r="A33" s="606">
        <v>32</v>
      </c>
      <c r="B33" s="606" t="str">
        <f t="shared" si="0"/>
        <v xml:space="preserve">2023Agosto </v>
      </c>
      <c r="C33" s="604">
        <f>C26</f>
        <v>2023</v>
      </c>
      <c r="D33" s="610" t="s">
        <v>6715</v>
      </c>
      <c r="E33" s="609">
        <v>126.44</v>
      </c>
      <c r="F33" s="609">
        <f t="shared" si="1"/>
        <v>122.98463000000001</v>
      </c>
      <c r="G33"/>
      <c r="H33" s="609" t="s">
        <v>6712</v>
      </c>
      <c r="I33" s="609">
        <v>8</v>
      </c>
      <c r="J33"/>
      <c r="K33"/>
      <c r="L33"/>
      <c r="M33"/>
    </row>
    <row r="34" spans="1:13" s="605" customFormat="1" x14ac:dyDescent="0.3">
      <c r="A34" s="606">
        <v>33</v>
      </c>
      <c r="B34" s="606" t="str">
        <f t="shared" si="0"/>
        <v>2023Septiembre</v>
      </c>
      <c r="C34" s="604">
        <f>C26</f>
        <v>2023</v>
      </c>
      <c r="D34" s="610" t="s">
        <v>6716</v>
      </c>
      <c r="E34" s="609">
        <v>126.68</v>
      </c>
      <c r="F34" s="609">
        <f t="shared" si="1"/>
        <v>123.69833</v>
      </c>
      <c r="G34"/>
      <c r="H34" s="609" t="s">
        <v>6722</v>
      </c>
      <c r="I34" s="609">
        <f>I42-I41</f>
        <v>1.4274000000000058</v>
      </c>
      <c r="J34"/>
      <c r="K34"/>
      <c r="L34"/>
      <c r="M34"/>
    </row>
    <row r="35" spans="1:13" s="605" customFormat="1" x14ac:dyDescent="0.3">
      <c r="A35" s="606">
        <v>34</v>
      </c>
      <c r="B35" s="606" t="str">
        <f t="shared" si="0"/>
        <v>2023Octubre</v>
      </c>
      <c r="C35" s="604">
        <f>C26</f>
        <v>2023</v>
      </c>
      <c r="D35" s="610" t="s">
        <v>6717</v>
      </c>
      <c r="E35" s="609">
        <v>126.57</v>
      </c>
      <c r="F35" s="609">
        <f t="shared" si="1"/>
        <v>124.41203</v>
      </c>
      <c r="G35"/>
      <c r="H35" s="609" t="s">
        <v>6723</v>
      </c>
      <c r="I35" s="609">
        <v>2026</v>
      </c>
      <c r="J35"/>
      <c r="K35"/>
      <c r="L35"/>
      <c r="M35"/>
    </row>
    <row r="36" spans="1:13" s="605" customFormat="1" x14ac:dyDescent="0.3">
      <c r="A36" s="606">
        <v>35</v>
      </c>
      <c r="B36" s="606" t="str">
        <f t="shared" si="0"/>
        <v>2023Noviembre</v>
      </c>
      <c r="C36" s="604">
        <f>C26</f>
        <v>2023</v>
      </c>
      <c r="D36" s="610" t="s">
        <v>6718</v>
      </c>
      <c r="E36" s="609">
        <v>126.95</v>
      </c>
      <c r="F36" s="609">
        <f t="shared" si="1"/>
        <v>125.12573</v>
      </c>
      <c r="G36"/>
      <c r="H36" s="609" t="s">
        <v>6724</v>
      </c>
      <c r="I36" s="620" t="s">
        <v>6718</v>
      </c>
      <c r="J36"/>
      <c r="K36"/>
      <c r="L36"/>
      <c r="M36"/>
    </row>
    <row r="37" spans="1:13" s="605" customFormat="1" x14ac:dyDescent="0.3">
      <c r="A37" s="606">
        <v>36</v>
      </c>
      <c r="B37" s="606" t="str">
        <f t="shared" si="0"/>
        <v>2023Diciembre</v>
      </c>
      <c r="C37" s="604">
        <f>C26</f>
        <v>2023</v>
      </c>
      <c r="D37" s="610" t="s">
        <v>6719</v>
      </c>
      <c r="E37" s="609">
        <v>127</v>
      </c>
      <c r="F37" s="609">
        <f t="shared" si="1"/>
        <v>125.83943000000001</v>
      </c>
      <c r="G37"/>
      <c r="H37" s="609" t="s">
        <v>6725</v>
      </c>
      <c r="I37" s="620">
        <v>2027</v>
      </c>
      <c r="J37"/>
      <c r="K37"/>
      <c r="L37"/>
      <c r="M37"/>
    </row>
    <row r="38" spans="1:13" s="605" customFormat="1" x14ac:dyDescent="0.3">
      <c r="A38" s="606">
        <v>37</v>
      </c>
      <c r="B38" s="606" t="str">
        <f t="shared" si="0"/>
        <v>2024Enero</v>
      </c>
      <c r="C38" s="617">
        <f>C26+1</f>
        <v>2024</v>
      </c>
      <c r="D38" s="610" t="s">
        <v>6700</v>
      </c>
      <c r="E38" s="609">
        <v>129.97999999999999</v>
      </c>
      <c r="F38" s="609">
        <f t="shared" si="1"/>
        <v>126.55313000000001</v>
      </c>
      <c r="G38"/>
      <c r="H38" s="609" t="s">
        <v>6726</v>
      </c>
      <c r="I38" s="620" t="s">
        <v>6700</v>
      </c>
      <c r="J38"/>
      <c r="K38"/>
      <c r="L38"/>
      <c r="M38"/>
    </row>
    <row r="39" spans="1:13" s="605" customFormat="1" x14ac:dyDescent="0.3">
      <c r="A39" s="606">
        <v>38</v>
      </c>
      <c r="B39" s="606" t="str">
        <f t="shared" si="0"/>
        <v>2024Febrero</v>
      </c>
      <c r="C39" s="604">
        <f>C38</f>
        <v>2024</v>
      </c>
      <c r="D39" s="610" t="s">
        <v>6702</v>
      </c>
      <c r="E39" s="609">
        <v>131.72999999999999</v>
      </c>
      <c r="F39" s="609">
        <f t="shared" si="1"/>
        <v>127.26683</v>
      </c>
      <c r="G39"/>
      <c r="H39"/>
      <c r="I39"/>
      <c r="J39"/>
      <c r="K39"/>
      <c r="L39"/>
      <c r="M39"/>
    </row>
    <row r="40" spans="1:13" s="605" customFormat="1" x14ac:dyDescent="0.3">
      <c r="A40" s="606">
        <v>39</v>
      </c>
      <c r="B40" s="606" t="str">
        <f t="shared" si="0"/>
        <v>2024Marzo</v>
      </c>
      <c r="C40" s="604">
        <f>C38</f>
        <v>2024</v>
      </c>
      <c r="D40" s="610" t="s">
        <v>6707</v>
      </c>
      <c r="E40" s="609">
        <v>131.58000000000001</v>
      </c>
      <c r="F40" s="609">
        <f t="shared" si="1"/>
        <v>127.98053</v>
      </c>
      <c r="G40"/>
      <c r="H40"/>
      <c r="I40"/>
      <c r="J40"/>
      <c r="K40"/>
      <c r="L40"/>
      <c r="M40"/>
    </row>
    <row r="41" spans="1:13" s="605" customFormat="1" x14ac:dyDescent="0.3">
      <c r="A41" s="606">
        <v>40</v>
      </c>
      <c r="B41" s="606" t="str">
        <f t="shared" si="0"/>
        <v>2024Abril</v>
      </c>
      <c r="C41" s="604">
        <f>C38</f>
        <v>2024</v>
      </c>
      <c r="D41" s="610" t="s">
        <v>6709</v>
      </c>
      <c r="E41" s="609">
        <v>132.07</v>
      </c>
      <c r="F41" s="609">
        <f t="shared" si="1"/>
        <v>128.69423</v>
      </c>
      <c r="G41"/>
      <c r="H41" s="609" t="s">
        <v>6727</v>
      </c>
      <c r="I41" s="609">
        <f>INDEX($A$1:$F$200,MATCH(I35&amp;I36,$B$1:$B$200,0),6)</f>
        <v>150.81892999999999</v>
      </c>
      <c r="J41"/>
      <c r="K41"/>
      <c r="L41"/>
      <c r="M41"/>
    </row>
    <row r="42" spans="1:13" s="605" customFormat="1" x14ac:dyDescent="0.3">
      <c r="A42" s="606">
        <v>41</v>
      </c>
      <c r="B42" s="606" t="str">
        <f t="shared" si="0"/>
        <v>2024Mayo</v>
      </c>
      <c r="C42" s="604">
        <f>C38</f>
        <v>2024</v>
      </c>
      <c r="D42" s="610" t="s">
        <v>6710</v>
      </c>
      <c r="E42" s="609">
        <v>132.62</v>
      </c>
      <c r="F42" s="609">
        <f t="shared" si="1"/>
        <v>129.40792999999999</v>
      </c>
      <c r="G42"/>
      <c r="H42" s="609" t="s">
        <v>6728</v>
      </c>
      <c r="I42" s="609">
        <f>INDEX($A$1:$F$200,MATCH(I37&amp;I38,$B$1:$B$200,0),6)</f>
        <v>152.24633</v>
      </c>
      <c r="J42"/>
      <c r="K42"/>
      <c r="L42"/>
      <c r="M42"/>
    </row>
    <row r="43" spans="1:13" s="605" customFormat="1" x14ac:dyDescent="0.3">
      <c r="A43" s="606">
        <v>42</v>
      </c>
      <c r="B43" s="606" t="str">
        <f t="shared" si="0"/>
        <v>2024Junio</v>
      </c>
      <c r="C43" s="604">
        <f>C38</f>
        <v>2024</v>
      </c>
      <c r="D43" s="610" t="s">
        <v>6711</v>
      </c>
      <c r="E43" s="609">
        <v>132.13999999999999</v>
      </c>
      <c r="F43" s="609">
        <f t="shared" si="1"/>
        <v>130.12163000000001</v>
      </c>
      <c r="G43"/>
      <c r="H43"/>
      <c r="I43"/>
      <c r="J43"/>
      <c r="K43"/>
      <c r="L43"/>
      <c r="M43"/>
    </row>
    <row r="44" spans="1:13" s="605" customFormat="1" x14ac:dyDescent="0.3">
      <c r="A44" s="606">
        <v>43</v>
      </c>
      <c r="B44" s="606" t="str">
        <f t="shared" si="0"/>
        <v>2024Julio</v>
      </c>
      <c r="C44" s="604">
        <f>C38</f>
        <v>2024</v>
      </c>
      <c r="D44" s="610" t="s">
        <v>6713</v>
      </c>
      <c r="E44" s="609">
        <v>131.74</v>
      </c>
      <c r="F44" s="609">
        <f t="shared" si="1"/>
        <v>130.83533</v>
      </c>
      <c r="G44"/>
      <c r="H44"/>
      <c r="I44"/>
      <c r="J44"/>
      <c r="K44"/>
      <c r="L44"/>
      <c r="M44"/>
    </row>
    <row r="45" spans="1:13" s="605" customFormat="1" x14ac:dyDescent="0.3">
      <c r="A45" s="606">
        <v>44</v>
      </c>
      <c r="B45" s="606" t="str">
        <f t="shared" si="0"/>
        <v xml:space="preserve">2024Agosto </v>
      </c>
      <c r="C45" s="604">
        <f>C38</f>
        <v>2024</v>
      </c>
      <c r="D45" s="610" t="s">
        <v>6715</v>
      </c>
      <c r="E45" s="609">
        <v>131.85</v>
      </c>
      <c r="F45" s="609">
        <f t="shared" si="1"/>
        <v>131.54903000000002</v>
      </c>
      <c r="G45"/>
      <c r="H45"/>
      <c r="I45"/>
      <c r="J45"/>
      <c r="K45"/>
      <c r="L45"/>
      <c r="M45"/>
    </row>
    <row r="46" spans="1:13" s="605" customFormat="1" x14ac:dyDescent="0.3">
      <c r="A46" s="606">
        <v>45</v>
      </c>
      <c r="B46" s="606" t="str">
        <f t="shared" si="0"/>
        <v>2024Septiembre</v>
      </c>
      <c r="C46" s="604">
        <f>C38</f>
        <v>2024</v>
      </c>
      <c r="D46" s="610" t="s">
        <v>6716</v>
      </c>
      <c r="E46" s="609">
        <v>131.84</v>
      </c>
      <c r="F46" s="609">
        <f t="shared" si="1"/>
        <v>132.26273</v>
      </c>
      <c r="G46"/>
      <c r="H46"/>
      <c r="I46"/>
      <c r="J46"/>
      <c r="K46"/>
      <c r="L46"/>
      <c r="M46"/>
    </row>
    <row r="47" spans="1:13" s="605" customFormat="1" x14ac:dyDescent="0.3">
      <c r="A47" s="606">
        <v>46</v>
      </c>
      <c r="B47" s="606" t="str">
        <f t="shared" si="0"/>
        <v>2024Octubre</v>
      </c>
      <c r="C47" s="604">
        <f>C38</f>
        <v>2024</v>
      </c>
      <c r="D47" s="610" t="s">
        <v>6717</v>
      </c>
      <c r="E47" s="609">
        <v>131.91999999999999</v>
      </c>
      <c r="F47" s="609">
        <f t="shared" si="1"/>
        <v>132.97642999999999</v>
      </c>
      <c r="G47"/>
      <c r="H47"/>
      <c r="I47"/>
      <c r="J47" s="17"/>
      <c r="K47" s="18"/>
      <c r="L47"/>
      <c r="M47"/>
    </row>
    <row r="48" spans="1:13" s="605" customFormat="1" x14ac:dyDescent="0.3">
      <c r="A48" s="606">
        <v>47</v>
      </c>
      <c r="B48" s="606" t="str">
        <f t="shared" si="0"/>
        <v>2024Noviembre</v>
      </c>
      <c r="C48" s="604">
        <f>C38</f>
        <v>2024</v>
      </c>
      <c r="D48" s="610" t="s">
        <v>6718</v>
      </c>
      <c r="E48" s="609">
        <v>131.99</v>
      </c>
      <c r="F48" s="609">
        <f t="shared" si="1"/>
        <v>133.69013000000001</v>
      </c>
      <c r="G48"/>
      <c r="H48"/>
      <c r="I48"/>
      <c r="J48" s="17"/>
      <c r="K48"/>
      <c r="L48"/>
      <c r="M48"/>
    </row>
    <row r="49" spans="1:13" s="605" customFormat="1" x14ac:dyDescent="0.3">
      <c r="A49" s="606">
        <v>48</v>
      </c>
      <c r="B49" s="606" t="str">
        <f t="shared" si="0"/>
        <v>2024Diciembre</v>
      </c>
      <c r="C49" s="604">
        <f>C38</f>
        <v>2024</v>
      </c>
      <c r="D49" s="610" t="s">
        <v>6719</v>
      </c>
      <c r="E49" s="609">
        <v>131.86000000000001</v>
      </c>
      <c r="F49" s="609">
        <f t="shared" si="1"/>
        <v>134.40383</v>
      </c>
      <c r="G49"/>
      <c r="H49"/>
      <c r="I49"/>
      <c r="K49"/>
      <c r="L49"/>
      <c r="M49"/>
    </row>
    <row r="50" spans="1:13" s="605" customFormat="1" x14ac:dyDescent="0.3">
      <c r="A50" s="606">
        <v>49</v>
      </c>
      <c r="B50" s="606" t="str">
        <f t="shared" si="0"/>
        <v>2025Enero</v>
      </c>
      <c r="C50" s="617">
        <f>C38+1</f>
        <v>2025</v>
      </c>
      <c r="D50" s="610" t="s">
        <v>6700</v>
      </c>
      <c r="E50" s="609">
        <v>134.62</v>
      </c>
      <c r="F50" s="609">
        <f t="shared" si="1"/>
        <v>135.11752999999999</v>
      </c>
      <c r="G50"/>
      <c r="H50"/>
      <c r="I50" s="17"/>
      <c r="J50"/>
      <c r="K50"/>
      <c r="L50"/>
      <c r="M50"/>
    </row>
    <row r="51" spans="1:13" s="605" customFormat="1" x14ac:dyDescent="0.3">
      <c r="A51" s="606">
        <v>50</v>
      </c>
      <c r="B51" s="606" t="str">
        <f t="shared" si="0"/>
        <v>2025Febrero</v>
      </c>
      <c r="C51" s="604">
        <f>C50</f>
        <v>2025</v>
      </c>
      <c r="D51" s="610" t="s">
        <v>6702</v>
      </c>
      <c r="E51" s="609">
        <v>136.36000000000001</v>
      </c>
      <c r="F51" s="609">
        <f t="shared" si="1"/>
        <v>135.83123000000001</v>
      </c>
      <c r="G51"/>
      <c r="H51"/>
      <c r="I51"/>
      <c r="J51"/>
      <c r="K51"/>
      <c r="L51"/>
      <c r="M51"/>
    </row>
    <row r="52" spans="1:13" s="605" customFormat="1" x14ac:dyDescent="0.3">
      <c r="A52" s="606">
        <v>51</v>
      </c>
      <c r="B52" s="606" t="str">
        <f t="shared" si="0"/>
        <v>2025Marzo</v>
      </c>
      <c r="C52" s="604">
        <f>C50</f>
        <v>2025</v>
      </c>
      <c r="D52" s="610" t="s">
        <v>6707</v>
      </c>
      <c r="E52" s="609">
        <v>137.29</v>
      </c>
      <c r="F52" s="609">
        <f t="shared" si="1"/>
        <v>136.54492999999999</v>
      </c>
      <c r="G52"/>
      <c r="H52"/>
      <c r="I52"/>
      <c r="J52"/>
      <c r="K52"/>
      <c r="L52"/>
      <c r="M52"/>
    </row>
    <row r="53" spans="1:13" s="605" customFormat="1" x14ac:dyDescent="0.3">
      <c r="A53" s="606">
        <v>52</v>
      </c>
      <c r="B53" s="606" t="str">
        <f t="shared" si="0"/>
        <v>2025Abril</v>
      </c>
      <c r="C53" s="604">
        <f>C50</f>
        <v>2025</v>
      </c>
      <c r="D53" s="610" t="s">
        <v>6709</v>
      </c>
      <c r="E53" s="609">
        <v>137.61000000000001</v>
      </c>
      <c r="F53" s="609">
        <f t="shared" si="1"/>
        <v>137.25863000000001</v>
      </c>
      <c r="G53"/>
      <c r="H53"/>
      <c r="I53"/>
      <c r="J53"/>
      <c r="L53"/>
      <c r="M53"/>
    </row>
    <row r="54" spans="1:13" s="605" customFormat="1" x14ac:dyDescent="0.3">
      <c r="A54" s="606">
        <v>53</v>
      </c>
      <c r="B54" s="606" t="str">
        <f t="shared" si="0"/>
        <v>2025Mayo</v>
      </c>
      <c r="C54" s="604">
        <f>C50</f>
        <v>2025</v>
      </c>
      <c r="D54" s="610" t="s">
        <v>6710</v>
      </c>
      <c r="E54" s="609">
        <v>137.16</v>
      </c>
      <c r="F54" s="609">
        <f t="shared" si="1"/>
        <v>137.97233</v>
      </c>
      <c r="G54"/>
      <c r="H54"/>
      <c r="I54"/>
      <c r="J54"/>
      <c r="K54"/>
      <c r="L54"/>
      <c r="M54"/>
    </row>
    <row r="55" spans="1:13" x14ac:dyDescent="0.3">
      <c r="A55" s="606">
        <v>54</v>
      </c>
      <c r="B55" s="606" t="str">
        <f t="shared" si="0"/>
        <v>2025Junio</v>
      </c>
      <c r="C55" s="604">
        <f>C50</f>
        <v>2025</v>
      </c>
      <c r="D55" s="610" t="s">
        <v>6711</v>
      </c>
      <c r="E55" s="609">
        <v>137.44999999999999</v>
      </c>
      <c r="F55" s="609">
        <f t="shared" si="1"/>
        <v>138.68603000000002</v>
      </c>
    </row>
    <row r="56" spans="1:13" x14ac:dyDescent="0.3">
      <c r="A56" s="606">
        <v>55</v>
      </c>
      <c r="B56" s="606" t="str">
        <f t="shared" si="0"/>
        <v>2025Julio</v>
      </c>
      <c r="C56" s="604">
        <f>C50</f>
        <v>2025</v>
      </c>
      <c r="D56" s="610" t="s">
        <v>6713</v>
      </c>
      <c r="E56" s="609">
        <v>138.37</v>
      </c>
      <c r="F56" s="609">
        <f t="shared" si="1"/>
        <v>139.39973000000001</v>
      </c>
    </row>
    <row r="57" spans="1:13" x14ac:dyDescent="0.3">
      <c r="A57" s="606">
        <v>56</v>
      </c>
      <c r="B57" s="606" t="str">
        <f t="shared" si="0"/>
        <v xml:space="preserve">2025Agosto </v>
      </c>
      <c r="C57" s="604">
        <f>C50</f>
        <v>2025</v>
      </c>
      <c r="D57" s="610" t="s">
        <v>6715</v>
      </c>
      <c r="E57" s="609">
        <v>138.62</v>
      </c>
      <c r="F57" s="609">
        <f t="shared" si="1"/>
        <v>140.11342999999999</v>
      </c>
    </row>
    <row r="58" spans="1:13" x14ac:dyDescent="0.3">
      <c r="A58" s="606">
        <v>57</v>
      </c>
      <c r="B58" s="606" t="str">
        <f t="shared" si="0"/>
        <v>2025Septiembre</v>
      </c>
      <c r="C58" s="604">
        <f>C50</f>
        <v>2025</v>
      </c>
      <c r="D58" s="610" t="s">
        <v>6716</v>
      </c>
      <c r="E58" s="609">
        <v>138.54</v>
      </c>
      <c r="F58" s="609">
        <f t="shared" si="1"/>
        <v>140.82713000000001</v>
      </c>
    </row>
    <row r="59" spans="1:13" x14ac:dyDescent="0.3">
      <c r="A59" s="606">
        <v>58</v>
      </c>
      <c r="B59" s="606" t="str">
        <f t="shared" si="0"/>
        <v>2025Octubre</v>
      </c>
      <c r="C59" s="604">
        <f>C50</f>
        <v>2025</v>
      </c>
      <c r="D59" s="610" t="s">
        <v>6717</v>
      </c>
      <c r="E59" s="609">
        <v>138.24</v>
      </c>
      <c r="F59" s="609">
        <f t="shared" si="1"/>
        <v>141.54083</v>
      </c>
    </row>
    <row r="60" spans="1:13" x14ac:dyDescent="0.3">
      <c r="A60" s="606">
        <v>59</v>
      </c>
      <c r="B60" s="606" t="str">
        <f t="shared" si="0"/>
        <v>2025Noviembre</v>
      </c>
      <c r="C60" s="604">
        <f>C50</f>
        <v>2025</v>
      </c>
      <c r="D60" s="610" t="s">
        <v>6718</v>
      </c>
      <c r="E60" s="609">
        <v>138.55000000000001</v>
      </c>
      <c r="F60" s="609">
        <f t="shared" si="1"/>
        <v>142.25452999999999</v>
      </c>
    </row>
    <row r="61" spans="1:13" x14ac:dyDescent="0.3">
      <c r="A61" s="606">
        <v>60</v>
      </c>
      <c r="B61" s="606" t="str">
        <f t="shared" si="0"/>
        <v>2025Diciembre</v>
      </c>
      <c r="C61" s="604">
        <f>C50</f>
        <v>2025</v>
      </c>
      <c r="D61" s="610" t="s">
        <v>6719</v>
      </c>
      <c r="E61" s="609">
        <v>138.66999999999999</v>
      </c>
      <c r="F61" s="609">
        <f t="shared" si="1"/>
        <v>142.96823000000001</v>
      </c>
    </row>
    <row r="62" spans="1:13" x14ac:dyDescent="0.3">
      <c r="A62" s="606">
        <v>61</v>
      </c>
      <c r="B62" s="606" t="str">
        <f t="shared" si="0"/>
        <v>2026Enero</v>
      </c>
      <c r="C62" s="617">
        <f>C50+1</f>
        <v>2026</v>
      </c>
      <c r="D62" s="610" t="s">
        <v>6700</v>
      </c>
      <c r="E62" s="609">
        <v>141.74</v>
      </c>
      <c r="F62" s="609">
        <f t="shared" si="1"/>
        <v>143.68192999999999</v>
      </c>
    </row>
    <row r="63" spans="1:13" x14ac:dyDescent="0.3">
      <c r="A63" s="606">
        <v>62</v>
      </c>
      <c r="B63" s="606" t="str">
        <f t="shared" si="0"/>
        <v>2026Febrero</v>
      </c>
      <c r="C63" s="604">
        <f>C62</f>
        <v>2026</v>
      </c>
      <c r="D63" s="610" t="s">
        <v>6702</v>
      </c>
      <c r="E63" s="609">
        <v>143.47999999999999</v>
      </c>
      <c r="F63" s="609">
        <f t="shared" si="1"/>
        <v>144.39563000000001</v>
      </c>
    </row>
    <row r="64" spans="1:13" x14ac:dyDescent="0.3">
      <c r="A64" s="606">
        <v>63</v>
      </c>
      <c r="B64" s="606" t="str">
        <f t="shared" si="0"/>
        <v>2026Marzo</v>
      </c>
      <c r="C64" s="604">
        <f>C62</f>
        <v>2026</v>
      </c>
      <c r="D64" s="610" t="s">
        <v>6707</v>
      </c>
      <c r="E64" s="609">
        <v>144.76</v>
      </c>
      <c r="F64" s="609">
        <f t="shared" si="1"/>
        <v>145.10933</v>
      </c>
    </row>
    <row r="65" spans="1:6" x14ac:dyDescent="0.3">
      <c r="A65" s="606">
        <v>64</v>
      </c>
      <c r="B65" s="606" t="str">
        <f t="shared" si="0"/>
        <v>2026Abril</v>
      </c>
      <c r="C65" s="604">
        <f>C62</f>
        <v>2026</v>
      </c>
      <c r="D65" s="610" t="s">
        <v>6709</v>
      </c>
      <c r="E65" s="609">
        <v>145.35</v>
      </c>
      <c r="F65" s="609">
        <f t="shared" si="1"/>
        <v>145.82303000000002</v>
      </c>
    </row>
    <row r="66" spans="1:6" x14ac:dyDescent="0.3">
      <c r="A66" s="606">
        <v>65</v>
      </c>
      <c r="B66" s="606" t="str">
        <f t="shared" si="0"/>
        <v>2026Mayo</v>
      </c>
      <c r="C66" s="604">
        <f>C62</f>
        <v>2026</v>
      </c>
      <c r="D66" s="610" t="s">
        <v>6710</v>
      </c>
      <c r="E66" s="609">
        <v>145.46</v>
      </c>
      <c r="F66" s="609">
        <f t="shared" ref="F66:F85" si="2">A66*$I$7+$I$8</f>
        <v>146.53673000000001</v>
      </c>
    </row>
    <row r="67" spans="1:6" x14ac:dyDescent="0.3">
      <c r="A67" s="606">
        <v>66</v>
      </c>
      <c r="B67" s="606" t="str">
        <f t="shared" ref="B67:B85" si="3">C67&amp;D67</f>
        <v>2026Junio</v>
      </c>
      <c r="C67" s="604">
        <f>C62</f>
        <v>2026</v>
      </c>
      <c r="D67" s="610" t="s">
        <v>6711</v>
      </c>
      <c r="E67" s="609">
        <v>146.19999999999999</v>
      </c>
      <c r="F67" s="609">
        <f t="shared" si="2"/>
        <v>147.25042999999999</v>
      </c>
    </row>
    <row r="68" spans="1:6" x14ac:dyDescent="0.3">
      <c r="A68" s="606">
        <v>67</v>
      </c>
      <c r="B68" s="606" t="str">
        <f t="shared" si="3"/>
        <v>2026Julio</v>
      </c>
      <c r="C68" s="604">
        <f>C62</f>
        <v>2026</v>
      </c>
      <c r="D68" s="610" t="s">
        <v>6713</v>
      </c>
      <c r="E68" s="608"/>
      <c r="F68" s="609">
        <f>A68*$I$7+$I$8</f>
        <v>147.96413000000001</v>
      </c>
    </row>
    <row r="69" spans="1:6" x14ac:dyDescent="0.3">
      <c r="A69" s="606">
        <v>68</v>
      </c>
      <c r="B69" s="606" t="str">
        <f t="shared" si="3"/>
        <v xml:space="preserve">2026Agosto </v>
      </c>
      <c r="C69" s="604">
        <f>C62</f>
        <v>2026</v>
      </c>
      <c r="D69" s="610" t="s">
        <v>6715</v>
      </c>
      <c r="E69" s="608"/>
      <c r="F69" s="609">
        <f t="shared" si="2"/>
        <v>148.67783</v>
      </c>
    </row>
    <row r="70" spans="1:6" x14ac:dyDescent="0.3">
      <c r="A70" s="606">
        <v>69</v>
      </c>
      <c r="B70" s="606" t="str">
        <f t="shared" si="3"/>
        <v>2026Septiembre</v>
      </c>
      <c r="C70" s="604">
        <f>C62</f>
        <v>2026</v>
      </c>
      <c r="D70" s="610" t="s">
        <v>6716</v>
      </c>
      <c r="E70" s="608"/>
      <c r="F70" s="609">
        <f t="shared" si="2"/>
        <v>149.39152999999999</v>
      </c>
    </row>
    <row r="71" spans="1:6" x14ac:dyDescent="0.3">
      <c r="A71" s="606">
        <v>70</v>
      </c>
      <c r="B71" s="606" t="str">
        <f t="shared" si="3"/>
        <v>2026Octubre</v>
      </c>
      <c r="C71" s="604">
        <f>C62</f>
        <v>2026</v>
      </c>
      <c r="D71" s="610" t="s">
        <v>6717</v>
      </c>
      <c r="E71" s="608"/>
      <c r="F71" s="609">
        <f t="shared" si="2"/>
        <v>150.10523000000001</v>
      </c>
    </row>
    <row r="72" spans="1:6" x14ac:dyDescent="0.3">
      <c r="A72" s="606">
        <v>71</v>
      </c>
      <c r="B72" s="606" t="str">
        <f t="shared" si="3"/>
        <v>2026Noviembre</v>
      </c>
      <c r="C72" s="604">
        <f>C62</f>
        <v>2026</v>
      </c>
      <c r="D72" s="610" t="s">
        <v>6718</v>
      </c>
      <c r="E72" s="608"/>
      <c r="F72" s="609">
        <f t="shared" si="2"/>
        <v>150.81892999999999</v>
      </c>
    </row>
    <row r="73" spans="1:6" x14ac:dyDescent="0.3">
      <c r="A73" s="606">
        <v>72</v>
      </c>
      <c r="B73" s="606" t="str">
        <f t="shared" si="3"/>
        <v>2026Diciembre</v>
      </c>
      <c r="C73" s="604">
        <f>C62</f>
        <v>2026</v>
      </c>
      <c r="D73" s="610" t="s">
        <v>6719</v>
      </c>
      <c r="E73" s="608"/>
      <c r="F73" s="609">
        <f>A73*$I$7+$I$8</f>
        <v>151.53263000000001</v>
      </c>
    </row>
    <row r="74" spans="1:6" x14ac:dyDescent="0.3">
      <c r="A74" s="606">
        <v>73</v>
      </c>
      <c r="B74" s="606" t="str">
        <f t="shared" si="3"/>
        <v>2027Enero</v>
      </c>
      <c r="C74" s="617">
        <f>C62+1</f>
        <v>2027</v>
      </c>
      <c r="D74" s="610" t="s">
        <v>6700</v>
      </c>
      <c r="E74" s="608"/>
      <c r="F74" s="609">
        <f t="shared" si="2"/>
        <v>152.24633</v>
      </c>
    </row>
    <row r="75" spans="1:6" x14ac:dyDescent="0.3">
      <c r="A75" s="606">
        <v>74</v>
      </c>
      <c r="B75" s="606" t="str">
        <f t="shared" si="3"/>
        <v>2027Febrero</v>
      </c>
      <c r="C75" s="604">
        <f>C74</f>
        <v>2027</v>
      </c>
      <c r="D75" s="610" t="s">
        <v>6702</v>
      </c>
      <c r="E75" s="608"/>
      <c r="F75" s="609">
        <f t="shared" si="2"/>
        <v>152.96003000000002</v>
      </c>
    </row>
    <row r="76" spans="1:6" x14ac:dyDescent="0.3">
      <c r="A76" s="606">
        <v>75</v>
      </c>
      <c r="B76" s="606" t="str">
        <f t="shared" si="3"/>
        <v>2027Marzo</v>
      </c>
      <c r="C76" s="604">
        <f>C74</f>
        <v>2027</v>
      </c>
      <c r="D76" s="610" t="s">
        <v>6707</v>
      </c>
      <c r="E76" s="608"/>
      <c r="F76" s="609">
        <f t="shared" si="2"/>
        <v>153.67373000000001</v>
      </c>
    </row>
    <row r="77" spans="1:6" x14ac:dyDescent="0.3">
      <c r="A77" s="606">
        <v>76</v>
      </c>
      <c r="B77" s="606" t="str">
        <f t="shared" si="3"/>
        <v>2027Abril</v>
      </c>
      <c r="C77" s="604">
        <f>C74</f>
        <v>2027</v>
      </c>
      <c r="D77" s="610" t="s">
        <v>6709</v>
      </c>
      <c r="E77" s="608"/>
      <c r="F77" s="609">
        <f t="shared" si="2"/>
        <v>154.38742999999999</v>
      </c>
    </row>
    <row r="78" spans="1:6" x14ac:dyDescent="0.3">
      <c r="A78" s="606">
        <v>77</v>
      </c>
      <c r="B78" s="606" t="str">
        <f t="shared" si="3"/>
        <v>2027Mayo</v>
      </c>
      <c r="C78" s="604">
        <f>C74</f>
        <v>2027</v>
      </c>
      <c r="D78" s="610" t="s">
        <v>6710</v>
      </c>
      <c r="E78" s="608"/>
      <c r="F78" s="609">
        <f t="shared" si="2"/>
        <v>155.10113000000001</v>
      </c>
    </row>
    <row r="79" spans="1:6" x14ac:dyDescent="0.3">
      <c r="A79" s="606">
        <v>78</v>
      </c>
      <c r="B79" s="606" t="str">
        <f t="shared" si="3"/>
        <v>2027Junio</v>
      </c>
      <c r="C79" s="604">
        <f>C74</f>
        <v>2027</v>
      </c>
      <c r="D79" s="610" t="s">
        <v>6711</v>
      </c>
      <c r="E79" s="608"/>
      <c r="F79" s="609">
        <f t="shared" si="2"/>
        <v>155.81483</v>
      </c>
    </row>
    <row r="80" spans="1:6" x14ac:dyDescent="0.3">
      <c r="A80" s="606">
        <v>79</v>
      </c>
      <c r="B80" s="606" t="str">
        <f t="shared" si="3"/>
        <v>2027Julio</v>
      </c>
      <c r="C80" s="604">
        <f>C74</f>
        <v>2027</v>
      </c>
      <c r="D80" s="610" t="s">
        <v>6713</v>
      </c>
      <c r="E80" s="608"/>
      <c r="F80" s="609">
        <f t="shared" si="2"/>
        <v>156.52852999999999</v>
      </c>
    </row>
    <row r="81" spans="1:6" x14ac:dyDescent="0.3">
      <c r="A81" s="606">
        <v>80</v>
      </c>
      <c r="B81" s="606" t="str">
        <f t="shared" si="3"/>
        <v xml:space="preserve">2027Agosto </v>
      </c>
      <c r="C81" s="604">
        <f>C74</f>
        <v>2027</v>
      </c>
      <c r="D81" s="610" t="s">
        <v>6715</v>
      </c>
      <c r="E81" s="608"/>
      <c r="F81" s="609">
        <f t="shared" si="2"/>
        <v>157.24223000000001</v>
      </c>
    </row>
    <row r="82" spans="1:6" x14ac:dyDescent="0.3">
      <c r="A82" s="606">
        <v>81</v>
      </c>
      <c r="B82" s="606" t="str">
        <f t="shared" si="3"/>
        <v>2027Septiembre</v>
      </c>
      <c r="C82" s="604">
        <f>C74</f>
        <v>2027</v>
      </c>
      <c r="D82" s="610" t="s">
        <v>6716</v>
      </c>
      <c r="E82" s="608"/>
      <c r="F82" s="609">
        <f t="shared" si="2"/>
        <v>157.95593</v>
      </c>
    </row>
    <row r="83" spans="1:6" x14ac:dyDescent="0.3">
      <c r="A83" s="606">
        <v>82</v>
      </c>
      <c r="B83" s="606" t="str">
        <f t="shared" si="3"/>
        <v>2027Octubre</v>
      </c>
      <c r="C83" s="604">
        <f>C74</f>
        <v>2027</v>
      </c>
      <c r="D83" s="610" t="s">
        <v>6717</v>
      </c>
      <c r="E83" s="608"/>
      <c r="F83" s="609">
        <f t="shared" si="2"/>
        <v>158.66963000000001</v>
      </c>
    </row>
    <row r="84" spans="1:6" x14ac:dyDescent="0.3">
      <c r="A84" s="606">
        <v>83</v>
      </c>
      <c r="B84" s="606" t="str">
        <f t="shared" si="3"/>
        <v>2027Noviembre</v>
      </c>
      <c r="C84" s="604">
        <f>C74</f>
        <v>2027</v>
      </c>
      <c r="D84" s="610" t="s">
        <v>6718</v>
      </c>
      <c r="E84" s="608"/>
      <c r="F84" s="609">
        <f t="shared" si="2"/>
        <v>159.38333</v>
      </c>
    </row>
    <row r="85" spans="1:6" x14ac:dyDescent="0.3">
      <c r="A85" s="606">
        <v>84</v>
      </c>
      <c r="B85" s="606" t="str">
        <f t="shared" si="3"/>
        <v>2027Diciembre</v>
      </c>
      <c r="C85" s="604">
        <f>C74</f>
        <v>2027</v>
      </c>
      <c r="D85" s="610" t="s">
        <v>6719</v>
      </c>
      <c r="E85" s="608"/>
      <c r="F85" s="609">
        <f t="shared" si="2"/>
        <v>160.09703000000002</v>
      </c>
    </row>
    <row r="86" spans="1:6" x14ac:dyDescent="0.3">
      <c r="A86" s="606">
        <v>85</v>
      </c>
      <c r="B86" s="606" t="str">
        <f t="shared" ref="B86:B93" si="4">C86&amp;D86</f>
        <v>2028Enero</v>
      </c>
      <c r="C86" s="604">
        <v>2028</v>
      </c>
      <c r="D86" s="610" t="s">
        <v>6700</v>
      </c>
      <c r="E86" s="608"/>
      <c r="F86" s="609">
        <f t="shared" ref="F86:F93" si="5">A86*$I$7+$I$8</f>
        <v>160.81073000000001</v>
      </c>
    </row>
    <row r="87" spans="1:6" x14ac:dyDescent="0.3">
      <c r="A87" s="606">
        <v>86</v>
      </c>
      <c r="B87" s="606" t="str">
        <f t="shared" si="4"/>
        <v>2028Febrero</v>
      </c>
      <c r="C87" s="604">
        <f>+C86</f>
        <v>2028</v>
      </c>
      <c r="D87" s="610" t="s">
        <v>6702</v>
      </c>
      <c r="E87" s="608"/>
      <c r="F87" s="609">
        <f t="shared" si="5"/>
        <v>161.52443</v>
      </c>
    </row>
    <row r="88" spans="1:6" x14ac:dyDescent="0.3">
      <c r="A88" s="606">
        <v>87</v>
      </c>
      <c r="B88" s="606" t="str">
        <f t="shared" si="4"/>
        <v>2028Marzo</v>
      </c>
      <c r="C88" s="604">
        <f t="shared" ref="C88:C94" si="6">+C87</f>
        <v>2028</v>
      </c>
      <c r="D88" s="610" t="s">
        <v>6707</v>
      </c>
      <c r="E88" s="608"/>
      <c r="F88" s="609">
        <f t="shared" si="5"/>
        <v>162.23813000000001</v>
      </c>
    </row>
    <row r="89" spans="1:6" x14ac:dyDescent="0.3">
      <c r="A89" s="606">
        <v>88</v>
      </c>
      <c r="B89" s="606" t="str">
        <f t="shared" si="4"/>
        <v>2028Abril</v>
      </c>
      <c r="C89" s="604">
        <f t="shared" si="6"/>
        <v>2028</v>
      </c>
      <c r="D89" s="610" t="s">
        <v>6709</v>
      </c>
      <c r="E89" s="608"/>
      <c r="F89" s="609">
        <f t="shared" si="5"/>
        <v>162.95183</v>
      </c>
    </row>
    <row r="90" spans="1:6" x14ac:dyDescent="0.3">
      <c r="A90" s="606">
        <v>89</v>
      </c>
      <c r="B90" s="606" t="str">
        <f t="shared" si="4"/>
        <v>2028Mayo</v>
      </c>
      <c r="C90" s="604">
        <f t="shared" si="6"/>
        <v>2028</v>
      </c>
      <c r="D90" s="610" t="s">
        <v>6710</v>
      </c>
      <c r="E90" s="608"/>
      <c r="F90" s="609">
        <f t="shared" si="5"/>
        <v>163.66552999999999</v>
      </c>
    </row>
    <row r="91" spans="1:6" x14ac:dyDescent="0.3">
      <c r="A91" s="606">
        <v>90</v>
      </c>
      <c r="B91" s="606" t="str">
        <f t="shared" si="4"/>
        <v>2028Junio</v>
      </c>
      <c r="C91" s="604">
        <f t="shared" si="6"/>
        <v>2028</v>
      </c>
      <c r="D91" s="610" t="s">
        <v>6711</v>
      </c>
      <c r="E91" s="608"/>
      <c r="F91" s="609">
        <f t="shared" si="5"/>
        <v>164.37923000000001</v>
      </c>
    </row>
    <row r="92" spans="1:6" x14ac:dyDescent="0.3">
      <c r="A92" s="606">
        <v>91</v>
      </c>
      <c r="B92" s="606" t="str">
        <f t="shared" si="4"/>
        <v>2028Julio</v>
      </c>
      <c r="C92" s="604">
        <f t="shared" si="6"/>
        <v>2028</v>
      </c>
      <c r="D92" s="610" t="s">
        <v>6713</v>
      </c>
      <c r="E92" s="608"/>
      <c r="F92" s="609">
        <f t="shared" si="5"/>
        <v>165.09293000000002</v>
      </c>
    </row>
    <row r="93" spans="1:6" x14ac:dyDescent="0.3">
      <c r="A93" s="606">
        <v>92</v>
      </c>
      <c r="B93" s="606" t="str">
        <f t="shared" si="4"/>
        <v>2028Agosto</v>
      </c>
      <c r="C93" s="604">
        <f t="shared" si="6"/>
        <v>2028</v>
      </c>
      <c r="D93" s="610" t="s">
        <v>6729</v>
      </c>
      <c r="E93" s="608"/>
      <c r="F93" s="609">
        <f t="shared" si="5"/>
        <v>165.80662999999998</v>
      </c>
    </row>
    <row r="94" spans="1:6" x14ac:dyDescent="0.3">
      <c r="A94" s="606">
        <v>93</v>
      </c>
      <c r="B94" s="606" t="str">
        <f>C94&amp;D94</f>
        <v>2028Septiembre</v>
      </c>
      <c r="C94" s="604">
        <f t="shared" si="6"/>
        <v>2028</v>
      </c>
      <c r="D94" s="610" t="s">
        <v>6716</v>
      </c>
      <c r="E94" s="608"/>
      <c r="F94" s="609">
        <f>A94*$I$7+$I$8</f>
        <v>166.52033</v>
      </c>
    </row>
  </sheetData>
  <mergeCells count="2">
    <mergeCell ref="H1:K1"/>
    <mergeCell ref="H2:K2"/>
  </mergeCells>
  <phoneticPr fontId="18" type="noConversion"/>
  <dataValidations count="2">
    <dataValidation type="list" allowBlank="1" showInputMessage="1" showErrorMessage="1" sqref="I36 I38" xr:uid="{0B559D38-4A11-4B22-9B4C-A90A2268B5F5}">
      <formula1>$D$2:$D$13</formula1>
    </dataValidation>
    <dataValidation type="list" allowBlank="1" showInputMessage="1" showErrorMessage="1" sqref="I37 I35" xr:uid="{83F8BC13-B29C-4D5D-81DA-54CED8C7747C}">
      <formula1>"2024,2025,2025,2026,2027"</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DFA79-1BA6-4BBF-9439-317E50512C34}">
  <sheetPr>
    <pageSetUpPr fitToPage="1"/>
  </sheetPr>
  <dimension ref="A1:Y82"/>
  <sheetViews>
    <sheetView showGridLines="0" view="pageBreakPreview" topLeftCell="G54" zoomScaleNormal="100" zoomScaleSheetLayoutView="100" workbookViewId="0">
      <selection activeCell="W18" sqref="W18"/>
    </sheetView>
  </sheetViews>
  <sheetFormatPr baseColWidth="10" defaultRowHeight="13.2" x14ac:dyDescent="0.3"/>
  <cols>
    <col min="1" max="1" width="7.109375" style="122" bestFit="1" customWidth="1"/>
    <col min="2" max="2" width="8.109375" style="122" customWidth="1"/>
    <col min="3" max="3" width="47.109375" style="123" customWidth="1"/>
    <col min="4" max="4" width="19.109375" style="123" bestFit="1" customWidth="1"/>
    <col min="5" max="5" width="8.44140625" style="123" customWidth="1"/>
    <col min="6" max="6" width="9.6640625" style="123" customWidth="1"/>
    <col min="7" max="7" width="7.77734375" style="123" customWidth="1"/>
    <col min="8" max="8" width="5.88671875" style="123" customWidth="1"/>
    <col min="9" max="10" width="14.44140625" style="123" customWidth="1"/>
    <col min="11" max="11" width="6.88671875" style="123" customWidth="1"/>
    <col min="12" max="12" width="11.77734375" style="123" customWidth="1"/>
    <col min="13" max="13" width="5.6640625" style="123" customWidth="1"/>
    <col min="14" max="14" width="6.88671875" style="123" customWidth="1"/>
    <col min="15" max="19" width="6.109375" style="123" customWidth="1"/>
    <col min="20" max="20" width="6" style="123" customWidth="1"/>
    <col min="21" max="22" width="6.109375" style="123" customWidth="1"/>
    <col min="23" max="23" width="15.44140625" style="123" customWidth="1"/>
    <col min="24" max="24" width="19.33203125" style="123" customWidth="1"/>
    <col min="25" max="25" width="19.6640625" style="123" bestFit="1" customWidth="1"/>
    <col min="26" max="256" width="11.5546875" style="123"/>
    <col min="257" max="257" width="7.109375" style="123" bestFit="1" customWidth="1"/>
    <col min="258" max="258" width="5.33203125" style="123" bestFit="1" customWidth="1"/>
    <col min="259" max="259" width="47.109375" style="123" customWidth="1"/>
    <col min="260" max="260" width="14.6640625" style="123" customWidth="1"/>
    <col min="261" max="261" width="8.44140625" style="123" customWidth="1"/>
    <col min="262" max="262" width="9.6640625" style="123" customWidth="1"/>
    <col min="263" max="263" width="5" style="123" customWidth="1"/>
    <col min="264" max="264" width="5.33203125" style="123" customWidth="1"/>
    <col min="265" max="265" width="14.88671875" style="123" bestFit="1" customWidth="1"/>
    <col min="266" max="266" width="12.88671875" style="123" bestFit="1" customWidth="1"/>
    <col min="267" max="267" width="6.5546875" style="123" customWidth="1"/>
    <col min="268" max="268" width="16.88671875" style="123" customWidth="1"/>
    <col min="269" max="269" width="9.109375" style="123" customWidth="1"/>
    <col min="270" max="270" width="15" style="123" customWidth="1"/>
    <col min="271" max="271" width="48.109375" style="123" customWidth="1"/>
    <col min="272" max="272" width="15.109375" style="123" bestFit="1" customWidth="1"/>
    <col min="273" max="273" width="4.44140625" style="123" customWidth="1"/>
    <col min="274" max="274" width="3.5546875" style="123" bestFit="1" customWidth="1"/>
    <col min="275" max="275" width="4.109375" style="123" customWidth="1"/>
    <col min="276" max="276" width="35.44140625" style="123" customWidth="1"/>
    <col min="277" max="512" width="11.5546875" style="123"/>
    <col min="513" max="513" width="7.109375" style="123" bestFit="1" customWidth="1"/>
    <col min="514" max="514" width="5.33203125" style="123" bestFit="1" customWidth="1"/>
    <col min="515" max="515" width="47.109375" style="123" customWidth="1"/>
    <col min="516" max="516" width="14.6640625" style="123" customWidth="1"/>
    <col min="517" max="517" width="8.44140625" style="123" customWidth="1"/>
    <col min="518" max="518" width="9.6640625" style="123" customWidth="1"/>
    <col min="519" max="519" width="5" style="123" customWidth="1"/>
    <col min="520" max="520" width="5.33203125" style="123" customWidth="1"/>
    <col min="521" max="521" width="14.88671875" style="123" bestFit="1" customWidth="1"/>
    <col min="522" max="522" width="12.88671875" style="123" bestFit="1" customWidth="1"/>
    <col min="523" max="523" width="6.5546875" style="123" customWidth="1"/>
    <col min="524" max="524" width="16.88671875" style="123" customWidth="1"/>
    <col min="525" max="525" width="9.109375" style="123" customWidth="1"/>
    <col min="526" max="526" width="15" style="123" customWidth="1"/>
    <col min="527" max="527" width="48.109375" style="123" customWidth="1"/>
    <col min="528" max="528" width="15.109375" style="123" bestFit="1" customWidth="1"/>
    <col min="529" max="529" width="4.44140625" style="123" customWidth="1"/>
    <col min="530" max="530" width="3.5546875" style="123" bestFit="1" customWidth="1"/>
    <col min="531" max="531" width="4.109375" style="123" customWidth="1"/>
    <col min="532" max="532" width="35.44140625" style="123" customWidth="1"/>
    <col min="533" max="768" width="11.5546875" style="123"/>
    <col min="769" max="769" width="7.109375" style="123" bestFit="1" customWidth="1"/>
    <col min="770" max="770" width="5.33203125" style="123" bestFit="1" customWidth="1"/>
    <col min="771" max="771" width="47.109375" style="123" customWidth="1"/>
    <col min="772" max="772" width="14.6640625" style="123" customWidth="1"/>
    <col min="773" max="773" width="8.44140625" style="123" customWidth="1"/>
    <col min="774" max="774" width="9.6640625" style="123" customWidth="1"/>
    <col min="775" max="775" width="5" style="123" customWidth="1"/>
    <col min="776" max="776" width="5.33203125" style="123" customWidth="1"/>
    <col min="777" max="777" width="14.88671875" style="123" bestFit="1" customWidth="1"/>
    <col min="778" max="778" width="12.88671875" style="123" bestFit="1" customWidth="1"/>
    <col min="779" max="779" width="6.5546875" style="123" customWidth="1"/>
    <col min="780" max="780" width="16.88671875" style="123" customWidth="1"/>
    <col min="781" max="781" width="9.109375" style="123" customWidth="1"/>
    <col min="782" max="782" width="15" style="123" customWidth="1"/>
    <col min="783" max="783" width="48.109375" style="123" customWidth="1"/>
    <col min="784" max="784" width="15.109375" style="123" bestFit="1" customWidth="1"/>
    <col min="785" max="785" width="4.44140625" style="123" customWidth="1"/>
    <col min="786" max="786" width="3.5546875" style="123" bestFit="1" customWidth="1"/>
    <col min="787" max="787" width="4.109375" style="123" customWidth="1"/>
    <col min="788" max="788" width="35.44140625" style="123" customWidth="1"/>
    <col min="789" max="1024" width="11.5546875" style="123"/>
    <col min="1025" max="1025" width="7.109375" style="123" bestFit="1" customWidth="1"/>
    <col min="1026" max="1026" width="5.33203125" style="123" bestFit="1" customWidth="1"/>
    <col min="1027" max="1027" width="47.109375" style="123" customWidth="1"/>
    <col min="1028" max="1028" width="14.6640625" style="123" customWidth="1"/>
    <col min="1029" max="1029" width="8.44140625" style="123" customWidth="1"/>
    <col min="1030" max="1030" width="9.6640625" style="123" customWidth="1"/>
    <col min="1031" max="1031" width="5" style="123" customWidth="1"/>
    <col min="1032" max="1032" width="5.33203125" style="123" customWidth="1"/>
    <col min="1033" max="1033" width="14.88671875" style="123" bestFit="1" customWidth="1"/>
    <col min="1034" max="1034" width="12.88671875" style="123" bestFit="1" customWidth="1"/>
    <col min="1035" max="1035" width="6.5546875" style="123" customWidth="1"/>
    <col min="1036" max="1036" width="16.88671875" style="123" customWidth="1"/>
    <col min="1037" max="1037" width="9.109375" style="123" customWidth="1"/>
    <col min="1038" max="1038" width="15" style="123" customWidth="1"/>
    <col min="1039" max="1039" width="48.109375" style="123" customWidth="1"/>
    <col min="1040" max="1040" width="15.109375" style="123" bestFit="1" customWidth="1"/>
    <col min="1041" max="1041" width="4.44140625" style="123" customWidth="1"/>
    <col min="1042" max="1042" width="3.5546875" style="123" bestFit="1" customWidth="1"/>
    <col min="1043" max="1043" width="4.109375" style="123" customWidth="1"/>
    <col min="1044" max="1044" width="35.44140625" style="123" customWidth="1"/>
    <col min="1045" max="1280" width="11.5546875" style="123"/>
    <col min="1281" max="1281" width="7.109375" style="123" bestFit="1" customWidth="1"/>
    <col min="1282" max="1282" width="5.33203125" style="123" bestFit="1" customWidth="1"/>
    <col min="1283" max="1283" width="47.109375" style="123" customWidth="1"/>
    <col min="1284" max="1284" width="14.6640625" style="123" customWidth="1"/>
    <col min="1285" max="1285" width="8.44140625" style="123" customWidth="1"/>
    <col min="1286" max="1286" width="9.6640625" style="123" customWidth="1"/>
    <col min="1287" max="1287" width="5" style="123" customWidth="1"/>
    <col min="1288" max="1288" width="5.33203125" style="123" customWidth="1"/>
    <col min="1289" max="1289" width="14.88671875" style="123" bestFit="1" customWidth="1"/>
    <col min="1290" max="1290" width="12.88671875" style="123" bestFit="1" customWidth="1"/>
    <col min="1291" max="1291" width="6.5546875" style="123" customWidth="1"/>
    <col min="1292" max="1292" width="16.88671875" style="123" customWidth="1"/>
    <col min="1293" max="1293" width="9.109375" style="123" customWidth="1"/>
    <col min="1294" max="1294" width="15" style="123" customWidth="1"/>
    <col min="1295" max="1295" width="48.109375" style="123" customWidth="1"/>
    <col min="1296" max="1296" width="15.109375" style="123" bestFit="1" customWidth="1"/>
    <col min="1297" max="1297" width="4.44140625" style="123" customWidth="1"/>
    <col min="1298" max="1298" width="3.5546875" style="123" bestFit="1" customWidth="1"/>
    <col min="1299" max="1299" width="4.109375" style="123" customWidth="1"/>
    <col min="1300" max="1300" width="35.44140625" style="123" customWidth="1"/>
    <col min="1301" max="1536" width="11.5546875" style="123"/>
    <col min="1537" max="1537" width="7.109375" style="123" bestFit="1" customWidth="1"/>
    <col min="1538" max="1538" width="5.33203125" style="123" bestFit="1" customWidth="1"/>
    <col min="1539" max="1539" width="47.109375" style="123" customWidth="1"/>
    <col min="1540" max="1540" width="14.6640625" style="123" customWidth="1"/>
    <col min="1541" max="1541" width="8.44140625" style="123" customWidth="1"/>
    <col min="1542" max="1542" width="9.6640625" style="123" customWidth="1"/>
    <col min="1543" max="1543" width="5" style="123" customWidth="1"/>
    <col min="1544" max="1544" width="5.33203125" style="123" customWidth="1"/>
    <col min="1545" max="1545" width="14.88671875" style="123" bestFit="1" customWidth="1"/>
    <col min="1546" max="1546" width="12.88671875" style="123" bestFit="1" customWidth="1"/>
    <col min="1547" max="1547" width="6.5546875" style="123" customWidth="1"/>
    <col min="1548" max="1548" width="16.88671875" style="123" customWidth="1"/>
    <col min="1549" max="1549" width="9.109375" style="123" customWidth="1"/>
    <col min="1550" max="1550" width="15" style="123" customWidth="1"/>
    <col min="1551" max="1551" width="48.109375" style="123" customWidth="1"/>
    <col min="1552" max="1552" width="15.109375" style="123" bestFit="1" customWidth="1"/>
    <col min="1553" max="1553" width="4.44140625" style="123" customWidth="1"/>
    <col min="1554" max="1554" width="3.5546875" style="123" bestFit="1" customWidth="1"/>
    <col min="1555" max="1555" width="4.109375" style="123" customWidth="1"/>
    <col min="1556" max="1556" width="35.44140625" style="123" customWidth="1"/>
    <col min="1557" max="1792" width="11.5546875" style="123"/>
    <col min="1793" max="1793" width="7.109375" style="123" bestFit="1" customWidth="1"/>
    <col min="1794" max="1794" width="5.33203125" style="123" bestFit="1" customWidth="1"/>
    <col min="1795" max="1795" width="47.109375" style="123" customWidth="1"/>
    <col min="1796" max="1796" width="14.6640625" style="123" customWidth="1"/>
    <col min="1797" max="1797" width="8.44140625" style="123" customWidth="1"/>
    <col min="1798" max="1798" width="9.6640625" style="123" customWidth="1"/>
    <col min="1799" max="1799" width="5" style="123" customWidth="1"/>
    <col min="1800" max="1800" width="5.33203125" style="123" customWidth="1"/>
    <col min="1801" max="1801" width="14.88671875" style="123" bestFit="1" customWidth="1"/>
    <col min="1802" max="1802" width="12.88671875" style="123" bestFit="1" customWidth="1"/>
    <col min="1803" max="1803" width="6.5546875" style="123" customWidth="1"/>
    <col min="1804" max="1804" width="16.88671875" style="123" customWidth="1"/>
    <col min="1805" max="1805" width="9.109375" style="123" customWidth="1"/>
    <col min="1806" max="1806" width="15" style="123" customWidth="1"/>
    <col min="1807" max="1807" width="48.109375" style="123" customWidth="1"/>
    <col min="1808" max="1808" width="15.109375" style="123" bestFit="1" customWidth="1"/>
    <col min="1809" max="1809" width="4.44140625" style="123" customWidth="1"/>
    <col min="1810" max="1810" width="3.5546875" style="123" bestFit="1" customWidth="1"/>
    <col min="1811" max="1811" width="4.109375" style="123" customWidth="1"/>
    <col min="1812" max="1812" width="35.44140625" style="123" customWidth="1"/>
    <col min="1813" max="2048" width="11.5546875" style="123"/>
    <col min="2049" max="2049" width="7.109375" style="123" bestFit="1" customWidth="1"/>
    <col min="2050" max="2050" width="5.33203125" style="123" bestFit="1" customWidth="1"/>
    <col min="2051" max="2051" width="47.109375" style="123" customWidth="1"/>
    <col min="2052" max="2052" width="14.6640625" style="123" customWidth="1"/>
    <col min="2053" max="2053" width="8.44140625" style="123" customWidth="1"/>
    <col min="2054" max="2054" width="9.6640625" style="123" customWidth="1"/>
    <col min="2055" max="2055" width="5" style="123" customWidth="1"/>
    <col min="2056" max="2056" width="5.33203125" style="123" customWidth="1"/>
    <col min="2057" max="2057" width="14.88671875" style="123" bestFit="1" customWidth="1"/>
    <col min="2058" max="2058" width="12.88671875" style="123" bestFit="1" customWidth="1"/>
    <col min="2059" max="2059" width="6.5546875" style="123" customWidth="1"/>
    <col min="2060" max="2060" width="16.88671875" style="123" customWidth="1"/>
    <col min="2061" max="2061" width="9.109375" style="123" customWidth="1"/>
    <col min="2062" max="2062" width="15" style="123" customWidth="1"/>
    <col min="2063" max="2063" width="48.109375" style="123" customWidth="1"/>
    <col min="2064" max="2064" width="15.109375" style="123" bestFit="1" customWidth="1"/>
    <col min="2065" max="2065" width="4.44140625" style="123" customWidth="1"/>
    <col min="2066" max="2066" width="3.5546875" style="123" bestFit="1" customWidth="1"/>
    <col min="2067" max="2067" width="4.109375" style="123" customWidth="1"/>
    <col min="2068" max="2068" width="35.44140625" style="123" customWidth="1"/>
    <col min="2069" max="2304" width="11.5546875" style="123"/>
    <col min="2305" max="2305" width="7.109375" style="123" bestFit="1" customWidth="1"/>
    <col min="2306" max="2306" width="5.33203125" style="123" bestFit="1" customWidth="1"/>
    <col min="2307" max="2307" width="47.109375" style="123" customWidth="1"/>
    <col min="2308" max="2308" width="14.6640625" style="123" customWidth="1"/>
    <col min="2309" max="2309" width="8.44140625" style="123" customWidth="1"/>
    <col min="2310" max="2310" width="9.6640625" style="123" customWidth="1"/>
    <col min="2311" max="2311" width="5" style="123" customWidth="1"/>
    <col min="2312" max="2312" width="5.33203125" style="123" customWidth="1"/>
    <col min="2313" max="2313" width="14.88671875" style="123" bestFit="1" customWidth="1"/>
    <col min="2314" max="2314" width="12.88671875" style="123" bestFit="1" customWidth="1"/>
    <col min="2315" max="2315" width="6.5546875" style="123" customWidth="1"/>
    <col min="2316" max="2316" width="16.88671875" style="123" customWidth="1"/>
    <col min="2317" max="2317" width="9.109375" style="123" customWidth="1"/>
    <col min="2318" max="2318" width="15" style="123" customWidth="1"/>
    <col min="2319" max="2319" width="48.109375" style="123" customWidth="1"/>
    <col min="2320" max="2320" width="15.109375" style="123" bestFit="1" customWidth="1"/>
    <col min="2321" max="2321" width="4.44140625" style="123" customWidth="1"/>
    <col min="2322" max="2322" width="3.5546875" style="123" bestFit="1" customWidth="1"/>
    <col min="2323" max="2323" width="4.109375" style="123" customWidth="1"/>
    <col min="2324" max="2324" width="35.44140625" style="123" customWidth="1"/>
    <col min="2325" max="2560" width="11.5546875" style="123"/>
    <col min="2561" max="2561" width="7.109375" style="123" bestFit="1" customWidth="1"/>
    <col min="2562" max="2562" width="5.33203125" style="123" bestFit="1" customWidth="1"/>
    <col min="2563" max="2563" width="47.109375" style="123" customWidth="1"/>
    <col min="2564" max="2564" width="14.6640625" style="123" customWidth="1"/>
    <col min="2565" max="2565" width="8.44140625" style="123" customWidth="1"/>
    <col min="2566" max="2566" width="9.6640625" style="123" customWidth="1"/>
    <col min="2567" max="2567" width="5" style="123" customWidth="1"/>
    <col min="2568" max="2568" width="5.33203125" style="123" customWidth="1"/>
    <col min="2569" max="2569" width="14.88671875" style="123" bestFit="1" customWidth="1"/>
    <col min="2570" max="2570" width="12.88671875" style="123" bestFit="1" customWidth="1"/>
    <col min="2571" max="2571" width="6.5546875" style="123" customWidth="1"/>
    <col min="2572" max="2572" width="16.88671875" style="123" customWidth="1"/>
    <col min="2573" max="2573" width="9.109375" style="123" customWidth="1"/>
    <col min="2574" max="2574" width="15" style="123" customWidth="1"/>
    <col min="2575" max="2575" width="48.109375" style="123" customWidth="1"/>
    <col min="2576" max="2576" width="15.109375" style="123" bestFit="1" customWidth="1"/>
    <col min="2577" max="2577" width="4.44140625" style="123" customWidth="1"/>
    <col min="2578" max="2578" width="3.5546875" style="123" bestFit="1" customWidth="1"/>
    <col min="2579" max="2579" width="4.109375" style="123" customWidth="1"/>
    <col min="2580" max="2580" width="35.44140625" style="123" customWidth="1"/>
    <col min="2581" max="2816" width="11.5546875" style="123"/>
    <col min="2817" max="2817" width="7.109375" style="123" bestFit="1" customWidth="1"/>
    <col min="2818" max="2818" width="5.33203125" style="123" bestFit="1" customWidth="1"/>
    <col min="2819" max="2819" width="47.109375" style="123" customWidth="1"/>
    <col min="2820" max="2820" width="14.6640625" style="123" customWidth="1"/>
    <col min="2821" max="2821" width="8.44140625" style="123" customWidth="1"/>
    <col min="2822" max="2822" width="9.6640625" style="123" customWidth="1"/>
    <col min="2823" max="2823" width="5" style="123" customWidth="1"/>
    <col min="2824" max="2824" width="5.33203125" style="123" customWidth="1"/>
    <col min="2825" max="2825" width="14.88671875" style="123" bestFit="1" customWidth="1"/>
    <col min="2826" max="2826" width="12.88671875" style="123" bestFit="1" customWidth="1"/>
    <col min="2827" max="2827" width="6.5546875" style="123" customWidth="1"/>
    <col min="2828" max="2828" width="16.88671875" style="123" customWidth="1"/>
    <col min="2829" max="2829" width="9.109375" style="123" customWidth="1"/>
    <col min="2830" max="2830" width="15" style="123" customWidth="1"/>
    <col min="2831" max="2831" width="48.109375" style="123" customWidth="1"/>
    <col min="2832" max="2832" width="15.109375" style="123" bestFit="1" customWidth="1"/>
    <col min="2833" max="2833" width="4.44140625" style="123" customWidth="1"/>
    <col min="2834" max="2834" width="3.5546875" style="123" bestFit="1" customWidth="1"/>
    <col min="2835" max="2835" width="4.109375" style="123" customWidth="1"/>
    <col min="2836" max="2836" width="35.44140625" style="123" customWidth="1"/>
    <col min="2837" max="3072" width="11.5546875" style="123"/>
    <col min="3073" max="3073" width="7.109375" style="123" bestFit="1" customWidth="1"/>
    <col min="3074" max="3074" width="5.33203125" style="123" bestFit="1" customWidth="1"/>
    <col min="3075" max="3075" width="47.109375" style="123" customWidth="1"/>
    <col min="3076" max="3076" width="14.6640625" style="123" customWidth="1"/>
    <col min="3077" max="3077" width="8.44140625" style="123" customWidth="1"/>
    <col min="3078" max="3078" width="9.6640625" style="123" customWidth="1"/>
    <col min="3079" max="3079" width="5" style="123" customWidth="1"/>
    <col min="3080" max="3080" width="5.33203125" style="123" customWidth="1"/>
    <col min="3081" max="3081" width="14.88671875" style="123" bestFit="1" customWidth="1"/>
    <col min="3082" max="3082" width="12.88671875" style="123" bestFit="1" customWidth="1"/>
    <col min="3083" max="3083" width="6.5546875" style="123" customWidth="1"/>
    <col min="3084" max="3084" width="16.88671875" style="123" customWidth="1"/>
    <col min="3085" max="3085" width="9.109375" style="123" customWidth="1"/>
    <col min="3086" max="3086" width="15" style="123" customWidth="1"/>
    <col min="3087" max="3087" width="48.109375" style="123" customWidth="1"/>
    <col min="3088" max="3088" width="15.109375" style="123" bestFit="1" customWidth="1"/>
    <col min="3089" max="3089" width="4.44140625" style="123" customWidth="1"/>
    <col min="3090" max="3090" width="3.5546875" style="123" bestFit="1" customWidth="1"/>
    <col min="3091" max="3091" width="4.109375" style="123" customWidth="1"/>
    <col min="3092" max="3092" width="35.44140625" style="123" customWidth="1"/>
    <col min="3093" max="3328" width="11.5546875" style="123"/>
    <col min="3329" max="3329" width="7.109375" style="123" bestFit="1" customWidth="1"/>
    <col min="3330" max="3330" width="5.33203125" style="123" bestFit="1" customWidth="1"/>
    <col min="3331" max="3331" width="47.109375" style="123" customWidth="1"/>
    <col min="3332" max="3332" width="14.6640625" style="123" customWidth="1"/>
    <col min="3333" max="3333" width="8.44140625" style="123" customWidth="1"/>
    <col min="3334" max="3334" width="9.6640625" style="123" customWidth="1"/>
    <col min="3335" max="3335" width="5" style="123" customWidth="1"/>
    <col min="3336" max="3336" width="5.33203125" style="123" customWidth="1"/>
    <col min="3337" max="3337" width="14.88671875" style="123" bestFit="1" customWidth="1"/>
    <col min="3338" max="3338" width="12.88671875" style="123" bestFit="1" customWidth="1"/>
    <col min="3339" max="3339" width="6.5546875" style="123" customWidth="1"/>
    <col min="3340" max="3340" width="16.88671875" style="123" customWidth="1"/>
    <col min="3341" max="3341" width="9.109375" style="123" customWidth="1"/>
    <col min="3342" max="3342" width="15" style="123" customWidth="1"/>
    <col min="3343" max="3343" width="48.109375" style="123" customWidth="1"/>
    <col min="3344" max="3344" width="15.109375" style="123" bestFit="1" customWidth="1"/>
    <col min="3345" max="3345" width="4.44140625" style="123" customWidth="1"/>
    <col min="3346" max="3346" width="3.5546875" style="123" bestFit="1" customWidth="1"/>
    <col min="3347" max="3347" width="4.109375" style="123" customWidth="1"/>
    <col min="3348" max="3348" width="35.44140625" style="123" customWidth="1"/>
    <col min="3349" max="3584" width="11.5546875" style="123"/>
    <col min="3585" max="3585" width="7.109375" style="123" bestFit="1" customWidth="1"/>
    <col min="3586" max="3586" width="5.33203125" style="123" bestFit="1" customWidth="1"/>
    <col min="3587" max="3587" width="47.109375" style="123" customWidth="1"/>
    <col min="3588" max="3588" width="14.6640625" style="123" customWidth="1"/>
    <col min="3589" max="3589" width="8.44140625" style="123" customWidth="1"/>
    <col min="3590" max="3590" width="9.6640625" style="123" customWidth="1"/>
    <col min="3591" max="3591" width="5" style="123" customWidth="1"/>
    <col min="3592" max="3592" width="5.33203125" style="123" customWidth="1"/>
    <col min="3593" max="3593" width="14.88671875" style="123" bestFit="1" customWidth="1"/>
    <col min="3594" max="3594" width="12.88671875" style="123" bestFit="1" customWidth="1"/>
    <col min="3595" max="3595" width="6.5546875" style="123" customWidth="1"/>
    <col min="3596" max="3596" width="16.88671875" style="123" customWidth="1"/>
    <col min="3597" max="3597" width="9.109375" style="123" customWidth="1"/>
    <col min="3598" max="3598" width="15" style="123" customWidth="1"/>
    <col min="3599" max="3599" width="48.109375" style="123" customWidth="1"/>
    <col min="3600" max="3600" width="15.109375" style="123" bestFit="1" customWidth="1"/>
    <col min="3601" max="3601" width="4.44140625" style="123" customWidth="1"/>
    <col min="3602" max="3602" width="3.5546875" style="123" bestFit="1" customWidth="1"/>
    <col min="3603" max="3603" width="4.109375" style="123" customWidth="1"/>
    <col min="3604" max="3604" width="35.44140625" style="123" customWidth="1"/>
    <col min="3605" max="3840" width="11.5546875" style="123"/>
    <col min="3841" max="3841" width="7.109375" style="123" bestFit="1" customWidth="1"/>
    <col min="3842" max="3842" width="5.33203125" style="123" bestFit="1" customWidth="1"/>
    <col min="3843" max="3843" width="47.109375" style="123" customWidth="1"/>
    <col min="3844" max="3844" width="14.6640625" style="123" customWidth="1"/>
    <col min="3845" max="3845" width="8.44140625" style="123" customWidth="1"/>
    <col min="3846" max="3846" width="9.6640625" style="123" customWidth="1"/>
    <col min="3847" max="3847" width="5" style="123" customWidth="1"/>
    <col min="3848" max="3848" width="5.33203125" style="123" customWidth="1"/>
    <col min="3849" max="3849" width="14.88671875" style="123" bestFit="1" customWidth="1"/>
    <col min="3850" max="3850" width="12.88671875" style="123" bestFit="1" customWidth="1"/>
    <col min="3851" max="3851" width="6.5546875" style="123" customWidth="1"/>
    <col min="3852" max="3852" width="16.88671875" style="123" customWidth="1"/>
    <col min="3853" max="3853" width="9.109375" style="123" customWidth="1"/>
    <col min="3854" max="3854" width="15" style="123" customWidth="1"/>
    <col min="3855" max="3855" width="48.109375" style="123" customWidth="1"/>
    <col min="3856" max="3856" width="15.109375" style="123" bestFit="1" customWidth="1"/>
    <col min="3857" max="3857" width="4.44140625" style="123" customWidth="1"/>
    <col min="3858" max="3858" width="3.5546875" style="123" bestFit="1" customWidth="1"/>
    <col min="3859" max="3859" width="4.109375" style="123" customWidth="1"/>
    <col min="3860" max="3860" width="35.44140625" style="123" customWidth="1"/>
    <col min="3861" max="4096" width="11.5546875" style="123"/>
    <col min="4097" max="4097" width="7.109375" style="123" bestFit="1" customWidth="1"/>
    <col min="4098" max="4098" width="5.33203125" style="123" bestFit="1" customWidth="1"/>
    <col min="4099" max="4099" width="47.109375" style="123" customWidth="1"/>
    <col min="4100" max="4100" width="14.6640625" style="123" customWidth="1"/>
    <col min="4101" max="4101" width="8.44140625" style="123" customWidth="1"/>
    <col min="4102" max="4102" width="9.6640625" style="123" customWidth="1"/>
    <col min="4103" max="4103" width="5" style="123" customWidth="1"/>
    <col min="4104" max="4104" width="5.33203125" style="123" customWidth="1"/>
    <col min="4105" max="4105" width="14.88671875" style="123" bestFit="1" customWidth="1"/>
    <col min="4106" max="4106" width="12.88671875" style="123" bestFit="1" customWidth="1"/>
    <col min="4107" max="4107" width="6.5546875" style="123" customWidth="1"/>
    <col min="4108" max="4108" width="16.88671875" style="123" customWidth="1"/>
    <col min="4109" max="4109" width="9.109375" style="123" customWidth="1"/>
    <col min="4110" max="4110" width="15" style="123" customWidth="1"/>
    <col min="4111" max="4111" width="48.109375" style="123" customWidth="1"/>
    <col min="4112" max="4112" width="15.109375" style="123" bestFit="1" customWidth="1"/>
    <col min="4113" max="4113" width="4.44140625" style="123" customWidth="1"/>
    <col min="4114" max="4114" width="3.5546875" style="123" bestFit="1" customWidth="1"/>
    <col min="4115" max="4115" width="4.109375" style="123" customWidth="1"/>
    <col min="4116" max="4116" width="35.44140625" style="123" customWidth="1"/>
    <col min="4117" max="4352" width="11.5546875" style="123"/>
    <col min="4353" max="4353" width="7.109375" style="123" bestFit="1" customWidth="1"/>
    <col min="4354" max="4354" width="5.33203125" style="123" bestFit="1" customWidth="1"/>
    <col min="4355" max="4355" width="47.109375" style="123" customWidth="1"/>
    <col min="4356" max="4356" width="14.6640625" style="123" customWidth="1"/>
    <col min="4357" max="4357" width="8.44140625" style="123" customWidth="1"/>
    <col min="4358" max="4358" width="9.6640625" style="123" customWidth="1"/>
    <col min="4359" max="4359" width="5" style="123" customWidth="1"/>
    <col min="4360" max="4360" width="5.33203125" style="123" customWidth="1"/>
    <col min="4361" max="4361" width="14.88671875" style="123" bestFit="1" customWidth="1"/>
    <col min="4362" max="4362" width="12.88671875" style="123" bestFit="1" customWidth="1"/>
    <col min="4363" max="4363" width="6.5546875" style="123" customWidth="1"/>
    <col min="4364" max="4364" width="16.88671875" style="123" customWidth="1"/>
    <col min="4365" max="4365" width="9.109375" style="123" customWidth="1"/>
    <col min="4366" max="4366" width="15" style="123" customWidth="1"/>
    <col min="4367" max="4367" width="48.109375" style="123" customWidth="1"/>
    <col min="4368" max="4368" width="15.109375" style="123" bestFit="1" customWidth="1"/>
    <col min="4369" max="4369" width="4.44140625" style="123" customWidth="1"/>
    <col min="4370" max="4370" width="3.5546875" style="123" bestFit="1" customWidth="1"/>
    <col min="4371" max="4371" width="4.109375" style="123" customWidth="1"/>
    <col min="4372" max="4372" width="35.44140625" style="123" customWidth="1"/>
    <col min="4373" max="4608" width="11.5546875" style="123"/>
    <col min="4609" max="4609" width="7.109375" style="123" bestFit="1" customWidth="1"/>
    <col min="4610" max="4610" width="5.33203125" style="123" bestFit="1" customWidth="1"/>
    <col min="4611" max="4611" width="47.109375" style="123" customWidth="1"/>
    <col min="4612" max="4612" width="14.6640625" style="123" customWidth="1"/>
    <col min="4613" max="4613" width="8.44140625" style="123" customWidth="1"/>
    <col min="4614" max="4614" width="9.6640625" style="123" customWidth="1"/>
    <col min="4615" max="4615" width="5" style="123" customWidth="1"/>
    <col min="4616" max="4616" width="5.33203125" style="123" customWidth="1"/>
    <col min="4617" max="4617" width="14.88671875" style="123" bestFit="1" customWidth="1"/>
    <col min="4618" max="4618" width="12.88671875" style="123" bestFit="1" customWidth="1"/>
    <col min="4619" max="4619" width="6.5546875" style="123" customWidth="1"/>
    <col min="4620" max="4620" width="16.88671875" style="123" customWidth="1"/>
    <col min="4621" max="4621" width="9.109375" style="123" customWidth="1"/>
    <col min="4622" max="4622" width="15" style="123" customWidth="1"/>
    <col min="4623" max="4623" width="48.109375" style="123" customWidth="1"/>
    <col min="4624" max="4624" width="15.109375" style="123" bestFit="1" customWidth="1"/>
    <col min="4625" max="4625" width="4.44140625" style="123" customWidth="1"/>
    <col min="4626" max="4626" width="3.5546875" style="123" bestFit="1" customWidth="1"/>
    <col min="4627" max="4627" width="4.109375" style="123" customWidth="1"/>
    <col min="4628" max="4628" width="35.44140625" style="123" customWidth="1"/>
    <col min="4629" max="4864" width="11.5546875" style="123"/>
    <col min="4865" max="4865" width="7.109375" style="123" bestFit="1" customWidth="1"/>
    <col min="4866" max="4866" width="5.33203125" style="123" bestFit="1" customWidth="1"/>
    <col min="4867" max="4867" width="47.109375" style="123" customWidth="1"/>
    <col min="4868" max="4868" width="14.6640625" style="123" customWidth="1"/>
    <col min="4869" max="4869" width="8.44140625" style="123" customWidth="1"/>
    <col min="4870" max="4870" width="9.6640625" style="123" customWidth="1"/>
    <col min="4871" max="4871" width="5" style="123" customWidth="1"/>
    <col min="4872" max="4872" width="5.33203125" style="123" customWidth="1"/>
    <col min="4873" max="4873" width="14.88671875" style="123" bestFit="1" customWidth="1"/>
    <col min="4874" max="4874" width="12.88671875" style="123" bestFit="1" customWidth="1"/>
    <col min="4875" max="4875" width="6.5546875" style="123" customWidth="1"/>
    <col min="4876" max="4876" width="16.88671875" style="123" customWidth="1"/>
    <col min="4877" max="4877" width="9.109375" style="123" customWidth="1"/>
    <col min="4878" max="4878" width="15" style="123" customWidth="1"/>
    <col min="4879" max="4879" width="48.109375" style="123" customWidth="1"/>
    <col min="4880" max="4880" width="15.109375" style="123" bestFit="1" customWidth="1"/>
    <col min="4881" max="4881" width="4.44140625" style="123" customWidth="1"/>
    <col min="4882" max="4882" width="3.5546875" style="123" bestFit="1" customWidth="1"/>
    <col min="4883" max="4883" width="4.109375" style="123" customWidth="1"/>
    <col min="4884" max="4884" width="35.44140625" style="123" customWidth="1"/>
    <col min="4885" max="5120" width="11.5546875" style="123"/>
    <col min="5121" max="5121" width="7.109375" style="123" bestFit="1" customWidth="1"/>
    <col min="5122" max="5122" width="5.33203125" style="123" bestFit="1" customWidth="1"/>
    <col min="5123" max="5123" width="47.109375" style="123" customWidth="1"/>
    <col min="5124" max="5124" width="14.6640625" style="123" customWidth="1"/>
    <col min="5125" max="5125" width="8.44140625" style="123" customWidth="1"/>
    <col min="5126" max="5126" width="9.6640625" style="123" customWidth="1"/>
    <col min="5127" max="5127" width="5" style="123" customWidth="1"/>
    <col min="5128" max="5128" width="5.33203125" style="123" customWidth="1"/>
    <col min="5129" max="5129" width="14.88671875" style="123" bestFit="1" customWidth="1"/>
    <col min="5130" max="5130" width="12.88671875" style="123" bestFit="1" customWidth="1"/>
    <col min="5131" max="5131" width="6.5546875" style="123" customWidth="1"/>
    <col min="5132" max="5132" width="16.88671875" style="123" customWidth="1"/>
    <col min="5133" max="5133" width="9.109375" style="123" customWidth="1"/>
    <col min="5134" max="5134" width="15" style="123" customWidth="1"/>
    <col min="5135" max="5135" width="48.109375" style="123" customWidth="1"/>
    <col min="5136" max="5136" width="15.109375" style="123" bestFit="1" customWidth="1"/>
    <col min="5137" max="5137" width="4.44140625" style="123" customWidth="1"/>
    <col min="5138" max="5138" width="3.5546875" style="123" bestFit="1" customWidth="1"/>
    <col min="5139" max="5139" width="4.109375" style="123" customWidth="1"/>
    <col min="5140" max="5140" width="35.44140625" style="123" customWidth="1"/>
    <col min="5141" max="5376" width="11.5546875" style="123"/>
    <col min="5377" max="5377" width="7.109375" style="123" bestFit="1" customWidth="1"/>
    <col min="5378" max="5378" width="5.33203125" style="123" bestFit="1" customWidth="1"/>
    <col min="5379" max="5379" width="47.109375" style="123" customWidth="1"/>
    <col min="5380" max="5380" width="14.6640625" style="123" customWidth="1"/>
    <col min="5381" max="5381" width="8.44140625" style="123" customWidth="1"/>
    <col min="5382" max="5382" width="9.6640625" style="123" customWidth="1"/>
    <col min="5383" max="5383" width="5" style="123" customWidth="1"/>
    <col min="5384" max="5384" width="5.33203125" style="123" customWidth="1"/>
    <col min="5385" max="5385" width="14.88671875" style="123" bestFit="1" customWidth="1"/>
    <col min="5386" max="5386" width="12.88671875" style="123" bestFit="1" customWidth="1"/>
    <col min="5387" max="5387" width="6.5546875" style="123" customWidth="1"/>
    <col min="5388" max="5388" width="16.88671875" style="123" customWidth="1"/>
    <col min="5389" max="5389" width="9.109375" style="123" customWidth="1"/>
    <col min="5390" max="5390" width="15" style="123" customWidth="1"/>
    <col min="5391" max="5391" width="48.109375" style="123" customWidth="1"/>
    <col min="5392" max="5392" width="15.109375" style="123" bestFit="1" customWidth="1"/>
    <col min="5393" max="5393" width="4.44140625" style="123" customWidth="1"/>
    <col min="5394" max="5394" width="3.5546875" style="123" bestFit="1" customWidth="1"/>
    <col min="5395" max="5395" width="4.109375" style="123" customWidth="1"/>
    <col min="5396" max="5396" width="35.44140625" style="123" customWidth="1"/>
    <col min="5397" max="5632" width="11.5546875" style="123"/>
    <col min="5633" max="5633" width="7.109375" style="123" bestFit="1" customWidth="1"/>
    <col min="5634" max="5634" width="5.33203125" style="123" bestFit="1" customWidth="1"/>
    <col min="5635" max="5635" width="47.109375" style="123" customWidth="1"/>
    <col min="5636" max="5636" width="14.6640625" style="123" customWidth="1"/>
    <col min="5637" max="5637" width="8.44140625" style="123" customWidth="1"/>
    <col min="5638" max="5638" width="9.6640625" style="123" customWidth="1"/>
    <col min="5639" max="5639" width="5" style="123" customWidth="1"/>
    <col min="5640" max="5640" width="5.33203125" style="123" customWidth="1"/>
    <col min="5641" max="5641" width="14.88671875" style="123" bestFit="1" customWidth="1"/>
    <col min="5642" max="5642" width="12.88671875" style="123" bestFit="1" customWidth="1"/>
    <col min="5643" max="5643" width="6.5546875" style="123" customWidth="1"/>
    <col min="5644" max="5644" width="16.88671875" style="123" customWidth="1"/>
    <col min="5645" max="5645" width="9.109375" style="123" customWidth="1"/>
    <col min="5646" max="5646" width="15" style="123" customWidth="1"/>
    <col min="5647" max="5647" width="48.109375" style="123" customWidth="1"/>
    <col min="5648" max="5648" width="15.109375" style="123" bestFit="1" customWidth="1"/>
    <col min="5649" max="5649" width="4.44140625" style="123" customWidth="1"/>
    <col min="5650" max="5650" width="3.5546875" style="123" bestFit="1" customWidth="1"/>
    <col min="5651" max="5651" width="4.109375" style="123" customWidth="1"/>
    <col min="5652" max="5652" width="35.44140625" style="123" customWidth="1"/>
    <col min="5653" max="5888" width="11.5546875" style="123"/>
    <col min="5889" max="5889" width="7.109375" style="123" bestFit="1" customWidth="1"/>
    <col min="5890" max="5890" width="5.33203125" style="123" bestFit="1" customWidth="1"/>
    <col min="5891" max="5891" width="47.109375" style="123" customWidth="1"/>
    <col min="5892" max="5892" width="14.6640625" style="123" customWidth="1"/>
    <col min="5893" max="5893" width="8.44140625" style="123" customWidth="1"/>
    <col min="5894" max="5894" width="9.6640625" style="123" customWidth="1"/>
    <col min="5895" max="5895" width="5" style="123" customWidth="1"/>
    <col min="5896" max="5896" width="5.33203125" style="123" customWidth="1"/>
    <col min="5897" max="5897" width="14.88671875" style="123" bestFit="1" customWidth="1"/>
    <col min="5898" max="5898" width="12.88671875" style="123" bestFit="1" customWidth="1"/>
    <col min="5899" max="5899" width="6.5546875" style="123" customWidth="1"/>
    <col min="5900" max="5900" width="16.88671875" style="123" customWidth="1"/>
    <col min="5901" max="5901" width="9.109375" style="123" customWidth="1"/>
    <col min="5902" max="5902" width="15" style="123" customWidth="1"/>
    <col min="5903" max="5903" width="48.109375" style="123" customWidth="1"/>
    <col min="5904" max="5904" width="15.109375" style="123" bestFit="1" customWidth="1"/>
    <col min="5905" max="5905" width="4.44140625" style="123" customWidth="1"/>
    <col min="5906" max="5906" width="3.5546875" style="123" bestFit="1" customWidth="1"/>
    <col min="5907" max="5907" width="4.109375" style="123" customWidth="1"/>
    <col min="5908" max="5908" width="35.44140625" style="123" customWidth="1"/>
    <col min="5909" max="6144" width="11.5546875" style="123"/>
    <col min="6145" max="6145" width="7.109375" style="123" bestFit="1" customWidth="1"/>
    <col min="6146" max="6146" width="5.33203125" style="123" bestFit="1" customWidth="1"/>
    <col min="6147" max="6147" width="47.109375" style="123" customWidth="1"/>
    <col min="6148" max="6148" width="14.6640625" style="123" customWidth="1"/>
    <col min="6149" max="6149" width="8.44140625" style="123" customWidth="1"/>
    <col min="6150" max="6150" width="9.6640625" style="123" customWidth="1"/>
    <col min="6151" max="6151" width="5" style="123" customWidth="1"/>
    <col min="6152" max="6152" width="5.33203125" style="123" customWidth="1"/>
    <col min="6153" max="6153" width="14.88671875" style="123" bestFit="1" customWidth="1"/>
    <col min="6154" max="6154" width="12.88671875" style="123" bestFit="1" customWidth="1"/>
    <col min="6155" max="6155" width="6.5546875" style="123" customWidth="1"/>
    <col min="6156" max="6156" width="16.88671875" style="123" customWidth="1"/>
    <col min="6157" max="6157" width="9.109375" style="123" customWidth="1"/>
    <col min="6158" max="6158" width="15" style="123" customWidth="1"/>
    <col min="6159" max="6159" width="48.109375" style="123" customWidth="1"/>
    <col min="6160" max="6160" width="15.109375" style="123" bestFit="1" customWidth="1"/>
    <col min="6161" max="6161" width="4.44140625" style="123" customWidth="1"/>
    <col min="6162" max="6162" width="3.5546875" style="123" bestFit="1" customWidth="1"/>
    <col min="6163" max="6163" width="4.109375" style="123" customWidth="1"/>
    <col min="6164" max="6164" width="35.44140625" style="123" customWidth="1"/>
    <col min="6165" max="6400" width="11.5546875" style="123"/>
    <col min="6401" max="6401" width="7.109375" style="123" bestFit="1" customWidth="1"/>
    <col min="6402" max="6402" width="5.33203125" style="123" bestFit="1" customWidth="1"/>
    <col min="6403" max="6403" width="47.109375" style="123" customWidth="1"/>
    <col min="6404" max="6404" width="14.6640625" style="123" customWidth="1"/>
    <col min="6405" max="6405" width="8.44140625" style="123" customWidth="1"/>
    <col min="6406" max="6406" width="9.6640625" style="123" customWidth="1"/>
    <col min="6407" max="6407" width="5" style="123" customWidth="1"/>
    <col min="6408" max="6408" width="5.33203125" style="123" customWidth="1"/>
    <col min="6409" max="6409" width="14.88671875" style="123" bestFit="1" customWidth="1"/>
    <col min="6410" max="6410" width="12.88671875" style="123" bestFit="1" customWidth="1"/>
    <col min="6411" max="6411" width="6.5546875" style="123" customWidth="1"/>
    <col min="6412" max="6412" width="16.88671875" style="123" customWidth="1"/>
    <col min="6413" max="6413" width="9.109375" style="123" customWidth="1"/>
    <col min="6414" max="6414" width="15" style="123" customWidth="1"/>
    <col min="6415" max="6415" width="48.109375" style="123" customWidth="1"/>
    <col min="6416" max="6416" width="15.109375" style="123" bestFit="1" customWidth="1"/>
    <col min="6417" max="6417" width="4.44140625" style="123" customWidth="1"/>
    <col min="6418" max="6418" width="3.5546875" style="123" bestFit="1" customWidth="1"/>
    <col min="6419" max="6419" width="4.109375" style="123" customWidth="1"/>
    <col min="6420" max="6420" width="35.44140625" style="123" customWidth="1"/>
    <col min="6421" max="6656" width="11.5546875" style="123"/>
    <col min="6657" max="6657" width="7.109375" style="123" bestFit="1" customWidth="1"/>
    <col min="6658" max="6658" width="5.33203125" style="123" bestFit="1" customWidth="1"/>
    <col min="6659" max="6659" width="47.109375" style="123" customWidth="1"/>
    <col min="6660" max="6660" width="14.6640625" style="123" customWidth="1"/>
    <col min="6661" max="6661" width="8.44140625" style="123" customWidth="1"/>
    <col min="6662" max="6662" width="9.6640625" style="123" customWidth="1"/>
    <col min="6663" max="6663" width="5" style="123" customWidth="1"/>
    <col min="6664" max="6664" width="5.33203125" style="123" customWidth="1"/>
    <col min="6665" max="6665" width="14.88671875" style="123" bestFit="1" customWidth="1"/>
    <col min="6666" max="6666" width="12.88671875" style="123" bestFit="1" customWidth="1"/>
    <col min="6667" max="6667" width="6.5546875" style="123" customWidth="1"/>
    <col min="6668" max="6668" width="16.88671875" style="123" customWidth="1"/>
    <col min="6669" max="6669" width="9.109375" style="123" customWidth="1"/>
    <col min="6670" max="6670" width="15" style="123" customWidth="1"/>
    <col min="6671" max="6671" width="48.109375" style="123" customWidth="1"/>
    <col min="6672" max="6672" width="15.109375" style="123" bestFit="1" customWidth="1"/>
    <col min="6673" max="6673" width="4.44140625" style="123" customWidth="1"/>
    <col min="6674" max="6674" width="3.5546875" style="123" bestFit="1" customWidth="1"/>
    <col min="6675" max="6675" width="4.109375" style="123" customWidth="1"/>
    <col min="6676" max="6676" width="35.44140625" style="123" customWidth="1"/>
    <col min="6677" max="6912" width="11.5546875" style="123"/>
    <col min="6913" max="6913" width="7.109375" style="123" bestFit="1" customWidth="1"/>
    <col min="6914" max="6914" width="5.33203125" style="123" bestFit="1" customWidth="1"/>
    <col min="6915" max="6915" width="47.109375" style="123" customWidth="1"/>
    <col min="6916" max="6916" width="14.6640625" style="123" customWidth="1"/>
    <col min="6917" max="6917" width="8.44140625" style="123" customWidth="1"/>
    <col min="6918" max="6918" width="9.6640625" style="123" customWidth="1"/>
    <col min="6919" max="6919" width="5" style="123" customWidth="1"/>
    <col min="6920" max="6920" width="5.33203125" style="123" customWidth="1"/>
    <col min="6921" max="6921" width="14.88671875" style="123" bestFit="1" customWidth="1"/>
    <col min="6922" max="6922" width="12.88671875" style="123" bestFit="1" customWidth="1"/>
    <col min="6923" max="6923" width="6.5546875" style="123" customWidth="1"/>
    <col min="6924" max="6924" width="16.88671875" style="123" customWidth="1"/>
    <col min="6925" max="6925" width="9.109375" style="123" customWidth="1"/>
    <col min="6926" max="6926" width="15" style="123" customWidth="1"/>
    <col min="6927" max="6927" width="48.109375" style="123" customWidth="1"/>
    <col min="6928" max="6928" width="15.109375" style="123" bestFit="1" customWidth="1"/>
    <col min="6929" max="6929" width="4.44140625" style="123" customWidth="1"/>
    <col min="6930" max="6930" width="3.5546875" style="123" bestFit="1" customWidth="1"/>
    <col min="6931" max="6931" width="4.109375" style="123" customWidth="1"/>
    <col min="6932" max="6932" width="35.44140625" style="123" customWidth="1"/>
    <col min="6933" max="7168" width="11.5546875" style="123"/>
    <col min="7169" max="7169" width="7.109375" style="123" bestFit="1" customWidth="1"/>
    <col min="7170" max="7170" width="5.33203125" style="123" bestFit="1" customWidth="1"/>
    <col min="7171" max="7171" width="47.109375" style="123" customWidth="1"/>
    <col min="7172" max="7172" width="14.6640625" style="123" customWidth="1"/>
    <col min="7173" max="7173" width="8.44140625" style="123" customWidth="1"/>
    <col min="7174" max="7174" width="9.6640625" style="123" customWidth="1"/>
    <col min="7175" max="7175" width="5" style="123" customWidth="1"/>
    <col min="7176" max="7176" width="5.33203125" style="123" customWidth="1"/>
    <col min="7177" max="7177" width="14.88671875" style="123" bestFit="1" customWidth="1"/>
    <col min="7178" max="7178" width="12.88671875" style="123" bestFit="1" customWidth="1"/>
    <col min="7179" max="7179" width="6.5546875" style="123" customWidth="1"/>
    <col min="7180" max="7180" width="16.88671875" style="123" customWidth="1"/>
    <col min="7181" max="7181" width="9.109375" style="123" customWidth="1"/>
    <col min="7182" max="7182" width="15" style="123" customWidth="1"/>
    <col min="7183" max="7183" width="48.109375" style="123" customWidth="1"/>
    <col min="7184" max="7184" width="15.109375" style="123" bestFit="1" customWidth="1"/>
    <col min="7185" max="7185" width="4.44140625" style="123" customWidth="1"/>
    <col min="7186" max="7186" width="3.5546875" style="123" bestFit="1" customWidth="1"/>
    <col min="7187" max="7187" width="4.109375" style="123" customWidth="1"/>
    <col min="7188" max="7188" width="35.44140625" style="123" customWidth="1"/>
    <col min="7189" max="7424" width="11.5546875" style="123"/>
    <col min="7425" max="7425" width="7.109375" style="123" bestFit="1" customWidth="1"/>
    <col min="7426" max="7426" width="5.33203125" style="123" bestFit="1" customWidth="1"/>
    <col min="7427" max="7427" width="47.109375" style="123" customWidth="1"/>
    <col min="7428" max="7428" width="14.6640625" style="123" customWidth="1"/>
    <col min="7429" max="7429" width="8.44140625" style="123" customWidth="1"/>
    <col min="7430" max="7430" width="9.6640625" style="123" customWidth="1"/>
    <col min="7431" max="7431" width="5" style="123" customWidth="1"/>
    <col min="7432" max="7432" width="5.33203125" style="123" customWidth="1"/>
    <col min="7433" max="7433" width="14.88671875" style="123" bestFit="1" customWidth="1"/>
    <col min="7434" max="7434" width="12.88671875" style="123" bestFit="1" customWidth="1"/>
    <col min="7435" max="7435" width="6.5546875" style="123" customWidth="1"/>
    <col min="7436" max="7436" width="16.88671875" style="123" customWidth="1"/>
    <col min="7437" max="7437" width="9.109375" style="123" customWidth="1"/>
    <col min="7438" max="7438" width="15" style="123" customWidth="1"/>
    <col min="7439" max="7439" width="48.109375" style="123" customWidth="1"/>
    <col min="7440" max="7440" width="15.109375" style="123" bestFit="1" customWidth="1"/>
    <col min="7441" max="7441" width="4.44140625" style="123" customWidth="1"/>
    <col min="7442" max="7442" width="3.5546875" style="123" bestFit="1" customWidth="1"/>
    <col min="7443" max="7443" width="4.109375" style="123" customWidth="1"/>
    <col min="7444" max="7444" width="35.44140625" style="123" customWidth="1"/>
    <col min="7445" max="7680" width="11.5546875" style="123"/>
    <col min="7681" max="7681" width="7.109375" style="123" bestFit="1" customWidth="1"/>
    <col min="7682" max="7682" width="5.33203125" style="123" bestFit="1" customWidth="1"/>
    <col min="7683" max="7683" width="47.109375" style="123" customWidth="1"/>
    <col min="7684" max="7684" width="14.6640625" style="123" customWidth="1"/>
    <col min="7685" max="7685" width="8.44140625" style="123" customWidth="1"/>
    <col min="7686" max="7686" width="9.6640625" style="123" customWidth="1"/>
    <col min="7687" max="7687" width="5" style="123" customWidth="1"/>
    <col min="7688" max="7688" width="5.33203125" style="123" customWidth="1"/>
    <col min="7689" max="7689" width="14.88671875" style="123" bestFit="1" customWidth="1"/>
    <col min="7690" max="7690" width="12.88671875" style="123" bestFit="1" customWidth="1"/>
    <col min="7691" max="7691" width="6.5546875" style="123" customWidth="1"/>
    <col min="7692" max="7692" width="16.88671875" style="123" customWidth="1"/>
    <col min="7693" max="7693" width="9.109375" style="123" customWidth="1"/>
    <col min="7694" max="7694" width="15" style="123" customWidth="1"/>
    <col min="7695" max="7695" width="48.109375" style="123" customWidth="1"/>
    <col min="7696" max="7696" width="15.109375" style="123" bestFit="1" customWidth="1"/>
    <col min="7697" max="7697" width="4.44140625" style="123" customWidth="1"/>
    <col min="7698" max="7698" width="3.5546875" style="123" bestFit="1" customWidth="1"/>
    <col min="7699" max="7699" width="4.109375" style="123" customWidth="1"/>
    <col min="7700" max="7700" width="35.44140625" style="123" customWidth="1"/>
    <col min="7701" max="7936" width="11.5546875" style="123"/>
    <col min="7937" max="7937" width="7.109375" style="123" bestFit="1" customWidth="1"/>
    <col min="7938" max="7938" width="5.33203125" style="123" bestFit="1" customWidth="1"/>
    <col min="7939" max="7939" width="47.109375" style="123" customWidth="1"/>
    <col min="7940" max="7940" width="14.6640625" style="123" customWidth="1"/>
    <col min="7941" max="7941" width="8.44140625" style="123" customWidth="1"/>
    <col min="7942" max="7942" width="9.6640625" style="123" customWidth="1"/>
    <col min="7943" max="7943" width="5" style="123" customWidth="1"/>
    <col min="7944" max="7944" width="5.33203125" style="123" customWidth="1"/>
    <col min="7945" max="7945" width="14.88671875" style="123" bestFit="1" customWidth="1"/>
    <col min="7946" max="7946" width="12.88671875" style="123" bestFit="1" customWidth="1"/>
    <col min="7947" max="7947" width="6.5546875" style="123" customWidth="1"/>
    <col min="7948" max="7948" width="16.88671875" style="123" customWidth="1"/>
    <col min="7949" max="7949" width="9.109375" style="123" customWidth="1"/>
    <col min="7950" max="7950" width="15" style="123" customWidth="1"/>
    <col min="7951" max="7951" width="48.109375" style="123" customWidth="1"/>
    <col min="7952" max="7952" width="15.109375" style="123" bestFit="1" customWidth="1"/>
    <col min="7953" max="7953" width="4.44140625" style="123" customWidth="1"/>
    <col min="7954" max="7954" width="3.5546875" style="123" bestFit="1" customWidth="1"/>
    <col min="7955" max="7955" width="4.109375" style="123" customWidth="1"/>
    <col min="7956" max="7956" width="35.44140625" style="123" customWidth="1"/>
    <col min="7957" max="8192" width="11.5546875" style="123"/>
    <col min="8193" max="8193" width="7.109375" style="123" bestFit="1" customWidth="1"/>
    <col min="8194" max="8194" width="5.33203125" style="123" bestFit="1" customWidth="1"/>
    <col min="8195" max="8195" width="47.109375" style="123" customWidth="1"/>
    <col min="8196" max="8196" width="14.6640625" style="123" customWidth="1"/>
    <col min="8197" max="8197" width="8.44140625" style="123" customWidth="1"/>
    <col min="8198" max="8198" width="9.6640625" style="123" customWidth="1"/>
    <col min="8199" max="8199" width="5" style="123" customWidth="1"/>
    <col min="8200" max="8200" width="5.33203125" style="123" customWidth="1"/>
    <col min="8201" max="8201" width="14.88671875" style="123" bestFit="1" customWidth="1"/>
    <col min="8202" max="8202" width="12.88671875" style="123" bestFit="1" customWidth="1"/>
    <col min="8203" max="8203" width="6.5546875" style="123" customWidth="1"/>
    <col min="8204" max="8204" width="16.88671875" style="123" customWidth="1"/>
    <col min="8205" max="8205" width="9.109375" style="123" customWidth="1"/>
    <col min="8206" max="8206" width="15" style="123" customWidth="1"/>
    <col min="8207" max="8207" width="48.109375" style="123" customWidth="1"/>
    <col min="8208" max="8208" width="15.109375" style="123" bestFit="1" customWidth="1"/>
    <col min="8209" max="8209" width="4.44140625" style="123" customWidth="1"/>
    <col min="8210" max="8210" width="3.5546875" style="123" bestFit="1" customWidth="1"/>
    <col min="8211" max="8211" width="4.109375" style="123" customWidth="1"/>
    <col min="8212" max="8212" width="35.44140625" style="123" customWidth="1"/>
    <col min="8213" max="8448" width="11.5546875" style="123"/>
    <col min="8449" max="8449" width="7.109375" style="123" bestFit="1" customWidth="1"/>
    <col min="8450" max="8450" width="5.33203125" style="123" bestFit="1" customWidth="1"/>
    <col min="8451" max="8451" width="47.109375" style="123" customWidth="1"/>
    <col min="8452" max="8452" width="14.6640625" style="123" customWidth="1"/>
    <col min="8453" max="8453" width="8.44140625" style="123" customWidth="1"/>
    <col min="8454" max="8454" width="9.6640625" style="123" customWidth="1"/>
    <col min="8455" max="8455" width="5" style="123" customWidth="1"/>
    <col min="8456" max="8456" width="5.33203125" style="123" customWidth="1"/>
    <col min="8457" max="8457" width="14.88671875" style="123" bestFit="1" customWidth="1"/>
    <col min="8458" max="8458" width="12.88671875" style="123" bestFit="1" customWidth="1"/>
    <col min="8459" max="8459" width="6.5546875" style="123" customWidth="1"/>
    <col min="8460" max="8460" width="16.88671875" style="123" customWidth="1"/>
    <col min="8461" max="8461" width="9.109375" style="123" customWidth="1"/>
    <col min="8462" max="8462" width="15" style="123" customWidth="1"/>
    <col min="8463" max="8463" width="48.109375" style="123" customWidth="1"/>
    <col min="8464" max="8464" width="15.109375" style="123" bestFit="1" customWidth="1"/>
    <col min="8465" max="8465" width="4.44140625" style="123" customWidth="1"/>
    <col min="8466" max="8466" width="3.5546875" style="123" bestFit="1" customWidth="1"/>
    <col min="8467" max="8467" width="4.109375" style="123" customWidth="1"/>
    <col min="8468" max="8468" width="35.44140625" style="123" customWidth="1"/>
    <col min="8469" max="8704" width="11.5546875" style="123"/>
    <col min="8705" max="8705" width="7.109375" style="123" bestFit="1" customWidth="1"/>
    <col min="8706" max="8706" width="5.33203125" style="123" bestFit="1" customWidth="1"/>
    <col min="8707" max="8707" width="47.109375" style="123" customWidth="1"/>
    <col min="8708" max="8708" width="14.6640625" style="123" customWidth="1"/>
    <col min="8709" max="8709" width="8.44140625" style="123" customWidth="1"/>
    <col min="8710" max="8710" width="9.6640625" style="123" customWidth="1"/>
    <col min="8711" max="8711" width="5" style="123" customWidth="1"/>
    <col min="8712" max="8712" width="5.33203125" style="123" customWidth="1"/>
    <col min="8713" max="8713" width="14.88671875" style="123" bestFit="1" customWidth="1"/>
    <col min="8714" max="8714" width="12.88671875" style="123" bestFit="1" customWidth="1"/>
    <col min="8715" max="8715" width="6.5546875" style="123" customWidth="1"/>
    <col min="8716" max="8716" width="16.88671875" style="123" customWidth="1"/>
    <col min="8717" max="8717" width="9.109375" style="123" customWidth="1"/>
    <col min="8718" max="8718" width="15" style="123" customWidth="1"/>
    <col min="8719" max="8719" width="48.109375" style="123" customWidth="1"/>
    <col min="8720" max="8720" width="15.109375" style="123" bestFit="1" customWidth="1"/>
    <col min="8721" max="8721" width="4.44140625" style="123" customWidth="1"/>
    <col min="8722" max="8722" width="3.5546875" style="123" bestFit="1" customWidth="1"/>
    <col min="8723" max="8723" width="4.109375" style="123" customWidth="1"/>
    <col min="8724" max="8724" width="35.44140625" style="123" customWidth="1"/>
    <col min="8725" max="8960" width="11.5546875" style="123"/>
    <col min="8961" max="8961" width="7.109375" style="123" bestFit="1" customWidth="1"/>
    <col min="8962" max="8962" width="5.33203125" style="123" bestFit="1" customWidth="1"/>
    <col min="8963" max="8963" width="47.109375" style="123" customWidth="1"/>
    <col min="8964" max="8964" width="14.6640625" style="123" customWidth="1"/>
    <col min="8965" max="8965" width="8.44140625" style="123" customWidth="1"/>
    <col min="8966" max="8966" width="9.6640625" style="123" customWidth="1"/>
    <col min="8967" max="8967" width="5" style="123" customWidth="1"/>
    <col min="8968" max="8968" width="5.33203125" style="123" customWidth="1"/>
    <col min="8969" max="8969" width="14.88671875" style="123" bestFit="1" customWidth="1"/>
    <col min="8970" max="8970" width="12.88671875" style="123" bestFit="1" customWidth="1"/>
    <col min="8971" max="8971" width="6.5546875" style="123" customWidth="1"/>
    <col min="8972" max="8972" width="16.88671875" style="123" customWidth="1"/>
    <col min="8973" max="8973" width="9.109375" style="123" customWidth="1"/>
    <col min="8974" max="8974" width="15" style="123" customWidth="1"/>
    <col min="8975" max="8975" width="48.109375" style="123" customWidth="1"/>
    <col min="8976" max="8976" width="15.109375" style="123" bestFit="1" customWidth="1"/>
    <col min="8977" max="8977" width="4.44140625" style="123" customWidth="1"/>
    <col min="8978" max="8978" width="3.5546875" style="123" bestFit="1" customWidth="1"/>
    <col min="8979" max="8979" width="4.109375" style="123" customWidth="1"/>
    <col min="8980" max="8980" width="35.44140625" style="123" customWidth="1"/>
    <col min="8981" max="9216" width="11.5546875" style="123"/>
    <col min="9217" max="9217" width="7.109375" style="123" bestFit="1" customWidth="1"/>
    <col min="9218" max="9218" width="5.33203125" style="123" bestFit="1" customWidth="1"/>
    <col min="9219" max="9219" width="47.109375" style="123" customWidth="1"/>
    <col min="9220" max="9220" width="14.6640625" style="123" customWidth="1"/>
    <col min="9221" max="9221" width="8.44140625" style="123" customWidth="1"/>
    <col min="9222" max="9222" width="9.6640625" style="123" customWidth="1"/>
    <col min="9223" max="9223" width="5" style="123" customWidth="1"/>
    <col min="9224" max="9224" width="5.33203125" style="123" customWidth="1"/>
    <col min="9225" max="9225" width="14.88671875" style="123" bestFit="1" customWidth="1"/>
    <col min="9226" max="9226" width="12.88671875" style="123" bestFit="1" customWidth="1"/>
    <col min="9227" max="9227" width="6.5546875" style="123" customWidth="1"/>
    <col min="9228" max="9228" width="16.88671875" style="123" customWidth="1"/>
    <col min="9229" max="9229" width="9.109375" style="123" customWidth="1"/>
    <col min="9230" max="9230" width="15" style="123" customWidth="1"/>
    <col min="9231" max="9231" width="48.109375" style="123" customWidth="1"/>
    <col min="9232" max="9232" width="15.109375" style="123" bestFit="1" customWidth="1"/>
    <col min="9233" max="9233" width="4.44140625" style="123" customWidth="1"/>
    <col min="9234" max="9234" width="3.5546875" style="123" bestFit="1" customWidth="1"/>
    <col min="9235" max="9235" width="4.109375" style="123" customWidth="1"/>
    <col min="9236" max="9236" width="35.44140625" style="123" customWidth="1"/>
    <col min="9237" max="9472" width="11.5546875" style="123"/>
    <col min="9473" max="9473" width="7.109375" style="123" bestFit="1" customWidth="1"/>
    <col min="9474" max="9474" width="5.33203125" style="123" bestFit="1" customWidth="1"/>
    <col min="9475" max="9475" width="47.109375" style="123" customWidth="1"/>
    <col min="9476" max="9476" width="14.6640625" style="123" customWidth="1"/>
    <col min="9477" max="9477" width="8.44140625" style="123" customWidth="1"/>
    <col min="9478" max="9478" width="9.6640625" style="123" customWidth="1"/>
    <col min="9479" max="9479" width="5" style="123" customWidth="1"/>
    <col min="9480" max="9480" width="5.33203125" style="123" customWidth="1"/>
    <col min="9481" max="9481" width="14.88671875" style="123" bestFit="1" customWidth="1"/>
    <col min="9482" max="9482" width="12.88671875" style="123" bestFit="1" customWidth="1"/>
    <col min="9483" max="9483" width="6.5546875" style="123" customWidth="1"/>
    <col min="9484" max="9484" width="16.88671875" style="123" customWidth="1"/>
    <col min="9485" max="9485" width="9.109375" style="123" customWidth="1"/>
    <col min="9486" max="9486" width="15" style="123" customWidth="1"/>
    <col min="9487" max="9487" width="48.109375" style="123" customWidth="1"/>
    <col min="9488" max="9488" width="15.109375" style="123" bestFit="1" customWidth="1"/>
    <col min="9489" max="9489" width="4.44140625" style="123" customWidth="1"/>
    <col min="9490" max="9490" width="3.5546875" style="123" bestFit="1" customWidth="1"/>
    <col min="9491" max="9491" width="4.109375" style="123" customWidth="1"/>
    <col min="9492" max="9492" width="35.44140625" style="123" customWidth="1"/>
    <col min="9493" max="9728" width="11.5546875" style="123"/>
    <col min="9729" max="9729" width="7.109375" style="123" bestFit="1" customWidth="1"/>
    <col min="9730" max="9730" width="5.33203125" style="123" bestFit="1" customWidth="1"/>
    <col min="9731" max="9731" width="47.109375" style="123" customWidth="1"/>
    <col min="9732" max="9732" width="14.6640625" style="123" customWidth="1"/>
    <col min="9733" max="9733" width="8.44140625" style="123" customWidth="1"/>
    <col min="9734" max="9734" width="9.6640625" style="123" customWidth="1"/>
    <col min="9735" max="9735" width="5" style="123" customWidth="1"/>
    <col min="9736" max="9736" width="5.33203125" style="123" customWidth="1"/>
    <col min="9737" max="9737" width="14.88671875" style="123" bestFit="1" customWidth="1"/>
    <col min="9738" max="9738" width="12.88671875" style="123" bestFit="1" customWidth="1"/>
    <col min="9739" max="9739" width="6.5546875" style="123" customWidth="1"/>
    <col min="9740" max="9740" width="16.88671875" style="123" customWidth="1"/>
    <col min="9741" max="9741" width="9.109375" style="123" customWidth="1"/>
    <col min="9742" max="9742" width="15" style="123" customWidth="1"/>
    <col min="9743" max="9743" width="48.109375" style="123" customWidth="1"/>
    <col min="9744" max="9744" width="15.109375" style="123" bestFit="1" customWidth="1"/>
    <col min="9745" max="9745" width="4.44140625" style="123" customWidth="1"/>
    <col min="9746" max="9746" width="3.5546875" style="123" bestFit="1" customWidth="1"/>
    <col min="9747" max="9747" width="4.109375" style="123" customWidth="1"/>
    <col min="9748" max="9748" width="35.44140625" style="123" customWidth="1"/>
    <col min="9749" max="9984" width="11.5546875" style="123"/>
    <col min="9985" max="9985" width="7.109375" style="123" bestFit="1" customWidth="1"/>
    <col min="9986" max="9986" width="5.33203125" style="123" bestFit="1" customWidth="1"/>
    <col min="9987" max="9987" width="47.109375" style="123" customWidth="1"/>
    <col min="9988" max="9988" width="14.6640625" style="123" customWidth="1"/>
    <col min="9989" max="9989" width="8.44140625" style="123" customWidth="1"/>
    <col min="9990" max="9990" width="9.6640625" style="123" customWidth="1"/>
    <col min="9991" max="9991" width="5" style="123" customWidth="1"/>
    <col min="9992" max="9992" width="5.33203125" style="123" customWidth="1"/>
    <col min="9993" max="9993" width="14.88671875" style="123" bestFit="1" customWidth="1"/>
    <col min="9994" max="9994" width="12.88671875" style="123" bestFit="1" customWidth="1"/>
    <col min="9995" max="9995" width="6.5546875" style="123" customWidth="1"/>
    <col min="9996" max="9996" width="16.88671875" style="123" customWidth="1"/>
    <col min="9997" max="9997" width="9.109375" style="123" customWidth="1"/>
    <col min="9998" max="9998" width="15" style="123" customWidth="1"/>
    <col min="9999" max="9999" width="48.109375" style="123" customWidth="1"/>
    <col min="10000" max="10000" width="15.109375" style="123" bestFit="1" customWidth="1"/>
    <col min="10001" max="10001" width="4.44140625" style="123" customWidth="1"/>
    <col min="10002" max="10002" width="3.5546875" style="123" bestFit="1" customWidth="1"/>
    <col min="10003" max="10003" width="4.109375" style="123" customWidth="1"/>
    <col min="10004" max="10004" width="35.44140625" style="123" customWidth="1"/>
    <col min="10005" max="10240" width="11.5546875" style="123"/>
    <col min="10241" max="10241" width="7.109375" style="123" bestFit="1" customWidth="1"/>
    <col min="10242" max="10242" width="5.33203125" style="123" bestFit="1" customWidth="1"/>
    <col min="10243" max="10243" width="47.109375" style="123" customWidth="1"/>
    <col min="10244" max="10244" width="14.6640625" style="123" customWidth="1"/>
    <col min="10245" max="10245" width="8.44140625" style="123" customWidth="1"/>
    <col min="10246" max="10246" width="9.6640625" style="123" customWidth="1"/>
    <col min="10247" max="10247" width="5" style="123" customWidth="1"/>
    <col min="10248" max="10248" width="5.33203125" style="123" customWidth="1"/>
    <col min="10249" max="10249" width="14.88671875" style="123" bestFit="1" customWidth="1"/>
    <col min="10250" max="10250" width="12.88671875" style="123" bestFit="1" customWidth="1"/>
    <col min="10251" max="10251" width="6.5546875" style="123" customWidth="1"/>
    <col min="10252" max="10252" width="16.88671875" style="123" customWidth="1"/>
    <col min="10253" max="10253" width="9.109375" style="123" customWidth="1"/>
    <col min="10254" max="10254" width="15" style="123" customWidth="1"/>
    <col min="10255" max="10255" width="48.109375" style="123" customWidth="1"/>
    <col min="10256" max="10256" width="15.109375" style="123" bestFit="1" customWidth="1"/>
    <col min="10257" max="10257" width="4.44140625" style="123" customWidth="1"/>
    <col min="10258" max="10258" width="3.5546875" style="123" bestFit="1" customWidth="1"/>
    <col min="10259" max="10259" width="4.109375" style="123" customWidth="1"/>
    <col min="10260" max="10260" width="35.44140625" style="123" customWidth="1"/>
    <col min="10261" max="10496" width="11.5546875" style="123"/>
    <col min="10497" max="10497" width="7.109375" style="123" bestFit="1" customWidth="1"/>
    <col min="10498" max="10498" width="5.33203125" style="123" bestFit="1" customWidth="1"/>
    <col min="10499" max="10499" width="47.109375" style="123" customWidth="1"/>
    <col min="10500" max="10500" width="14.6640625" style="123" customWidth="1"/>
    <col min="10501" max="10501" width="8.44140625" style="123" customWidth="1"/>
    <col min="10502" max="10502" width="9.6640625" style="123" customWidth="1"/>
    <col min="10503" max="10503" width="5" style="123" customWidth="1"/>
    <col min="10504" max="10504" width="5.33203125" style="123" customWidth="1"/>
    <col min="10505" max="10505" width="14.88671875" style="123" bestFit="1" customWidth="1"/>
    <col min="10506" max="10506" width="12.88671875" style="123" bestFit="1" customWidth="1"/>
    <col min="10507" max="10507" width="6.5546875" style="123" customWidth="1"/>
    <col min="10508" max="10508" width="16.88671875" style="123" customWidth="1"/>
    <col min="10509" max="10509" width="9.109375" style="123" customWidth="1"/>
    <col min="10510" max="10510" width="15" style="123" customWidth="1"/>
    <col min="10511" max="10511" width="48.109375" style="123" customWidth="1"/>
    <col min="10512" max="10512" width="15.109375" style="123" bestFit="1" customWidth="1"/>
    <col min="10513" max="10513" width="4.44140625" style="123" customWidth="1"/>
    <col min="10514" max="10514" width="3.5546875" style="123" bestFit="1" customWidth="1"/>
    <col min="10515" max="10515" width="4.109375" style="123" customWidth="1"/>
    <col min="10516" max="10516" width="35.44140625" style="123" customWidth="1"/>
    <col min="10517" max="10752" width="11.5546875" style="123"/>
    <col min="10753" max="10753" width="7.109375" style="123" bestFit="1" customWidth="1"/>
    <col min="10754" max="10754" width="5.33203125" style="123" bestFit="1" customWidth="1"/>
    <col min="10755" max="10755" width="47.109375" style="123" customWidth="1"/>
    <col min="10756" max="10756" width="14.6640625" style="123" customWidth="1"/>
    <col min="10757" max="10757" width="8.44140625" style="123" customWidth="1"/>
    <col min="10758" max="10758" width="9.6640625" style="123" customWidth="1"/>
    <col min="10759" max="10759" width="5" style="123" customWidth="1"/>
    <col min="10760" max="10760" width="5.33203125" style="123" customWidth="1"/>
    <col min="10761" max="10761" width="14.88671875" style="123" bestFit="1" customWidth="1"/>
    <col min="10762" max="10762" width="12.88671875" style="123" bestFit="1" customWidth="1"/>
    <col min="10763" max="10763" width="6.5546875" style="123" customWidth="1"/>
    <col min="10764" max="10764" width="16.88671875" style="123" customWidth="1"/>
    <col min="10765" max="10765" width="9.109375" style="123" customWidth="1"/>
    <col min="10766" max="10766" width="15" style="123" customWidth="1"/>
    <col min="10767" max="10767" width="48.109375" style="123" customWidth="1"/>
    <col min="10768" max="10768" width="15.109375" style="123" bestFit="1" customWidth="1"/>
    <col min="10769" max="10769" width="4.44140625" style="123" customWidth="1"/>
    <col min="10770" max="10770" width="3.5546875" style="123" bestFit="1" customWidth="1"/>
    <col min="10771" max="10771" width="4.109375" style="123" customWidth="1"/>
    <col min="10772" max="10772" width="35.44140625" style="123" customWidth="1"/>
    <col min="10773" max="11008" width="11.5546875" style="123"/>
    <col min="11009" max="11009" width="7.109375" style="123" bestFit="1" customWidth="1"/>
    <col min="11010" max="11010" width="5.33203125" style="123" bestFit="1" customWidth="1"/>
    <col min="11011" max="11011" width="47.109375" style="123" customWidth="1"/>
    <col min="11012" max="11012" width="14.6640625" style="123" customWidth="1"/>
    <col min="11013" max="11013" width="8.44140625" style="123" customWidth="1"/>
    <col min="11014" max="11014" width="9.6640625" style="123" customWidth="1"/>
    <col min="11015" max="11015" width="5" style="123" customWidth="1"/>
    <col min="11016" max="11016" width="5.33203125" style="123" customWidth="1"/>
    <col min="11017" max="11017" width="14.88671875" style="123" bestFit="1" customWidth="1"/>
    <col min="11018" max="11018" width="12.88671875" style="123" bestFit="1" customWidth="1"/>
    <col min="11019" max="11019" width="6.5546875" style="123" customWidth="1"/>
    <col min="11020" max="11020" width="16.88671875" style="123" customWidth="1"/>
    <col min="11021" max="11021" width="9.109375" style="123" customWidth="1"/>
    <col min="11022" max="11022" width="15" style="123" customWidth="1"/>
    <col min="11023" max="11023" width="48.109375" style="123" customWidth="1"/>
    <col min="11024" max="11024" width="15.109375" style="123" bestFit="1" customWidth="1"/>
    <col min="11025" max="11025" width="4.44140625" style="123" customWidth="1"/>
    <col min="11026" max="11026" width="3.5546875" style="123" bestFit="1" customWidth="1"/>
    <col min="11027" max="11027" width="4.109375" style="123" customWidth="1"/>
    <col min="11028" max="11028" width="35.44140625" style="123" customWidth="1"/>
    <col min="11029" max="11264" width="11.5546875" style="123"/>
    <col min="11265" max="11265" width="7.109375" style="123" bestFit="1" customWidth="1"/>
    <col min="11266" max="11266" width="5.33203125" style="123" bestFit="1" customWidth="1"/>
    <col min="11267" max="11267" width="47.109375" style="123" customWidth="1"/>
    <col min="11268" max="11268" width="14.6640625" style="123" customWidth="1"/>
    <col min="11269" max="11269" width="8.44140625" style="123" customWidth="1"/>
    <col min="11270" max="11270" width="9.6640625" style="123" customWidth="1"/>
    <col min="11271" max="11271" width="5" style="123" customWidth="1"/>
    <col min="11272" max="11272" width="5.33203125" style="123" customWidth="1"/>
    <col min="11273" max="11273" width="14.88671875" style="123" bestFit="1" customWidth="1"/>
    <col min="11274" max="11274" width="12.88671875" style="123" bestFit="1" customWidth="1"/>
    <col min="11275" max="11275" width="6.5546875" style="123" customWidth="1"/>
    <col min="11276" max="11276" width="16.88671875" style="123" customWidth="1"/>
    <col min="11277" max="11277" width="9.109375" style="123" customWidth="1"/>
    <col min="11278" max="11278" width="15" style="123" customWidth="1"/>
    <col min="11279" max="11279" width="48.109375" style="123" customWidth="1"/>
    <col min="11280" max="11280" width="15.109375" style="123" bestFit="1" customWidth="1"/>
    <col min="11281" max="11281" width="4.44140625" style="123" customWidth="1"/>
    <col min="11282" max="11282" width="3.5546875" style="123" bestFit="1" customWidth="1"/>
    <col min="11283" max="11283" width="4.109375" style="123" customWidth="1"/>
    <col min="11284" max="11284" width="35.44140625" style="123" customWidth="1"/>
    <col min="11285" max="11520" width="11.5546875" style="123"/>
    <col min="11521" max="11521" width="7.109375" style="123" bestFit="1" customWidth="1"/>
    <col min="11522" max="11522" width="5.33203125" style="123" bestFit="1" customWidth="1"/>
    <col min="11523" max="11523" width="47.109375" style="123" customWidth="1"/>
    <col min="11524" max="11524" width="14.6640625" style="123" customWidth="1"/>
    <col min="11525" max="11525" width="8.44140625" style="123" customWidth="1"/>
    <col min="11526" max="11526" width="9.6640625" style="123" customWidth="1"/>
    <col min="11527" max="11527" width="5" style="123" customWidth="1"/>
    <col min="11528" max="11528" width="5.33203125" style="123" customWidth="1"/>
    <col min="11529" max="11529" width="14.88671875" style="123" bestFit="1" customWidth="1"/>
    <col min="11530" max="11530" width="12.88671875" style="123" bestFit="1" customWidth="1"/>
    <col min="11531" max="11531" width="6.5546875" style="123" customWidth="1"/>
    <col min="11532" max="11532" width="16.88671875" style="123" customWidth="1"/>
    <col min="11533" max="11533" width="9.109375" style="123" customWidth="1"/>
    <col min="11534" max="11534" width="15" style="123" customWidth="1"/>
    <col min="11535" max="11535" width="48.109375" style="123" customWidth="1"/>
    <col min="11536" max="11536" width="15.109375" style="123" bestFit="1" customWidth="1"/>
    <col min="11537" max="11537" width="4.44140625" style="123" customWidth="1"/>
    <col min="11538" max="11538" width="3.5546875" style="123" bestFit="1" customWidth="1"/>
    <col min="11539" max="11539" width="4.109375" style="123" customWidth="1"/>
    <col min="11540" max="11540" width="35.44140625" style="123" customWidth="1"/>
    <col min="11541" max="11776" width="11.5546875" style="123"/>
    <col min="11777" max="11777" width="7.109375" style="123" bestFit="1" customWidth="1"/>
    <col min="11778" max="11778" width="5.33203125" style="123" bestFit="1" customWidth="1"/>
    <col min="11779" max="11779" width="47.109375" style="123" customWidth="1"/>
    <col min="11780" max="11780" width="14.6640625" style="123" customWidth="1"/>
    <col min="11781" max="11781" width="8.44140625" style="123" customWidth="1"/>
    <col min="11782" max="11782" width="9.6640625" style="123" customWidth="1"/>
    <col min="11783" max="11783" width="5" style="123" customWidth="1"/>
    <col min="11784" max="11784" width="5.33203125" style="123" customWidth="1"/>
    <col min="11785" max="11785" width="14.88671875" style="123" bestFit="1" customWidth="1"/>
    <col min="11786" max="11786" width="12.88671875" style="123" bestFit="1" customWidth="1"/>
    <col min="11787" max="11787" width="6.5546875" style="123" customWidth="1"/>
    <col min="11788" max="11788" width="16.88671875" style="123" customWidth="1"/>
    <col min="11789" max="11789" width="9.109375" style="123" customWidth="1"/>
    <col min="11790" max="11790" width="15" style="123" customWidth="1"/>
    <col min="11791" max="11791" width="48.109375" style="123" customWidth="1"/>
    <col min="11792" max="11792" width="15.109375" style="123" bestFit="1" customWidth="1"/>
    <col min="11793" max="11793" width="4.44140625" style="123" customWidth="1"/>
    <col min="11794" max="11794" width="3.5546875" style="123" bestFit="1" customWidth="1"/>
    <col min="11795" max="11795" width="4.109375" style="123" customWidth="1"/>
    <col min="11796" max="11796" width="35.44140625" style="123" customWidth="1"/>
    <col min="11797" max="12032" width="11.5546875" style="123"/>
    <col min="12033" max="12033" width="7.109375" style="123" bestFit="1" customWidth="1"/>
    <col min="12034" max="12034" width="5.33203125" style="123" bestFit="1" customWidth="1"/>
    <col min="12035" max="12035" width="47.109375" style="123" customWidth="1"/>
    <col min="12036" max="12036" width="14.6640625" style="123" customWidth="1"/>
    <col min="12037" max="12037" width="8.44140625" style="123" customWidth="1"/>
    <col min="12038" max="12038" width="9.6640625" style="123" customWidth="1"/>
    <col min="12039" max="12039" width="5" style="123" customWidth="1"/>
    <col min="12040" max="12040" width="5.33203125" style="123" customWidth="1"/>
    <col min="12041" max="12041" width="14.88671875" style="123" bestFit="1" customWidth="1"/>
    <col min="12042" max="12042" width="12.88671875" style="123" bestFit="1" customWidth="1"/>
    <col min="12043" max="12043" width="6.5546875" style="123" customWidth="1"/>
    <col min="12044" max="12044" width="16.88671875" style="123" customWidth="1"/>
    <col min="12045" max="12045" width="9.109375" style="123" customWidth="1"/>
    <col min="12046" max="12046" width="15" style="123" customWidth="1"/>
    <col min="12047" max="12047" width="48.109375" style="123" customWidth="1"/>
    <col min="12048" max="12048" width="15.109375" style="123" bestFit="1" customWidth="1"/>
    <col min="12049" max="12049" width="4.44140625" style="123" customWidth="1"/>
    <col min="12050" max="12050" width="3.5546875" style="123" bestFit="1" customWidth="1"/>
    <col min="12051" max="12051" width="4.109375" style="123" customWidth="1"/>
    <col min="12052" max="12052" width="35.44140625" style="123" customWidth="1"/>
    <col min="12053" max="12288" width="11.5546875" style="123"/>
    <col min="12289" max="12289" width="7.109375" style="123" bestFit="1" customWidth="1"/>
    <col min="12290" max="12290" width="5.33203125" style="123" bestFit="1" customWidth="1"/>
    <col min="12291" max="12291" width="47.109375" style="123" customWidth="1"/>
    <col min="12292" max="12292" width="14.6640625" style="123" customWidth="1"/>
    <col min="12293" max="12293" width="8.44140625" style="123" customWidth="1"/>
    <col min="12294" max="12294" width="9.6640625" style="123" customWidth="1"/>
    <col min="12295" max="12295" width="5" style="123" customWidth="1"/>
    <col min="12296" max="12296" width="5.33203125" style="123" customWidth="1"/>
    <col min="12297" max="12297" width="14.88671875" style="123" bestFit="1" customWidth="1"/>
    <col min="12298" max="12298" width="12.88671875" style="123" bestFit="1" customWidth="1"/>
    <col min="12299" max="12299" width="6.5546875" style="123" customWidth="1"/>
    <col min="12300" max="12300" width="16.88671875" style="123" customWidth="1"/>
    <col min="12301" max="12301" width="9.109375" style="123" customWidth="1"/>
    <col min="12302" max="12302" width="15" style="123" customWidth="1"/>
    <col min="12303" max="12303" width="48.109375" style="123" customWidth="1"/>
    <col min="12304" max="12304" width="15.109375" style="123" bestFit="1" customWidth="1"/>
    <col min="12305" max="12305" width="4.44140625" style="123" customWidth="1"/>
    <col min="12306" max="12306" width="3.5546875" style="123" bestFit="1" customWidth="1"/>
    <col min="12307" max="12307" width="4.109375" style="123" customWidth="1"/>
    <col min="12308" max="12308" width="35.44140625" style="123" customWidth="1"/>
    <col min="12309" max="12544" width="11.5546875" style="123"/>
    <col min="12545" max="12545" width="7.109375" style="123" bestFit="1" customWidth="1"/>
    <col min="12546" max="12546" width="5.33203125" style="123" bestFit="1" customWidth="1"/>
    <col min="12547" max="12547" width="47.109375" style="123" customWidth="1"/>
    <col min="12548" max="12548" width="14.6640625" style="123" customWidth="1"/>
    <col min="12549" max="12549" width="8.44140625" style="123" customWidth="1"/>
    <col min="12550" max="12550" width="9.6640625" style="123" customWidth="1"/>
    <col min="12551" max="12551" width="5" style="123" customWidth="1"/>
    <col min="12552" max="12552" width="5.33203125" style="123" customWidth="1"/>
    <col min="12553" max="12553" width="14.88671875" style="123" bestFit="1" customWidth="1"/>
    <col min="12554" max="12554" width="12.88671875" style="123" bestFit="1" customWidth="1"/>
    <col min="12555" max="12555" width="6.5546875" style="123" customWidth="1"/>
    <col min="12556" max="12556" width="16.88671875" style="123" customWidth="1"/>
    <col min="12557" max="12557" width="9.109375" style="123" customWidth="1"/>
    <col min="12558" max="12558" width="15" style="123" customWidth="1"/>
    <col min="12559" max="12559" width="48.109375" style="123" customWidth="1"/>
    <col min="12560" max="12560" width="15.109375" style="123" bestFit="1" customWidth="1"/>
    <col min="12561" max="12561" width="4.44140625" style="123" customWidth="1"/>
    <col min="12562" max="12562" width="3.5546875" style="123" bestFit="1" customWidth="1"/>
    <col min="12563" max="12563" width="4.109375" style="123" customWidth="1"/>
    <col min="12564" max="12564" width="35.44140625" style="123" customWidth="1"/>
    <col min="12565" max="12800" width="11.5546875" style="123"/>
    <col min="12801" max="12801" width="7.109375" style="123" bestFit="1" customWidth="1"/>
    <col min="12802" max="12802" width="5.33203125" style="123" bestFit="1" customWidth="1"/>
    <col min="12803" max="12803" width="47.109375" style="123" customWidth="1"/>
    <col min="12804" max="12804" width="14.6640625" style="123" customWidth="1"/>
    <col min="12805" max="12805" width="8.44140625" style="123" customWidth="1"/>
    <col min="12806" max="12806" width="9.6640625" style="123" customWidth="1"/>
    <col min="12807" max="12807" width="5" style="123" customWidth="1"/>
    <col min="12808" max="12808" width="5.33203125" style="123" customWidth="1"/>
    <col min="12809" max="12809" width="14.88671875" style="123" bestFit="1" customWidth="1"/>
    <col min="12810" max="12810" width="12.88671875" style="123" bestFit="1" customWidth="1"/>
    <col min="12811" max="12811" width="6.5546875" style="123" customWidth="1"/>
    <col min="12812" max="12812" width="16.88671875" style="123" customWidth="1"/>
    <col min="12813" max="12813" width="9.109375" style="123" customWidth="1"/>
    <col min="12814" max="12814" width="15" style="123" customWidth="1"/>
    <col min="12815" max="12815" width="48.109375" style="123" customWidth="1"/>
    <col min="12816" max="12816" width="15.109375" style="123" bestFit="1" customWidth="1"/>
    <col min="12817" max="12817" width="4.44140625" style="123" customWidth="1"/>
    <col min="12818" max="12818" width="3.5546875" style="123" bestFit="1" customWidth="1"/>
    <col min="12819" max="12819" width="4.109375" style="123" customWidth="1"/>
    <col min="12820" max="12820" width="35.44140625" style="123" customWidth="1"/>
    <col min="12821" max="13056" width="11.5546875" style="123"/>
    <col min="13057" max="13057" width="7.109375" style="123" bestFit="1" customWidth="1"/>
    <col min="13058" max="13058" width="5.33203125" style="123" bestFit="1" customWidth="1"/>
    <col min="13059" max="13059" width="47.109375" style="123" customWidth="1"/>
    <col min="13060" max="13060" width="14.6640625" style="123" customWidth="1"/>
    <col min="13061" max="13061" width="8.44140625" style="123" customWidth="1"/>
    <col min="13062" max="13062" width="9.6640625" style="123" customWidth="1"/>
    <col min="13063" max="13063" width="5" style="123" customWidth="1"/>
    <col min="13064" max="13064" width="5.33203125" style="123" customWidth="1"/>
    <col min="13065" max="13065" width="14.88671875" style="123" bestFit="1" customWidth="1"/>
    <col min="13066" max="13066" width="12.88671875" style="123" bestFit="1" customWidth="1"/>
    <col min="13067" max="13067" width="6.5546875" style="123" customWidth="1"/>
    <col min="13068" max="13068" width="16.88671875" style="123" customWidth="1"/>
    <col min="13069" max="13069" width="9.109375" style="123" customWidth="1"/>
    <col min="13070" max="13070" width="15" style="123" customWidth="1"/>
    <col min="13071" max="13071" width="48.109375" style="123" customWidth="1"/>
    <col min="13072" max="13072" width="15.109375" style="123" bestFit="1" customWidth="1"/>
    <col min="13073" max="13073" width="4.44140625" style="123" customWidth="1"/>
    <col min="13074" max="13074" width="3.5546875" style="123" bestFit="1" customWidth="1"/>
    <col min="13075" max="13075" width="4.109375" style="123" customWidth="1"/>
    <col min="13076" max="13076" width="35.44140625" style="123" customWidth="1"/>
    <col min="13077" max="13312" width="11.5546875" style="123"/>
    <col min="13313" max="13313" width="7.109375" style="123" bestFit="1" customWidth="1"/>
    <col min="13314" max="13314" width="5.33203125" style="123" bestFit="1" customWidth="1"/>
    <col min="13315" max="13315" width="47.109375" style="123" customWidth="1"/>
    <col min="13316" max="13316" width="14.6640625" style="123" customWidth="1"/>
    <col min="13317" max="13317" width="8.44140625" style="123" customWidth="1"/>
    <col min="13318" max="13318" width="9.6640625" style="123" customWidth="1"/>
    <col min="13319" max="13319" width="5" style="123" customWidth="1"/>
    <col min="13320" max="13320" width="5.33203125" style="123" customWidth="1"/>
    <col min="13321" max="13321" width="14.88671875" style="123" bestFit="1" customWidth="1"/>
    <col min="13322" max="13322" width="12.88671875" style="123" bestFit="1" customWidth="1"/>
    <col min="13323" max="13323" width="6.5546875" style="123" customWidth="1"/>
    <col min="13324" max="13324" width="16.88671875" style="123" customWidth="1"/>
    <col min="13325" max="13325" width="9.109375" style="123" customWidth="1"/>
    <col min="13326" max="13326" width="15" style="123" customWidth="1"/>
    <col min="13327" max="13327" width="48.109375" style="123" customWidth="1"/>
    <col min="13328" max="13328" width="15.109375" style="123" bestFit="1" customWidth="1"/>
    <col min="13329" max="13329" width="4.44140625" style="123" customWidth="1"/>
    <col min="13330" max="13330" width="3.5546875" style="123" bestFit="1" customWidth="1"/>
    <col min="13331" max="13331" width="4.109375" style="123" customWidth="1"/>
    <col min="13332" max="13332" width="35.44140625" style="123" customWidth="1"/>
    <col min="13333" max="13568" width="11.5546875" style="123"/>
    <col min="13569" max="13569" width="7.109375" style="123" bestFit="1" customWidth="1"/>
    <col min="13570" max="13570" width="5.33203125" style="123" bestFit="1" customWidth="1"/>
    <col min="13571" max="13571" width="47.109375" style="123" customWidth="1"/>
    <col min="13572" max="13572" width="14.6640625" style="123" customWidth="1"/>
    <col min="13573" max="13573" width="8.44140625" style="123" customWidth="1"/>
    <col min="13574" max="13574" width="9.6640625" style="123" customWidth="1"/>
    <col min="13575" max="13575" width="5" style="123" customWidth="1"/>
    <col min="13576" max="13576" width="5.33203125" style="123" customWidth="1"/>
    <col min="13577" max="13577" width="14.88671875" style="123" bestFit="1" customWidth="1"/>
    <col min="13578" max="13578" width="12.88671875" style="123" bestFit="1" customWidth="1"/>
    <col min="13579" max="13579" width="6.5546875" style="123" customWidth="1"/>
    <col min="13580" max="13580" width="16.88671875" style="123" customWidth="1"/>
    <col min="13581" max="13581" width="9.109375" style="123" customWidth="1"/>
    <col min="13582" max="13582" width="15" style="123" customWidth="1"/>
    <col min="13583" max="13583" width="48.109375" style="123" customWidth="1"/>
    <col min="13584" max="13584" width="15.109375" style="123" bestFit="1" customWidth="1"/>
    <col min="13585" max="13585" width="4.44140625" style="123" customWidth="1"/>
    <col min="13586" max="13586" width="3.5546875" style="123" bestFit="1" customWidth="1"/>
    <col min="13587" max="13587" width="4.109375" style="123" customWidth="1"/>
    <col min="13588" max="13588" width="35.44140625" style="123" customWidth="1"/>
    <col min="13589" max="13824" width="11.5546875" style="123"/>
    <col min="13825" max="13825" width="7.109375" style="123" bestFit="1" customWidth="1"/>
    <col min="13826" max="13826" width="5.33203125" style="123" bestFit="1" customWidth="1"/>
    <col min="13827" max="13827" width="47.109375" style="123" customWidth="1"/>
    <col min="13828" max="13828" width="14.6640625" style="123" customWidth="1"/>
    <col min="13829" max="13829" width="8.44140625" style="123" customWidth="1"/>
    <col min="13830" max="13830" width="9.6640625" style="123" customWidth="1"/>
    <col min="13831" max="13831" width="5" style="123" customWidth="1"/>
    <col min="13832" max="13832" width="5.33203125" style="123" customWidth="1"/>
    <col min="13833" max="13833" width="14.88671875" style="123" bestFit="1" customWidth="1"/>
    <col min="13834" max="13834" width="12.88671875" style="123" bestFit="1" customWidth="1"/>
    <col min="13835" max="13835" width="6.5546875" style="123" customWidth="1"/>
    <col min="13836" max="13836" width="16.88671875" style="123" customWidth="1"/>
    <col min="13837" max="13837" width="9.109375" style="123" customWidth="1"/>
    <col min="13838" max="13838" width="15" style="123" customWidth="1"/>
    <col min="13839" max="13839" width="48.109375" style="123" customWidth="1"/>
    <col min="13840" max="13840" width="15.109375" style="123" bestFit="1" customWidth="1"/>
    <col min="13841" max="13841" width="4.44140625" style="123" customWidth="1"/>
    <col min="13842" max="13842" width="3.5546875" style="123" bestFit="1" customWidth="1"/>
    <col min="13843" max="13843" width="4.109375" style="123" customWidth="1"/>
    <col min="13844" max="13844" width="35.44140625" style="123" customWidth="1"/>
    <col min="13845" max="14080" width="11.5546875" style="123"/>
    <col min="14081" max="14081" width="7.109375" style="123" bestFit="1" customWidth="1"/>
    <col min="14082" max="14082" width="5.33203125" style="123" bestFit="1" customWidth="1"/>
    <col min="14083" max="14083" width="47.109375" style="123" customWidth="1"/>
    <col min="14084" max="14084" width="14.6640625" style="123" customWidth="1"/>
    <col min="14085" max="14085" width="8.44140625" style="123" customWidth="1"/>
    <col min="14086" max="14086" width="9.6640625" style="123" customWidth="1"/>
    <col min="14087" max="14087" width="5" style="123" customWidth="1"/>
    <col min="14088" max="14088" width="5.33203125" style="123" customWidth="1"/>
    <col min="14089" max="14089" width="14.88671875" style="123" bestFit="1" customWidth="1"/>
    <col min="14090" max="14090" width="12.88671875" style="123" bestFit="1" customWidth="1"/>
    <col min="14091" max="14091" width="6.5546875" style="123" customWidth="1"/>
    <col min="14092" max="14092" width="16.88671875" style="123" customWidth="1"/>
    <col min="14093" max="14093" width="9.109375" style="123" customWidth="1"/>
    <col min="14094" max="14094" width="15" style="123" customWidth="1"/>
    <col min="14095" max="14095" width="48.109375" style="123" customWidth="1"/>
    <col min="14096" max="14096" width="15.109375" style="123" bestFit="1" customWidth="1"/>
    <col min="14097" max="14097" width="4.44140625" style="123" customWidth="1"/>
    <col min="14098" max="14098" width="3.5546875" style="123" bestFit="1" customWidth="1"/>
    <col min="14099" max="14099" width="4.109375" style="123" customWidth="1"/>
    <col min="14100" max="14100" width="35.44140625" style="123" customWidth="1"/>
    <col min="14101" max="14336" width="11.5546875" style="123"/>
    <col min="14337" max="14337" width="7.109375" style="123" bestFit="1" customWidth="1"/>
    <col min="14338" max="14338" width="5.33203125" style="123" bestFit="1" customWidth="1"/>
    <col min="14339" max="14339" width="47.109375" style="123" customWidth="1"/>
    <col min="14340" max="14340" width="14.6640625" style="123" customWidth="1"/>
    <col min="14341" max="14341" width="8.44140625" style="123" customWidth="1"/>
    <col min="14342" max="14342" width="9.6640625" style="123" customWidth="1"/>
    <col min="14343" max="14343" width="5" style="123" customWidth="1"/>
    <col min="14344" max="14344" width="5.33203125" style="123" customWidth="1"/>
    <col min="14345" max="14345" width="14.88671875" style="123" bestFit="1" customWidth="1"/>
    <col min="14346" max="14346" width="12.88671875" style="123" bestFit="1" customWidth="1"/>
    <col min="14347" max="14347" width="6.5546875" style="123" customWidth="1"/>
    <col min="14348" max="14348" width="16.88671875" style="123" customWidth="1"/>
    <col min="14349" max="14349" width="9.109375" style="123" customWidth="1"/>
    <col min="14350" max="14350" width="15" style="123" customWidth="1"/>
    <col min="14351" max="14351" width="48.109375" style="123" customWidth="1"/>
    <col min="14352" max="14352" width="15.109375" style="123" bestFit="1" customWidth="1"/>
    <col min="14353" max="14353" width="4.44140625" style="123" customWidth="1"/>
    <col min="14354" max="14354" width="3.5546875" style="123" bestFit="1" customWidth="1"/>
    <col min="14355" max="14355" width="4.109375" style="123" customWidth="1"/>
    <col min="14356" max="14356" width="35.44140625" style="123" customWidth="1"/>
    <col min="14357" max="14592" width="11.5546875" style="123"/>
    <col min="14593" max="14593" width="7.109375" style="123" bestFit="1" customWidth="1"/>
    <col min="14594" max="14594" width="5.33203125" style="123" bestFit="1" customWidth="1"/>
    <col min="14595" max="14595" width="47.109375" style="123" customWidth="1"/>
    <col min="14596" max="14596" width="14.6640625" style="123" customWidth="1"/>
    <col min="14597" max="14597" width="8.44140625" style="123" customWidth="1"/>
    <col min="14598" max="14598" width="9.6640625" style="123" customWidth="1"/>
    <col min="14599" max="14599" width="5" style="123" customWidth="1"/>
    <col min="14600" max="14600" width="5.33203125" style="123" customWidth="1"/>
    <col min="14601" max="14601" width="14.88671875" style="123" bestFit="1" customWidth="1"/>
    <col min="14602" max="14602" width="12.88671875" style="123" bestFit="1" customWidth="1"/>
    <col min="14603" max="14603" width="6.5546875" style="123" customWidth="1"/>
    <col min="14604" max="14604" width="16.88671875" style="123" customWidth="1"/>
    <col min="14605" max="14605" width="9.109375" style="123" customWidth="1"/>
    <col min="14606" max="14606" width="15" style="123" customWidth="1"/>
    <col min="14607" max="14607" width="48.109375" style="123" customWidth="1"/>
    <col min="14608" max="14608" width="15.109375" style="123" bestFit="1" customWidth="1"/>
    <col min="14609" max="14609" width="4.44140625" style="123" customWidth="1"/>
    <col min="14610" max="14610" width="3.5546875" style="123" bestFit="1" customWidth="1"/>
    <col min="14611" max="14611" width="4.109375" style="123" customWidth="1"/>
    <col min="14612" max="14612" width="35.44140625" style="123" customWidth="1"/>
    <col min="14613" max="14848" width="11.5546875" style="123"/>
    <col min="14849" max="14849" width="7.109375" style="123" bestFit="1" customWidth="1"/>
    <col min="14850" max="14850" width="5.33203125" style="123" bestFit="1" customWidth="1"/>
    <col min="14851" max="14851" width="47.109375" style="123" customWidth="1"/>
    <col min="14852" max="14852" width="14.6640625" style="123" customWidth="1"/>
    <col min="14853" max="14853" width="8.44140625" style="123" customWidth="1"/>
    <col min="14854" max="14854" width="9.6640625" style="123" customWidth="1"/>
    <col min="14855" max="14855" width="5" style="123" customWidth="1"/>
    <col min="14856" max="14856" width="5.33203125" style="123" customWidth="1"/>
    <col min="14857" max="14857" width="14.88671875" style="123" bestFit="1" customWidth="1"/>
    <col min="14858" max="14858" width="12.88671875" style="123" bestFit="1" customWidth="1"/>
    <col min="14859" max="14859" width="6.5546875" style="123" customWidth="1"/>
    <col min="14860" max="14860" width="16.88671875" style="123" customWidth="1"/>
    <col min="14861" max="14861" width="9.109375" style="123" customWidth="1"/>
    <col min="14862" max="14862" width="15" style="123" customWidth="1"/>
    <col min="14863" max="14863" width="48.109375" style="123" customWidth="1"/>
    <col min="14864" max="14864" width="15.109375" style="123" bestFit="1" customWidth="1"/>
    <col min="14865" max="14865" width="4.44140625" style="123" customWidth="1"/>
    <col min="14866" max="14866" width="3.5546875" style="123" bestFit="1" customWidth="1"/>
    <col min="14867" max="14867" width="4.109375" style="123" customWidth="1"/>
    <col min="14868" max="14868" width="35.44140625" style="123" customWidth="1"/>
    <col min="14869" max="15104" width="11.5546875" style="123"/>
    <col min="15105" max="15105" width="7.109375" style="123" bestFit="1" customWidth="1"/>
    <col min="15106" max="15106" width="5.33203125" style="123" bestFit="1" customWidth="1"/>
    <col min="15107" max="15107" width="47.109375" style="123" customWidth="1"/>
    <col min="15108" max="15108" width="14.6640625" style="123" customWidth="1"/>
    <col min="15109" max="15109" width="8.44140625" style="123" customWidth="1"/>
    <col min="15110" max="15110" width="9.6640625" style="123" customWidth="1"/>
    <col min="15111" max="15111" width="5" style="123" customWidth="1"/>
    <col min="15112" max="15112" width="5.33203125" style="123" customWidth="1"/>
    <col min="15113" max="15113" width="14.88671875" style="123" bestFit="1" customWidth="1"/>
    <col min="15114" max="15114" width="12.88671875" style="123" bestFit="1" customWidth="1"/>
    <col min="15115" max="15115" width="6.5546875" style="123" customWidth="1"/>
    <col min="15116" max="15116" width="16.88671875" style="123" customWidth="1"/>
    <col min="15117" max="15117" width="9.109375" style="123" customWidth="1"/>
    <col min="15118" max="15118" width="15" style="123" customWidth="1"/>
    <col min="15119" max="15119" width="48.109375" style="123" customWidth="1"/>
    <col min="15120" max="15120" width="15.109375" style="123" bestFit="1" customWidth="1"/>
    <col min="15121" max="15121" width="4.44140625" style="123" customWidth="1"/>
    <col min="15122" max="15122" width="3.5546875" style="123" bestFit="1" customWidth="1"/>
    <col min="15123" max="15123" width="4.109375" style="123" customWidth="1"/>
    <col min="15124" max="15124" width="35.44140625" style="123" customWidth="1"/>
    <col min="15125" max="15360" width="11.5546875" style="123"/>
    <col min="15361" max="15361" width="7.109375" style="123" bestFit="1" customWidth="1"/>
    <col min="15362" max="15362" width="5.33203125" style="123" bestFit="1" customWidth="1"/>
    <col min="15363" max="15363" width="47.109375" style="123" customWidth="1"/>
    <col min="15364" max="15364" width="14.6640625" style="123" customWidth="1"/>
    <col min="15365" max="15365" width="8.44140625" style="123" customWidth="1"/>
    <col min="15366" max="15366" width="9.6640625" style="123" customWidth="1"/>
    <col min="15367" max="15367" width="5" style="123" customWidth="1"/>
    <col min="15368" max="15368" width="5.33203125" style="123" customWidth="1"/>
    <col min="15369" max="15369" width="14.88671875" style="123" bestFit="1" customWidth="1"/>
    <col min="15370" max="15370" width="12.88671875" style="123" bestFit="1" customWidth="1"/>
    <col min="15371" max="15371" width="6.5546875" style="123" customWidth="1"/>
    <col min="15372" max="15372" width="16.88671875" style="123" customWidth="1"/>
    <col min="15373" max="15373" width="9.109375" style="123" customWidth="1"/>
    <col min="15374" max="15374" width="15" style="123" customWidth="1"/>
    <col min="15375" max="15375" width="48.109375" style="123" customWidth="1"/>
    <col min="15376" max="15376" width="15.109375" style="123" bestFit="1" customWidth="1"/>
    <col min="15377" max="15377" width="4.44140625" style="123" customWidth="1"/>
    <col min="15378" max="15378" width="3.5546875" style="123" bestFit="1" customWidth="1"/>
    <col min="15379" max="15379" width="4.109375" style="123" customWidth="1"/>
    <col min="15380" max="15380" width="35.44140625" style="123" customWidth="1"/>
    <col min="15381" max="15616" width="11.5546875" style="123"/>
    <col min="15617" max="15617" width="7.109375" style="123" bestFit="1" customWidth="1"/>
    <col min="15618" max="15618" width="5.33203125" style="123" bestFit="1" customWidth="1"/>
    <col min="15619" max="15619" width="47.109375" style="123" customWidth="1"/>
    <col min="15620" max="15620" width="14.6640625" style="123" customWidth="1"/>
    <col min="15621" max="15621" width="8.44140625" style="123" customWidth="1"/>
    <col min="15622" max="15622" width="9.6640625" style="123" customWidth="1"/>
    <col min="15623" max="15623" width="5" style="123" customWidth="1"/>
    <col min="15624" max="15624" width="5.33203125" style="123" customWidth="1"/>
    <col min="15625" max="15625" width="14.88671875" style="123" bestFit="1" customWidth="1"/>
    <col min="15626" max="15626" width="12.88671875" style="123" bestFit="1" customWidth="1"/>
    <col min="15627" max="15627" width="6.5546875" style="123" customWidth="1"/>
    <col min="15628" max="15628" width="16.88671875" style="123" customWidth="1"/>
    <col min="15629" max="15629" width="9.109375" style="123" customWidth="1"/>
    <col min="15630" max="15630" width="15" style="123" customWidth="1"/>
    <col min="15631" max="15631" width="48.109375" style="123" customWidth="1"/>
    <col min="15632" max="15632" width="15.109375" style="123" bestFit="1" customWidth="1"/>
    <col min="15633" max="15633" width="4.44140625" style="123" customWidth="1"/>
    <col min="15634" max="15634" width="3.5546875" style="123" bestFit="1" customWidth="1"/>
    <col min="15635" max="15635" width="4.109375" style="123" customWidth="1"/>
    <col min="15636" max="15636" width="35.44140625" style="123" customWidth="1"/>
    <col min="15637" max="15872" width="11.5546875" style="123"/>
    <col min="15873" max="15873" width="7.109375" style="123" bestFit="1" customWidth="1"/>
    <col min="15874" max="15874" width="5.33203125" style="123" bestFit="1" customWidth="1"/>
    <col min="15875" max="15875" width="47.109375" style="123" customWidth="1"/>
    <col min="15876" max="15876" width="14.6640625" style="123" customWidth="1"/>
    <col min="15877" max="15877" width="8.44140625" style="123" customWidth="1"/>
    <col min="15878" max="15878" width="9.6640625" style="123" customWidth="1"/>
    <col min="15879" max="15879" width="5" style="123" customWidth="1"/>
    <col min="15880" max="15880" width="5.33203125" style="123" customWidth="1"/>
    <col min="15881" max="15881" width="14.88671875" style="123" bestFit="1" customWidth="1"/>
    <col min="15882" max="15882" width="12.88671875" style="123" bestFit="1" customWidth="1"/>
    <col min="15883" max="15883" width="6.5546875" style="123" customWidth="1"/>
    <col min="15884" max="15884" width="16.88671875" style="123" customWidth="1"/>
    <col min="15885" max="15885" width="9.109375" style="123" customWidth="1"/>
    <col min="15886" max="15886" width="15" style="123" customWidth="1"/>
    <col min="15887" max="15887" width="48.109375" style="123" customWidth="1"/>
    <col min="15888" max="15888" width="15.109375" style="123" bestFit="1" customWidth="1"/>
    <col min="15889" max="15889" width="4.44140625" style="123" customWidth="1"/>
    <col min="15890" max="15890" width="3.5546875" style="123" bestFit="1" customWidth="1"/>
    <col min="15891" max="15891" width="4.109375" style="123" customWidth="1"/>
    <col min="15892" max="15892" width="35.44140625" style="123" customWidth="1"/>
    <col min="15893" max="16128" width="11.5546875" style="123"/>
    <col min="16129" max="16129" width="7.109375" style="123" bestFit="1" customWidth="1"/>
    <col min="16130" max="16130" width="5.33203125" style="123" bestFit="1" customWidth="1"/>
    <col min="16131" max="16131" width="47.109375" style="123" customWidth="1"/>
    <col min="16132" max="16132" width="14.6640625" style="123" customWidth="1"/>
    <col min="16133" max="16133" width="8.44140625" style="123" customWidth="1"/>
    <col min="16134" max="16134" width="9.6640625" style="123" customWidth="1"/>
    <col min="16135" max="16135" width="5" style="123" customWidth="1"/>
    <col min="16136" max="16136" width="5.33203125" style="123" customWidth="1"/>
    <col min="16137" max="16137" width="14.88671875" style="123" bestFit="1" customWidth="1"/>
    <col min="16138" max="16138" width="12.88671875" style="123" bestFit="1" customWidth="1"/>
    <col min="16139" max="16139" width="6.5546875" style="123" customWidth="1"/>
    <col min="16140" max="16140" width="16.88671875" style="123" customWidth="1"/>
    <col min="16141" max="16141" width="9.109375" style="123" customWidth="1"/>
    <col min="16142" max="16142" width="15" style="123" customWidth="1"/>
    <col min="16143" max="16143" width="48.109375" style="123" customWidth="1"/>
    <col min="16144" max="16144" width="15.109375" style="123" bestFit="1" customWidth="1"/>
    <col min="16145" max="16145" width="4.44140625" style="123" customWidth="1"/>
    <col min="16146" max="16146" width="3.5546875" style="123" bestFit="1" customWidth="1"/>
    <col min="16147" max="16147" width="4.109375" style="123" customWidth="1"/>
    <col min="16148" max="16148" width="35.44140625" style="123" customWidth="1"/>
    <col min="16149" max="16384" width="11.5546875" style="123"/>
  </cols>
  <sheetData>
    <row r="1" spans="1:24" ht="7.5" customHeight="1" thickBot="1" x14ac:dyDescent="0.35"/>
    <row r="2" spans="1:24" x14ac:dyDescent="0.3">
      <c r="B2" s="1001" t="s">
        <v>5241</v>
      </c>
      <c r="C2" s="1002"/>
      <c r="D2" s="124" t="s">
        <v>5242</v>
      </c>
      <c r="E2" s="1003" t="s">
        <v>5243</v>
      </c>
      <c r="F2" s="1003"/>
      <c r="G2" s="1003"/>
      <c r="H2" s="1003"/>
      <c r="I2" s="125" t="s">
        <v>5244</v>
      </c>
      <c r="J2" s="1004" t="s">
        <v>12</v>
      </c>
      <c r="K2" s="1005"/>
      <c r="L2" s="1005"/>
      <c r="M2" s="1005"/>
      <c r="N2" s="1005"/>
      <c r="O2" s="1005"/>
      <c r="P2" s="1005"/>
      <c r="Q2" s="1005"/>
      <c r="R2" s="1005"/>
      <c r="S2" s="1005"/>
      <c r="T2" s="1005"/>
      <c r="U2" s="1005"/>
      <c r="V2" s="1005"/>
      <c r="W2" s="1005"/>
      <c r="X2" s="1006"/>
    </row>
    <row r="3" spans="1:24" ht="14.4" x14ac:dyDescent="0.3">
      <c r="B3" s="1013" t="s">
        <v>5245</v>
      </c>
      <c r="C3" s="1014"/>
      <c r="D3" s="126" t="s">
        <v>5137</v>
      </c>
      <c r="E3" s="1015" t="s">
        <v>5246</v>
      </c>
      <c r="F3" s="1016"/>
      <c r="G3" s="1016"/>
      <c r="H3" s="1016"/>
      <c r="I3" s="127">
        <v>3</v>
      </c>
      <c r="J3" s="1007"/>
      <c r="K3" s="1008"/>
      <c r="L3" s="1008"/>
      <c r="M3" s="1008"/>
      <c r="N3" s="1008"/>
      <c r="O3" s="1008"/>
      <c r="P3" s="1008"/>
      <c r="Q3" s="1008"/>
      <c r="R3" s="1008"/>
      <c r="S3" s="1008"/>
      <c r="T3" s="1008"/>
      <c r="U3" s="1008"/>
      <c r="V3" s="1008"/>
      <c r="W3" s="1008"/>
      <c r="X3" s="1009"/>
    </row>
    <row r="4" spans="1:24" x14ac:dyDescent="0.3">
      <c r="B4" s="1017" t="s">
        <v>5247</v>
      </c>
      <c r="C4" s="1018"/>
      <c r="D4" s="1018"/>
      <c r="E4" s="1018"/>
      <c r="F4" s="1018"/>
      <c r="G4" s="1018"/>
      <c r="H4" s="1018"/>
      <c r="I4" s="1018"/>
      <c r="J4" s="1007"/>
      <c r="K4" s="1008"/>
      <c r="L4" s="1008"/>
      <c r="M4" s="1008"/>
      <c r="N4" s="1008"/>
      <c r="O4" s="1008"/>
      <c r="P4" s="1008"/>
      <c r="Q4" s="1008"/>
      <c r="R4" s="1008"/>
      <c r="S4" s="1008"/>
      <c r="T4" s="1008"/>
      <c r="U4" s="1008"/>
      <c r="V4" s="1008"/>
      <c r="W4" s="1008"/>
      <c r="X4" s="1009"/>
    </row>
    <row r="5" spans="1:24" x14ac:dyDescent="0.3">
      <c r="B5" s="1017" t="s">
        <v>12</v>
      </c>
      <c r="C5" s="1018"/>
      <c r="D5" s="1018"/>
      <c r="E5" s="1018"/>
      <c r="F5" s="1018"/>
      <c r="G5" s="1018"/>
      <c r="H5" s="1018"/>
      <c r="I5" s="1018"/>
      <c r="J5" s="1007"/>
      <c r="K5" s="1008"/>
      <c r="L5" s="1008"/>
      <c r="M5" s="1008"/>
      <c r="N5" s="1008"/>
      <c r="O5" s="1008"/>
      <c r="P5" s="1008"/>
      <c r="Q5" s="1008"/>
      <c r="R5" s="1008"/>
      <c r="S5" s="1008"/>
      <c r="T5" s="1008"/>
      <c r="U5" s="1008"/>
      <c r="V5" s="1008"/>
      <c r="W5" s="1008"/>
      <c r="X5" s="1009"/>
    </row>
    <row r="6" spans="1:24" x14ac:dyDescent="0.3">
      <c r="B6" s="1017" t="s">
        <v>5271</v>
      </c>
      <c r="C6" s="1018"/>
      <c r="D6" s="1018"/>
      <c r="E6" s="1018"/>
      <c r="F6" s="1018"/>
      <c r="G6" s="1018"/>
      <c r="H6" s="1018"/>
      <c r="I6" s="1018"/>
      <c r="J6" s="1007"/>
      <c r="K6" s="1008"/>
      <c r="L6" s="1008"/>
      <c r="M6" s="1008"/>
      <c r="N6" s="1008"/>
      <c r="O6" s="1008"/>
      <c r="P6" s="1008"/>
      <c r="Q6" s="1008"/>
      <c r="R6" s="1008"/>
      <c r="S6" s="1008"/>
      <c r="T6" s="1008"/>
      <c r="U6" s="1008"/>
      <c r="V6" s="1008"/>
      <c r="W6" s="1008"/>
      <c r="X6" s="1009"/>
    </row>
    <row r="7" spans="1:24" ht="13.8" thickBot="1" x14ac:dyDescent="0.35">
      <c r="B7" s="1019" t="s">
        <v>5272</v>
      </c>
      <c r="C7" s="1020"/>
      <c r="D7" s="1020"/>
      <c r="E7" s="1020"/>
      <c r="F7" s="1020"/>
      <c r="G7" s="1020"/>
      <c r="H7" s="1020"/>
      <c r="I7" s="1020"/>
      <c r="J7" s="1010"/>
      <c r="K7" s="1011"/>
      <c r="L7" s="1011"/>
      <c r="M7" s="1011"/>
      <c r="N7" s="1011"/>
      <c r="O7" s="1011"/>
      <c r="P7" s="1011"/>
      <c r="Q7" s="1011"/>
      <c r="R7" s="1011"/>
      <c r="S7" s="1011"/>
      <c r="T7" s="1011"/>
      <c r="U7" s="1011"/>
      <c r="V7" s="1011"/>
      <c r="W7" s="1011"/>
      <c r="X7" s="1012"/>
    </row>
    <row r="8" spans="1:24" ht="55.95" customHeight="1" thickBot="1" x14ac:dyDescent="0.35">
      <c r="B8" s="984" t="s">
        <v>0</v>
      </c>
      <c r="C8" s="985"/>
      <c r="D8" s="986" t="str">
        <f>+'DATOS DEL PROCESO'!B6</f>
        <v>EJECUTAR POR EL SISTEMA DE PRECIOS UNITARIOS Y A MONTO AGOTABLE LAS ACTIVIDADES PARA LA CONSERVACION DE LA MALLA VIAL LOCAL E INTERMEDIA Y ESPACIO PÚBLICO EN LA LOCALIDAD DE SUBA EN LA CIUDAD DE BOGOTA D.C</v>
      </c>
      <c r="E8" s="987"/>
      <c r="F8" s="988"/>
      <c r="G8" s="987"/>
      <c r="H8" s="987"/>
      <c r="I8" s="987"/>
      <c r="J8" s="987"/>
      <c r="K8" s="987"/>
      <c r="L8" s="987"/>
      <c r="M8" s="987"/>
      <c r="N8" s="987"/>
      <c r="O8" s="987"/>
      <c r="P8" s="987"/>
      <c r="Q8" s="987"/>
      <c r="R8" s="987"/>
      <c r="S8" s="987"/>
      <c r="T8" s="987"/>
      <c r="U8" s="987"/>
      <c r="V8" s="987"/>
      <c r="W8" s="987"/>
      <c r="X8" s="989"/>
    </row>
    <row r="9" spans="1:24" ht="13.8" thickBot="1" x14ac:dyDescent="0.35">
      <c r="A9" s="123"/>
      <c r="B9" s="128"/>
      <c r="C9" s="128"/>
      <c r="D9" s="128"/>
      <c r="E9" s="128"/>
      <c r="F9" s="128"/>
      <c r="G9" s="128"/>
      <c r="H9" s="128"/>
      <c r="I9" s="128"/>
      <c r="J9" s="128"/>
      <c r="K9" s="128"/>
      <c r="L9" s="128"/>
      <c r="M9" s="128"/>
      <c r="N9" s="128"/>
      <c r="O9" s="128"/>
      <c r="P9" s="128"/>
      <c r="Q9" s="128"/>
      <c r="R9" s="128"/>
      <c r="S9" s="128"/>
      <c r="T9" s="128"/>
      <c r="U9" s="128"/>
      <c r="V9" s="128"/>
      <c r="W9" s="128"/>
      <c r="X9" s="129"/>
    </row>
    <row r="10" spans="1:24" x14ac:dyDescent="0.3">
      <c r="B10" s="990" t="s">
        <v>5248</v>
      </c>
      <c r="C10" s="991"/>
      <c r="D10" s="991"/>
      <c r="E10" s="992">
        <v>13400000000</v>
      </c>
      <c r="F10" s="992"/>
      <c r="G10" s="993"/>
      <c r="H10" s="130"/>
      <c r="I10" s="131" t="s">
        <v>5129</v>
      </c>
      <c r="J10" s="994">
        <f ca="1">TODAY()</f>
        <v>46293</v>
      </c>
      <c r="K10" s="994"/>
      <c r="L10" s="994"/>
      <c r="M10" s="994"/>
      <c r="N10" s="994"/>
      <c r="O10" s="994"/>
      <c r="P10" s="994"/>
      <c r="Q10" s="994"/>
      <c r="R10" s="994"/>
      <c r="S10" s="994"/>
      <c r="T10" s="994"/>
      <c r="U10" s="994"/>
      <c r="V10" s="994"/>
      <c r="W10" s="994"/>
      <c r="X10" s="995"/>
    </row>
    <row r="11" spans="1:24" ht="13.8" thickBot="1" x14ac:dyDescent="0.35">
      <c r="B11" s="996" t="s">
        <v>5249</v>
      </c>
      <c r="C11" s="997"/>
      <c r="D11" s="997"/>
      <c r="E11" s="132">
        <v>11</v>
      </c>
      <c r="F11" s="997" t="s">
        <v>5</v>
      </c>
      <c r="G11" s="998"/>
      <c r="H11" s="133"/>
      <c r="I11" s="134" t="s">
        <v>5130</v>
      </c>
      <c r="J11" s="999" t="s">
        <v>1</v>
      </c>
      <c r="K11" s="999"/>
      <c r="L11" s="999"/>
      <c r="M11" s="999"/>
      <c r="N11" s="999"/>
      <c r="O11" s="999"/>
      <c r="P11" s="999"/>
      <c r="Q11" s="999"/>
      <c r="R11" s="999"/>
      <c r="S11" s="999"/>
      <c r="T11" s="999"/>
      <c r="U11" s="999"/>
      <c r="V11" s="999"/>
      <c r="W11" s="999"/>
      <c r="X11" s="1000"/>
    </row>
    <row r="12" spans="1:24" ht="7.5" customHeight="1" x14ac:dyDescent="0.3"/>
    <row r="13" spans="1:24" s="48" customFormat="1" ht="13.5" customHeight="1" x14ac:dyDescent="0.3">
      <c r="A13" s="979" t="s">
        <v>5131</v>
      </c>
      <c r="B13" s="979" t="s">
        <v>5132</v>
      </c>
      <c r="C13" s="966" t="s">
        <v>5133</v>
      </c>
      <c r="D13" s="966"/>
      <c r="E13" s="966"/>
      <c r="F13" s="966"/>
      <c r="G13" s="966"/>
      <c r="H13" s="966"/>
      <c r="I13" s="966"/>
      <c r="J13" s="966"/>
      <c r="K13" s="966"/>
      <c r="L13" s="966"/>
      <c r="M13" s="966"/>
      <c r="N13" s="966"/>
      <c r="O13" s="966"/>
      <c r="P13" s="966"/>
      <c r="Q13" s="966"/>
      <c r="R13" s="966"/>
      <c r="S13" s="966"/>
      <c r="T13" s="966"/>
      <c r="U13" s="966"/>
      <c r="V13" s="966"/>
      <c r="W13" s="966"/>
      <c r="X13" s="966"/>
    </row>
    <row r="14" spans="1:24" s="27" customFormat="1" ht="13.5" customHeight="1" x14ac:dyDescent="0.3">
      <c r="A14" s="979"/>
      <c r="B14" s="979"/>
      <c r="C14" s="980" t="s">
        <v>5134</v>
      </c>
      <c r="D14" s="981"/>
      <c r="E14" s="981"/>
      <c r="F14" s="981"/>
      <c r="G14" s="981"/>
      <c r="H14" s="981"/>
      <c r="I14" s="981"/>
      <c r="J14" s="981"/>
      <c r="K14" s="981"/>
      <c r="L14" s="981"/>
      <c r="M14" s="981"/>
      <c r="N14" s="981"/>
      <c r="O14" s="981"/>
      <c r="P14" s="981"/>
      <c r="Q14" s="981"/>
      <c r="R14" s="981"/>
      <c r="S14" s="981"/>
      <c r="T14" s="981"/>
      <c r="U14" s="981"/>
      <c r="V14" s="981"/>
      <c r="W14" s="981"/>
      <c r="X14" s="982"/>
    </row>
    <row r="15" spans="1:24" s="30" customFormat="1" ht="33.75" customHeight="1" x14ac:dyDescent="0.3">
      <c r="A15" s="979"/>
      <c r="B15" s="979"/>
      <c r="C15" s="979" t="s">
        <v>5135</v>
      </c>
      <c r="D15" s="979"/>
      <c r="E15" s="47" t="s">
        <v>5250</v>
      </c>
      <c r="F15" s="979" t="s">
        <v>5136</v>
      </c>
      <c r="G15" s="979" t="s">
        <v>5251</v>
      </c>
      <c r="H15" s="979"/>
      <c r="I15" s="47" t="s">
        <v>5138</v>
      </c>
      <c r="J15" s="47" t="s">
        <v>5139</v>
      </c>
      <c r="K15" s="47" t="s">
        <v>5159</v>
      </c>
      <c r="L15" s="182" t="s">
        <v>5273</v>
      </c>
      <c r="M15" s="939" t="s">
        <v>5252</v>
      </c>
      <c r="N15" s="940"/>
      <c r="O15" s="940"/>
      <c r="P15" s="940"/>
      <c r="Q15" s="940"/>
      <c r="R15" s="940"/>
      <c r="S15" s="940"/>
      <c r="T15" s="940"/>
      <c r="U15" s="940"/>
      <c r="V15" s="941"/>
      <c r="W15" s="47" t="s">
        <v>5253</v>
      </c>
      <c r="X15" s="47" t="s">
        <v>5140</v>
      </c>
    </row>
    <row r="16" spans="1:24" s="30" customFormat="1" ht="10.5" customHeight="1" x14ac:dyDescent="0.3">
      <c r="A16" s="979"/>
      <c r="B16" s="979"/>
      <c r="C16" s="979"/>
      <c r="D16" s="979"/>
      <c r="E16" s="135" t="s">
        <v>5141</v>
      </c>
      <c r="F16" s="979"/>
      <c r="G16" s="983" t="s">
        <v>5142</v>
      </c>
      <c r="H16" s="983"/>
      <c r="I16" s="135" t="s">
        <v>5143</v>
      </c>
      <c r="J16" s="135" t="s">
        <v>5144</v>
      </c>
      <c r="K16" s="135"/>
      <c r="L16" s="135" t="s">
        <v>5254</v>
      </c>
      <c r="M16" s="135" t="s">
        <v>5255</v>
      </c>
      <c r="N16" s="135" t="s">
        <v>5256</v>
      </c>
      <c r="O16" s="135" t="s">
        <v>5257</v>
      </c>
      <c r="P16" s="135" t="s">
        <v>5258</v>
      </c>
      <c r="Q16" s="135" t="s">
        <v>5259</v>
      </c>
      <c r="R16" s="135" t="s">
        <v>5260</v>
      </c>
      <c r="S16" s="135" t="s">
        <v>5261</v>
      </c>
      <c r="T16" s="135" t="s">
        <v>5262</v>
      </c>
      <c r="U16" s="135" t="s">
        <v>5263</v>
      </c>
      <c r="V16" s="135" t="s">
        <v>5274</v>
      </c>
      <c r="W16" s="135"/>
      <c r="X16" s="135" t="s">
        <v>5145</v>
      </c>
    </row>
    <row r="17" spans="1:25" s="140" customFormat="1" ht="10.199999999999999" x14ac:dyDescent="0.3">
      <c r="A17" s="20"/>
      <c r="B17" s="47">
        <v>1.1000000000000001</v>
      </c>
      <c r="C17" s="136" t="s">
        <v>5146</v>
      </c>
      <c r="D17" s="137"/>
      <c r="E17" s="138"/>
      <c r="F17" s="138"/>
      <c r="G17" s="138"/>
      <c r="H17" s="138"/>
      <c r="I17" s="138"/>
      <c r="J17" s="138"/>
      <c r="K17" s="138"/>
      <c r="L17" s="138"/>
      <c r="M17" s="138"/>
      <c r="N17" s="138"/>
      <c r="O17" s="138"/>
      <c r="P17" s="138"/>
      <c r="Q17" s="138"/>
      <c r="R17" s="138"/>
      <c r="S17" s="138"/>
      <c r="T17" s="138"/>
      <c r="U17" s="138"/>
      <c r="V17" s="138"/>
      <c r="W17" s="138"/>
      <c r="X17" s="139"/>
    </row>
    <row r="18" spans="1:25" s="27" customFormat="1" ht="10.199999999999999" x14ac:dyDescent="0.3">
      <c r="A18" s="21">
        <v>9110</v>
      </c>
      <c r="B18" s="41">
        <f>B17+0.001</f>
        <v>1.101</v>
      </c>
      <c r="C18" s="942" t="s">
        <v>5147</v>
      </c>
      <c r="D18" s="943"/>
      <c r="E18" s="184">
        <v>1</v>
      </c>
      <c r="F18" s="22">
        <v>4</v>
      </c>
      <c r="G18" s="944">
        <f>+W18</f>
        <v>8.7999999999999989</v>
      </c>
      <c r="H18" s="945"/>
      <c r="I18" s="24">
        <f>+_xlfn.XLOOKUP(A18,INSUMO_IDU[Código],INSUMO_IDU[Precio],"",0)</f>
        <v>9522000</v>
      </c>
      <c r="J18" s="25">
        <f>+VLOOKUP(A18,F.P!$B$7:$H$46,7,FALSE)</f>
        <v>1.4510000000000001</v>
      </c>
      <c r="K18" s="142">
        <v>11</v>
      </c>
      <c r="L18" s="23">
        <v>0.8</v>
      </c>
      <c r="M18" s="23">
        <v>0.8</v>
      </c>
      <c r="N18" s="23">
        <v>0.8</v>
      </c>
      <c r="O18" s="23">
        <v>0.8</v>
      </c>
      <c r="P18" s="23">
        <v>0.8</v>
      </c>
      <c r="Q18" s="23">
        <v>0.8</v>
      </c>
      <c r="R18" s="23">
        <v>0.8</v>
      </c>
      <c r="S18" s="23">
        <v>0.8</v>
      </c>
      <c r="T18" s="23">
        <v>0.8</v>
      </c>
      <c r="U18" s="23">
        <v>0.8</v>
      </c>
      <c r="V18" s="23">
        <v>0.8</v>
      </c>
      <c r="W18" s="741">
        <f>SUM(L18:V18)</f>
        <v>8.7999999999999989</v>
      </c>
      <c r="X18" s="26">
        <f>ROUND(E18*I18*J18*W18,0)</f>
        <v>121584514</v>
      </c>
      <c r="Y18" s="48"/>
    </row>
    <row r="19" spans="1:25" s="27" customFormat="1" ht="10.199999999999999" x14ac:dyDescent="0.3">
      <c r="A19" s="21">
        <v>9111</v>
      </c>
      <c r="B19" s="41">
        <f>B18+0.001</f>
        <v>1.1019999999999999</v>
      </c>
      <c r="C19" s="942" t="s">
        <v>5148</v>
      </c>
      <c r="D19" s="943"/>
      <c r="E19" s="184">
        <v>2</v>
      </c>
      <c r="F19" s="22">
        <v>5</v>
      </c>
      <c r="G19" s="944">
        <f t="shared" ref="G19:G23" si="0">+W19</f>
        <v>11</v>
      </c>
      <c r="H19" s="945"/>
      <c r="I19" s="24">
        <f>+_xlfn.XLOOKUP(A19,INSUMO_IDU[Código],INSUMO_IDU[Precio],"",0)</f>
        <v>8589000</v>
      </c>
      <c r="J19" s="25">
        <f>+VLOOKUP(A19,F.P!$B$7:$H$46,7,FALSE)</f>
        <v>1.4510000000000001</v>
      </c>
      <c r="K19" s="142">
        <v>11</v>
      </c>
      <c r="L19" s="23">
        <v>1</v>
      </c>
      <c r="M19" s="23">
        <v>1</v>
      </c>
      <c r="N19" s="23">
        <v>1</v>
      </c>
      <c r="O19" s="23">
        <v>1</v>
      </c>
      <c r="P19" s="23">
        <v>1</v>
      </c>
      <c r="Q19" s="23">
        <v>1</v>
      </c>
      <c r="R19" s="23">
        <v>1</v>
      </c>
      <c r="S19" s="23">
        <v>1</v>
      </c>
      <c r="T19" s="23">
        <v>1</v>
      </c>
      <c r="U19" s="23">
        <v>1</v>
      </c>
      <c r="V19" s="23">
        <v>1</v>
      </c>
      <c r="W19" s="741">
        <f>SUM(L19:V19)</f>
        <v>11</v>
      </c>
      <c r="X19" s="26">
        <f t="shared" ref="X19:X23" si="1">ROUND(E19*I19*J19*W19,0)</f>
        <v>274178058</v>
      </c>
      <c r="Y19" s="48"/>
    </row>
    <row r="20" spans="1:25" s="27" customFormat="1" ht="20.399999999999999" x14ac:dyDescent="0.3">
      <c r="A20" s="21">
        <v>9112</v>
      </c>
      <c r="B20" s="41">
        <f t="shared" ref="B20:B23" si="2">B19+0.001</f>
        <v>1.1029999999999998</v>
      </c>
      <c r="C20" s="120" t="s">
        <v>5237</v>
      </c>
      <c r="D20" s="121"/>
      <c r="E20" s="184">
        <v>1</v>
      </c>
      <c r="F20" s="22">
        <v>6</v>
      </c>
      <c r="G20" s="944">
        <f t="shared" si="0"/>
        <v>5.5</v>
      </c>
      <c r="H20" s="945"/>
      <c r="I20" s="24">
        <f>+_xlfn.XLOOKUP(A20,INSUMO_IDU[Código],INSUMO_IDU[Precio],"",0)</f>
        <v>7659000</v>
      </c>
      <c r="J20" s="25">
        <f>+VLOOKUP(A20,F.P!$B$7:$H$46,7,FALSE)</f>
        <v>1.4510000000000001</v>
      </c>
      <c r="K20" s="142">
        <v>11</v>
      </c>
      <c r="L20" s="23">
        <v>0.5</v>
      </c>
      <c r="M20" s="23">
        <v>0.5</v>
      </c>
      <c r="N20" s="23">
        <v>0.5</v>
      </c>
      <c r="O20" s="23">
        <v>0.5</v>
      </c>
      <c r="P20" s="23">
        <v>0.5</v>
      </c>
      <c r="Q20" s="23">
        <v>0.5</v>
      </c>
      <c r="R20" s="23">
        <v>0.5</v>
      </c>
      <c r="S20" s="23">
        <v>0.5</v>
      </c>
      <c r="T20" s="23">
        <v>0.5</v>
      </c>
      <c r="U20" s="23">
        <v>0.5</v>
      </c>
      <c r="V20" s="23">
        <v>0.5</v>
      </c>
      <c r="W20" s="741">
        <f>SUM(L20:V20)</f>
        <v>5.5</v>
      </c>
      <c r="X20" s="26">
        <f t="shared" si="1"/>
        <v>61122650</v>
      </c>
      <c r="Y20" s="48"/>
    </row>
    <row r="21" spans="1:25" s="27" customFormat="1" ht="10.199999999999999" x14ac:dyDescent="0.3">
      <c r="A21" s="21">
        <v>9112</v>
      </c>
      <c r="B21" s="41">
        <f t="shared" si="2"/>
        <v>1.1039999999999996</v>
      </c>
      <c r="C21" s="942" t="s">
        <v>5149</v>
      </c>
      <c r="D21" s="943"/>
      <c r="E21" s="184">
        <v>1</v>
      </c>
      <c r="F21" s="22">
        <v>6</v>
      </c>
      <c r="G21" s="944">
        <f t="shared" si="0"/>
        <v>5.5</v>
      </c>
      <c r="H21" s="945"/>
      <c r="I21" s="24">
        <f>+_xlfn.XLOOKUP(A21,INSUMO_IDU[Código],INSUMO_IDU[Precio],"",0)</f>
        <v>7659000</v>
      </c>
      <c r="J21" s="25">
        <f>+VLOOKUP(A21,F.P!$B$7:$H$46,7,FALSE)</f>
        <v>1.4510000000000001</v>
      </c>
      <c r="K21" s="142">
        <v>11</v>
      </c>
      <c r="L21" s="23">
        <v>0.5</v>
      </c>
      <c r="M21" s="23">
        <v>0.5</v>
      </c>
      <c r="N21" s="23">
        <v>0.5</v>
      </c>
      <c r="O21" s="23">
        <v>0.5</v>
      </c>
      <c r="P21" s="23">
        <v>0.5</v>
      </c>
      <c r="Q21" s="23">
        <v>0.5</v>
      </c>
      <c r="R21" s="23">
        <v>0.5</v>
      </c>
      <c r="S21" s="23">
        <v>0.5</v>
      </c>
      <c r="T21" s="23">
        <v>0.5</v>
      </c>
      <c r="U21" s="23">
        <v>0.5</v>
      </c>
      <c r="V21" s="23">
        <v>0.5</v>
      </c>
      <c r="W21" s="741">
        <f>SUM(L21:V21)</f>
        <v>5.5</v>
      </c>
      <c r="X21" s="26">
        <f t="shared" si="1"/>
        <v>61122650</v>
      </c>
      <c r="Y21" s="48"/>
    </row>
    <row r="22" spans="1:25" s="27" customFormat="1" ht="13.2" customHeight="1" x14ac:dyDescent="0.3">
      <c r="A22" s="21">
        <v>9112</v>
      </c>
      <c r="B22" s="41">
        <f t="shared" si="2"/>
        <v>1.1049999999999995</v>
      </c>
      <c r="C22" s="942" t="s">
        <v>5238</v>
      </c>
      <c r="D22" s="943"/>
      <c r="E22" s="184">
        <v>1</v>
      </c>
      <c r="F22" s="22">
        <v>6</v>
      </c>
      <c r="G22" s="944">
        <f t="shared" si="0"/>
        <v>8.7999999999999989</v>
      </c>
      <c r="H22" s="945"/>
      <c r="I22" s="24">
        <f>+_xlfn.XLOOKUP(A22,INSUMO_IDU[Código],INSUMO_IDU[Precio],"",0)</f>
        <v>7659000</v>
      </c>
      <c r="J22" s="25">
        <f>+VLOOKUP(A22,F.P!$B$7:$H$46,7,FALSE)</f>
        <v>1.4510000000000001</v>
      </c>
      <c r="K22" s="142">
        <v>11</v>
      </c>
      <c r="L22" s="23">
        <v>0.8</v>
      </c>
      <c r="M22" s="23">
        <v>0.8</v>
      </c>
      <c r="N22" s="23">
        <v>0.8</v>
      </c>
      <c r="O22" s="23">
        <v>0.8</v>
      </c>
      <c r="P22" s="23">
        <v>0.8</v>
      </c>
      <c r="Q22" s="23">
        <v>0.8</v>
      </c>
      <c r="R22" s="23">
        <v>0.8</v>
      </c>
      <c r="S22" s="23">
        <v>0.8</v>
      </c>
      <c r="T22" s="23">
        <v>0.8</v>
      </c>
      <c r="U22" s="23">
        <v>0.8</v>
      </c>
      <c r="V22" s="23">
        <v>0.8</v>
      </c>
      <c r="W22" s="741">
        <f t="shared" ref="W22:W23" si="3">SUM(L22:V22)</f>
        <v>8.7999999999999989</v>
      </c>
      <c r="X22" s="26">
        <f t="shared" si="1"/>
        <v>97796239</v>
      </c>
    </row>
    <row r="23" spans="1:25" s="27" customFormat="1" ht="13.2" customHeight="1" x14ac:dyDescent="0.3">
      <c r="A23" s="21">
        <v>9112</v>
      </c>
      <c r="B23" s="41">
        <f t="shared" si="2"/>
        <v>1.1059999999999994</v>
      </c>
      <c r="C23" s="942" t="s">
        <v>6907</v>
      </c>
      <c r="D23" s="943"/>
      <c r="E23" s="184">
        <v>1</v>
      </c>
      <c r="F23" s="22">
        <v>6</v>
      </c>
      <c r="G23" s="977">
        <f t="shared" si="0"/>
        <v>5.5</v>
      </c>
      <c r="H23" s="978"/>
      <c r="I23" s="24">
        <f>+_xlfn.XLOOKUP(A23,INSUMO_IDU[Código],INSUMO_IDU[Precio],"",0)</f>
        <v>7659000</v>
      </c>
      <c r="J23" s="25">
        <f>+VLOOKUP(A23,F.P!$B$7:$H$46,7,FALSE)</f>
        <v>1.4510000000000001</v>
      </c>
      <c r="K23" s="142">
        <v>11</v>
      </c>
      <c r="L23" s="23">
        <v>0.5</v>
      </c>
      <c r="M23" s="23">
        <v>0.5</v>
      </c>
      <c r="N23" s="23">
        <v>0.5</v>
      </c>
      <c r="O23" s="23">
        <v>0.5</v>
      </c>
      <c r="P23" s="23">
        <v>0.5</v>
      </c>
      <c r="Q23" s="23">
        <v>0.5</v>
      </c>
      <c r="R23" s="23">
        <v>0.5</v>
      </c>
      <c r="S23" s="23">
        <v>0.5</v>
      </c>
      <c r="T23" s="23">
        <v>0.5</v>
      </c>
      <c r="U23" s="23">
        <v>0.5</v>
      </c>
      <c r="V23" s="23">
        <v>0.5</v>
      </c>
      <c r="W23" s="741">
        <f t="shared" si="3"/>
        <v>5.5</v>
      </c>
      <c r="X23" s="26">
        <f t="shared" si="1"/>
        <v>61122650</v>
      </c>
    </row>
    <row r="24" spans="1:25" s="140" customFormat="1" ht="10.199999999999999" x14ac:dyDescent="0.3">
      <c r="A24" s="144"/>
      <c r="B24" s="145">
        <v>1.2</v>
      </c>
      <c r="C24" s="146" t="s">
        <v>5150</v>
      </c>
      <c r="D24" s="137"/>
      <c r="E24" s="147"/>
      <c r="F24" s="147"/>
      <c r="G24" s="147"/>
      <c r="H24" s="147"/>
      <c r="I24" s="147"/>
      <c r="J24" s="148"/>
      <c r="K24" s="148"/>
      <c r="L24" s="135" t="s">
        <v>5254</v>
      </c>
      <c r="M24" s="135" t="s">
        <v>5255</v>
      </c>
      <c r="N24" s="135" t="s">
        <v>5256</v>
      </c>
      <c r="O24" s="135" t="s">
        <v>5257</v>
      </c>
      <c r="P24" s="135" t="s">
        <v>5258</v>
      </c>
      <c r="Q24" s="135" t="s">
        <v>5259</v>
      </c>
      <c r="R24" s="135" t="s">
        <v>5260</v>
      </c>
      <c r="S24" s="135" t="s">
        <v>5261</v>
      </c>
      <c r="T24" s="135" t="s">
        <v>5262</v>
      </c>
      <c r="U24" s="135" t="s">
        <v>5263</v>
      </c>
      <c r="V24" s="135" t="s">
        <v>5274</v>
      </c>
      <c r="W24" s="147"/>
      <c r="X24" s="149"/>
    </row>
    <row r="25" spans="1:25" s="30" customFormat="1" ht="25.5" customHeight="1" x14ac:dyDescent="0.3">
      <c r="A25" s="21">
        <v>9093</v>
      </c>
      <c r="B25" s="41">
        <f>B24+0.001</f>
        <v>1.2009999999999998</v>
      </c>
      <c r="C25" s="969" t="str">
        <f>+_xlfn.XLOOKUP(A25,INSUMO_IDU[Código],INSUMO_IDU[Nombre],"",0)</f>
        <v>TARIFA MES - PERSONAL TÉCNICO - INSPECTOR 1 (NO INCLUYE FACTOR DE PRESTACIONES)</v>
      </c>
      <c r="D25" s="969"/>
      <c r="E25" s="185">
        <v>2</v>
      </c>
      <c r="F25" s="28" t="s">
        <v>5151</v>
      </c>
      <c r="G25" s="975">
        <f>+W25</f>
        <v>11</v>
      </c>
      <c r="H25" s="976"/>
      <c r="I25" s="24">
        <f>+_xlfn.XLOOKUP(A25,INSUMO_IDU[Código],INSUMO_IDU[Precio],"",0)</f>
        <v>2718000</v>
      </c>
      <c r="J25" s="25">
        <f>+VLOOKUP(A25,F.P!$B$7:$H$46,7,FALSE)</f>
        <v>1.5669999999999999</v>
      </c>
      <c r="K25" s="29">
        <v>11</v>
      </c>
      <c r="L25" s="183">
        <v>1</v>
      </c>
      <c r="M25" s="183">
        <v>1</v>
      </c>
      <c r="N25" s="183">
        <v>1</v>
      </c>
      <c r="O25" s="183">
        <v>1</v>
      </c>
      <c r="P25" s="183">
        <v>1</v>
      </c>
      <c r="Q25" s="183">
        <v>1</v>
      </c>
      <c r="R25" s="183">
        <v>1</v>
      </c>
      <c r="S25" s="183">
        <v>1</v>
      </c>
      <c r="T25" s="183">
        <v>1</v>
      </c>
      <c r="U25" s="183">
        <v>1</v>
      </c>
      <c r="V25" s="183">
        <v>1</v>
      </c>
      <c r="W25" s="29">
        <f>SUM(L25:V25)</f>
        <v>11</v>
      </c>
      <c r="X25" s="26">
        <f>ROUND(E25*I25*J25*W25,0)</f>
        <v>93700332</v>
      </c>
    </row>
    <row r="26" spans="1:25" s="30" customFormat="1" ht="26.25" customHeight="1" x14ac:dyDescent="0.3">
      <c r="A26" s="21">
        <v>9088</v>
      </c>
      <c r="B26" s="41">
        <f>B25+0.001</f>
        <v>1.2019999999999997</v>
      </c>
      <c r="C26" s="969" t="str">
        <f>+_xlfn.XLOOKUP(A26,INSUMO_IDU[Código],INSUMO_IDU[Nombre],"",0)</f>
        <v>TARIFA MES - PERSONAL TÉCNICO - TOPÓGRAFO INSPECTOR (NO INCLUYE FACTOR DE PRESTACIONES)</v>
      </c>
      <c r="D26" s="969"/>
      <c r="E26" s="185">
        <v>1</v>
      </c>
      <c r="F26" s="28" t="s">
        <v>5151</v>
      </c>
      <c r="G26" s="975">
        <f>+W26</f>
        <v>11</v>
      </c>
      <c r="H26" s="976"/>
      <c r="I26" s="24">
        <f>+_xlfn.XLOOKUP(A26,INSUMO_IDU[Código],INSUMO_IDU[Precio],"",0)</f>
        <v>3736000</v>
      </c>
      <c r="J26" s="25">
        <f>+VLOOKUP(A26,F.P!$B$7:$H$46,7,FALSE)</f>
        <v>1.4510000000000001</v>
      </c>
      <c r="K26" s="29">
        <v>11</v>
      </c>
      <c r="L26" s="183">
        <v>1</v>
      </c>
      <c r="M26" s="183">
        <v>1</v>
      </c>
      <c r="N26" s="183">
        <v>1</v>
      </c>
      <c r="O26" s="183">
        <v>1</v>
      </c>
      <c r="P26" s="183">
        <v>1</v>
      </c>
      <c r="Q26" s="183">
        <v>1</v>
      </c>
      <c r="R26" s="183">
        <v>1</v>
      </c>
      <c r="S26" s="183">
        <v>1</v>
      </c>
      <c r="T26" s="183">
        <v>1</v>
      </c>
      <c r="U26" s="183">
        <v>1</v>
      </c>
      <c r="V26" s="183">
        <v>1</v>
      </c>
      <c r="W26" s="29">
        <f>SUM(L26:V26)</f>
        <v>11</v>
      </c>
      <c r="X26" s="26">
        <f>ROUND(E26*I26*J26*W26,0)</f>
        <v>59630296</v>
      </c>
    </row>
    <row r="27" spans="1:25" s="30" customFormat="1" ht="26.25" customHeight="1" x14ac:dyDescent="0.3">
      <c r="A27" s="21">
        <v>9098</v>
      </c>
      <c r="B27" s="41">
        <f>B26+0.001</f>
        <v>1.2029999999999996</v>
      </c>
      <c r="C27" s="969" t="str">
        <f>+_xlfn.XLOOKUP(A27,INSUMO_IDU[Código],INSUMO_IDU[Nombre],"",0)</f>
        <v>TARIFA MES - PERSONAL AUXILIAR TÉCNICO - CADENERO 1 (NO INCLUYE FACTOR DE PRESTACIONES)</v>
      </c>
      <c r="D27" s="969"/>
      <c r="E27" s="185">
        <v>1</v>
      </c>
      <c r="F27" s="28" t="s">
        <v>5151</v>
      </c>
      <c r="G27" s="975">
        <f>+W27</f>
        <v>11</v>
      </c>
      <c r="H27" s="976"/>
      <c r="I27" s="24">
        <f>+_xlfn.XLOOKUP(A27,INSUMO_IDU[Código],INSUMO_IDU[Precio],"",0)</f>
        <v>2316000</v>
      </c>
      <c r="J27" s="25">
        <f>+VLOOKUP(A27,F.P!$B$7:$H$46,7,FALSE)</f>
        <v>1.5669999999999999</v>
      </c>
      <c r="K27" s="29">
        <v>11</v>
      </c>
      <c r="L27" s="183">
        <f>L26</f>
        <v>1</v>
      </c>
      <c r="M27" s="183">
        <v>1</v>
      </c>
      <c r="N27" s="183">
        <f t="shared" ref="N27:V28" si="4">N26</f>
        <v>1</v>
      </c>
      <c r="O27" s="183">
        <f t="shared" si="4"/>
        <v>1</v>
      </c>
      <c r="P27" s="183">
        <f t="shared" si="4"/>
        <v>1</v>
      </c>
      <c r="Q27" s="183">
        <f t="shared" si="4"/>
        <v>1</v>
      </c>
      <c r="R27" s="183">
        <f t="shared" si="4"/>
        <v>1</v>
      </c>
      <c r="S27" s="183">
        <f t="shared" si="4"/>
        <v>1</v>
      </c>
      <c r="T27" s="183">
        <f t="shared" si="4"/>
        <v>1</v>
      </c>
      <c r="U27" s="183">
        <f t="shared" si="4"/>
        <v>1</v>
      </c>
      <c r="V27" s="183">
        <f t="shared" si="4"/>
        <v>1</v>
      </c>
      <c r="W27" s="29">
        <f>SUM(L27:V27)</f>
        <v>11</v>
      </c>
      <c r="X27" s="26">
        <f>ROUND(E27*I27*J27*W27,0)</f>
        <v>39920892</v>
      </c>
    </row>
    <row r="28" spans="1:25" s="30" customFormat="1" ht="24" customHeight="1" x14ac:dyDescent="0.3">
      <c r="A28" s="21">
        <v>9099</v>
      </c>
      <c r="B28" s="41">
        <f>B27+0.001</f>
        <v>1.2039999999999995</v>
      </c>
      <c r="C28" s="969" t="str">
        <f>+_xlfn.XLOOKUP(A28,INSUMO_IDU[Código],INSUMO_IDU[Nombre],"",0)</f>
        <v>TARIFA MES - PERSONAL AUXILIAR TÉCNICO - CADENERO 2 (NO INCLUYE FACTOR DE PRESTACIONES)</v>
      </c>
      <c r="D28" s="969"/>
      <c r="E28" s="185">
        <v>1</v>
      </c>
      <c r="F28" s="28" t="s">
        <v>5151</v>
      </c>
      <c r="G28" s="975">
        <f>+W28</f>
        <v>11</v>
      </c>
      <c r="H28" s="976"/>
      <c r="I28" s="24">
        <f>+_xlfn.XLOOKUP(A28,INSUMO_IDU[Código],INSUMO_IDU[Precio],"",0)</f>
        <v>2018000</v>
      </c>
      <c r="J28" s="25">
        <f>+VLOOKUP(A28,F.P!$B$7:$H$46,7,FALSE)</f>
        <v>1.5669999999999999</v>
      </c>
      <c r="K28" s="29">
        <v>11</v>
      </c>
      <c r="L28" s="183">
        <f>L27</f>
        <v>1</v>
      </c>
      <c r="M28" s="183">
        <v>1</v>
      </c>
      <c r="N28" s="183">
        <f t="shared" si="4"/>
        <v>1</v>
      </c>
      <c r="O28" s="183">
        <f t="shared" si="4"/>
        <v>1</v>
      </c>
      <c r="P28" s="183">
        <f t="shared" si="4"/>
        <v>1</v>
      </c>
      <c r="Q28" s="183">
        <f t="shared" si="4"/>
        <v>1</v>
      </c>
      <c r="R28" s="183">
        <f t="shared" si="4"/>
        <v>1</v>
      </c>
      <c r="S28" s="183">
        <f t="shared" si="4"/>
        <v>1</v>
      </c>
      <c r="T28" s="183">
        <f t="shared" si="4"/>
        <v>1</v>
      </c>
      <c r="U28" s="183">
        <f t="shared" si="4"/>
        <v>1</v>
      </c>
      <c r="V28" s="183">
        <f t="shared" si="4"/>
        <v>1</v>
      </c>
      <c r="W28" s="29">
        <f>SUM(L28:V28)</f>
        <v>11</v>
      </c>
      <c r="X28" s="26">
        <f>ROUND(E28*I28*J28*W28,0)</f>
        <v>34784266</v>
      </c>
    </row>
    <row r="29" spans="1:25" s="27" customFormat="1" ht="26.25" customHeight="1" x14ac:dyDescent="0.3">
      <c r="A29" s="21">
        <v>9100</v>
      </c>
      <c r="B29" s="41">
        <f>B28+0.001</f>
        <v>1.2049999999999994</v>
      </c>
      <c r="C29" s="969" t="str">
        <f>+_xlfn.XLOOKUP(A29,INSUMO_IDU[Código],INSUMO_IDU[Nombre],"",0)</f>
        <v>TARIFA MES - PERSONAL AUXILIAR TÉCNICO - CONDUCTOR O MOTORISTA (NO INCLUYE FACTOR DE PRESTACIONES)</v>
      </c>
      <c r="D29" s="969"/>
      <c r="E29" s="185">
        <v>1</v>
      </c>
      <c r="F29" s="28" t="s">
        <v>5151</v>
      </c>
      <c r="G29" s="975">
        <f>+W29</f>
        <v>11</v>
      </c>
      <c r="H29" s="976"/>
      <c r="I29" s="24">
        <f>+_xlfn.XLOOKUP(A29,INSUMO_IDU[Código],INSUMO_IDU[Precio],"",0)</f>
        <v>1750905</v>
      </c>
      <c r="J29" s="25">
        <f>+VLOOKUP(A29,F.P!$B$7:$H$46,7,FALSE)</f>
        <v>1.5669999999999999</v>
      </c>
      <c r="K29" s="29">
        <v>11</v>
      </c>
      <c r="L29" s="183">
        <v>1</v>
      </c>
      <c r="M29" s="183">
        <v>1</v>
      </c>
      <c r="N29" s="183">
        <v>1</v>
      </c>
      <c r="O29" s="183">
        <v>1</v>
      </c>
      <c r="P29" s="183">
        <v>1</v>
      </c>
      <c r="Q29" s="183">
        <v>1</v>
      </c>
      <c r="R29" s="183">
        <v>1</v>
      </c>
      <c r="S29" s="183">
        <v>1</v>
      </c>
      <c r="T29" s="183">
        <v>1</v>
      </c>
      <c r="U29" s="183">
        <v>1</v>
      </c>
      <c r="V29" s="183">
        <v>1</v>
      </c>
      <c r="W29" s="29">
        <f>SUM(L29:V29)</f>
        <v>11</v>
      </c>
      <c r="X29" s="26">
        <f>ROUND(E29*I29*J29*W29,0)</f>
        <v>30180349</v>
      </c>
    </row>
    <row r="30" spans="1:25" s="27" customFormat="1" ht="10.199999999999999" x14ac:dyDescent="0.3">
      <c r="A30" s="150"/>
      <c r="B30" s="151">
        <v>1.3</v>
      </c>
      <c r="C30" s="136" t="s">
        <v>5152</v>
      </c>
      <c r="D30" s="152"/>
      <c r="E30" s="153"/>
      <c r="F30" s="153"/>
      <c r="G30" s="154"/>
      <c r="H30" s="154"/>
      <c r="I30" s="155"/>
      <c r="J30" s="156"/>
      <c r="K30" s="156"/>
      <c r="L30" s="135" t="s">
        <v>5254</v>
      </c>
      <c r="M30" s="135" t="s">
        <v>5255</v>
      </c>
      <c r="N30" s="135" t="s">
        <v>5256</v>
      </c>
      <c r="O30" s="135" t="s">
        <v>5257</v>
      </c>
      <c r="P30" s="135" t="s">
        <v>5258</v>
      </c>
      <c r="Q30" s="135" t="s">
        <v>5259</v>
      </c>
      <c r="R30" s="135" t="s">
        <v>5260</v>
      </c>
      <c r="S30" s="135" t="s">
        <v>5261</v>
      </c>
      <c r="T30" s="135" t="s">
        <v>5262</v>
      </c>
      <c r="U30" s="135" t="s">
        <v>5263</v>
      </c>
      <c r="V30" s="135" t="s">
        <v>5274</v>
      </c>
      <c r="W30" s="157"/>
      <c r="X30" s="158"/>
    </row>
    <row r="31" spans="1:25" s="27" customFormat="1" ht="25.5" customHeight="1" x14ac:dyDescent="0.25">
      <c r="A31" s="21">
        <v>9103</v>
      </c>
      <c r="B31" s="41">
        <f>B30+0.001</f>
        <v>1.3009999999999999</v>
      </c>
      <c r="C31" s="969" t="str">
        <f>+_xlfn.XLOOKUP(A31,INSUMO_IDU[Código],INSUMO_IDU[Nombre],"",0)</f>
        <v>TARIFA MES - PERSONAL ADMINISTRATIVO - AUXILIAR ADMINISTRATIVO-ALMACENISTA (NO INCLUYE FACTOR DE PRESTACIONES)</v>
      </c>
      <c r="D31" s="969"/>
      <c r="E31" s="186">
        <v>1</v>
      </c>
      <c r="F31" s="159" t="s">
        <v>5151</v>
      </c>
      <c r="G31" s="971">
        <f>+W31</f>
        <v>5.5</v>
      </c>
      <c r="H31" s="972"/>
      <c r="I31" s="24">
        <f>+_xlfn.XLOOKUP(A31,INSUMO_IDU[Código],INSUMO_IDU[Precio],"",0)</f>
        <v>2481000</v>
      </c>
      <c r="J31" s="25">
        <v>1.5669999999999999</v>
      </c>
      <c r="K31" s="29">
        <f>+$E$11</f>
        <v>11</v>
      </c>
      <c r="L31" s="183">
        <v>0.5</v>
      </c>
      <c r="M31" s="183">
        <v>0.5</v>
      </c>
      <c r="N31" s="183">
        <v>0.5</v>
      </c>
      <c r="O31" s="183">
        <v>0.5</v>
      </c>
      <c r="P31" s="183">
        <v>0.5</v>
      </c>
      <c r="Q31" s="183">
        <v>0.5</v>
      </c>
      <c r="R31" s="183">
        <v>0.5</v>
      </c>
      <c r="S31" s="183">
        <v>0.5</v>
      </c>
      <c r="T31" s="183">
        <v>0.5</v>
      </c>
      <c r="U31" s="183">
        <v>0.5</v>
      </c>
      <c r="V31" s="183">
        <v>0.5</v>
      </c>
      <c r="W31" s="29">
        <f>SUM(L31:V31)</f>
        <v>5.5</v>
      </c>
      <c r="X31" s="26">
        <f>ROUND(E31*I31*J31*W31,0)</f>
        <v>21382499</v>
      </c>
    </row>
    <row r="32" spans="1:25" s="27" customFormat="1" ht="24.75" customHeight="1" x14ac:dyDescent="0.25">
      <c r="A32" s="21">
        <v>9104</v>
      </c>
      <c r="B32" s="41">
        <f>B31+0.001</f>
        <v>1.3019999999999998</v>
      </c>
      <c r="C32" s="969" t="str">
        <f>+_xlfn.XLOOKUP(A32,INSUMO_IDU[Código],INSUMO_IDU[Nombre],"",0)</f>
        <v>TARIFA MES - PERSONAL ADMINISTRATIVO - SECRETARIA 1 (NO INCLUYE FACTOR DE PRESTACIONES)</v>
      </c>
      <c r="D32" s="969"/>
      <c r="E32" s="186">
        <v>1</v>
      </c>
      <c r="F32" s="159" t="s">
        <v>5151</v>
      </c>
      <c r="G32" s="971">
        <f>+W32</f>
        <v>5.5</v>
      </c>
      <c r="H32" s="972"/>
      <c r="I32" s="24">
        <f>+_xlfn.XLOOKUP(A32,INSUMO_IDU[Código],INSUMO_IDU[Precio],"",0)</f>
        <v>2018000</v>
      </c>
      <c r="J32" s="25">
        <v>1.5669999999999999</v>
      </c>
      <c r="K32" s="29">
        <f>+$E$11</f>
        <v>11</v>
      </c>
      <c r="L32" s="183">
        <v>0.5</v>
      </c>
      <c r="M32" s="183">
        <v>0.5</v>
      </c>
      <c r="N32" s="183">
        <v>0.5</v>
      </c>
      <c r="O32" s="183">
        <v>0.5</v>
      </c>
      <c r="P32" s="183">
        <v>0.5</v>
      </c>
      <c r="Q32" s="183">
        <v>0.5</v>
      </c>
      <c r="R32" s="183">
        <v>0.5</v>
      </c>
      <c r="S32" s="183">
        <v>0.5</v>
      </c>
      <c r="T32" s="183">
        <v>0.5</v>
      </c>
      <c r="U32" s="183">
        <v>0.5</v>
      </c>
      <c r="V32" s="183">
        <v>0.5</v>
      </c>
      <c r="W32" s="29">
        <f>SUM(L32:V32)</f>
        <v>5.5</v>
      </c>
      <c r="X32" s="26">
        <f>ROUND(E32*I32*J32*W32,0)</f>
        <v>17392133</v>
      </c>
    </row>
    <row r="33" spans="1:25" s="27" customFormat="1" ht="10.199999999999999" x14ac:dyDescent="0.3">
      <c r="A33" s="32"/>
      <c r="B33" s="32"/>
      <c r="C33" s="973" t="s">
        <v>5264</v>
      </c>
      <c r="D33" s="973"/>
      <c r="E33" s="973"/>
      <c r="F33" s="973"/>
      <c r="G33" s="973"/>
      <c r="H33" s="973"/>
      <c r="I33" s="973"/>
      <c r="J33" s="973"/>
      <c r="K33" s="973"/>
      <c r="L33" s="973"/>
      <c r="M33" s="973"/>
      <c r="N33" s="973"/>
      <c r="O33" s="973"/>
      <c r="P33" s="973"/>
      <c r="Q33" s="973"/>
      <c r="R33" s="973"/>
      <c r="S33" s="973"/>
      <c r="T33" s="973"/>
      <c r="U33" s="973"/>
      <c r="V33" s="973"/>
      <c r="W33" s="973"/>
      <c r="X33" s="33">
        <f>SUM(X18:X32)</f>
        <v>973917528</v>
      </c>
    </row>
    <row r="34" spans="1:25" s="27" customFormat="1" ht="9.75" customHeight="1" x14ac:dyDescent="0.3">
      <c r="A34" s="32"/>
      <c r="C34" s="974"/>
      <c r="D34" s="974"/>
      <c r="E34" s="974"/>
      <c r="F34" s="974"/>
      <c r="G34" s="974"/>
      <c r="H34" s="974"/>
      <c r="I34" s="974"/>
      <c r="J34" s="974"/>
      <c r="K34" s="974"/>
      <c r="L34" s="974"/>
      <c r="M34" s="974"/>
      <c r="N34" s="974"/>
      <c r="O34" s="974"/>
      <c r="P34" s="974"/>
      <c r="Q34" s="974"/>
      <c r="R34" s="974"/>
      <c r="S34" s="974"/>
      <c r="T34" s="974"/>
      <c r="U34" s="974"/>
      <c r="V34" s="974"/>
      <c r="W34" s="974"/>
      <c r="X34" s="974"/>
    </row>
    <row r="35" spans="1:25" s="160" customFormat="1" ht="20.399999999999999" x14ac:dyDescent="0.3">
      <c r="A35" s="47" t="s">
        <v>5131</v>
      </c>
      <c r="B35" s="47">
        <v>2</v>
      </c>
      <c r="C35" s="966" t="s">
        <v>5153</v>
      </c>
      <c r="D35" s="966"/>
      <c r="E35" s="46" t="s">
        <v>5154</v>
      </c>
      <c r="F35" s="47" t="s">
        <v>5155</v>
      </c>
      <c r="G35" s="959" t="s">
        <v>5156</v>
      </c>
      <c r="H35" s="959"/>
      <c r="I35" s="47" t="s">
        <v>5157</v>
      </c>
      <c r="J35" s="47" t="s">
        <v>5158</v>
      </c>
      <c r="K35" s="47" t="s">
        <v>5159</v>
      </c>
      <c r="L35" s="135" t="s">
        <v>5254</v>
      </c>
      <c r="M35" s="135" t="s">
        <v>5255</v>
      </c>
      <c r="N35" s="135" t="s">
        <v>5256</v>
      </c>
      <c r="O35" s="135" t="s">
        <v>5257</v>
      </c>
      <c r="P35" s="135" t="s">
        <v>5258</v>
      </c>
      <c r="Q35" s="135" t="s">
        <v>5259</v>
      </c>
      <c r="R35" s="135" t="s">
        <v>5260</v>
      </c>
      <c r="S35" s="135" t="s">
        <v>5261</v>
      </c>
      <c r="T35" s="135" t="s">
        <v>5262</v>
      </c>
      <c r="U35" s="135" t="s">
        <v>5263</v>
      </c>
      <c r="V35" s="135" t="s">
        <v>5274</v>
      </c>
      <c r="W35" s="47" t="s">
        <v>5253</v>
      </c>
      <c r="X35" s="47" t="s">
        <v>5160</v>
      </c>
    </row>
    <row r="36" spans="1:25" s="27" customFormat="1" ht="21.75" customHeight="1" x14ac:dyDescent="0.3">
      <c r="A36" s="21">
        <v>9576</v>
      </c>
      <c r="B36" s="141">
        <f t="shared" ref="B36:B42" si="5">B35+0.001</f>
        <v>2.0009999999999999</v>
      </c>
      <c r="C36" s="969" t="str">
        <f>+_xlfn.XLOOKUP(A36,INSUMO_IDU[Código],INSUMO_IDU[Nombre],"",0)</f>
        <v>TARIFA MES - ARRIENDO OFICINA INCL. ADMINISTRACIÓN, SERVICIOS PÚBLICOS, COMUNICACIONES</v>
      </c>
      <c r="D36" s="969"/>
      <c r="E36" s="31">
        <v>1</v>
      </c>
      <c r="F36" s="510">
        <v>100</v>
      </c>
      <c r="G36" s="970">
        <f>+W36</f>
        <v>11</v>
      </c>
      <c r="H36" s="970"/>
      <c r="I36" s="21" t="s">
        <v>5151</v>
      </c>
      <c r="J36" s="24">
        <f>+_xlfn.XLOOKUP(A36,INSUMO_IDU[Código],INSUMO_IDU[Precio],"",0)</f>
        <v>55270</v>
      </c>
      <c r="K36" s="29">
        <f t="shared" ref="K36:K42" si="6">+$E$11</f>
        <v>11</v>
      </c>
      <c r="L36" s="183">
        <v>1</v>
      </c>
      <c r="M36" s="183">
        <v>1</v>
      </c>
      <c r="N36" s="183">
        <v>1</v>
      </c>
      <c r="O36" s="183">
        <v>1</v>
      </c>
      <c r="P36" s="183">
        <v>1</v>
      </c>
      <c r="Q36" s="183">
        <v>1</v>
      </c>
      <c r="R36" s="183">
        <v>1</v>
      </c>
      <c r="S36" s="183">
        <v>1</v>
      </c>
      <c r="T36" s="183">
        <v>1</v>
      </c>
      <c r="U36" s="183">
        <v>1</v>
      </c>
      <c r="V36" s="183">
        <v>1</v>
      </c>
      <c r="W36" s="29">
        <f t="shared" ref="W36:W42" si="7">SUM(L36:V36)</f>
        <v>11</v>
      </c>
      <c r="X36" s="24">
        <f>ROUND(+G36*J36*F36,)</f>
        <v>60797000</v>
      </c>
    </row>
    <row r="37" spans="1:25" s="27" customFormat="1" ht="10.199999999999999" customHeight="1" x14ac:dyDescent="0.3">
      <c r="A37" s="21">
        <v>9577</v>
      </c>
      <c r="B37" s="141">
        <f t="shared" si="5"/>
        <v>2.0019999999999998</v>
      </c>
      <c r="C37" s="969" t="str">
        <f>+_xlfn.XLOOKUP(A37,INSUMO_IDU[Código],INSUMO_IDU[Nombre],"",0)</f>
        <v>TARIFA MES - ALQUILER CAMPAMENTOS INCL. SERVICIOS PÚBLICOS PROVISIONALES</v>
      </c>
      <c r="D37" s="969"/>
      <c r="E37" s="31">
        <v>1</v>
      </c>
      <c r="F37" s="510">
        <v>40</v>
      </c>
      <c r="G37" s="970">
        <f>+W37</f>
        <v>11</v>
      </c>
      <c r="H37" s="970"/>
      <c r="I37" s="21" t="s">
        <v>5151</v>
      </c>
      <c r="J37" s="24">
        <f>+_xlfn.XLOOKUP(A37,INSUMO_IDU[Código],INSUMO_IDU[Precio],"",0)</f>
        <v>25982</v>
      </c>
      <c r="K37" s="29">
        <f t="shared" si="6"/>
        <v>11</v>
      </c>
      <c r="L37" s="183">
        <v>1</v>
      </c>
      <c r="M37" s="183">
        <v>1</v>
      </c>
      <c r="N37" s="183">
        <v>1</v>
      </c>
      <c r="O37" s="183">
        <v>1</v>
      </c>
      <c r="P37" s="183">
        <v>1</v>
      </c>
      <c r="Q37" s="183">
        <v>1</v>
      </c>
      <c r="R37" s="183">
        <v>1</v>
      </c>
      <c r="S37" s="183">
        <v>1</v>
      </c>
      <c r="T37" s="183">
        <v>1</v>
      </c>
      <c r="U37" s="183">
        <v>1</v>
      </c>
      <c r="V37" s="183">
        <v>1</v>
      </c>
      <c r="W37" s="29">
        <f t="shared" si="7"/>
        <v>11</v>
      </c>
      <c r="X37" s="24">
        <f>ROUND(G37*J37*F37,)</f>
        <v>11432080</v>
      </c>
    </row>
    <row r="38" spans="1:25" s="27" customFormat="1" ht="10.199999999999999" customHeight="1" x14ac:dyDescent="0.3">
      <c r="A38" s="21">
        <v>9578</v>
      </c>
      <c r="B38" s="141">
        <f t="shared" si="5"/>
        <v>2.0029999999999997</v>
      </c>
      <c r="C38" s="969" t="str">
        <f>+_xlfn.XLOOKUP(A38,INSUMO_IDU[Código],INSUMO_IDU[Nombre],"",0)</f>
        <v>TARIFA MES - GASTOS OFICINA (PAPELERIA, FOTOCOPIAS Y OTROS)</v>
      </c>
      <c r="D38" s="969"/>
      <c r="E38" s="31">
        <v>1</v>
      </c>
      <c r="F38" s="21" t="s">
        <v>5151</v>
      </c>
      <c r="G38" s="970">
        <f>+W38</f>
        <v>11</v>
      </c>
      <c r="H38" s="970"/>
      <c r="I38" s="21" t="s">
        <v>5151</v>
      </c>
      <c r="J38" s="24">
        <f>+_xlfn.XLOOKUP(A38,INSUMO_IDU[Código],INSUMO_IDU[Precio],"",0)</f>
        <v>1260967</v>
      </c>
      <c r="K38" s="29">
        <f t="shared" si="6"/>
        <v>11</v>
      </c>
      <c r="L38" s="183">
        <v>1</v>
      </c>
      <c r="M38" s="183">
        <v>1</v>
      </c>
      <c r="N38" s="183">
        <v>1</v>
      </c>
      <c r="O38" s="183">
        <v>1</v>
      </c>
      <c r="P38" s="183">
        <v>1</v>
      </c>
      <c r="Q38" s="183">
        <v>1</v>
      </c>
      <c r="R38" s="183">
        <v>1</v>
      </c>
      <c r="S38" s="183">
        <v>1</v>
      </c>
      <c r="T38" s="183">
        <v>1</v>
      </c>
      <c r="U38" s="183">
        <v>1</v>
      </c>
      <c r="V38" s="183">
        <v>1</v>
      </c>
      <c r="W38" s="29">
        <f t="shared" si="7"/>
        <v>11</v>
      </c>
      <c r="X38" s="24">
        <f>ROUND(G38*J38*E38,)</f>
        <v>13870637</v>
      </c>
    </row>
    <row r="39" spans="1:25" s="27" customFormat="1" ht="10.199999999999999" x14ac:dyDescent="0.3">
      <c r="A39" s="21">
        <v>9117</v>
      </c>
      <c r="B39" s="141">
        <f t="shared" si="5"/>
        <v>2.0039999999999996</v>
      </c>
      <c r="C39" s="969" t="str">
        <f>+_xlfn.XLOOKUP(A39,INSUMO_IDU[Código],INSUMO_IDU[Nombre],"",0)</f>
        <v xml:space="preserve">TARIFA MES - EQUIPO COMPLETO DE LABORATORIO - ESTUDIOS </v>
      </c>
      <c r="D39" s="969"/>
      <c r="E39" s="187">
        <v>1</v>
      </c>
      <c r="F39" s="21" t="s">
        <v>5151</v>
      </c>
      <c r="G39" s="970">
        <v>1</v>
      </c>
      <c r="H39" s="970"/>
      <c r="I39" s="21" t="s">
        <v>5151</v>
      </c>
      <c r="J39" s="24">
        <f>+_xlfn.XLOOKUP(A39,INSUMO_IDU[Código],INSUMO_IDU[Precio],"",0)</f>
        <v>7732000</v>
      </c>
      <c r="K39" s="29">
        <f t="shared" si="6"/>
        <v>11</v>
      </c>
      <c r="L39" s="183">
        <v>0</v>
      </c>
      <c r="M39" s="183">
        <v>1</v>
      </c>
      <c r="N39" s="183">
        <v>1</v>
      </c>
      <c r="O39" s="183">
        <v>1</v>
      </c>
      <c r="P39" s="183">
        <v>1</v>
      </c>
      <c r="Q39" s="183">
        <v>1</v>
      </c>
      <c r="R39" s="183">
        <v>1</v>
      </c>
      <c r="S39" s="183">
        <v>1</v>
      </c>
      <c r="T39" s="183">
        <v>1</v>
      </c>
      <c r="U39" s="183">
        <v>1</v>
      </c>
      <c r="V39" s="183">
        <v>1</v>
      </c>
      <c r="W39" s="29">
        <f t="shared" si="7"/>
        <v>10</v>
      </c>
      <c r="X39" s="24">
        <f>ROUND(G39*J39*E39,)</f>
        <v>7732000</v>
      </c>
    </row>
    <row r="40" spans="1:25" s="27" customFormat="1" ht="97.2" customHeight="1" x14ac:dyDescent="0.3">
      <c r="A40" s="21">
        <v>13420</v>
      </c>
      <c r="B40" s="141">
        <f t="shared" si="5"/>
        <v>2.0049999999999994</v>
      </c>
      <c r="C40" s="969" t="str">
        <f>+_xlfn.XLOOKUP(A40,INSUMO_IDU[Código],INSUMO_IDU[Nombre],"",0)</f>
        <v>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v>
      </c>
      <c r="D40" s="969"/>
      <c r="E40" s="187">
        <v>1</v>
      </c>
      <c r="F40" s="21" t="s">
        <v>5151</v>
      </c>
      <c r="G40" s="970">
        <f>+W40</f>
        <v>11</v>
      </c>
      <c r="H40" s="970"/>
      <c r="I40" s="21" t="s">
        <v>5151</v>
      </c>
      <c r="J40" s="24">
        <f>+_xlfn.XLOOKUP(A40,INSUMO_IDU[Código],INSUMO_IDU[Precio],"",0)</f>
        <v>3451000</v>
      </c>
      <c r="K40" s="29">
        <f t="shared" si="6"/>
        <v>11</v>
      </c>
      <c r="L40" s="183">
        <v>1</v>
      </c>
      <c r="M40" s="183">
        <v>1</v>
      </c>
      <c r="N40" s="183">
        <v>1</v>
      </c>
      <c r="O40" s="183">
        <v>1</v>
      </c>
      <c r="P40" s="183">
        <v>1</v>
      </c>
      <c r="Q40" s="183">
        <v>1</v>
      </c>
      <c r="R40" s="183">
        <v>1</v>
      </c>
      <c r="S40" s="183">
        <v>1</v>
      </c>
      <c r="T40" s="183">
        <v>1</v>
      </c>
      <c r="U40" s="183">
        <v>1</v>
      </c>
      <c r="V40" s="183">
        <v>1</v>
      </c>
      <c r="W40" s="29">
        <f t="shared" si="7"/>
        <v>11</v>
      </c>
      <c r="X40" s="24">
        <f>ROUND(G40*J40*E40,)</f>
        <v>37961000</v>
      </c>
    </row>
    <row r="41" spans="1:25" s="27" customFormat="1" ht="37.200000000000003" customHeight="1" x14ac:dyDescent="0.3">
      <c r="A41" s="21">
        <v>9575</v>
      </c>
      <c r="B41" s="141">
        <f t="shared" si="5"/>
        <v>2.0059999999999993</v>
      </c>
      <c r="C41" s="969" t="str">
        <f>+_xlfn.XLOOKUP(A41,INSUMO_IDU[Código],INSUMO_IDU[Nombre],"",0)</f>
        <v>TARIFA MES - PERSONAL TÉCNICO - CELADOR ARMADO (24 horas por 30 dias dividos en 3 turnos de 8 horas diarias. Incluye prestaciones de ley, Administraciòn y servicios).</v>
      </c>
      <c r="D41" s="969"/>
      <c r="E41" s="187">
        <v>2</v>
      </c>
      <c r="F41" s="21" t="s">
        <v>5151</v>
      </c>
      <c r="G41" s="970">
        <f>+W41</f>
        <v>11</v>
      </c>
      <c r="H41" s="970"/>
      <c r="I41" s="21" t="s">
        <v>5151</v>
      </c>
      <c r="J41" s="24">
        <f>+_xlfn.XLOOKUP(A41,INSUMO_IDU[Código],INSUMO_IDU[Precio],"",0)</f>
        <v>18832062</v>
      </c>
      <c r="K41" s="29">
        <f t="shared" si="6"/>
        <v>11</v>
      </c>
      <c r="L41" s="183">
        <v>1</v>
      </c>
      <c r="M41" s="183">
        <v>1</v>
      </c>
      <c r="N41" s="183">
        <v>1</v>
      </c>
      <c r="O41" s="183">
        <v>1</v>
      </c>
      <c r="P41" s="183">
        <v>1</v>
      </c>
      <c r="Q41" s="183">
        <v>1</v>
      </c>
      <c r="R41" s="183">
        <v>1</v>
      </c>
      <c r="S41" s="183">
        <v>1</v>
      </c>
      <c r="T41" s="183">
        <v>1</v>
      </c>
      <c r="U41" s="183">
        <v>1</v>
      </c>
      <c r="V41" s="183">
        <v>1</v>
      </c>
      <c r="W41" s="29">
        <f t="shared" si="7"/>
        <v>11</v>
      </c>
      <c r="X41" s="24">
        <f>ROUND(G41*J41*E41,)</f>
        <v>414305364</v>
      </c>
    </row>
    <row r="42" spans="1:25" s="27" customFormat="1" ht="60.6" customHeight="1" x14ac:dyDescent="0.3">
      <c r="A42" s="21">
        <v>9165</v>
      </c>
      <c r="B42" s="141">
        <f t="shared" si="5"/>
        <v>2.0069999999999992</v>
      </c>
      <c r="C42" s="969" t="str">
        <f>+_xlfn.XLOOKUP(A42,INSUMO_IDU[Código],INSUMO_IDU[Nombre],"",0)</f>
        <v>TARIFA MES - ALQUILER DE VEHICULO: CAMPERO, PICK-UP, CAMIONETA, CAMION O SIMILAR DE 1300cc A 2000cc DE CILINDRADA, MODELO 2026 A 2023. 100% DE LA TARIFA ESTABLECIDA. INCLUYE TODOS LOS COSTOS DE OPERACIÓN Y MANTENIMIENTO EXCEPTO EL SALARIO DEL CONDUCTOR</v>
      </c>
      <c r="D42" s="969"/>
      <c r="E42" s="185">
        <v>1</v>
      </c>
      <c r="F42" s="21" t="s">
        <v>5151</v>
      </c>
      <c r="G42" s="970">
        <f>+W42</f>
        <v>11</v>
      </c>
      <c r="H42" s="970"/>
      <c r="I42" s="21" t="s">
        <v>5151</v>
      </c>
      <c r="J42" s="24">
        <f>+_xlfn.XLOOKUP(A42,INSUMO_IDU[Código],INSUMO_IDU[Precio],"",0)</f>
        <v>8778000</v>
      </c>
      <c r="K42" s="29">
        <f t="shared" si="6"/>
        <v>11</v>
      </c>
      <c r="L42" s="183">
        <v>1</v>
      </c>
      <c r="M42" s="183">
        <v>1</v>
      </c>
      <c r="N42" s="183">
        <v>1</v>
      </c>
      <c r="O42" s="183">
        <v>1</v>
      </c>
      <c r="P42" s="183">
        <v>1</v>
      </c>
      <c r="Q42" s="183">
        <v>1</v>
      </c>
      <c r="R42" s="183">
        <v>1</v>
      </c>
      <c r="S42" s="183">
        <v>1</v>
      </c>
      <c r="T42" s="183">
        <v>1</v>
      </c>
      <c r="U42" s="183">
        <v>1</v>
      </c>
      <c r="V42" s="183">
        <v>1</v>
      </c>
      <c r="W42" s="29">
        <f t="shared" si="7"/>
        <v>11</v>
      </c>
      <c r="X42" s="24">
        <f>ROUND(G42*J42*E42,)</f>
        <v>96558000</v>
      </c>
    </row>
    <row r="43" spans="1:25" s="27" customFormat="1" ht="10.199999999999999" x14ac:dyDescent="0.3">
      <c r="A43" s="32"/>
      <c r="B43" s="32"/>
      <c r="C43" s="53" t="s">
        <v>5161</v>
      </c>
      <c r="D43" s="54"/>
      <c r="E43" s="54"/>
      <c r="F43" s="54"/>
      <c r="G43" s="54"/>
      <c r="H43" s="54"/>
      <c r="I43" s="54"/>
      <c r="J43" s="54"/>
      <c r="K43" s="54"/>
      <c r="L43" s="54"/>
      <c r="M43" s="54"/>
      <c r="N43" s="54"/>
      <c r="O43" s="54"/>
      <c r="P43" s="54"/>
      <c r="Q43" s="54"/>
      <c r="R43" s="54"/>
      <c r="S43" s="54"/>
      <c r="T43" s="54"/>
      <c r="U43" s="54"/>
      <c r="V43" s="54"/>
      <c r="W43" s="55"/>
      <c r="X43" s="33">
        <f>SUM(X36:X42)</f>
        <v>642656081</v>
      </c>
      <c r="Y43" s="143"/>
    </row>
    <row r="44" spans="1:25" s="27" customFormat="1" ht="9.75" customHeight="1" x14ac:dyDescent="0.3">
      <c r="A44" s="32"/>
      <c r="B44" s="32"/>
      <c r="C44" s="932"/>
      <c r="D44" s="932"/>
      <c r="E44" s="932"/>
      <c r="F44" s="932"/>
      <c r="G44" s="932"/>
      <c r="H44" s="932"/>
      <c r="I44" s="932"/>
      <c r="J44" s="932"/>
      <c r="K44" s="932"/>
      <c r="L44" s="932"/>
      <c r="M44" s="932"/>
      <c r="N44" s="932"/>
      <c r="O44" s="932"/>
      <c r="P44" s="932"/>
      <c r="Q44" s="932"/>
      <c r="R44" s="932"/>
      <c r="S44" s="932"/>
      <c r="T44" s="932"/>
      <c r="U44" s="932"/>
      <c r="V44" s="932"/>
      <c r="W44" s="932"/>
      <c r="X44" s="932"/>
    </row>
    <row r="45" spans="1:25" s="27" customFormat="1" ht="10.199999999999999" x14ac:dyDescent="0.3">
      <c r="A45" s="32"/>
      <c r="B45" s="32"/>
      <c r="C45" s="53" t="s">
        <v>5162</v>
      </c>
      <c r="D45" s="54"/>
      <c r="E45" s="54"/>
      <c r="F45" s="54"/>
      <c r="G45" s="54"/>
      <c r="H45" s="54"/>
      <c r="I45" s="54"/>
      <c r="J45" s="54"/>
      <c r="K45" s="54"/>
      <c r="L45" s="54"/>
      <c r="M45" s="54"/>
      <c r="N45" s="54"/>
      <c r="O45" s="54"/>
      <c r="P45" s="54"/>
      <c r="Q45" s="54"/>
      <c r="R45" s="54"/>
      <c r="S45" s="54"/>
      <c r="T45" s="54"/>
      <c r="U45" s="54"/>
      <c r="V45" s="54"/>
      <c r="W45" s="55"/>
      <c r="X45" s="33">
        <f>(X33+X43)</f>
        <v>1616573609</v>
      </c>
    </row>
    <row r="46" spans="1:25" s="27" customFormat="1" ht="10.199999999999999" x14ac:dyDescent="0.3">
      <c r="A46" s="32"/>
      <c r="B46" s="32"/>
      <c r="C46" s="53" t="s">
        <v>5163</v>
      </c>
      <c r="D46" s="54"/>
      <c r="E46" s="54"/>
      <c r="F46" s="54"/>
      <c r="G46" s="54"/>
      <c r="H46" s="54"/>
      <c r="I46" s="54"/>
      <c r="J46" s="54"/>
      <c r="K46" s="54"/>
      <c r="L46" s="54"/>
      <c r="M46" s="54"/>
      <c r="N46" s="54"/>
      <c r="O46" s="54"/>
      <c r="P46" s="54"/>
      <c r="Q46" s="54"/>
      <c r="R46" s="54"/>
      <c r="S46" s="54"/>
      <c r="T46" s="54"/>
      <c r="U46" s="54"/>
      <c r="V46" s="54"/>
      <c r="W46" s="55"/>
      <c r="X46" s="507">
        <f>ROUND(X45/E10,4)</f>
        <v>0.1206</v>
      </c>
    </row>
    <row r="47" spans="1:25" s="27" customFormat="1" ht="7.5" customHeight="1" x14ac:dyDescent="0.3">
      <c r="A47" s="32"/>
      <c r="B47" s="32"/>
      <c r="C47" s="34"/>
      <c r="D47" s="34"/>
      <c r="E47" s="34"/>
      <c r="F47" s="34"/>
      <c r="G47" s="965"/>
      <c r="H47" s="965"/>
      <c r="I47" s="34"/>
      <c r="J47" s="34"/>
      <c r="K47" s="34"/>
      <c r="L47" s="34"/>
      <c r="M47" s="34"/>
      <c r="N47" s="34"/>
      <c r="O47" s="34"/>
      <c r="P47" s="34"/>
      <c r="Q47" s="34"/>
      <c r="R47" s="34"/>
      <c r="S47" s="34"/>
      <c r="T47" s="34"/>
      <c r="U47" s="34"/>
      <c r="V47" s="34"/>
      <c r="W47" s="34"/>
      <c r="X47" s="35"/>
    </row>
    <row r="48" spans="1:25" s="27" customFormat="1" ht="7.5" customHeight="1" x14ac:dyDescent="0.3">
      <c r="A48" s="32"/>
      <c r="B48" s="32"/>
      <c r="C48" s="34"/>
      <c r="D48" s="34"/>
      <c r="E48" s="34"/>
      <c r="F48" s="34"/>
      <c r="G48" s="965"/>
      <c r="H48" s="965"/>
      <c r="I48" s="34"/>
      <c r="J48" s="34"/>
      <c r="K48" s="34"/>
      <c r="L48" s="34"/>
      <c r="M48" s="34"/>
      <c r="N48" s="34"/>
      <c r="O48" s="34"/>
      <c r="P48" s="34"/>
      <c r="Q48" s="34"/>
      <c r="R48" s="34"/>
      <c r="S48" s="34"/>
      <c r="T48" s="34"/>
      <c r="U48" s="34"/>
      <c r="V48" s="34"/>
      <c r="W48" s="34"/>
      <c r="X48" s="35"/>
    </row>
    <row r="49" spans="1:25" s="27" customFormat="1" ht="12.75" customHeight="1" x14ac:dyDescent="0.3">
      <c r="A49" s="36"/>
      <c r="B49" s="966" t="s">
        <v>5265</v>
      </c>
      <c r="C49" s="966"/>
      <c r="D49" s="966"/>
      <c r="E49" s="966"/>
      <c r="F49" s="966"/>
      <c r="G49" s="966"/>
      <c r="H49" s="966"/>
      <c r="I49" s="966"/>
      <c r="J49" s="966"/>
      <c r="K49" s="966"/>
      <c r="L49" s="966"/>
      <c r="M49" s="966"/>
      <c r="N49" s="966"/>
      <c r="O49" s="966"/>
      <c r="P49" s="966"/>
      <c r="Q49" s="966"/>
      <c r="R49" s="966"/>
      <c r="S49" s="966"/>
      <c r="T49" s="966"/>
      <c r="U49" s="966"/>
      <c r="V49" s="966"/>
      <c r="W49" s="966"/>
      <c r="X49" s="966"/>
    </row>
    <row r="50" spans="1:25" s="38" customFormat="1" ht="10.199999999999999" x14ac:dyDescent="0.3">
      <c r="A50" s="32"/>
      <c r="B50" s="46">
        <v>4.0999999999999996</v>
      </c>
      <c r="C50" s="967" t="s">
        <v>5164</v>
      </c>
      <c r="D50" s="967"/>
      <c r="E50" s="967"/>
      <c r="F50" s="967"/>
      <c r="G50" s="967"/>
      <c r="H50" s="967"/>
      <c r="I50" s="967"/>
      <c r="J50" s="967"/>
      <c r="K50" s="967"/>
      <c r="L50" s="967"/>
      <c r="M50" s="967"/>
      <c r="N50" s="967"/>
      <c r="O50" s="967"/>
      <c r="P50" s="967"/>
      <c r="Q50" s="967"/>
      <c r="R50" s="967"/>
      <c r="S50" s="967"/>
      <c r="T50" s="967"/>
      <c r="U50" s="967"/>
      <c r="V50" s="967"/>
      <c r="W50" s="967"/>
      <c r="X50" s="967"/>
    </row>
    <row r="51" spans="1:25" s="38" customFormat="1" ht="10.199999999999999" x14ac:dyDescent="0.3">
      <c r="A51" s="32"/>
      <c r="B51" s="46"/>
      <c r="C51" s="161" t="s">
        <v>5266</v>
      </c>
      <c r="D51" s="162">
        <f>+E10</f>
        <v>13400000000</v>
      </c>
      <c r="E51" s="163"/>
      <c r="F51" s="163"/>
      <c r="G51" s="163"/>
      <c r="H51" s="163"/>
      <c r="I51" s="164"/>
      <c r="J51" s="161"/>
      <c r="K51" s="163"/>
      <c r="L51" s="163"/>
      <c r="M51" s="163"/>
      <c r="N51" s="163"/>
      <c r="O51" s="163"/>
      <c r="P51" s="163"/>
      <c r="Q51" s="163"/>
      <c r="R51" s="163"/>
      <c r="S51" s="163"/>
      <c r="T51" s="163"/>
      <c r="U51" s="163"/>
      <c r="V51" s="163"/>
      <c r="W51" s="164"/>
      <c r="X51" s="37"/>
    </row>
    <row r="52" spans="1:25" s="38" customFormat="1" ht="10.199999999999999" x14ac:dyDescent="0.3">
      <c r="A52" s="32"/>
      <c r="B52" s="47" t="s">
        <v>5132</v>
      </c>
      <c r="C52" s="939" t="s">
        <v>5165</v>
      </c>
      <c r="D52" s="940"/>
      <c r="E52" s="39"/>
      <c r="F52" s="40"/>
      <c r="G52" s="968"/>
      <c r="H52" s="968"/>
      <c r="I52" s="165"/>
      <c r="J52" s="939" t="s">
        <v>5166</v>
      </c>
      <c r="K52" s="940"/>
      <c r="L52" s="940"/>
      <c r="M52" s="940"/>
      <c r="N52" s="940"/>
      <c r="O52" s="940"/>
      <c r="P52" s="940"/>
      <c r="Q52" s="940"/>
      <c r="R52" s="940"/>
      <c r="S52" s="940"/>
      <c r="T52" s="940"/>
      <c r="U52" s="940"/>
      <c r="V52" s="940"/>
      <c r="W52" s="941"/>
      <c r="X52" s="46" t="s">
        <v>5160</v>
      </c>
      <c r="Y52" s="166"/>
    </row>
    <row r="53" spans="1:25" s="27" customFormat="1" ht="10.199999999999999" x14ac:dyDescent="0.3">
      <c r="A53" s="32"/>
      <c r="B53" s="41">
        <f>B50+0.001</f>
        <v>4.101</v>
      </c>
      <c r="C53" s="44" t="s">
        <v>5167</v>
      </c>
      <c r="D53" s="42"/>
      <c r="E53" s="42"/>
      <c r="F53" s="42"/>
      <c r="G53" s="42"/>
      <c r="H53" s="42"/>
      <c r="I53" s="167"/>
      <c r="J53" s="949">
        <v>0.05</v>
      </c>
      <c r="K53" s="950"/>
      <c r="L53" s="950"/>
      <c r="M53" s="950"/>
      <c r="N53" s="950"/>
      <c r="O53" s="950"/>
      <c r="P53" s="950"/>
      <c r="Q53" s="950"/>
      <c r="R53" s="950"/>
      <c r="S53" s="950"/>
      <c r="T53" s="950"/>
      <c r="U53" s="950"/>
      <c r="V53" s="950"/>
      <c r="W53" s="951"/>
      <c r="X53" s="43">
        <f>ROUND($D$51*J53,0)</f>
        <v>670000000</v>
      </c>
    </row>
    <row r="54" spans="1:25" s="27" customFormat="1" ht="10.199999999999999" x14ac:dyDescent="0.3">
      <c r="A54" s="32"/>
      <c r="B54" s="41">
        <f>B53+0.001</f>
        <v>4.1020000000000003</v>
      </c>
      <c r="C54" s="44" t="s">
        <v>5168</v>
      </c>
      <c r="D54" s="42"/>
      <c r="E54" s="42"/>
      <c r="F54" s="42"/>
      <c r="G54" s="42"/>
      <c r="H54" s="42"/>
      <c r="I54" s="167"/>
      <c r="J54" s="962">
        <v>8.6599999999999993E-3</v>
      </c>
      <c r="K54" s="963"/>
      <c r="L54" s="963"/>
      <c r="M54" s="963"/>
      <c r="N54" s="963"/>
      <c r="O54" s="963"/>
      <c r="P54" s="963"/>
      <c r="Q54" s="963"/>
      <c r="R54" s="963"/>
      <c r="S54" s="963"/>
      <c r="T54" s="963"/>
      <c r="U54" s="963"/>
      <c r="V54" s="963"/>
      <c r="W54" s="964"/>
      <c r="X54" s="43">
        <f>ROUND($D$51*J54,0)</f>
        <v>116044000</v>
      </c>
    </row>
    <row r="55" spans="1:25" s="27" customFormat="1" ht="10.199999999999999" x14ac:dyDescent="0.3">
      <c r="A55" s="32"/>
      <c r="B55" s="41">
        <f>B54+0.001</f>
        <v>4.1030000000000006</v>
      </c>
      <c r="C55" s="44" t="s">
        <v>5169</v>
      </c>
      <c r="D55" s="42"/>
      <c r="E55" s="42"/>
      <c r="F55" s="42"/>
      <c r="G55" s="42"/>
      <c r="H55" s="42"/>
      <c r="I55" s="167"/>
      <c r="J55" s="949">
        <v>0.02</v>
      </c>
      <c r="K55" s="950"/>
      <c r="L55" s="950"/>
      <c r="M55" s="950"/>
      <c r="N55" s="950"/>
      <c r="O55" s="950"/>
      <c r="P55" s="950"/>
      <c r="Q55" s="950"/>
      <c r="R55" s="950"/>
      <c r="S55" s="950"/>
      <c r="T55" s="950"/>
      <c r="U55" s="950"/>
      <c r="V55" s="950"/>
      <c r="W55" s="951"/>
      <c r="X55" s="43">
        <f>ROUND($D$51*J55,0)</f>
        <v>268000000</v>
      </c>
    </row>
    <row r="56" spans="1:25" s="27" customFormat="1" ht="10.199999999999999" x14ac:dyDescent="0.3">
      <c r="A56" s="32"/>
      <c r="B56" s="41">
        <f>B55+0.001</f>
        <v>4.104000000000001</v>
      </c>
      <c r="C56" s="44" t="s">
        <v>5170</v>
      </c>
      <c r="D56" s="42"/>
      <c r="E56" s="42"/>
      <c r="F56" s="42"/>
      <c r="G56" s="42"/>
      <c r="H56" s="42"/>
      <c r="I56" s="167"/>
      <c r="J56" s="949">
        <v>5.0000000000000001E-3</v>
      </c>
      <c r="K56" s="950"/>
      <c r="L56" s="950"/>
      <c r="M56" s="950"/>
      <c r="N56" s="950"/>
      <c r="O56" s="950"/>
      <c r="P56" s="950"/>
      <c r="Q56" s="950"/>
      <c r="R56" s="950"/>
      <c r="S56" s="950"/>
      <c r="T56" s="950"/>
      <c r="U56" s="950"/>
      <c r="V56" s="950"/>
      <c r="W56" s="951"/>
      <c r="X56" s="43">
        <f>ROUND($D$51*J56,0)</f>
        <v>67000000</v>
      </c>
    </row>
    <row r="57" spans="1:25" s="27" customFormat="1" ht="10.199999999999999" x14ac:dyDescent="0.3">
      <c r="A57" s="32"/>
      <c r="B57" s="32"/>
      <c r="C57" s="952" t="s">
        <v>5171</v>
      </c>
      <c r="D57" s="953"/>
      <c r="E57" s="953"/>
      <c r="F57" s="953"/>
      <c r="G57" s="953"/>
      <c r="H57" s="953"/>
      <c r="I57" s="953"/>
      <c r="J57" s="953"/>
      <c r="K57" s="953"/>
      <c r="L57" s="953"/>
      <c r="M57" s="953"/>
      <c r="N57" s="953"/>
      <c r="O57" s="953"/>
      <c r="P57" s="953"/>
      <c r="Q57" s="953"/>
      <c r="R57" s="953"/>
      <c r="S57" s="953"/>
      <c r="T57" s="953"/>
      <c r="U57" s="953"/>
      <c r="V57" s="953"/>
      <c r="W57" s="954"/>
      <c r="X57" s="33">
        <f>SUM(X53:X56)</f>
        <v>1121044000</v>
      </c>
    </row>
    <row r="58" spans="1:25" s="27" customFormat="1" ht="10.199999999999999" x14ac:dyDescent="0.3">
      <c r="A58" s="32"/>
      <c r="B58" s="32"/>
      <c r="C58" s="45"/>
      <c r="D58" s="45"/>
      <c r="E58" s="45"/>
      <c r="F58" s="45"/>
      <c r="G58" s="45"/>
      <c r="H58" s="45"/>
      <c r="I58" s="45"/>
      <c r="J58" s="45"/>
      <c r="K58" s="45"/>
      <c r="L58" s="45"/>
      <c r="M58" s="45"/>
      <c r="N58" s="45"/>
      <c r="O58" s="45"/>
      <c r="P58" s="45"/>
      <c r="Q58" s="45"/>
      <c r="R58" s="45"/>
      <c r="S58" s="45"/>
      <c r="T58" s="45"/>
      <c r="U58" s="45"/>
      <c r="V58" s="45"/>
      <c r="W58" s="45"/>
      <c r="X58" s="45"/>
    </row>
    <row r="59" spans="1:25" s="27" customFormat="1" ht="10.199999999999999" x14ac:dyDescent="0.3">
      <c r="A59" s="32"/>
      <c r="B59" s="46">
        <f>B50+0.1</f>
        <v>4.1999999999999993</v>
      </c>
      <c r="C59" s="958" t="s">
        <v>5267</v>
      </c>
      <c r="D59" s="958"/>
      <c r="E59" s="958"/>
      <c r="F59" s="958"/>
      <c r="G59" s="958"/>
      <c r="H59" s="958"/>
      <c r="I59" s="958"/>
      <c r="J59" s="958"/>
      <c r="K59" s="958"/>
      <c r="L59" s="958"/>
      <c r="M59" s="958"/>
      <c r="N59" s="958"/>
      <c r="O59" s="958"/>
      <c r="P59" s="958"/>
      <c r="Q59" s="958"/>
      <c r="R59" s="958"/>
      <c r="S59" s="958"/>
      <c r="T59" s="958"/>
      <c r="U59" s="958"/>
      <c r="V59" s="958"/>
      <c r="W59" s="958"/>
      <c r="X59" s="958"/>
    </row>
    <row r="60" spans="1:25" s="48" customFormat="1" ht="20.399999999999999" x14ac:dyDescent="0.3">
      <c r="A60" s="32"/>
      <c r="B60" s="47" t="s">
        <v>5132</v>
      </c>
      <c r="C60" s="959" t="s">
        <v>5165</v>
      </c>
      <c r="D60" s="959"/>
      <c r="E60" s="960" t="s">
        <v>5172</v>
      </c>
      <c r="F60" s="961"/>
      <c r="G60" s="939" t="s">
        <v>5173</v>
      </c>
      <c r="H60" s="941"/>
      <c r="I60" s="47" t="s">
        <v>5174</v>
      </c>
      <c r="J60" s="939" t="s">
        <v>5175</v>
      </c>
      <c r="K60" s="940"/>
      <c r="L60" s="940"/>
      <c r="M60" s="940"/>
      <c r="N60" s="940"/>
      <c r="O60" s="940"/>
      <c r="P60" s="940"/>
      <c r="Q60" s="940"/>
      <c r="R60" s="940"/>
      <c r="S60" s="940"/>
      <c r="T60" s="940"/>
      <c r="U60" s="940"/>
      <c r="V60" s="940"/>
      <c r="W60" s="941"/>
      <c r="X60" s="46" t="s">
        <v>5160</v>
      </c>
    </row>
    <row r="61" spans="1:25" s="27" customFormat="1" ht="12.75" customHeight="1" x14ac:dyDescent="0.3">
      <c r="A61" s="32"/>
      <c r="B61" s="41">
        <f>B59+0.001</f>
        <v>4.2009999999999996</v>
      </c>
      <c r="C61" s="49" t="s">
        <v>5176</v>
      </c>
      <c r="D61" s="956" t="s">
        <v>5177</v>
      </c>
      <c r="E61" s="946">
        <f>+E10</f>
        <v>13400000000</v>
      </c>
      <c r="F61" s="947"/>
      <c r="G61" s="957">
        <v>0.2</v>
      </c>
      <c r="H61" s="957"/>
      <c r="I61" s="50">
        <f>+E11+6</f>
        <v>17</v>
      </c>
      <c r="J61" s="949">
        <v>2E-3</v>
      </c>
      <c r="K61" s="950"/>
      <c r="L61" s="950"/>
      <c r="M61" s="950"/>
      <c r="N61" s="950"/>
      <c r="O61" s="950"/>
      <c r="P61" s="950"/>
      <c r="Q61" s="950"/>
      <c r="R61" s="950"/>
      <c r="S61" s="950"/>
      <c r="T61" s="950"/>
      <c r="U61" s="950"/>
      <c r="V61" s="950"/>
      <c r="W61" s="951"/>
      <c r="X61" s="43">
        <f>ROUND((((((E61*G61)*J61)/12)*I61)+2500)*1.19,)</f>
        <v>9039042</v>
      </c>
    </row>
    <row r="62" spans="1:25" s="27" customFormat="1" ht="12.75" customHeight="1" x14ac:dyDescent="0.3">
      <c r="A62" s="32"/>
      <c r="B62" s="41">
        <f>B61+0.001</f>
        <v>4.202</v>
      </c>
      <c r="C62" s="49" t="s">
        <v>5178</v>
      </c>
      <c r="D62" s="956"/>
      <c r="E62" s="946">
        <f>+E61</f>
        <v>13400000000</v>
      </c>
      <c r="F62" s="947"/>
      <c r="G62" s="957">
        <v>0.1</v>
      </c>
      <c r="H62" s="957"/>
      <c r="I62" s="50">
        <f>+E11+(3*12)</f>
        <v>47</v>
      </c>
      <c r="J62" s="949">
        <v>2E-3</v>
      </c>
      <c r="K62" s="950"/>
      <c r="L62" s="950"/>
      <c r="M62" s="950"/>
      <c r="N62" s="950"/>
      <c r="O62" s="950"/>
      <c r="P62" s="950"/>
      <c r="Q62" s="950"/>
      <c r="R62" s="950"/>
      <c r="S62" s="950"/>
      <c r="T62" s="950"/>
      <c r="U62" s="950"/>
      <c r="V62" s="950"/>
      <c r="W62" s="951"/>
      <c r="X62" s="43">
        <f>ROUND((((((E62*G62)*J62)/12)*I62)+2500)*1.19,)</f>
        <v>12494008</v>
      </c>
    </row>
    <row r="63" spans="1:25" s="27" customFormat="1" ht="10.199999999999999" x14ac:dyDescent="0.3">
      <c r="A63" s="32"/>
      <c r="B63" s="41">
        <f>B62+0.001</f>
        <v>4.2030000000000003</v>
      </c>
      <c r="C63" s="49" t="s">
        <v>5179</v>
      </c>
      <c r="D63" s="956"/>
      <c r="E63" s="946">
        <f>+E61</f>
        <v>13400000000</v>
      </c>
      <c r="F63" s="947"/>
      <c r="G63" s="957">
        <v>0.3</v>
      </c>
      <c r="H63" s="957"/>
      <c r="I63" s="50">
        <v>60</v>
      </c>
      <c r="J63" s="949">
        <v>3.0000000000000001E-3</v>
      </c>
      <c r="K63" s="950"/>
      <c r="L63" s="950"/>
      <c r="M63" s="950"/>
      <c r="N63" s="950"/>
      <c r="O63" s="950"/>
      <c r="P63" s="950"/>
      <c r="Q63" s="950"/>
      <c r="R63" s="950"/>
      <c r="S63" s="950"/>
      <c r="T63" s="950"/>
      <c r="U63" s="950"/>
      <c r="V63" s="950"/>
      <c r="W63" s="951"/>
      <c r="X63" s="43">
        <f>ROUND((((((E63*G63)*J63)/12)*I63)+2500)*1.19,)</f>
        <v>71759975</v>
      </c>
    </row>
    <row r="64" spans="1:25" s="27" customFormat="1" ht="22.5" customHeight="1" x14ac:dyDescent="0.3">
      <c r="A64" s="32"/>
      <c r="B64" s="41">
        <f>B63+0.001</f>
        <v>4.2040000000000006</v>
      </c>
      <c r="C64" s="51" t="s">
        <v>5180</v>
      </c>
      <c r="D64" s="52" t="s">
        <v>5181</v>
      </c>
      <c r="E64" s="946">
        <v>875452500</v>
      </c>
      <c r="F64" s="947"/>
      <c r="G64" s="948" t="s">
        <v>5425</v>
      </c>
      <c r="H64" s="948"/>
      <c r="I64" s="50">
        <f>+E11</f>
        <v>11</v>
      </c>
      <c r="J64" s="949">
        <v>3.0000000000000001E-3</v>
      </c>
      <c r="K64" s="950"/>
      <c r="L64" s="950"/>
      <c r="M64" s="950"/>
      <c r="N64" s="950"/>
      <c r="O64" s="950"/>
      <c r="P64" s="950"/>
      <c r="Q64" s="950"/>
      <c r="R64" s="950"/>
      <c r="S64" s="950"/>
      <c r="T64" s="950"/>
      <c r="U64" s="950"/>
      <c r="V64" s="950"/>
      <c r="W64" s="951"/>
      <c r="X64" s="43">
        <f>ROUND(((((E64*J64)/12)*I64)+2500)*1.19,)</f>
        <v>2867893</v>
      </c>
      <c r="Y64" s="48"/>
    </row>
    <row r="66" spans="1:25" s="27" customFormat="1" ht="10.199999999999999" x14ac:dyDescent="0.3">
      <c r="A66" s="32"/>
      <c r="B66" s="32"/>
      <c r="C66" s="952" t="s">
        <v>5182</v>
      </c>
      <c r="D66" s="953"/>
      <c r="E66" s="953"/>
      <c r="F66" s="953"/>
      <c r="G66" s="953"/>
      <c r="H66" s="953"/>
      <c r="I66" s="953"/>
      <c r="J66" s="953"/>
      <c r="K66" s="953"/>
      <c r="L66" s="953"/>
      <c r="M66" s="953"/>
      <c r="N66" s="953"/>
      <c r="O66" s="953"/>
      <c r="P66" s="953"/>
      <c r="Q66" s="953"/>
      <c r="R66" s="953"/>
      <c r="S66" s="953"/>
      <c r="T66" s="953"/>
      <c r="U66" s="953"/>
      <c r="V66" s="953"/>
      <c r="W66" s="954"/>
      <c r="X66" s="33">
        <f>SUM(X61:X64)</f>
        <v>96160918</v>
      </c>
    </row>
    <row r="67" spans="1:25" s="27" customFormat="1" ht="10.199999999999999" x14ac:dyDescent="0.3">
      <c r="A67" s="32"/>
      <c r="B67" s="32"/>
      <c r="C67" s="932"/>
      <c r="D67" s="932"/>
      <c r="E67" s="932"/>
      <c r="F67" s="932"/>
      <c r="G67" s="932"/>
      <c r="H67" s="932"/>
      <c r="I67" s="932"/>
      <c r="J67" s="932"/>
      <c r="K67" s="932"/>
      <c r="L67" s="932"/>
      <c r="M67" s="932"/>
      <c r="N67" s="932"/>
      <c r="O67" s="932"/>
      <c r="P67" s="932"/>
      <c r="Q67" s="932"/>
      <c r="R67" s="932"/>
      <c r="S67" s="932"/>
      <c r="T67" s="932"/>
      <c r="U67" s="932"/>
      <c r="V67" s="932"/>
      <c r="W67" s="932"/>
      <c r="X67" s="932"/>
    </row>
    <row r="68" spans="1:25" s="27" customFormat="1" ht="13.5" customHeight="1" x14ac:dyDescent="0.3">
      <c r="A68" s="32"/>
      <c r="B68" s="32"/>
      <c r="C68" s="53" t="s">
        <v>5183</v>
      </c>
      <c r="D68" s="54"/>
      <c r="E68" s="54"/>
      <c r="F68" s="54"/>
      <c r="G68" s="54"/>
      <c r="H68" s="54"/>
      <c r="I68" s="54"/>
      <c r="J68" s="54"/>
      <c r="K68" s="54"/>
      <c r="L68" s="54"/>
      <c r="M68" s="54"/>
      <c r="N68" s="54"/>
      <c r="O68" s="54"/>
      <c r="P68" s="54"/>
      <c r="Q68" s="54"/>
      <c r="R68" s="54"/>
      <c r="S68" s="54"/>
      <c r="T68" s="54"/>
      <c r="U68" s="54"/>
      <c r="V68" s="54"/>
      <c r="W68" s="55"/>
      <c r="X68" s="33">
        <f>(X57+X66)</f>
        <v>1217204918</v>
      </c>
      <c r="Y68" s="588"/>
    </row>
    <row r="69" spans="1:25" s="27" customFormat="1" ht="13.5" customHeight="1" x14ac:dyDescent="0.3">
      <c r="A69" s="32"/>
      <c r="B69" s="32"/>
      <c r="C69" s="53" t="s">
        <v>5184</v>
      </c>
      <c r="D69" s="54"/>
      <c r="E69" s="54"/>
      <c r="F69" s="54"/>
      <c r="G69" s="54"/>
      <c r="H69" s="54"/>
      <c r="I69" s="54"/>
      <c r="J69" s="54"/>
      <c r="K69" s="54"/>
      <c r="L69" s="54"/>
      <c r="M69" s="54"/>
      <c r="N69" s="54"/>
      <c r="O69" s="54"/>
      <c r="P69" s="54"/>
      <c r="Q69" s="54"/>
      <c r="R69" s="54"/>
      <c r="S69" s="54"/>
      <c r="T69" s="54"/>
      <c r="U69" s="54"/>
      <c r="V69" s="54"/>
      <c r="W69" s="55"/>
      <c r="X69" s="506">
        <f>ROUND(X68/E10,4)</f>
        <v>9.0800000000000006E-2</v>
      </c>
    </row>
    <row r="70" spans="1:25" s="27" customFormat="1" ht="10.199999999999999" x14ac:dyDescent="0.3">
      <c r="A70" s="32"/>
      <c r="B70" s="32"/>
      <c r="C70" s="955"/>
      <c r="D70" s="955"/>
      <c r="E70" s="955"/>
      <c r="F70" s="955"/>
      <c r="G70" s="955"/>
      <c r="H70" s="955"/>
      <c r="I70" s="955"/>
      <c r="J70" s="955"/>
      <c r="K70" s="955"/>
      <c r="L70" s="955"/>
      <c r="M70" s="955"/>
      <c r="N70" s="955"/>
      <c r="O70" s="955"/>
      <c r="P70" s="955"/>
      <c r="Q70" s="955"/>
      <c r="R70" s="955"/>
      <c r="S70" s="955"/>
      <c r="T70" s="955"/>
      <c r="U70" s="955"/>
      <c r="V70" s="955"/>
      <c r="W70" s="955"/>
      <c r="X70" s="955"/>
    </row>
    <row r="71" spans="1:25" s="27" customFormat="1" ht="12.75" customHeight="1" x14ac:dyDescent="0.3">
      <c r="A71" s="32"/>
      <c r="B71" s="32"/>
      <c r="C71" s="53" t="s">
        <v>5268</v>
      </c>
      <c r="D71" s="54"/>
      <c r="E71" s="54"/>
      <c r="F71" s="54"/>
      <c r="G71" s="54"/>
      <c r="H71" s="54"/>
      <c r="I71" s="54"/>
      <c r="J71" s="54"/>
      <c r="K71" s="54"/>
      <c r="L71" s="54"/>
      <c r="M71" s="54"/>
      <c r="N71" s="54"/>
      <c r="O71" s="54"/>
      <c r="P71" s="54"/>
      <c r="Q71" s="54"/>
      <c r="R71" s="54"/>
      <c r="S71" s="54"/>
      <c r="T71" s="54"/>
      <c r="U71" s="54"/>
      <c r="V71" s="54"/>
      <c r="W71" s="496"/>
      <c r="X71" s="589">
        <f>+X69+X46</f>
        <v>0.2114</v>
      </c>
      <c r="Y71" s="168"/>
    </row>
    <row r="72" spans="1:25" s="48" customFormat="1" ht="12.75" customHeight="1" x14ac:dyDescent="0.3">
      <c r="A72" s="38"/>
      <c r="B72" s="38"/>
      <c r="C72" s="53" t="s">
        <v>5185</v>
      </c>
      <c r="D72" s="54"/>
      <c r="E72" s="54"/>
      <c r="F72" s="54"/>
      <c r="G72" s="54"/>
      <c r="H72" s="54"/>
      <c r="I72" s="54"/>
      <c r="J72" s="54"/>
      <c r="K72" s="54"/>
      <c r="L72" s="54"/>
      <c r="M72" s="54"/>
      <c r="N72" s="54"/>
      <c r="O72" s="54"/>
      <c r="P72" s="54"/>
      <c r="Q72" s="54"/>
      <c r="R72" s="54"/>
      <c r="S72" s="54"/>
      <c r="T72" s="54"/>
      <c r="U72" s="54"/>
      <c r="V72" s="54"/>
      <c r="W72" s="169"/>
      <c r="X72" s="503">
        <v>0.01</v>
      </c>
    </row>
    <row r="73" spans="1:25" s="48" customFormat="1" ht="12.75" customHeight="1" x14ac:dyDescent="0.3">
      <c r="A73" s="38"/>
      <c r="B73" s="38"/>
      <c r="C73" s="53" t="s">
        <v>5186</v>
      </c>
      <c r="D73" s="54"/>
      <c r="E73" s="54"/>
      <c r="F73" s="54"/>
      <c r="G73" s="54"/>
      <c r="H73" s="54"/>
      <c r="I73" s="54"/>
      <c r="J73" s="54"/>
      <c r="K73" s="54"/>
      <c r="L73" s="54"/>
      <c r="M73" s="54"/>
      <c r="N73" s="54"/>
      <c r="O73" s="54"/>
      <c r="P73" s="54"/>
      <c r="Q73" s="54"/>
      <c r="R73" s="54"/>
      <c r="S73" s="54"/>
      <c r="T73" s="54"/>
      <c r="U73" s="54"/>
      <c r="V73" s="54"/>
      <c r="W73" s="169"/>
      <c r="X73" s="503">
        <v>0.05</v>
      </c>
    </row>
    <row r="74" spans="1:25" s="27" customFormat="1" ht="10.199999999999999" x14ac:dyDescent="0.3">
      <c r="A74" s="32"/>
      <c r="B74" s="32"/>
      <c r="C74" s="932"/>
      <c r="D74" s="932"/>
      <c r="E74" s="932"/>
      <c r="F74" s="932"/>
      <c r="G74" s="932"/>
      <c r="H74" s="932"/>
      <c r="I74" s="932"/>
      <c r="J74" s="932"/>
      <c r="K74" s="932"/>
      <c r="L74" s="932"/>
      <c r="M74" s="932"/>
      <c r="N74" s="932"/>
      <c r="O74" s="932"/>
      <c r="P74" s="932"/>
      <c r="Q74" s="932"/>
      <c r="R74" s="932"/>
      <c r="S74" s="932"/>
      <c r="T74" s="932"/>
      <c r="U74" s="932"/>
      <c r="V74" s="932"/>
      <c r="W74" s="932"/>
      <c r="X74" s="932"/>
      <c r="Y74" s="171"/>
    </row>
    <row r="75" spans="1:25" s="27" customFormat="1" ht="17.25" customHeight="1" x14ac:dyDescent="0.3">
      <c r="A75" s="32"/>
      <c r="B75" s="32"/>
      <c r="C75" s="53" t="s">
        <v>5187</v>
      </c>
      <c r="D75" s="54"/>
      <c r="E75" s="54"/>
      <c r="F75" s="54"/>
      <c r="G75" s="54"/>
      <c r="H75" s="54"/>
      <c r="I75" s="54"/>
      <c r="J75" s="54"/>
      <c r="K75" s="54"/>
      <c r="L75" s="54"/>
      <c r="M75" s="54"/>
      <c r="N75" s="54"/>
      <c r="O75" s="54"/>
      <c r="P75" s="54"/>
      <c r="Q75" s="54"/>
      <c r="R75" s="54"/>
      <c r="S75" s="54"/>
      <c r="T75" s="54"/>
      <c r="U75" s="54"/>
      <c r="V75" s="54"/>
      <c r="W75" s="55"/>
      <c r="X75" s="626">
        <f>+X71+X72+X73</f>
        <v>0.27140000000000003</v>
      </c>
      <c r="Y75" s="173"/>
    </row>
    <row r="76" spans="1:25" s="27" customFormat="1" ht="11.4" x14ac:dyDescent="0.3">
      <c r="A76" s="32"/>
      <c r="B76" s="32"/>
      <c r="C76" s="502"/>
      <c r="D76" s="6">
        <f>ROUND($C$16*C76,)</f>
        <v>0</v>
      </c>
      <c r="E76" s="502"/>
      <c r="F76" s="502"/>
      <c r="G76" s="505"/>
      <c r="H76" s="505"/>
      <c r="I76" s="505"/>
      <c r="J76" s="505"/>
      <c r="K76" s="505"/>
      <c r="L76" s="505"/>
      <c r="M76" s="505"/>
      <c r="N76" s="505"/>
      <c r="O76" s="505"/>
      <c r="P76" s="505"/>
      <c r="Q76" s="505"/>
      <c r="R76" s="505"/>
      <c r="S76" s="505"/>
      <c r="T76" s="505"/>
      <c r="U76" s="505"/>
      <c r="V76" s="505"/>
      <c r="W76" s="505"/>
      <c r="X76" s="504"/>
    </row>
    <row r="77" spans="1:25" s="27" customFormat="1" ht="10.199999999999999" x14ac:dyDescent="0.3">
      <c r="A77" s="32"/>
      <c r="B77" s="32"/>
      <c r="C77" s="177"/>
      <c r="D77" s="933"/>
      <c r="E77" s="933"/>
      <c r="F77" s="933"/>
      <c r="G77" s="933"/>
      <c r="H77" s="933"/>
      <c r="I77" s="933"/>
      <c r="J77" s="933"/>
      <c r="K77" s="933"/>
      <c r="L77" s="933"/>
      <c r="M77" s="933"/>
      <c r="N77" s="933"/>
      <c r="O77" s="933"/>
      <c r="P77" s="933"/>
      <c r="Q77" s="933"/>
      <c r="R77" s="933"/>
      <c r="S77" s="933"/>
      <c r="T77" s="933"/>
      <c r="U77" s="933"/>
      <c r="V77" s="933"/>
      <c r="W77" s="933"/>
      <c r="X77" s="934"/>
      <c r="Y77" s="178"/>
    </row>
    <row r="78" spans="1:25" s="27" customFormat="1" ht="10.199999999999999" x14ac:dyDescent="0.3">
      <c r="A78" s="32"/>
      <c r="B78" s="32"/>
      <c r="C78" s="179" t="s">
        <v>5269</v>
      </c>
      <c r="D78" s="935" t="s">
        <v>5270</v>
      </c>
      <c r="E78" s="935"/>
      <c r="F78" s="935"/>
      <c r="G78" s="935"/>
      <c r="H78" s="935"/>
      <c r="I78" s="935"/>
      <c r="J78" s="935"/>
      <c r="K78" s="935"/>
      <c r="L78" s="935"/>
      <c r="M78" s="935"/>
      <c r="N78" s="935"/>
      <c r="O78" s="935"/>
      <c r="P78" s="935"/>
      <c r="Q78" s="935"/>
      <c r="R78" s="935"/>
      <c r="S78" s="935"/>
      <c r="T78" s="935"/>
      <c r="U78" s="935"/>
      <c r="V78" s="935"/>
      <c r="W78" s="935"/>
      <c r="X78" s="936"/>
    </row>
    <row r="79" spans="1:25" s="27" customFormat="1" ht="10.199999999999999" x14ac:dyDescent="0.3">
      <c r="A79" s="32"/>
      <c r="B79" s="32"/>
      <c r="C79" s="180"/>
      <c r="D79" s="937"/>
      <c r="E79" s="937"/>
      <c r="F79" s="937"/>
      <c r="G79" s="937"/>
      <c r="H79" s="937"/>
      <c r="I79" s="937"/>
      <c r="J79" s="937"/>
      <c r="K79" s="937"/>
      <c r="L79" s="937"/>
      <c r="M79" s="937"/>
      <c r="N79" s="937"/>
      <c r="O79" s="937"/>
      <c r="P79" s="937"/>
      <c r="Q79" s="937"/>
      <c r="R79" s="937"/>
      <c r="S79" s="937"/>
      <c r="T79" s="937"/>
      <c r="U79" s="937"/>
      <c r="V79" s="937"/>
      <c r="W79" s="937"/>
      <c r="X79" s="938"/>
    </row>
    <row r="80" spans="1:25" x14ac:dyDescent="0.3">
      <c r="G80" s="525"/>
    </row>
    <row r="82" spans="3:3" ht="14.4" x14ac:dyDescent="0.3">
      <c r="C82" s="181"/>
    </row>
  </sheetData>
  <mergeCells count="107">
    <mergeCell ref="B2:C2"/>
    <mergeCell ref="E2:H2"/>
    <mergeCell ref="J2:X7"/>
    <mergeCell ref="B3:C3"/>
    <mergeCell ref="E3:H3"/>
    <mergeCell ref="B4:I4"/>
    <mergeCell ref="B5:I5"/>
    <mergeCell ref="B6:I6"/>
    <mergeCell ref="B7:I7"/>
    <mergeCell ref="A13:A16"/>
    <mergeCell ref="B13:B16"/>
    <mergeCell ref="C13:X13"/>
    <mergeCell ref="C14:X14"/>
    <mergeCell ref="C15:D16"/>
    <mergeCell ref="F15:F16"/>
    <mergeCell ref="G15:H15"/>
    <mergeCell ref="G16:H16"/>
    <mergeCell ref="B8:C8"/>
    <mergeCell ref="D8:X8"/>
    <mergeCell ref="B10:D10"/>
    <mergeCell ref="E10:G10"/>
    <mergeCell ref="J10:X10"/>
    <mergeCell ref="B11:D11"/>
    <mergeCell ref="F11:G11"/>
    <mergeCell ref="J11:X11"/>
    <mergeCell ref="G22:H22"/>
    <mergeCell ref="C23:D23"/>
    <mergeCell ref="G23:H23"/>
    <mergeCell ref="C25:D25"/>
    <mergeCell ref="G25:H25"/>
    <mergeCell ref="C18:D18"/>
    <mergeCell ref="G18:H18"/>
    <mergeCell ref="C19:D19"/>
    <mergeCell ref="G19:H19"/>
    <mergeCell ref="C28:D28"/>
    <mergeCell ref="G28:H28"/>
    <mergeCell ref="C29:D29"/>
    <mergeCell ref="G29:H29"/>
    <mergeCell ref="C31:D31"/>
    <mergeCell ref="G31:H31"/>
    <mergeCell ref="C26:D26"/>
    <mergeCell ref="G26:H26"/>
    <mergeCell ref="C27:D27"/>
    <mergeCell ref="G27:H27"/>
    <mergeCell ref="C36:D36"/>
    <mergeCell ref="G36:H36"/>
    <mergeCell ref="C37:D37"/>
    <mergeCell ref="G37:H37"/>
    <mergeCell ref="C38:D38"/>
    <mergeCell ref="G38:H38"/>
    <mergeCell ref="C41:D41"/>
    <mergeCell ref="G41:H41"/>
    <mergeCell ref="C32:D32"/>
    <mergeCell ref="G32:H32"/>
    <mergeCell ref="C33:W33"/>
    <mergeCell ref="C34:X34"/>
    <mergeCell ref="C35:D35"/>
    <mergeCell ref="G35:H35"/>
    <mergeCell ref="C44:X44"/>
    <mergeCell ref="G47:H47"/>
    <mergeCell ref="G48:H48"/>
    <mergeCell ref="B49:X49"/>
    <mergeCell ref="C50:X50"/>
    <mergeCell ref="C52:D52"/>
    <mergeCell ref="G52:H52"/>
    <mergeCell ref="J52:W52"/>
    <mergeCell ref="C39:D39"/>
    <mergeCell ref="G39:H39"/>
    <mergeCell ref="C40:D40"/>
    <mergeCell ref="G40:H40"/>
    <mergeCell ref="C42:D42"/>
    <mergeCell ref="G42:H42"/>
    <mergeCell ref="J63:W63"/>
    <mergeCell ref="J56:W56"/>
    <mergeCell ref="C57:W57"/>
    <mergeCell ref="C59:X59"/>
    <mergeCell ref="C60:D60"/>
    <mergeCell ref="E60:F60"/>
    <mergeCell ref="G60:H60"/>
    <mergeCell ref="J60:W60"/>
    <mergeCell ref="J53:W53"/>
    <mergeCell ref="J54:W54"/>
    <mergeCell ref="J55:W55"/>
    <mergeCell ref="C74:X74"/>
    <mergeCell ref="D77:X77"/>
    <mergeCell ref="D78:X78"/>
    <mergeCell ref="D79:X79"/>
    <mergeCell ref="M15:V15"/>
    <mergeCell ref="C21:D21"/>
    <mergeCell ref="C22:D22"/>
    <mergeCell ref="G20:H20"/>
    <mergeCell ref="G21:H21"/>
    <mergeCell ref="E64:F64"/>
    <mergeCell ref="G64:H64"/>
    <mergeCell ref="J64:W64"/>
    <mergeCell ref="C66:W66"/>
    <mergeCell ref="C67:X67"/>
    <mergeCell ref="C70:X70"/>
    <mergeCell ref="D61:D63"/>
    <mergeCell ref="E61:F61"/>
    <mergeCell ref="G61:H61"/>
    <mergeCell ref="J61:W61"/>
    <mergeCell ref="E62:F62"/>
    <mergeCell ref="G62:H62"/>
    <mergeCell ref="J62:W62"/>
    <mergeCell ref="E63:F63"/>
    <mergeCell ref="G63:H63"/>
  </mergeCells>
  <printOptions horizontalCentered="1"/>
  <pageMargins left="0.31496062992125984" right="0.31496062992125984" top="0.39370078740157483" bottom="0.39370078740157483" header="0.31496062992125984" footer="0.31496062992125984"/>
  <pageSetup scale="39" orientation="portrait" r:id="rId1"/>
  <ignoredErrors>
    <ignoredError sqref="W25 W26:W29" formulaRange="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4C861-9A86-4734-B912-1E04A99E2863}">
  <sheetPr>
    <tabColor theme="8" tint="0.39997558519241921"/>
  </sheetPr>
  <dimension ref="B1:R118"/>
  <sheetViews>
    <sheetView showGridLines="0" topLeftCell="A3" zoomScale="70" zoomScaleNormal="70" zoomScaleSheetLayoutView="100" workbookViewId="0">
      <selection activeCell="H14" sqref="H14"/>
    </sheetView>
  </sheetViews>
  <sheetFormatPr baseColWidth="10" defaultRowHeight="13.8" x14ac:dyDescent="0.3"/>
  <cols>
    <col min="1" max="1" width="1.6640625" style="188" customWidth="1"/>
    <col min="2" max="2" width="8.109375" style="188" customWidth="1"/>
    <col min="3" max="3" width="6.44140625" style="188" customWidth="1"/>
    <col min="4" max="5" width="11.5546875" style="188"/>
    <col min="6" max="6" width="19.33203125" style="188" customWidth="1"/>
    <col min="7" max="7" width="62" style="188" customWidth="1"/>
    <col min="8" max="8" width="14.77734375" style="242" customWidth="1"/>
    <col min="9" max="9" width="5.88671875" style="188" customWidth="1"/>
    <col min="10" max="10" width="12" style="188" customWidth="1"/>
    <col min="11" max="11" width="7.5546875" style="188" bestFit="1" customWidth="1"/>
    <col min="12" max="12" width="7.5546875" style="188" customWidth="1"/>
    <col min="13" max="13" width="13.6640625" style="188" customWidth="1"/>
    <col min="14" max="14" width="8.88671875" style="188" customWidth="1"/>
    <col min="15" max="15" width="19.5546875" style="273" customWidth="1"/>
    <col min="16" max="16" width="11.88671875" style="191" customWidth="1"/>
    <col min="17" max="17" width="17.5546875" style="188" customWidth="1"/>
    <col min="18" max="18" width="14.33203125" style="188" bestFit="1" customWidth="1"/>
    <col min="19" max="256" width="11.5546875" style="188"/>
    <col min="257" max="257" width="1.6640625" style="188" customWidth="1"/>
    <col min="258" max="258" width="8.109375" style="188" customWidth="1"/>
    <col min="259" max="259" width="6.44140625" style="188" customWidth="1"/>
    <col min="260" max="261" width="11.5546875" style="188"/>
    <col min="262" max="262" width="19.33203125" style="188" customWidth="1"/>
    <col min="263" max="263" width="51.33203125" style="188" customWidth="1"/>
    <col min="264" max="264" width="9.109375" style="188" customWidth="1"/>
    <col min="265" max="265" width="5.88671875" style="188" customWidth="1"/>
    <col min="266" max="266" width="7.6640625" style="188" customWidth="1"/>
    <col min="267" max="267" width="7.5546875" style="188" bestFit="1" customWidth="1"/>
    <col min="268" max="268" width="7.5546875" style="188" customWidth="1"/>
    <col min="269" max="269" width="13.6640625" style="188" customWidth="1"/>
    <col min="270" max="270" width="8.88671875" style="188" customWidth="1"/>
    <col min="271" max="271" width="19.5546875" style="188" customWidth="1"/>
    <col min="272" max="272" width="20.33203125" style="188" customWidth="1"/>
    <col min="273" max="273" width="14.88671875" style="188" customWidth="1"/>
    <col min="274" max="274" width="14.33203125" style="188" bestFit="1" customWidth="1"/>
    <col min="275" max="512" width="11.5546875" style="188"/>
    <col min="513" max="513" width="1.6640625" style="188" customWidth="1"/>
    <col min="514" max="514" width="8.109375" style="188" customWidth="1"/>
    <col min="515" max="515" width="6.44140625" style="188" customWidth="1"/>
    <col min="516" max="517" width="11.5546875" style="188"/>
    <col min="518" max="518" width="19.33203125" style="188" customWidth="1"/>
    <col min="519" max="519" width="51.33203125" style="188" customWidth="1"/>
    <col min="520" max="520" width="9.109375" style="188" customWidth="1"/>
    <col min="521" max="521" width="5.88671875" style="188" customWidth="1"/>
    <col min="522" max="522" width="7.6640625" style="188" customWidth="1"/>
    <col min="523" max="523" width="7.5546875" style="188" bestFit="1" customWidth="1"/>
    <col min="524" max="524" width="7.5546875" style="188" customWidth="1"/>
    <col min="525" max="525" width="13.6640625" style="188" customWidth="1"/>
    <col min="526" max="526" width="8.88671875" style="188" customWidth="1"/>
    <col min="527" max="527" width="19.5546875" style="188" customWidth="1"/>
    <col min="528" max="528" width="20.33203125" style="188" customWidth="1"/>
    <col min="529" max="529" width="14.88671875" style="188" customWidth="1"/>
    <col min="530" max="530" width="14.33203125" style="188" bestFit="1" customWidth="1"/>
    <col min="531" max="768" width="11.5546875" style="188"/>
    <col min="769" max="769" width="1.6640625" style="188" customWidth="1"/>
    <col min="770" max="770" width="8.109375" style="188" customWidth="1"/>
    <col min="771" max="771" width="6.44140625" style="188" customWidth="1"/>
    <col min="772" max="773" width="11.5546875" style="188"/>
    <col min="774" max="774" width="19.33203125" style="188" customWidth="1"/>
    <col min="775" max="775" width="51.33203125" style="188" customWidth="1"/>
    <col min="776" max="776" width="9.109375" style="188" customWidth="1"/>
    <col min="777" max="777" width="5.88671875" style="188" customWidth="1"/>
    <col min="778" max="778" width="7.6640625" style="188" customWidth="1"/>
    <col min="779" max="779" width="7.5546875" style="188" bestFit="1" customWidth="1"/>
    <col min="780" max="780" width="7.5546875" style="188" customWidth="1"/>
    <col min="781" max="781" width="13.6640625" style="188" customWidth="1"/>
    <col min="782" max="782" width="8.88671875" style="188" customWidth="1"/>
    <col min="783" max="783" width="19.5546875" style="188" customWidth="1"/>
    <col min="784" max="784" width="20.33203125" style="188" customWidth="1"/>
    <col min="785" max="785" width="14.88671875" style="188" customWidth="1"/>
    <col min="786" max="786" width="14.33203125" style="188" bestFit="1" customWidth="1"/>
    <col min="787" max="1024" width="11.5546875" style="188"/>
    <col min="1025" max="1025" width="1.6640625" style="188" customWidth="1"/>
    <col min="1026" max="1026" width="8.109375" style="188" customWidth="1"/>
    <col min="1027" max="1027" width="6.44140625" style="188" customWidth="1"/>
    <col min="1028" max="1029" width="11.5546875" style="188"/>
    <col min="1030" max="1030" width="19.33203125" style="188" customWidth="1"/>
    <col min="1031" max="1031" width="51.33203125" style="188" customWidth="1"/>
    <col min="1032" max="1032" width="9.109375" style="188" customWidth="1"/>
    <col min="1033" max="1033" width="5.88671875" style="188" customWidth="1"/>
    <col min="1034" max="1034" width="7.6640625" style="188" customWidth="1"/>
    <col min="1035" max="1035" width="7.5546875" style="188" bestFit="1" customWidth="1"/>
    <col min="1036" max="1036" width="7.5546875" style="188" customWidth="1"/>
    <col min="1037" max="1037" width="13.6640625" style="188" customWidth="1"/>
    <col min="1038" max="1038" width="8.88671875" style="188" customWidth="1"/>
    <col min="1039" max="1039" width="19.5546875" style="188" customWidth="1"/>
    <col min="1040" max="1040" width="20.33203125" style="188" customWidth="1"/>
    <col min="1041" max="1041" width="14.88671875" style="188" customWidth="1"/>
    <col min="1042" max="1042" width="14.33203125" style="188" bestFit="1" customWidth="1"/>
    <col min="1043" max="1280" width="11.5546875" style="188"/>
    <col min="1281" max="1281" width="1.6640625" style="188" customWidth="1"/>
    <col min="1282" max="1282" width="8.109375" style="188" customWidth="1"/>
    <col min="1283" max="1283" width="6.44140625" style="188" customWidth="1"/>
    <col min="1284" max="1285" width="11.5546875" style="188"/>
    <col min="1286" max="1286" width="19.33203125" style="188" customWidth="1"/>
    <col min="1287" max="1287" width="51.33203125" style="188" customWidth="1"/>
    <col min="1288" max="1288" width="9.109375" style="188" customWidth="1"/>
    <col min="1289" max="1289" width="5.88671875" style="188" customWidth="1"/>
    <col min="1290" max="1290" width="7.6640625" style="188" customWidth="1"/>
    <col min="1291" max="1291" width="7.5546875" style="188" bestFit="1" customWidth="1"/>
    <col min="1292" max="1292" width="7.5546875" style="188" customWidth="1"/>
    <col min="1293" max="1293" width="13.6640625" style="188" customWidth="1"/>
    <col min="1294" max="1294" width="8.88671875" style="188" customWidth="1"/>
    <col min="1295" max="1295" width="19.5546875" style="188" customWidth="1"/>
    <col min="1296" max="1296" width="20.33203125" style="188" customWidth="1"/>
    <col min="1297" max="1297" width="14.88671875" style="188" customWidth="1"/>
    <col min="1298" max="1298" width="14.33203125" style="188" bestFit="1" customWidth="1"/>
    <col min="1299" max="1536" width="11.5546875" style="188"/>
    <col min="1537" max="1537" width="1.6640625" style="188" customWidth="1"/>
    <col min="1538" max="1538" width="8.109375" style="188" customWidth="1"/>
    <col min="1539" max="1539" width="6.44140625" style="188" customWidth="1"/>
    <col min="1540" max="1541" width="11.5546875" style="188"/>
    <col min="1542" max="1542" width="19.33203125" style="188" customWidth="1"/>
    <col min="1543" max="1543" width="51.33203125" style="188" customWidth="1"/>
    <col min="1544" max="1544" width="9.109375" style="188" customWidth="1"/>
    <col min="1545" max="1545" width="5.88671875" style="188" customWidth="1"/>
    <col min="1546" max="1546" width="7.6640625" style="188" customWidth="1"/>
    <col min="1547" max="1547" width="7.5546875" style="188" bestFit="1" customWidth="1"/>
    <col min="1548" max="1548" width="7.5546875" style="188" customWidth="1"/>
    <col min="1549" max="1549" width="13.6640625" style="188" customWidth="1"/>
    <col min="1550" max="1550" width="8.88671875" style="188" customWidth="1"/>
    <col min="1551" max="1551" width="19.5546875" style="188" customWidth="1"/>
    <col min="1552" max="1552" width="20.33203125" style="188" customWidth="1"/>
    <col min="1553" max="1553" width="14.88671875" style="188" customWidth="1"/>
    <col min="1554" max="1554" width="14.33203125" style="188" bestFit="1" customWidth="1"/>
    <col min="1555" max="1792" width="11.5546875" style="188"/>
    <col min="1793" max="1793" width="1.6640625" style="188" customWidth="1"/>
    <col min="1794" max="1794" width="8.109375" style="188" customWidth="1"/>
    <col min="1795" max="1795" width="6.44140625" style="188" customWidth="1"/>
    <col min="1796" max="1797" width="11.5546875" style="188"/>
    <col min="1798" max="1798" width="19.33203125" style="188" customWidth="1"/>
    <col min="1799" max="1799" width="51.33203125" style="188" customWidth="1"/>
    <col min="1800" max="1800" width="9.109375" style="188" customWidth="1"/>
    <col min="1801" max="1801" width="5.88671875" style="188" customWidth="1"/>
    <col min="1802" max="1802" width="7.6640625" style="188" customWidth="1"/>
    <col min="1803" max="1803" width="7.5546875" style="188" bestFit="1" customWidth="1"/>
    <col min="1804" max="1804" width="7.5546875" style="188" customWidth="1"/>
    <col min="1805" max="1805" width="13.6640625" style="188" customWidth="1"/>
    <col min="1806" max="1806" width="8.88671875" style="188" customWidth="1"/>
    <col min="1807" max="1807" width="19.5546875" style="188" customWidth="1"/>
    <col min="1808" max="1808" width="20.33203125" style="188" customWidth="1"/>
    <col min="1809" max="1809" width="14.88671875" style="188" customWidth="1"/>
    <col min="1810" max="1810" width="14.33203125" style="188" bestFit="1" customWidth="1"/>
    <col min="1811" max="2048" width="11.5546875" style="188"/>
    <col min="2049" max="2049" width="1.6640625" style="188" customWidth="1"/>
    <col min="2050" max="2050" width="8.109375" style="188" customWidth="1"/>
    <col min="2051" max="2051" width="6.44140625" style="188" customWidth="1"/>
    <col min="2052" max="2053" width="11.5546875" style="188"/>
    <col min="2054" max="2054" width="19.33203125" style="188" customWidth="1"/>
    <col min="2055" max="2055" width="51.33203125" style="188" customWidth="1"/>
    <col min="2056" max="2056" width="9.109375" style="188" customWidth="1"/>
    <col min="2057" max="2057" width="5.88671875" style="188" customWidth="1"/>
    <col min="2058" max="2058" width="7.6640625" style="188" customWidth="1"/>
    <col min="2059" max="2059" width="7.5546875" style="188" bestFit="1" customWidth="1"/>
    <col min="2060" max="2060" width="7.5546875" style="188" customWidth="1"/>
    <col min="2061" max="2061" width="13.6640625" style="188" customWidth="1"/>
    <col min="2062" max="2062" width="8.88671875" style="188" customWidth="1"/>
    <col min="2063" max="2063" width="19.5546875" style="188" customWidth="1"/>
    <col min="2064" max="2064" width="20.33203125" style="188" customWidth="1"/>
    <col min="2065" max="2065" width="14.88671875" style="188" customWidth="1"/>
    <col min="2066" max="2066" width="14.33203125" style="188" bestFit="1" customWidth="1"/>
    <col min="2067" max="2304" width="11.5546875" style="188"/>
    <col min="2305" max="2305" width="1.6640625" style="188" customWidth="1"/>
    <col min="2306" max="2306" width="8.109375" style="188" customWidth="1"/>
    <col min="2307" max="2307" width="6.44140625" style="188" customWidth="1"/>
    <col min="2308" max="2309" width="11.5546875" style="188"/>
    <col min="2310" max="2310" width="19.33203125" style="188" customWidth="1"/>
    <col min="2311" max="2311" width="51.33203125" style="188" customWidth="1"/>
    <col min="2312" max="2312" width="9.109375" style="188" customWidth="1"/>
    <col min="2313" max="2313" width="5.88671875" style="188" customWidth="1"/>
    <col min="2314" max="2314" width="7.6640625" style="188" customWidth="1"/>
    <col min="2315" max="2315" width="7.5546875" style="188" bestFit="1" customWidth="1"/>
    <col min="2316" max="2316" width="7.5546875" style="188" customWidth="1"/>
    <col min="2317" max="2317" width="13.6640625" style="188" customWidth="1"/>
    <col min="2318" max="2318" width="8.88671875" style="188" customWidth="1"/>
    <col min="2319" max="2319" width="19.5546875" style="188" customWidth="1"/>
    <col min="2320" max="2320" width="20.33203125" style="188" customWidth="1"/>
    <col min="2321" max="2321" width="14.88671875" style="188" customWidth="1"/>
    <col min="2322" max="2322" width="14.33203125" style="188" bestFit="1" customWidth="1"/>
    <col min="2323" max="2560" width="11.5546875" style="188"/>
    <col min="2561" max="2561" width="1.6640625" style="188" customWidth="1"/>
    <col min="2562" max="2562" width="8.109375" style="188" customWidth="1"/>
    <col min="2563" max="2563" width="6.44140625" style="188" customWidth="1"/>
    <col min="2564" max="2565" width="11.5546875" style="188"/>
    <col min="2566" max="2566" width="19.33203125" style="188" customWidth="1"/>
    <col min="2567" max="2567" width="51.33203125" style="188" customWidth="1"/>
    <col min="2568" max="2568" width="9.109375" style="188" customWidth="1"/>
    <col min="2569" max="2569" width="5.88671875" style="188" customWidth="1"/>
    <col min="2570" max="2570" width="7.6640625" style="188" customWidth="1"/>
    <col min="2571" max="2571" width="7.5546875" style="188" bestFit="1" customWidth="1"/>
    <col min="2572" max="2572" width="7.5546875" style="188" customWidth="1"/>
    <col min="2573" max="2573" width="13.6640625" style="188" customWidth="1"/>
    <col min="2574" max="2574" width="8.88671875" style="188" customWidth="1"/>
    <col min="2575" max="2575" width="19.5546875" style="188" customWidth="1"/>
    <col min="2576" max="2576" width="20.33203125" style="188" customWidth="1"/>
    <col min="2577" max="2577" width="14.88671875" style="188" customWidth="1"/>
    <col min="2578" max="2578" width="14.33203125" style="188" bestFit="1" customWidth="1"/>
    <col min="2579" max="2816" width="11.5546875" style="188"/>
    <col min="2817" max="2817" width="1.6640625" style="188" customWidth="1"/>
    <col min="2818" max="2818" width="8.109375" style="188" customWidth="1"/>
    <col min="2819" max="2819" width="6.44140625" style="188" customWidth="1"/>
    <col min="2820" max="2821" width="11.5546875" style="188"/>
    <col min="2822" max="2822" width="19.33203125" style="188" customWidth="1"/>
    <col min="2823" max="2823" width="51.33203125" style="188" customWidth="1"/>
    <col min="2824" max="2824" width="9.109375" style="188" customWidth="1"/>
    <col min="2825" max="2825" width="5.88671875" style="188" customWidth="1"/>
    <col min="2826" max="2826" width="7.6640625" style="188" customWidth="1"/>
    <col min="2827" max="2827" width="7.5546875" style="188" bestFit="1" customWidth="1"/>
    <col min="2828" max="2828" width="7.5546875" style="188" customWidth="1"/>
    <col min="2829" max="2829" width="13.6640625" style="188" customWidth="1"/>
    <col min="2830" max="2830" width="8.88671875" style="188" customWidth="1"/>
    <col min="2831" max="2831" width="19.5546875" style="188" customWidth="1"/>
    <col min="2832" max="2832" width="20.33203125" style="188" customWidth="1"/>
    <col min="2833" max="2833" width="14.88671875" style="188" customWidth="1"/>
    <col min="2834" max="2834" width="14.33203125" style="188" bestFit="1" customWidth="1"/>
    <col min="2835" max="3072" width="11.5546875" style="188"/>
    <col min="3073" max="3073" width="1.6640625" style="188" customWidth="1"/>
    <col min="3074" max="3074" width="8.109375" style="188" customWidth="1"/>
    <col min="3075" max="3075" width="6.44140625" style="188" customWidth="1"/>
    <col min="3076" max="3077" width="11.5546875" style="188"/>
    <col min="3078" max="3078" width="19.33203125" style="188" customWidth="1"/>
    <col min="3079" max="3079" width="51.33203125" style="188" customWidth="1"/>
    <col min="3080" max="3080" width="9.109375" style="188" customWidth="1"/>
    <col min="3081" max="3081" width="5.88671875" style="188" customWidth="1"/>
    <col min="3082" max="3082" width="7.6640625" style="188" customWidth="1"/>
    <col min="3083" max="3083" width="7.5546875" style="188" bestFit="1" customWidth="1"/>
    <col min="3084" max="3084" width="7.5546875" style="188" customWidth="1"/>
    <col min="3085" max="3085" width="13.6640625" style="188" customWidth="1"/>
    <col min="3086" max="3086" width="8.88671875" style="188" customWidth="1"/>
    <col min="3087" max="3087" width="19.5546875" style="188" customWidth="1"/>
    <col min="3088" max="3088" width="20.33203125" style="188" customWidth="1"/>
    <col min="3089" max="3089" width="14.88671875" style="188" customWidth="1"/>
    <col min="3090" max="3090" width="14.33203125" style="188" bestFit="1" customWidth="1"/>
    <col min="3091" max="3328" width="11.5546875" style="188"/>
    <col min="3329" max="3329" width="1.6640625" style="188" customWidth="1"/>
    <col min="3330" max="3330" width="8.109375" style="188" customWidth="1"/>
    <col min="3331" max="3331" width="6.44140625" style="188" customWidth="1"/>
    <col min="3332" max="3333" width="11.5546875" style="188"/>
    <col min="3334" max="3334" width="19.33203125" style="188" customWidth="1"/>
    <col min="3335" max="3335" width="51.33203125" style="188" customWidth="1"/>
    <col min="3336" max="3336" width="9.109375" style="188" customWidth="1"/>
    <col min="3337" max="3337" width="5.88671875" style="188" customWidth="1"/>
    <col min="3338" max="3338" width="7.6640625" style="188" customWidth="1"/>
    <col min="3339" max="3339" width="7.5546875" style="188" bestFit="1" customWidth="1"/>
    <col min="3340" max="3340" width="7.5546875" style="188" customWidth="1"/>
    <col min="3341" max="3341" width="13.6640625" style="188" customWidth="1"/>
    <col min="3342" max="3342" width="8.88671875" style="188" customWidth="1"/>
    <col min="3343" max="3343" width="19.5546875" style="188" customWidth="1"/>
    <col min="3344" max="3344" width="20.33203125" style="188" customWidth="1"/>
    <col min="3345" max="3345" width="14.88671875" style="188" customWidth="1"/>
    <col min="3346" max="3346" width="14.33203125" style="188" bestFit="1" customWidth="1"/>
    <col min="3347" max="3584" width="11.5546875" style="188"/>
    <col min="3585" max="3585" width="1.6640625" style="188" customWidth="1"/>
    <col min="3586" max="3586" width="8.109375" style="188" customWidth="1"/>
    <col min="3587" max="3587" width="6.44140625" style="188" customWidth="1"/>
    <col min="3588" max="3589" width="11.5546875" style="188"/>
    <col min="3590" max="3590" width="19.33203125" style="188" customWidth="1"/>
    <col min="3591" max="3591" width="51.33203125" style="188" customWidth="1"/>
    <col min="3592" max="3592" width="9.109375" style="188" customWidth="1"/>
    <col min="3593" max="3593" width="5.88671875" style="188" customWidth="1"/>
    <col min="3594" max="3594" width="7.6640625" style="188" customWidth="1"/>
    <col min="3595" max="3595" width="7.5546875" style="188" bestFit="1" customWidth="1"/>
    <col min="3596" max="3596" width="7.5546875" style="188" customWidth="1"/>
    <col min="3597" max="3597" width="13.6640625" style="188" customWidth="1"/>
    <col min="3598" max="3598" width="8.88671875" style="188" customWidth="1"/>
    <col min="3599" max="3599" width="19.5546875" style="188" customWidth="1"/>
    <col min="3600" max="3600" width="20.33203125" style="188" customWidth="1"/>
    <col min="3601" max="3601" width="14.88671875" style="188" customWidth="1"/>
    <col min="3602" max="3602" width="14.33203125" style="188" bestFit="1" customWidth="1"/>
    <col min="3603" max="3840" width="11.5546875" style="188"/>
    <col min="3841" max="3841" width="1.6640625" style="188" customWidth="1"/>
    <col min="3842" max="3842" width="8.109375" style="188" customWidth="1"/>
    <col min="3843" max="3843" width="6.44140625" style="188" customWidth="1"/>
    <col min="3844" max="3845" width="11.5546875" style="188"/>
    <col min="3846" max="3846" width="19.33203125" style="188" customWidth="1"/>
    <col min="3847" max="3847" width="51.33203125" style="188" customWidth="1"/>
    <col min="3848" max="3848" width="9.109375" style="188" customWidth="1"/>
    <col min="3849" max="3849" width="5.88671875" style="188" customWidth="1"/>
    <col min="3850" max="3850" width="7.6640625" style="188" customWidth="1"/>
    <col min="3851" max="3851" width="7.5546875" style="188" bestFit="1" customWidth="1"/>
    <col min="3852" max="3852" width="7.5546875" style="188" customWidth="1"/>
    <col min="3853" max="3853" width="13.6640625" style="188" customWidth="1"/>
    <col min="3854" max="3854" width="8.88671875" style="188" customWidth="1"/>
    <col min="3855" max="3855" width="19.5546875" style="188" customWidth="1"/>
    <col min="3856" max="3856" width="20.33203125" style="188" customWidth="1"/>
    <col min="3857" max="3857" width="14.88671875" style="188" customWidth="1"/>
    <col min="3858" max="3858" width="14.33203125" style="188" bestFit="1" customWidth="1"/>
    <col min="3859" max="4096" width="11.5546875" style="188"/>
    <col min="4097" max="4097" width="1.6640625" style="188" customWidth="1"/>
    <col min="4098" max="4098" width="8.109375" style="188" customWidth="1"/>
    <col min="4099" max="4099" width="6.44140625" style="188" customWidth="1"/>
    <col min="4100" max="4101" width="11.5546875" style="188"/>
    <col min="4102" max="4102" width="19.33203125" style="188" customWidth="1"/>
    <col min="4103" max="4103" width="51.33203125" style="188" customWidth="1"/>
    <col min="4104" max="4104" width="9.109375" style="188" customWidth="1"/>
    <col min="4105" max="4105" width="5.88671875" style="188" customWidth="1"/>
    <col min="4106" max="4106" width="7.6640625" style="188" customWidth="1"/>
    <col min="4107" max="4107" width="7.5546875" style="188" bestFit="1" customWidth="1"/>
    <col min="4108" max="4108" width="7.5546875" style="188" customWidth="1"/>
    <col min="4109" max="4109" width="13.6640625" style="188" customWidth="1"/>
    <col min="4110" max="4110" width="8.88671875" style="188" customWidth="1"/>
    <col min="4111" max="4111" width="19.5546875" style="188" customWidth="1"/>
    <col min="4112" max="4112" width="20.33203125" style="188" customWidth="1"/>
    <col min="4113" max="4113" width="14.88671875" style="188" customWidth="1"/>
    <col min="4114" max="4114" width="14.33203125" style="188" bestFit="1" customWidth="1"/>
    <col min="4115" max="4352" width="11.5546875" style="188"/>
    <col min="4353" max="4353" width="1.6640625" style="188" customWidth="1"/>
    <col min="4354" max="4354" width="8.109375" style="188" customWidth="1"/>
    <col min="4355" max="4355" width="6.44140625" style="188" customWidth="1"/>
    <col min="4356" max="4357" width="11.5546875" style="188"/>
    <col min="4358" max="4358" width="19.33203125" style="188" customWidth="1"/>
    <col min="4359" max="4359" width="51.33203125" style="188" customWidth="1"/>
    <col min="4360" max="4360" width="9.109375" style="188" customWidth="1"/>
    <col min="4361" max="4361" width="5.88671875" style="188" customWidth="1"/>
    <col min="4362" max="4362" width="7.6640625" style="188" customWidth="1"/>
    <col min="4363" max="4363" width="7.5546875" style="188" bestFit="1" customWidth="1"/>
    <col min="4364" max="4364" width="7.5546875" style="188" customWidth="1"/>
    <col min="4365" max="4365" width="13.6640625" style="188" customWidth="1"/>
    <col min="4366" max="4366" width="8.88671875" style="188" customWidth="1"/>
    <col min="4367" max="4367" width="19.5546875" style="188" customWidth="1"/>
    <col min="4368" max="4368" width="20.33203125" style="188" customWidth="1"/>
    <col min="4369" max="4369" width="14.88671875" style="188" customWidth="1"/>
    <col min="4370" max="4370" width="14.33203125" style="188" bestFit="1" customWidth="1"/>
    <col min="4371" max="4608" width="11.5546875" style="188"/>
    <col min="4609" max="4609" width="1.6640625" style="188" customWidth="1"/>
    <col min="4610" max="4610" width="8.109375" style="188" customWidth="1"/>
    <col min="4611" max="4611" width="6.44140625" style="188" customWidth="1"/>
    <col min="4612" max="4613" width="11.5546875" style="188"/>
    <col min="4614" max="4614" width="19.33203125" style="188" customWidth="1"/>
    <col min="4615" max="4615" width="51.33203125" style="188" customWidth="1"/>
    <col min="4616" max="4616" width="9.109375" style="188" customWidth="1"/>
    <col min="4617" max="4617" width="5.88671875" style="188" customWidth="1"/>
    <col min="4618" max="4618" width="7.6640625" style="188" customWidth="1"/>
    <col min="4619" max="4619" width="7.5546875" style="188" bestFit="1" customWidth="1"/>
    <col min="4620" max="4620" width="7.5546875" style="188" customWidth="1"/>
    <col min="4621" max="4621" width="13.6640625" style="188" customWidth="1"/>
    <col min="4622" max="4622" width="8.88671875" style="188" customWidth="1"/>
    <col min="4623" max="4623" width="19.5546875" style="188" customWidth="1"/>
    <col min="4624" max="4624" width="20.33203125" style="188" customWidth="1"/>
    <col min="4625" max="4625" width="14.88671875" style="188" customWidth="1"/>
    <col min="4626" max="4626" width="14.33203125" style="188" bestFit="1" customWidth="1"/>
    <col min="4627" max="4864" width="11.5546875" style="188"/>
    <col min="4865" max="4865" width="1.6640625" style="188" customWidth="1"/>
    <col min="4866" max="4866" width="8.109375" style="188" customWidth="1"/>
    <col min="4867" max="4867" width="6.44140625" style="188" customWidth="1"/>
    <col min="4868" max="4869" width="11.5546875" style="188"/>
    <col min="4870" max="4870" width="19.33203125" style="188" customWidth="1"/>
    <col min="4871" max="4871" width="51.33203125" style="188" customWidth="1"/>
    <col min="4872" max="4872" width="9.109375" style="188" customWidth="1"/>
    <col min="4873" max="4873" width="5.88671875" style="188" customWidth="1"/>
    <col min="4874" max="4874" width="7.6640625" style="188" customWidth="1"/>
    <col min="4875" max="4875" width="7.5546875" style="188" bestFit="1" customWidth="1"/>
    <col min="4876" max="4876" width="7.5546875" style="188" customWidth="1"/>
    <col min="4877" max="4877" width="13.6640625" style="188" customWidth="1"/>
    <col min="4878" max="4878" width="8.88671875" style="188" customWidth="1"/>
    <col min="4879" max="4879" width="19.5546875" style="188" customWidth="1"/>
    <col min="4880" max="4880" width="20.33203125" style="188" customWidth="1"/>
    <col min="4881" max="4881" width="14.88671875" style="188" customWidth="1"/>
    <col min="4882" max="4882" width="14.33203125" style="188" bestFit="1" customWidth="1"/>
    <col min="4883" max="5120" width="11.5546875" style="188"/>
    <col min="5121" max="5121" width="1.6640625" style="188" customWidth="1"/>
    <col min="5122" max="5122" width="8.109375" style="188" customWidth="1"/>
    <col min="5123" max="5123" width="6.44140625" style="188" customWidth="1"/>
    <col min="5124" max="5125" width="11.5546875" style="188"/>
    <col min="5126" max="5126" width="19.33203125" style="188" customWidth="1"/>
    <col min="5127" max="5127" width="51.33203125" style="188" customWidth="1"/>
    <col min="5128" max="5128" width="9.109375" style="188" customWidth="1"/>
    <col min="5129" max="5129" width="5.88671875" style="188" customWidth="1"/>
    <col min="5130" max="5130" width="7.6640625" style="188" customWidth="1"/>
    <col min="5131" max="5131" width="7.5546875" style="188" bestFit="1" customWidth="1"/>
    <col min="5132" max="5132" width="7.5546875" style="188" customWidth="1"/>
    <col min="5133" max="5133" width="13.6640625" style="188" customWidth="1"/>
    <col min="5134" max="5134" width="8.88671875" style="188" customWidth="1"/>
    <col min="5135" max="5135" width="19.5546875" style="188" customWidth="1"/>
    <col min="5136" max="5136" width="20.33203125" style="188" customWidth="1"/>
    <col min="5137" max="5137" width="14.88671875" style="188" customWidth="1"/>
    <col min="5138" max="5138" width="14.33203125" style="188" bestFit="1" customWidth="1"/>
    <col min="5139" max="5376" width="11.5546875" style="188"/>
    <col min="5377" max="5377" width="1.6640625" style="188" customWidth="1"/>
    <col min="5378" max="5378" width="8.109375" style="188" customWidth="1"/>
    <col min="5379" max="5379" width="6.44140625" style="188" customWidth="1"/>
    <col min="5380" max="5381" width="11.5546875" style="188"/>
    <col min="5382" max="5382" width="19.33203125" style="188" customWidth="1"/>
    <col min="5383" max="5383" width="51.33203125" style="188" customWidth="1"/>
    <col min="5384" max="5384" width="9.109375" style="188" customWidth="1"/>
    <col min="5385" max="5385" width="5.88671875" style="188" customWidth="1"/>
    <col min="5386" max="5386" width="7.6640625" style="188" customWidth="1"/>
    <col min="5387" max="5387" width="7.5546875" style="188" bestFit="1" customWidth="1"/>
    <col min="5388" max="5388" width="7.5546875" style="188" customWidth="1"/>
    <col min="5389" max="5389" width="13.6640625" style="188" customWidth="1"/>
    <col min="5390" max="5390" width="8.88671875" style="188" customWidth="1"/>
    <col min="5391" max="5391" width="19.5546875" style="188" customWidth="1"/>
    <col min="5392" max="5392" width="20.33203125" style="188" customWidth="1"/>
    <col min="5393" max="5393" width="14.88671875" style="188" customWidth="1"/>
    <col min="5394" max="5394" width="14.33203125" style="188" bestFit="1" customWidth="1"/>
    <col min="5395" max="5632" width="11.5546875" style="188"/>
    <col min="5633" max="5633" width="1.6640625" style="188" customWidth="1"/>
    <col min="5634" max="5634" width="8.109375" style="188" customWidth="1"/>
    <col min="5635" max="5635" width="6.44140625" style="188" customWidth="1"/>
    <col min="5636" max="5637" width="11.5546875" style="188"/>
    <col min="5638" max="5638" width="19.33203125" style="188" customWidth="1"/>
    <col min="5639" max="5639" width="51.33203125" style="188" customWidth="1"/>
    <col min="5640" max="5640" width="9.109375" style="188" customWidth="1"/>
    <col min="5641" max="5641" width="5.88671875" style="188" customWidth="1"/>
    <col min="5642" max="5642" width="7.6640625" style="188" customWidth="1"/>
    <col min="5643" max="5643" width="7.5546875" style="188" bestFit="1" customWidth="1"/>
    <col min="5644" max="5644" width="7.5546875" style="188" customWidth="1"/>
    <col min="5645" max="5645" width="13.6640625" style="188" customWidth="1"/>
    <col min="5646" max="5646" width="8.88671875" style="188" customWidth="1"/>
    <col min="5647" max="5647" width="19.5546875" style="188" customWidth="1"/>
    <col min="5648" max="5648" width="20.33203125" style="188" customWidth="1"/>
    <col min="5649" max="5649" width="14.88671875" style="188" customWidth="1"/>
    <col min="5650" max="5650" width="14.33203125" style="188" bestFit="1" customWidth="1"/>
    <col min="5651" max="5888" width="11.5546875" style="188"/>
    <col min="5889" max="5889" width="1.6640625" style="188" customWidth="1"/>
    <col min="5890" max="5890" width="8.109375" style="188" customWidth="1"/>
    <col min="5891" max="5891" width="6.44140625" style="188" customWidth="1"/>
    <col min="5892" max="5893" width="11.5546875" style="188"/>
    <col min="5894" max="5894" width="19.33203125" style="188" customWidth="1"/>
    <col min="5895" max="5895" width="51.33203125" style="188" customWidth="1"/>
    <col min="5896" max="5896" width="9.109375" style="188" customWidth="1"/>
    <col min="5897" max="5897" width="5.88671875" style="188" customWidth="1"/>
    <col min="5898" max="5898" width="7.6640625" style="188" customWidth="1"/>
    <col min="5899" max="5899" width="7.5546875" style="188" bestFit="1" customWidth="1"/>
    <col min="5900" max="5900" width="7.5546875" style="188" customWidth="1"/>
    <col min="5901" max="5901" width="13.6640625" style="188" customWidth="1"/>
    <col min="5902" max="5902" width="8.88671875" style="188" customWidth="1"/>
    <col min="5903" max="5903" width="19.5546875" style="188" customWidth="1"/>
    <col min="5904" max="5904" width="20.33203125" style="188" customWidth="1"/>
    <col min="5905" max="5905" width="14.88671875" style="188" customWidth="1"/>
    <col min="5906" max="5906" width="14.33203125" style="188" bestFit="1" customWidth="1"/>
    <col min="5907" max="6144" width="11.5546875" style="188"/>
    <col min="6145" max="6145" width="1.6640625" style="188" customWidth="1"/>
    <col min="6146" max="6146" width="8.109375" style="188" customWidth="1"/>
    <col min="6147" max="6147" width="6.44140625" style="188" customWidth="1"/>
    <col min="6148" max="6149" width="11.5546875" style="188"/>
    <col min="6150" max="6150" width="19.33203125" style="188" customWidth="1"/>
    <col min="6151" max="6151" width="51.33203125" style="188" customWidth="1"/>
    <col min="6152" max="6152" width="9.109375" style="188" customWidth="1"/>
    <col min="6153" max="6153" width="5.88671875" style="188" customWidth="1"/>
    <col min="6154" max="6154" width="7.6640625" style="188" customWidth="1"/>
    <col min="6155" max="6155" width="7.5546875" style="188" bestFit="1" customWidth="1"/>
    <col min="6156" max="6156" width="7.5546875" style="188" customWidth="1"/>
    <col min="6157" max="6157" width="13.6640625" style="188" customWidth="1"/>
    <col min="6158" max="6158" width="8.88671875" style="188" customWidth="1"/>
    <col min="6159" max="6159" width="19.5546875" style="188" customWidth="1"/>
    <col min="6160" max="6160" width="20.33203125" style="188" customWidth="1"/>
    <col min="6161" max="6161" width="14.88671875" style="188" customWidth="1"/>
    <col min="6162" max="6162" width="14.33203125" style="188" bestFit="1" customWidth="1"/>
    <col min="6163" max="6400" width="11.5546875" style="188"/>
    <col min="6401" max="6401" width="1.6640625" style="188" customWidth="1"/>
    <col min="6402" max="6402" width="8.109375" style="188" customWidth="1"/>
    <col min="6403" max="6403" width="6.44140625" style="188" customWidth="1"/>
    <col min="6404" max="6405" width="11.5546875" style="188"/>
    <col min="6406" max="6406" width="19.33203125" style="188" customWidth="1"/>
    <col min="6407" max="6407" width="51.33203125" style="188" customWidth="1"/>
    <col min="6408" max="6408" width="9.109375" style="188" customWidth="1"/>
    <col min="6409" max="6409" width="5.88671875" style="188" customWidth="1"/>
    <col min="6410" max="6410" width="7.6640625" style="188" customWidth="1"/>
    <col min="6411" max="6411" width="7.5546875" style="188" bestFit="1" customWidth="1"/>
    <col min="6412" max="6412" width="7.5546875" style="188" customWidth="1"/>
    <col min="6413" max="6413" width="13.6640625" style="188" customWidth="1"/>
    <col min="6414" max="6414" width="8.88671875" style="188" customWidth="1"/>
    <col min="6415" max="6415" width="19.5546875" style="188" customWidth="1"/>
    <col min="6416" max="6416" width="20.33203125" style="188" customWidth="1"/>
    <col min="6417" max="6417" width="14.88671875" style="188" customWidth="1"/>
    <col min="6418" max="6418" width="14.33203125" style="188" bestFit="1" customWidth="1"/>
    <col min="6419" max="6656" width="11.5546875" style="188"/>
    <col min="6657" max="6657" width="1.6640625" style="188" customWidth="1"/>
    <col min="6658" max="6658" width="8.109375" style="188" customWidth="1"/>
    <col min="6659" max="6659" width="6.44140625" style="188" customWidth="1"/>
    <col min="6660" max="6661" width="11.5546875" style="188"/>
    <col min="6662" max="6662" width="19.33203125" style="188" customWidth="1"/>
    <col min="6663" max="6663" width="51.33203125" style="188" customWidth="1"/>
    <col min="6664" max="6664" width="9.109375" style="188" customWidth="1"/>
    <col min="6665" max="6665" width="5.88671875" style="188" customWidth="1"/>
    <col min="6666" max="6666" width="7.6640625" style="188" customWidth="1"/>
    <col min="6667" max="6667" width="7.5546875" style="188" bestFit="1" customWidth="1"/>
    <col min="6668" max="6668" width="7.5546875" style="188" customWidth="1"/>
    <col min="6669" max="6669" width="13.6640625" style="188" customWidth="1"/>
    <col min="6670" max="6670" width="8.88671875" style="188" customWidth="1"/>
    <col min="6671" max="6671" width="19.5546875" style="188" customWidth="1"/>
    <col min="6672" max="6672" width="20.33203125" style="188" customWidth="1"/>
    <col min="6673" max="6673" width="14.88671875" style="188" customWidth="1"/>
    <col min="6674" max="6674" width="14.33203125" style="188" bestFit="1" customWidth="1"/>
    <col min="6675" max="6912" width="11.5546875" style="188"/>
    <col min="6913" max="6913" width="1.6640625" style="188" customWidth="1"/>
    <col min="6914" max="6914" width="8.109375" style="188" customWidth="1"/>
    <col min="6915" max="6915" width="6.44140625" style="188" customWidth="1"/>
    <col min="6916" max="6917" width="11.5546875" style="188"/>
    <col min="6918" max="6918" width="19.33203125" style="188" customWidth="1"/>
    <col min="6919" max="6919" width="51.33203125" style="188" customWidth="1"/>
    <col min="6920" max="6920" width="9.109375" style="188" customWidth="1"/>
    <col min="6921" max="6921" width="5.88671875" style="188" customWidth="1"/>
    <col min="6922" max="6922" width="7.6640625" style="188" customWidth="1"/>
    <col min="6923" max="6923" width="7.5546875" style="188" bestFit="1" customWidth="1"/>
    <col min="6924" max="6924" width="7.5546875" style="188" customWidth="1"/>
    <col min="6925" max="6925" width="13.6640625" style="188" customWidth="1"/>
    <col min="6926" max="6926" width="8.88671875" style="188" customWidth="1"/>
    <col min="6927" max="6927" width="19.5546875" style="188" customWidth="1"/>
    <col min="6928" max="6928" width="20.33203125" style="188" customWidth="1"/>
    <col min="6929" max="6929" width="14.88671875" style="188" customWidth="1"/>
    <col min="6930" max="6930" width="14.33203125" style="188" bestFit="1" customWidth="1"/>
    <col min="6931" max="7168" width="11.5546875" style="188"/>
    <col min="7169" max="7169" width="1.6640625" style="188" customWidth="1"/>
    <col min="7170" max="7170" width="8.109375" style="188" customWidth="1"/>
    <col min="7171" max="7171" width="6.44140625" style="188" customWidth="1"/>
    <col min="7172" max="7173" width="11.5546875" style="188"/>
    <col min="7174" max="7174" width="19.33203125" style="188" customWidth="1"/>
    <col min="7175" max="7175" width="51.33203125" style="188" customWidth="1"/>
    <col min="7176" max="7176" width="9.109375" style="188" customWidth="1"/>
    <col min="7177" max="7177" width="5.88671875" style="188" customWidth="1"/>
    <col min="7178" max="7178" width="7.6640625" style="188" customWidth="1"/>
    <col min="7179" max="7179" width="7.5546875" style="188" bestFit="1" customWidth="1"/>
    <col min="7180" max="7180" width="7.5546875" style="188" customWidth="1"/>
    <col min="7181" max="7181" width="13.6640625" style="188" customWidth="1"/>
    <col min="7182" max="7182" width="8.88671875" style="188" customWidth="1"/>
    <col min="7183" max="7183" width="19.5546875" style="188" customWidth="1"/>
    <col min="7184" max="7184" width="20.33203125" style="188" customWidth="1"/>
    <col min="7185" max="7185" width="14.88671875" style="188" customWidth="1"/>
    <col min="7186" max="7186" width="14.33203125" style="188" bestFit="1" customWidth="1"/>
    <col min="7187" max="7424" width="11.5546875" style="188"/>
    <col min="7425" max="7425" width="1.6640625" style="188" customWidth="1"/>
    <col min="7426" max="7426" width="8.109375" style="188" customWidth="1"/>
    <col min="7427" max="7427" width="6.44140625" style="188" customWidth="1"/>
    <col min="7428" max="7429" width="11.5546875" style="188"/>
    <col min="7430" max="7430" width="19.33203125" style="188" customWidth="1"/>
    <col min="7431" max="7431" width="51.33203125" style="188" customWidth="1"/>
    <col min="7432" max="7432" width="9.109375" style="188" customWidth="1"/>
    <col min="7433" max="7433" width="5.88671875" style="188" customWidth="1"/>
    <col min="7434" max="7434" width="7.6640625" style="188" customWidth="1"/>
    <col min="7435" max="7435" width="7.5546875" style="188" bestFit="1" customWidth="1"/>
    <col min="7436" max="7436" width="7.5546875" style="188" customWidth="1"/>
    <col min="7437" max="7437" width="13.6640625" style="188" customWidth="1"/>
    <col min="7438" max="7438" width="8.88671875" style="188" customWidth="1"/>
    <col min="7439" max="7439" width="19.5546875" style="188" customWidth="1"/>
    <col min="7440" max="7440" width="20.33203125" style="188" customWidth="1"/>
    <col min="7441" max="7441" width="14.88671875" style="188" customWidth="1"/>
    <col min="7442" max="7442" width="14.33203125" style="188" bestFit="1" customWidth="1"/>
    <col min="7443" max="7680" width="11.5546875" style="188"/>
    <col min="7681" max="7681" width="1.6640625" style="188" customWidth="1"/>
    <col min="7682" max="7682" width="8.109375" style="188" customWidth="1"/>
    <col min="7683" max="7683" width="6.44140625" style="188" customWidth="1"/>
    <col min="7684" max="7685" width="11.5546875" style="188"/>
    <col min="7686" max="7686" width="19.33203125" style="188" customWidth="1"/>
    <col min="7687" max="7687" width="51.33203125" style="188" customWidth="1"/>
    <col min="7688" max="7688" width="9.109375" style="188" customWidth="1"/>
    <col min="7689" max="7689" width="5.88671875" style="188" customWidth="1"/>
    <col min="7690" max="7690" width="7.6640625" style="188" customWidth="1"/>
    <col min="7691" max="7691" width="7.5546875" style="188" bestFit="1" customWidth="1"/>
    <col min="7692" max="7692" width="7.5546875" style="188" customWidth="1"/>
    <col min="7693" max="7693" width="13.6640625" style="188" customWidth="1"/>
    <col min="7694" max="7694" width="8.88671875" style="188" customWidth="1"/>
    <col min="7695" max="7695" width="19.5546875" style="188" customWidth="1"/>
    <col min="7696" max="7696" width="20.33203125" style="188" customWidth="1"/>
    <col min="7697" max="7697" width="14.88671875" style="188" customWidth="1"/>
    <col min="7698" max="7698" width="14.33203125" style="188" bestFit="1" customWidth="1"/>
    <col min="7699" max="7936" width="11.5546875" style="188"/>
    <col min="7937" max="7937" width="1.6640625" style="188" customWidth="1"/>
    <col min="7938" max="7938" width="8.109375" style="188" customWidth="1"/>
    <col min="7939" max="7939" width="6.44140625" style="188" customWidth="1"/>
    <col min="7940" max="7941" width="11.5546875" style="188"/>
    <col min="7942" max="7942" width="19.33203125" style="188" customWidth="1"/>
    <col min="7943" max="7943" width="51.33203125" style="188" customWidth="1"/>
    <col min="7944" max="7944" width="9.109375" style="188" customWidth="1"/>
    <col min="7945" max="7945" width="5.88671875" style="188" customWidth="1"/>
    <col min="7946" max="7946" width="7.6640625" style="188" customWidth="1"/>
    <col min="7947" max="7947" width="7.5546875" style="188" bestFit="1" customWidth="1"/>
    <col min="7948" max="7948" width="7.5546875" style="188" customWidth="1"/>
    <col min="7949" max="7949" width="13.6640625" style="188" customWidth="1"/>
    <col min="7950" max="7950" width="8.88671875" style="188" customWidth="1"/>
    <col min="7951" max="7951" width="19.5546875" style="188" customWidth="1"/>
    <col min="7952" max="7952" width="20.33203125" style="188" customWidth="1"/>
    <col min="7953" max="7953" width="14.88671875" style="188" customWidth="1"/>
    <col min="7954" max="7954" width="14.33203125" style="188" bestFit="1" customWidth="1"/>
    <col min="7955" max="8192" width="11.5546875" style="188"/>
    <col min="8193" max="8193" width="1.6640625" style="188" customWidth="1"/>
    <col min="8194" max="8194" width="8.109375" style="188" customWidth="1"/>
    <col min="8195" max="8195" width="6.44140625" style="188" customWidth="1"/>
    <col min="8196" max="8197" width="11.5546875" style="188"/>
    <col min="8198" max="8198" width="19.33203125" style="188" customWidth="1"/>
    <col min="8199" max="8199" width="51.33203125" style="188" customWidth="1"/>
    <col min="8200" max="8200" width="9.109375" style="188" customWidth="1"/>
    <col min="8201" max="8201" width="5.88671875" style="188" customWidth="1"/>
    <col min="8202" max="8202" width="7.6640625" style="188" customWidth="1"/>
    <col min="8203" max="8203" width="7.5546875" style="188" bestFit="1" customWidth="1"/>
    <col min="8204" max="8204" width="7.5546875" style="188" customWidth="1"/>
    <col min="8205" max="8205" width="13.6640625" style="188" customWidth="1"/>
    <col min="8206" max="8206" width="8.88671875" style="188" customWidth="1"/>
    <col min="8207" max="8207" width="19.5546875" style="188" customWidth="1"/>
    <col min="8208" max="8208" width="20.33203125" style="188" customWidth="1"/>
    <col min="8209" max="8209" width="14.88671875" style="188" customWidth="1"/>
    <col min="8210" max="8210" width="14.33203125" style="188" bestFit="1" customWidth="1"/>
    <col min="8211" max="8448" width="11.5546875" style="188"/>
    <col min="8449" max="8449" width="1.6640625" style="188" customWidth="1"/>
    <col min="8450" max="8450" width="8.109375" style="188" customWidth="1"/>
    <col min="8451" max="8451" width="6.44140625" style="188" customWidth="1"/>
    <col min="8452" max="8453" width="11.5546875" style="188"/>
    <col min="8454" max="8454" width="19.33203125" style="188" customWidth="1"/>
    <col min="8455" max="8455" width="51.33203125" style="188" customWidth="1"/>
    <col min="8456" max="8456" width="9.109375" style="188" customWidth="1"/>
    <col min="8457" max="8457" width="5.88671875" style="188" customWidth="1"/>
    <col min="8458" max="8458" width="7.6640625" style="188" customWidth="1"/>
    <col min="8459" max="8459" width="7.5546875" style="188" bestFit="1" customWidth="1"/>
    <col min="8460" max="8460" width="7.5546875" style="188" customWidth="1"/>
    <col min="8461" max="8461" width="13.6640625" style="188" customWidth="1"/>
    <col min="8462" max="8462" width="8.88671875" style="188" customWidth="1"/>
    <col min="8463" max="8463" width="19.5546875" style="188" customWidth="1"/>
    <col min="8464" max="8464" width="20.33203125" style="188" customWidth="1"/>
    <col min="8465" max="8465" width="14.88671875" style="188" customWidth="1"/>
    <col min="8466" max="8466" width="14.33203125" style="188" bestFit="1" customWidth="1"/>
    <col min="8467" max="8704" width="11.5546875" style="188"/>
    <col min="8705" max="8705" width="1.6640625" style="188" customWidth="1"/>
    <col min="8706" max="8706" width="8.109375" style="188" customWidth="1"/>
    <col min="8707" max="8707" width="6.44140625" style="188" customWidth="1"/>
    <col min="8708" max="8709" width="11.5546875" style="188"/>
    <col min="8710" max="8710" width="19.33203125" style="188" customWidth="1"/>
    <col min="8711" max="8711" width="51.33203125" style="188" customWidth="1"/>
    <col min="8712" max="8712" width="9.109375" style="188" customWidth="1"/>
    <col min="8713" max="8713" width="5.88671875" style="188" customWidth="1"/>
    <col min="8714" max="8714" width="7.6640625" style="188" customWidth="1"/>
    <col min="8715" max="8715" width="7.5546875" style="188" bestFit="1" customWidth="1"/>
    <col min="8716" max="8716" width="7.5546875" style="188" customWidth="1"/>
    <col min="8717" max="8717" width="13.6640625" style="188" customWidth="1"/>
    <col min="8718" max="8718" width="8.88671875" style="188" customWidth="1"/>
    <col min="8719" max="8719" width="19.5546875" style="188" customWidth="1"/>
    <col min="8720" max="8720" width="20.33203125" style="188" customWidth="1"/>
    <col min="8721" max="8721" width="14.88671875" style="188" customWidth="1"/>
    <col min="8722" max="8722" width="14.33203125" style="188" bestFit="1" customWidth="1"/>
    <col min="8723" max="8960" width="11.5546875" style="188"/>
    <col min="8961" max="8961" width="1.6640625" style="188" customWidth="1"/>
    <col min="8962" max="8962" width="8.109375" style="188" customWidth="1"/>
    <col min="8963" max="8963" width="6.44140625" style="188" customWidth="1"/>
    <col min="8964" max="8965" width="11.5546875" style="188"/>
    <col min="8966" max="8966" width="19.33203125" style="188" customWidth="1"/>
    <col min="8967" max="8967" width="51.33203125" style="188" customWidth="1"/>
    <col min="8968" max="8968" width="9.109375" style="188" customWidth="1"/>
    <col min="8969" max="8969" width="5.88671875" style="188" customWidth="1"/>
    <col min="8970" max="8970" width="7.6640625" style="188" customWidth="1"/>
    <col min="8971" max="8971" width="7.5546875" style="188" bestFit="1" customWidth="1"/>
    <col min="8972" max="8972" width="7.5546875" style="188" customWidth="1"/>
    <col min="8973" max="8973" width="13.6640625" style="188" customWidth="1"/>
    <col min="8974" max="8974" width="8.88671875" style="188" customWidth="1"/>
    <col min="8975" max="8975" width="19.5546875" style="188" customWidth="1"/>
    <col min="8976" max="8976" width="20.33203125" style="188" customWidth="1"/>
    <col min="8977" max="8977" width="14.88671875" style="188" customWidth="1"/>
    <col min="8978" max="8978" width="14.33203125" style="188" bestFit="1" customWidth="1"/>
    <col min="8979" max="9216" width="11.5546875" style="188"/>
    <col min="9217" max="9217" width="1.6640625" style="188" customWidth="1"/>
    <col min="9218" max="9218" width="8.109375" style="188" customWidth="1"/>
    <col min="9219" max="9219" width="6.44140625" style="188" customWidth="1"/>
    <col min="9220" max="9221" width="11.5546875" style="188"/>
    <col min="9222" max="9222" width="19.33203125" style="188" customWidth="1"/>
    <col min="9223" max="9223" width="51.33203125" style="188" customWidth="1"/>
    <col min="9224" max="9224" width="9.109375" style="188" customWidth="1"/>
    <col min="9225" max="9225" width="5.88671875" style="188" customWidth="1"/>
    <col min="9226" max="9226" width="7.6640625" style="188" customWidth="1"/>
    <col min="9227" max="9227" width="7.5546875" style="188" bestFit="1" customWidth="1"/>
    <col min="9228" max="9228" width="7.5546875" style="188" customWidth="1"/>
    <col min="9229" max="9229" width="13.6640625" style="188" customWidth="1"/>
    <col min="9230" max="9230" width="8.88671875" style="188" customWidth="1"/>
    <col min="9231" max="9231" width="19.5546875" style="188" customWidth="1"/>
    <col min="9232" max="9232" width="20.33203125" style="188" customWidth="1"/>
    <col min="9233" max="9233" width="14.88671875" style="188" customWidth="1"/>
    <col min="9234" max="9234" width="14.33203125" style="188" bestFit="1" customWidth="1"/>
    <col min="9235" max="9472" width="11.5546875" style="188"/>
    <col min="9473" max="9473" width="1.6640625" style="188" customWidth="1"/>
    <col min="9474" max="9474" width="8.109375" style="188" customWidth="1"/>
    <col min="9475" max="9475" width="6.44140625" style="188" customWidth="1"/>
    <col min="9476" max="9477" width="11.5546875" style="188"/>
    <col min="9478" max="9478" width="19.33203125" style="188" customWidth="1"/>
    <col min="9479" max="9479" width="51.33203125" style="188" customWidth="1"/>
    <col min="9480" max="9480" width="9.109375" style="188" customWidth="1"/>
    <col min="9481" max="9481" width="5.88671875" style="188" customWidth="1"/>
    <col min="9482" max="9482" width="7.6640625" style="188" customWidth="1"/>
    <col min="9483" max="9483" width="7.5546875" style="188" bestFit="1" customWidth="1"/>
    <col min="9484" max="9484" width="7.5546875" style="188" customWidth="1"/>
    <col min="9485" max="9485" width="13.6640625" style="188" customWidth="1"/>
    <col min="9486" max="9486" width="8.88671875" style="188" customWidth="1"/>
    <col min="9487" max="9487" width="19.5546875" style="188" customWidth="1"/>
    <col min="9488" max="9488" width="20.33203125" style="188" customWidth="1"/>
    <col min="9489" max="9489" width="14.88671875" style="188" customWidth="1"/>
    <col min="9490" max="9490" width="14.33203125" style="188" bestFit="1" customWidth="1"/>
    <col min="9491" max="9728" width="11.5546875" style="188"/>
    <col min="9729" max="9729" width="1.6640625" style="188" customWidth="1"/>
    <col min="9730" max="9730" width="8.109375" style="188" customWidth="1"/>
    <col min="9731" max="9731" width="6.44140625" style="188" customWidth="1"/>
    <col min="9732" max="9733" width="11.5546875" style="188"/>
    <col min="9734" max="9734" width="19.33203125" style="188" customWidth="1"/>
    <col min="9735" max="9735" width="51.33203125" style="188" customWidth="1"/>
    <col min="9736" max="9736" width="9.109375" style="188" customWidth="1"/>
    <col min="9737" max="9737" width="5.88671875" style="188" customWidth="1"/>
    <col min="9738" max="9738" width="7.6640625" style="188" customWidth="1"/>
    <col min="9739" max="9739" width="7.5546875" style="188" bestFit="1" customWidth="1"/>
    <col min="9740" max="9740" width="7.5546875" style="188" customWidth="1"/>
    <col min="9741" max="9741" width="13.6640625" style="188" customWidth="1"/>
    <col min="9742" max="9742" width="8.88671875" style="188" customWidth="1"/>
    <col min="9743" max="9743" width="19.5546875" style="188" customWidth="1"/>
    <col min="9744" max="9744" width="20.33203125" style="188" customWidth="1"/>
    <col min="9745" max="9745" width="14.88671875" style="188" customWidth="1"/>
    <col min="9746" max="9746" width="14.33203125" style="188" bestFit="1" customWidth="1"/>
    <col min="9747" max="9984" width="11.5546875" style="188"/>
    <col min="9985" max="9985" width="1.6640625" style="188" customWidth="1"/>
    <col min="9986" max="9986" width="8.109375" style="188" customWidth="1"/>
    <col min="9987" max="9987" width="6.44140625" style="188" customWidth="1"/>
    <col min="9988" max="9989" width="11.5546875" style="188"/>
    <col min="9990" max="9990" width="19.33203125" style="188" customWidth="1"/>
    <col min="9991" max="9991" width="51.33203125" style="188" customWidth="1"/>
    <col min="9992" max="9992" width="9.109375" style="188" customWidth="1"/>
    <col min="9993" max="9993" width="5.88671875" style="188" customWidth="1"/>
    <col min="9994" max="9994" width="7.6640625" style="188" customWidth="1"/>
    <col min="9995" max="9995" width="7.5546875" style="188" bestFit="1" customWidth="1"/>
    <col min="9996" max="9996" width="7.5546875" style="188" customWidth="1"/>
    <col min="9997" max="9997" width="13.6640625" style="188" customWidth="1"/>
    <col min="9998" max="9998" width="8.88671875" style="188" customWidth="1"/>
    <col min="9999" max="9999" width="19.5546875" style="188" customWidth="1"/>
    <col min="10000" max="10000" width="20.33203125" style="188" customWidth="1"/>
    <col min="10001" max="10001" width="14.88671875" style="188" customWidth="1"/>
    <col min="10002" max="10002" width="14.33203125" style="188" bestFit="1" customWidth="1"/>
    <col min="10003" max="10240" width="11.5546875" style="188"/>
    <col min="10241" max="10241" width="1.6640625" style="188" customWidth="1"/>
    <col min="10242" max="10242" width="8.109375" style="188" customWidth="1"/>
    <col min="10243" max="10243" width="6.44140625" style="188" customWidth="1"/>
    <col min="10244" max="10245" width="11.5546875" style="188"/>
    <col min="10246" max="10246" width="19.33203125" style="188" customWidth="1"/>
    <col min="10247" max="10247" width="51.33203125" style="188" customWidth="1"/>
    <col min="10248" max="10248" width="9.109375" style="188" customWidth="1"/>
    <col min="10249" max="10249" width="5.88671875" style="188" customWidth="1"/>
    <col min="10250" max="10250" width="7.6640625" style="188" customWidth="1"/>
    <col min="10251" max="10251" width="7.5546875" style="188" bestFit="1" customWidth="1"/>
    <col min="10252" max="10252" width="7.5546875" style="188" customWidth="1"/>
    <col min="10253" max="10253" width="13.6640625" style="188" customWidth="1"/>
    <col min="10254" max="10254" width="8.88671875" style="188" customWidth="1"/>
    <col min="10255" max="10255" width="19.5546875" style="188" customWidth="1"/>
    <col min="10256" max="10256" width="20.33203125" style="188" customWidth="1"/>
    <col min="10257" max="10257" width="14.88671875" style="188" customWidth="1"/>
    <col min="10258" max="10258" width="14.33203125" style="188" bestFit="1" customWidth="1"/>
    <col min="10259" max="10496" width="11.5546875" style="188"/>
    <col min="10497" max="10497" width="1.6640625" style="188" customWidth="1"/>
    <col min="10498" max="10498" width="8.109375" style="188" customWidth="1"/>
    <col min="10499" max="10499" width="6.44140625" style="188" customWidth="1"/>
    <col min="10500" max="10501" width="11.5546875" style="188"/>
    <col min="10502" max="10502" width="19.33203125" style="188" customWidth="1"/>
    <col min="10503" max="10503" width="51.33203125" style="188" customWidth="1"/>
    <col min="10504" max="10504" width="9.109375" style="188" customWidth="1"/>
    <col min="10505" max="10505" width="5.88671875" style="188" customWidth="1"/>
    <col min="10506" max="10506" width="7.6640625" style="188" customWidth="1"/>
    <col min="10507" max="10507" width="7.5546875" style="188" bestFit="1" customWidth="1"/>
    <col min="10508" max="10508" width="7.5546875" style="188" customWidth="1"/>
    <col min="10509" max="10509" width="13.6640625" style="188" customWidth="1"/>
    <col min="10510" max="10510" width="8.88671875" style="188" customWidth="1"/>
    <col min="10511" max="10511" width="19.5546875" style="188" customWidth="1"/>
    <col min="10512" max="10512" width="20.33203125" style="188" customWidth="1"/>
    <col min="10513" max="10513" width="14.88671875" style="188" customWidth="1"/>
    <col min="10514" max="10514" width="14.33203125" style="188" bestFit="1" customWidth="1"/>
    <col min="10515" max="10752" width="11.5546875" style="188"/>
    <col min="10753" max="10753" width="1.6640625" style="188" customWidth="1"/>
    <col min="10754" max="10754" width="8.109375" style="188" customWidth="1"/>
    <col min="10755" max="10755" width="6.44140625" style="188" customWidth="1"/>
    <col min="10756" max="10757" width="11.5546875" style="188"/>
    <col min="10758" max="10758" width="19.33203125" style="188" customWidth="1"/>
    <col min="10759" max="10759" width="51.33203125" style="188" customWidth="1"/>
    <col min="10760" max="10760" width="9.109375" style="188" customWidth="1"/>
    <col min="10761" max="10761" width="5.88671875" style="188" customWidth="1"/>
    <col min="10762" max="10762" width="7.6640625" style="188" customWidth="1"/>
    <col min="10763" max="10763" width="7.5546875" style="188" bestFit="1" customWidth="1"/>
    <col min="10764" max="10764" width="7.5546875" style="188" customWidth="1"/>
    <col min="10765" max="10765" width="13.6640625" style="188" customWidth="1"/>
    <col min="10766" max="10766" width="8.88671875" style="188" customWidth="1"/>
    <col min="10767" max="10767" width="19.5546875" style="188" customWidth="1"/>
    <col min="10768" max="10768" width="20.33203125" style="188" customWidth="1"/>
    <col min="10769" max="10769" width="14.88671875" style="188" customWidth="1"/>
    <col min="10770" max="10770" width="14.33203125" style="188" bestFit="1" customWidth="1"/>
    <col min="10771" max="11008" width="11.5546875" style="188"/>
    <col min="11009" max="11009" width="1.6640625" style="188" customWidth="1"/>
    <col min="11010" max="11010" width="8.109375" style="188" customWidth="1"/>
    <col min="11011" max="11011" width="6.44140625" style="188" customWidth="1"/>
    <col min="11012" max="11013" width="11.5546875" style="188"/>
    <col min="11014" max="11014" width="19.33203125" style="188" customWidth="1"/>
    <col min="11015" max="11015" width="51.33203125" style="188" customWidth="1"/>
    <col min="11016" max="11016" width="9.109375" style="188" customWidth="1"/>
    <col min="11017" max="11017" width="5.88671875" style="188" customWidth="1"/>
    <col min="11018" max="11018" width="7.6640625" style="188" customWidth="1"/>
    <col min="11019" max="11019" width="7.5546875" style="188" bestFit="1" customWidth="1"/>
    <col min="11020" max="11020" width="7.5546875" style="188" customWidth="1"/>
    <col min="11021" max="11021" width="13.6640625" style="188" customWidth="1"/>
    <col min="11022" max="11022" width="8.88671875" style="188" customWidth="1"/>
    <col min="11023" max="11023" width="19.5546875" style="188" customWidth="1"/>
    <col min="11024" max="11024" width="20.33203125" style="188" customWidth="1"/>
    <col min="11025" max="11025" width="14.88671875" style="188" customWidth="1"/>
    <col min="11026" max="11026" width="14.33203125" style="188" bestFit="1" customWidth="1"/>
    <col min="11027" max="11264" width="11.5546875" style="188"/>
    <col min="11265" max="11265" width="1.6640625" style="188" customWidth="1"/>
    <col min="11266" max="11266" width="8.109375" style="188" customWidth="1"/>
    <col min="11267" max="11267" width="6.44140625" style="188" customWidth="1"/>
    <col min="11268" max="11269" width="11.5546875" style="188"/>
    <col min="11270" max="11270" width="19.33203125" style="188" customWidth="1"/>
    <col min="11271" max="11271" width="51.33203125" style="188" customWidth="1"/>
    <col min="11272" max="11272" width="9.109375" style="188" customWidth="1"/>
    <col min="11273" max="11273" width="5.88671875" style="188" customWidth="1"/>
    <col min="11274" max="11274" width="7.6640625" style="188" customWidth="1"/>
    <col min="11275" max="11275" width="7.5546875" style="188" bestFit="1" customWidth="1"/>
    <col min="11276" max="11276" width="7.5546875" style="188" customWidth="1"/>
    <col min="11277" max="11277" width="13.6640625" style="188" customWidth="1"/>
    <col min="11278" max="11278" width="8.88671875" style="188" customWidth="1"/>
    <col min="11279" max="11279" width="19.5546875" style="188" customWidth="1"/>
    <col min="11280" max="11280" width="20.33203125" style="188" customWidth="1"/>
    <col min="11281" max="11281" width="14.88671875" style="188" customWidth="1"/>
    <col min="11282" max="11282" width="14.33203125" style="188" bestFit="1" customWidth="1"/>
    <col min="11283" max="11520" width="11.5546875" style="188"/>
    <col min="11521" max="11521" width="1.6640625" style="188" customWidth="1"/>
    <col min="11522" max="11522" width="8.109375" style="188" customWidth="1"/>
    <col min="11523" max="11523" width="6.44140625" style="188" customWidth="1"/>
    <col min="11524" max="11525" width="11.5546875" style="188"/>
    <col min="11526" max="11526" width="19.33203125" style="188" customWidth="1"/>
    <col min="11527" max="11527" width="51.33203125" style="188" customWidth="1"/>
    <col min="11528" max="11528" width="9.109375" style="188" customWidth="1"/>
    <col min="11529" max="11529" width="5.88671875" style="188" customWidth="1"/>
    <col min="11530" max="11530" width="7.6640625" style="188" customWidth="1"/>
    <col min="11531" max="11531" width="7.5546875" style="188" bestFit="1" customWidth="1"/>
    <col min="11532" max="11532" width="7.5546875" style="188" customWidth="1"/>
    <col min="11533" max="11533" width="13.6640625" style="188" customWidth="1"/>
    <col min="11534" max="11534" width="8.88671875" style="188" customWidth="1"/>
    <col min="11535" max="11535" width="19.5546875" style="188" customWidth="1"/>
    <col min="11536" max="11536" width="20.33203125" style="188" customWidth="1"/>
    <col min="11537" max="11537" width="14.88671875" style="188" customWidth="1"/>
    <col min="11538" max="11538" width="14.33203125" style="188" bestFit="1" customWidth="1"/>
    <col min="11539" max="11776" width="11.5546875" style="188"/>
    <col min="11777" max="11777" width="1.6640625" style="188" customWidth="1"/>
    <col min="11778" max="11778" width="8.109375" style="188" customWidth="1"/>
    <col min="11779" max="11779" width="6.44140625" style="188" customWidth="1"/>
    <col min="11780" max="11781" width="11.5546875" style="188"/>
    <col min="11782" max="11782" width="19.33203125" style="188" customWidth="1"/>
    <col min="11783" max="11783" width="51.33203125" style="188" customWidth="1"/>
    <col min="11784" max="11784" width="9.109375" style="188" customWidth="1"/>
    <col min="11785" max="11785" width="5.88671875" style="188" customWidth="1"/>
    <col min="11786" max="11786" width="7.6640625" style="188" customWidth="1"/>
    <col min="11787" max="11787" width="7.5546875" style="188" bestFit="1" customWidth="1"/>
    <col min="11788" max="11788" width="7.5546875" style="188" customWidth="1"/>
    <col min="11789" max="11789" width="13.6640625" style="188" customWidth="1"/>
    <col min="11790" max="11790" width="8.88671875" style="188" customWidth="1"/>
    <col min="11791" max="11791" width="19.5546875" style="188" customWidth="1"/>
    <col min="11792" max="11792" width="20.33203125" style="188" customWidth="1"/>
    <col min="11793" max="11793" width="14.88671875" style="188" customWidth="1"/>
    <col min="11794" max="11794" width="14.33203125" style="188" bestFit="1" customWidth="1"/>
    <col min="11795" max="12032" width="11.5546875" style="188"/>
    <col min="12033" max="12033" width="1.6640625" style="188" customWidth="1"/>
    <col min="12034" max="12034" width="8.109375" style="188" customWidth="1"/>
    <col min="12035" max="12035" width="6.44140625" style="188" customWidth="1"/>
    <col min="12036" max="12037" width="11.5546875" style="188"/>
    <col min="12038" max="12038" width="19.33203125" style="188" customWidth="1"/>
    <col min="12039" max="12039" width="51.33203125" style="188" customWidth="1"/>
    <col min="12040" max="12040" width="9.109375" style="188" customWidth="1"/>
    <col min="12041" max="12041" width="5.88671875" style="188" customWidth="1"/>
    <col min="12042" max="12042" width="7.6640625" style="188" customWidth="1"/>
    <col min="12043" max="12043" width="7.5546875" style="188" bestFit="1" customWidth="1"/>
    <col min="12044" max="12044" width="7.5546875" style="188" customWidth="1"/>
    <col min="12045" max="12045" width="13.6640625" style="188" customWidth="1"/>
    <col min="12046" max="12046" width="8.88671875" style="188" customWidth="1"/>
    <col min="12047" max="12047" width="19.5546875" style="188" customWidth="1"/>
    <col min="12048" max="12048" width="20.33203125" style="188" customWidth="1"/>
    <col min="12049" max="12049" width="14.88671875" style="188" customWidth="1"/>
    <col min="12050" max="12050" width="14.33203125" style="188" bestFit="1" customWidth="1"/>
    <col min="12051" max="12288" width="11.5546875" style="188"/>
    <col min="12289" max="12289" width="1.6640625" style="188" customWidth="1"/>
    <col min="12290" max="12290" width="8.109375" style="188" customWidth="1"/>
    <col min="12291" max="12291" width="6.44140625" style="188" customWidth="1"/>
    <col min="12292" max="12293" width="11.5546875" style="188"/>
    <col min="12294" max="12294" width="19.33203125" style="188" customWidth="1"/>
    <col min="12295" max="12295" width="51.33203125" style="188" customWidth="1"/>
    <col min="12296" max="12296" width="9.109375" style="188" customWidth="1"/>
    <col min="12297" max="12297" width="5.88671875" style="188" customWidth="1"/>
    <col min="12298" max="12298" width="7.6640625" style="188" customWidth="1"/>
    <col min="12299" max="12299" width="7.5546875" style="188" bestFit="1" customWidth="1"/>
    <col min="12300" max="12300" width="7.5546875" style="188" customWidth="1"/>
    <col min="12301" max="12301" width="13.6640625" style="188" customWidth="1"/>
    <col min="12302" max="12302" width="8.88671875" style="188" customWidth="1"/>
    <col min="12303" max="12303" width="19.5546875" style="188" customWidth="1"/>
    <col min="12304" max="12304" width="20.33203125" style="188" customWidth="1"/>
    <col min="12305" max="12305" width="14.88671875" style="188" customWidth="1"/>
    <col min="12306" max="12306" width="14.33203125" style="188" bestFit="1" customWidth="1"/>
    <col min="12307" max="12544" width="11.5546875" style="188"/>
    <col min="12545" max="12545" width="1.6640625" style="188" customWidth="1"/>
    <col min="12546" max="12546" width="8.109375" style="188" customWidth="1"/>
    <col min="12547" max="12547" width="6.44140625" style="188" customWidth="1"/>
    <col min="12548" max="12549" width="11.5546875" style="188"/>
    <col min="12550" max="12550" width="19.33203125" style="188" customWidth="1"/>
    <col min="12551" max="12551" width="51.33203125" style="188" customWidth="1"/>
    <col min="12552" max="12552" width="9.109375" style="188" customWidth="1"/>
    <col min="12553" max="12553" width="5.88671875" style="188" customWidth="1"/>
    <col min="12554" max="12554" width="7.6640625" style="188" customWidth="1"/>
    <col min="12555" max="12555" width="7.5546875" style="188" bestFit="1" customWidth="1"/>
    <col min="12556" max="12556" width="7.5546875" style="188" customWidth="1"/>
    <col min="12557" max="12557" width="13.6640625" style="188" customWidth="1"/>
    <col min="12558" max="12558" width="8.88671875" style="188" customWidth="1"/>
    <col min="12559" max="12559" width="19.5546875" style="188" customWidth="1"/>
    <col min="12560" max="12560" width="20.33203125" style="188" customWidth="1"/>
    <col min="12561" max="12561" width="14.88671875" style="188" customWidth="1"/>
    <col min="12562" max="12562" width="14.33203125" style="188" bestFit="1" customWidth="1"/>
    <col min="12563" max="12800" width="11.5546875" style="188"/>
    <col min="12801" max="12801" width="1.6640625" style="188" customWidth="1"/>
    <col min="12802" max="12802" width="8.109375" style="188" customWidth="1"/>
    <col min="12803" max="12803" width="6.44140625" style="188" customWidth="1"/>
    <col min="12804" max="12805" width="11.5546875" style="188"/>
    <col min="12806" max="12806" width="19.33203125" style="188" customWidth="1"/>
    <col min="12807" max="12807" width="51.33203125" style="188" customWidth="1"/>
    <col min="12808" max="12808" width="9.109375" style="188" customWidth="1"/>
    <col min="12809" max="12809" width="5.88671875" style="188" customWidth="1"/>
    <col min="12810" max="12810" width="7.6640625" style="188" customWidth="1"/>
    <col min="12811" max="12811" width="7.5546875" style="188" bestFit="1" customWidth="1"/>
    <col min="12812" max="12812" width="7.5546875" style="188" customWidth="1"/>
    <col min="12813" max="12813" width="13.6640625" style="188" customWidth="1"/>
    <col min="12814" max="12814" width="8.88671875" style="188" customWidth="1"/>
    <col min="12815" max="12815" width="19.5546875" style="188" customWidth="1"/>
    <col min="12816" max="12816" width="20.33203125" style="188" customWidth="1"/>
    <col min="12817" max="12817" width="14.88671875" style="188" customWidth="1"/>
    <col min="12818" max="12818" width="14.33203125" style="188" bestFit="1" customWidth="1"/>
    <col min="12819" max="13056" width="11.5546875" style="188"/>
    <col min="13057" max="13057" width="1.6640625" style="188" customWidth="1"/>
    <col min="13058" max="13058" width="8.109375" style="188" customWidth="1"/>
    <col min="13059" max="13059" width="6.44140625" style="188" customWidth="1"/>
    <col min="13060" max="13061" width="11.5546875" style="188"/>
    <col min="13062" max="13062" width="19.33203125" style="188" customWidth="1"/>
    <col min="13063" max="13063" width="51.33203125" style="188" customWidth="1"/>
    <col min="13064" max="13064" width="9.109375" style="188" customWidth="1"/>
    <col min="13065" max="13065" width="5.88671875" style="188" customWidth="1"/>
    <col min="13066" max="13066" width="7.6640625" style="188" customWidth="1"/>
    <col min="13067" max="13067" width="7.5546875" style="188" bestFit="1" customWidth="1"/>
    <col min="13068" max="13068" width="7.5546875" style="188" customWidth="1"/>
    <col min="13069" max="13069" width="13.6640625" style="188" customWidth="1"/>
    <col min="13070" max="13070" width="8.88671875" style="188" customWidth="1"/>
    <col min="13071" max="13071" width="19.5546875" style="188" customWidth="1"/>
    <col min="13072" max="13072" width="20.33203125" style="188" customWidth="1"/>
    <col min="13073" max="13073" width="14.88671875" style="188" customWidth="1"/>
    <col min="13074" max="13074" width="14.33203125" style="188" bestFit="1" customWidth="1"/>
    <col min="13075" max="13312" width="11.5546875" style="188"/>
    <col min="13313" max="13313" width="1.6640625" style="188" customWidth="1"/>
    <col min="13314" max="13314" width="8.109375" style="188" customWidth="1"/>
    <col min="13315" max="13315" width="6.44140625" style="188" customWidth="1"/>
    <col min="13316" max="13317" width="11.5546875" style="188"/>
    <col min="13318" max="13318" width="19.33203125" style="188" customWidth="1"/>
    <col min="13319" max="13319" width="51.33203125" style="188" customWidth="1"/>
    <col min="13320" max="13320" width="9.109375" style="188" customWidth="1"/>
    <col min="13321" max="13321" width="5.88671875" style="188" customWidth="1"/>
    <col min="13322" max="13322" width="7.6640625" style="188" customWidth="1"/>
    <col min="13323" max="13323" width="7.5546875" style="188" bestFit="1" customWidth="1"/>
    <col min="13324" max="13324" width="7.5546875" style="188" customWidth="1"/>
    <col min="13325" max="13325" width="13.6640625" style="188" customWidth="1"/>
    <col min="13326" max="13326" width="8.88671875" style="188" customWidth="1"/>
    <col min="13327" max="13327" width="19.5546875" style="188" customWidth="1"/>
    <col min="13328" max="13328" width="20.33203125" style="188" customWidth="1"/>
    <col min="13329" max="13329" width="14.88671875" style="188" customWidth="1"/>
    <col min="13330" max="13330" width="14.33203125" style="188" bestFit="1" customWidth="1"/>
    <col min="13331" max="13568" width="11.5546875" style="188"/>
    <col min="13569" max="13569" width="1.6640625" style="188" customWidth="1"/>
    <col min="13570" max="13570" width="8.109375" style="188" customWidth="1"/>
    <col min="13571" max="13571" width="6.44140625" style="188" customWidth="1"/>
    <col min="13572" max="13573" width="11.5546875" style="188"/>
    <col min="13574" max="13574" width="19.33203125" style="188" customWidth="1"/>
    <col min="13575" max="13575" width="51.33203125" style="188" customWidth="1"/>
    <col min="13576" max="13576" width="9.109375" style="188" customWidth="1"/>
    <col min="13577" max="13577" width="5.88671875" style="188" customWidth="1"/>
    <col min="13578" max="13578" width="7.6640625" style="188" customWidth="1"/>
    <col min="13579" max="13579" width="7.5546875" style="188" bestFit="1" customWidth="1"/>
    <col min="13580" max="13580" width="7.5546875" style="188" customWidth="1"/>
    <col min="13581" max="13581" width="13.6640625" style="188" customWidth="1"/>
    <col min="13582" max="13582" width="8.88671875" style="188" customWidth="1"/>
    <col min="13583" max="13583" width="19.5546875" style="188" customWidth="1"/>
    <col min="13584" max="13584" width="20.33203125" style="188" customWidth="1"/>
    <col min="13585" max="13585" width="14.88671875" style="188" customWidth="1"/>
    <col min="13586" max="13586" width="14.33203125" style="188" bestFit="1" customWidth="1"/>
    <col min="13587" max="13824" width="11.5546875" style="188"/>
    <col min="13825" max="13825" width="1.6640625" style="188" customWidth="1"/>
    <col min="13826" max="13826" width="8.109375" style="188" customWidth="1"/>
    <col min="13827" max="13827" width="6.44140625" style="188" customWidth="1"/>
    <col min="13828" max="13829" width="11.5546875" style="188"/>
    <col min="13830" max="13830" width="19.33203125" style="188" customWidth="1"/>
    <col min="13831" max="13831" width="51.33203125" style="188" customWidth="1"/>
    <col min="13832" max="13832" width="9.109375" style="188" customWidth="1"/>
    <col min="13833" max="13833" width="5.88671875" style="188" customWidth="1"/>
    <col min="13834" max="13834" width="7.6640625" style="188" customWidth="1"/>
    <col min="13835" max="13835" width="7.5546875" style="188" bestFit="1" customWidth="1"/>
    <col min="13836" max="13836" width="7.5546875" style="188" customWidth="1"/>
    <col min="13837" max="13837" width="13.6640625" style="188" customWidth="1"/>
    <col min="13838" max="13838" width="8.88671875" style="188" customWidth="1"/>
    <col min="13839" max="13839" width="19.5546875" style="188" customWidth="1"/>
    <col min="13840" max="13840" width="20.33203125" style="188" customWidth="1"/>
    <col min="13841" max="13841" width="14.88671875" style="188" customWidth="1"/>
    <col min="13842" max="13842" width="14.33203125" style="188" bestFit="1" customWidth="1"/>
    <col min="13843" max="14080" width="11.5546875" style="188"/>
    <col min="14081" max="14081" width="1.6640625" style="188" customWidth="1"/>
    <col min="14082" max="14082" width="8.109375" style="188" customWidth="1"/>
    <col min="14083" max="14083" width="6.44140625" style="188" customWidth="1"/>
    <col min="14084" max="14085" width="11.5546875" style="188"/>
    <col min="14086" max="14086" width="19.33203125" style="188" customWidth="1"/>
    <col min="14087" max="14087" width="51.33203125" style="188" customWidth="1"/>
    <col min="14088" max="14088" width="9.109375" style="188" customWidth="1"/>
    <col min="14089" max="14089" width="5.88671875" style="188" customWidth="1"/>
    <col min="14090" max="14090" width="7.6640625" style="188" customWidth="1"/>
    <col min="14091" max="14091" width="7.5546875" style="188" bestFit="1" customWidth="1"/>
    <col min="14092" max="14092" width="7.5546875" style="188" customWidth="1"/>
    <col min="14093" max="14093" width="13.6640625" style="188" customWidth="1"/>
    <col min="14094" max="14094" width="8.88671875" style="188" customWidth="1"/>
    <col min="14095" max="14095" width="19.5546875" style="188" customWidth="1"/>
    <col min="14096" max="14096" width="20.33203125" style="188" customWidth="1"/>
    <col min="14097" max="14097" width="14.88671875" style="188" customWidth="1"/>
    <col min="14098" max="14098" width="14.33203125" style="188" bestFit="1" customWidth="1"/>
    <col min="14099" max="14336" width="11.5546875" style="188"/>
    <col min="14337" max="14337" width="1.6640625" style="188" customWidth="1"/>
    <col min="14338" max="14338" width="8.109375" style="188" customWidth="1"/>
    <col min="14339" max="14339" width="6.44140625" style="188" customWidth="1"/>
    <col min="14340" max="14341" width="11.5546875" style="188"/>
    <col min="14342" max="14342" width="19.33203125" style="188" customWidth="1"/>
    <col min="14343" max="14343" width="51.33203125" style="188" customWidth="1"/>
    <col min="14344" max="14344" width="9.109375" style="188" customWidth="1"/>
    <col min="14345" max="14345" width="5.88671875" style="188" customWidth="1"/>
    <col min="14346" max="14346" width="7.6640625" style="188" customWidth="1"/>
    <col min="14347" max="14347" width="7.5546875" style="188" bestFit="1" customWidth="1"/>
    <col min="14348" max="14348" width="7.5546875" style="188" customWidth="1"/>
    <col min="14349" max="14349" width="13.6640625" style="188" customWidth="1"/>
    <col min="14350" max="14350" width="8.88671875" style="188" customWidth="1"/>
    <col min="14351" max="14351" width="19.5546875" style="188" customWidth="1"/>
    <col min="14352" max="14352" width="20.33203125" style="188" customWidth="1"/>
    <col min="14353" max="14353" width="14.88671875" style="188" customWidth="1"/>
    <col min="14354" max="14354" width="14.33203125" style="188" bestFit="1" customWidth="1"/>
    <col min="14355" max="14592" width="11.5546875" style="188"/>
    <col min="14593" max="14593" width="1.6640625" style="188" customWidth="1"/>
    <col min="14594" max="14594" width="8.109375" style="188" customWidth="1"/>
    <col min="14595" max="14595" width="6.44140625" style="188" customWidth="1"/>
    <col min="14596" max="14597" width="11.5546875" style="188"/>
    <col min="14598" max="14598" width="19.33203125" style="188" customWidth="1"/>
    <col min="14599" max="14599" width="51.33203125" style="188" customWidth="1"/>
    <col min="14600" max="14600" width="9.109375" style="188" customWidth="1"/>
    <col min="14601" max="14601" width="5.88671875" style="188" customWidth="1"/>
    <col min="14602" max="14602" width="7.6640625" style="188" customWidth="1"/>
    <col min="14603" max="14603" width="7.5546875" style="188" bestFit="1" customWidth="1"/>
    <col min="14604" max="14604" width="7.5546875" style="188" customWidth="1"/>
    <col min="14605" max="14605" width="13.6640625" style="188" customWidth="1"/>
    <col min="14606" max="14606" width="8.88671875" style="188" customWidth="1"/>
    <col min="14607" max="14607" width="19.5546875" style="188" customWidth="1"/>
    <col min="14608" max="14608" width="20.33203125" style="188" customWidth="1"/>
    <col min="14609" max="14609" width="14.88671875" style="188" customWidth="1"/>
    <col min="14610" max="14610" width="14.33203125" style="188" bestFit="1" customWidth="1"/>
    <col min="14611" max="14848" width="11.5546875" style="188"/>
    <col min="14849" max="14849" width="1.6640625" style="188" customWidth="1"/>
    <col min="14850" max="14850" width="8.109375" style="188" customWidth="1"/>
    <col min="14851" max="14851" width="6.44140625" style="188" customWidth="1"/>
    <col min="14852" max="14853" width="11.5546875" style="188"/>
    <col min="14854" max="14854" width="19.33203125" style="188" customWidth="1"/>
    <col min="14855" max="14855" width="51.33203125" style="188" customWidth="1"/>
    <col min="14856" max="14856" width="9.109375" style="188" customWidth="1"/>
    <col min="14857" max="14857" width="5.88671875" style="188" customWidth="1"/>
    <col min="14858" max="14858" width="7.6640625" style="188" customWidth="1"/>
    <col min="14859" max="14859" width="7.5546875" style="188" bestFit="1" customWidth="1"/>
    <col min="14860" max="14860" width="7.5546875" style="188" customWidth="1"/>
    <col min="14861" max="14861" width="13.6640625" style="188" customWidth="1"/>
    <col min="14862" max="14862" width="8.88671875" style="188" customWidth="1"/>
    <col min="14863" max="14863" width="19.5546875" style="188" customWidth="1"/>
    <col min="14864" max="14864" width="20.33203125" style="188" customWidth="1"/>
    <col min="14865" max="14865" width="14.88671875" style="188" customWidth="1"/>
    <col min="14866" max="14866" width="14.33203125" style="188" bestFit="1" customWidth="1"/>
    <col min="14867" max="15104" width="11.5546875" style="188"/>
    <col min="15105" max="15105" width="1.6640625" style="188" customWidth="1"/>
    <col min="15106" max="15106" width="8.109375" style="188" customWidth="1"/>
    <col min="15107" max="15107" width="6.44140625" style="188" customWidth="1"/>
    <col min="15108" max="15109" width="11.5546875" style="188"/>
    <col min="15110" max="15110" width="19.33203125" style="188" customWidth="1"/>
    <col min="15111" max="15111" width="51.33203125" style="188" customWidth="1"/>
    <col min="15112" max="15112" width="9.109375" style="188" customWidth="1"/>
    <col min="15113" max="15113" width="5.88671875" style="188" customWidth="1"/>
    <col min="15114" max="15114" width="7.6640625" style="188" customWidth="1"/>
    <col min="15115" max="15115" width="7.5546875" style="188" bestFit="1" customWidth="1"/>
    <col min="15116" max="15116" width="7.5546875" style="188" customWidth="1"/>
    <col min="15117" max="15117" width="13.6640625" style="188" customWidth="1"/>
    <col min="15118" max="15118" width="8.88671875" style="188" customWidth="1"/>
    <col min="15119" max="15119" width="19.5546875" style="188" customWidth="1"/>
    <col min="15120" max="15120" width="20.33203125" style="188" customWidth="1"/>
    <col min="15121" max="15121" width="14.88671875" style="188" customWidth="1"/>
    <col min="15122" max="15122" width="14.33203125" style="188" bestFit="1" customWidth="1"/>
    <col min="15123" max="15360" width="11.5546875" style="188"/>
    <col min="15361" max="15361" width="1.6640625" style="188" customWidth="1"/>
    <col min="15362" max="15362" width="8.109375" style="188" customWidth="1"/>
    <col min="15363" max="15363" width="6.44140625" style="188" customWidth="1"/>
    <col min="15364" max="15365" width="11.5546875" style="188"/>
    <col min="15366" max="15366" width="19.33203125" style="188" customWidth="1"/>
    <col min="15367" max="15367" width="51.33203125" style="188" customWidth="1"/>
    <col min="15368" max="15368" width="9.109375" style="188" customWidth="1"/>
    <col min="15369" max="15369" width="5.88671875" style="188" customWidth="1"/>
    <col min="15370" max="15370" width="7.6640625" style="188" customWidth="1"/>
    <col min="15371" max="15371" width="7.5546875" style="188" bestFit="1" customWidth="1"/>
    <col min="15372" max="15372" width="7.5546875" style="188" customWidth="1"/>
    <col min="15373" max="15373" width="13.6640625" style="188" customWidth="1"/>
    <col min="15374" max="15374" width="8.88671875" style="188" customWidth="1"/>
    <col min="15375" max="15375" width="19.5546875" style="188" customWidth="1"/>
    <col min="15376" max="15376" width="20.33203125" style="188" customWidth="1"/>
    <col min="15377" max="15377" width="14.88671875" style="188" customWidth="1"/>
    <col min="15378" max="15378" width="14.33203125" style="188" bestFit="1" customWidth="1"/>
    <col min="15379" max="15616" width="11.5546875" style="188"/>
    <col min="15617" max="15617" width="1.6640625" style="188" customWidth="1"/>
    <col min="15618" max="15618" width="8.109375" style="188" customWidth="1"/>
    <col min="15619" max="15619" width="6.44140625" style="188" customWidth="1"/>
    <col min="15620" max="15621" width="11.5546875" style="188"/>
    <col min="15622" max="15622" width="19.33203125" style="188" customWidth="1"/>
    <col min="15623" max="15623" width="51.33203125" style="188" customWidth="1"/>
    <col min="15624" max="15624" width="9.109375" style="188" customWidth="1"/>
    <col min="15625" max="15625" width="5.88671875" style="188" customWidth="1"/>
    <col min="15626" max="15626" width="7.6640625" style="188" customWidth="1"/>
    <col min="15627" max="15627" width="7.5546875" style="188" bestFit="1" customWidth="1"/>
    <col min="15628" max="15628" width="7.5546875" style="188" customWidth="1"/>
    <col min="15629" max="15629" width="13.6640625" style="188" customWidth="1"/>
    <col min="15630" max="15630" width="8.88671875" style="188" customWidth="1"/>
    <col min="15631" max="15631" width="19.5546875" style="188" customWidth="1"/>
    <col min="15632" max="15632" width="20.33203125" style="188" customWidth="1"/>
    <col min="15633" max="15633" width="14.88671875" style="188" customWidth="1"/>
    <col min="15634" max="15634" width="14.33203125" style="188" bestFit="1" customWidth="1"/>
    <col min="15635" max="15872" width="11.5546875" style="188"/>
    <col min="15873" max="15873" width="1.6640625" style="188" customWidth="1"/>
    <col min="15874" max="15874" width="8.109375" style="188" customWidth="1"/>
    <col min="15875" max="15875" width="6.44140625" style="188" customWidth="1"/>
    <col min="15876" max="15877" width="11.5546875" style="188"/>
    <col min="15878" max="15878" width="19.33203125" style="188" customWidth="1"/>
    <col min="15879" max="15879" width="51.33203125" style="188" customWidth="1"/>
    <col min="15880" max="15880" width="9.109375" style="188" customWidth="1"/>
    <col min="15881" max="15881" width="5.88671875" style="188" customWidth="1"/>
    <col min="15882" max="15882" width="7.6640625" style="188" customWidth="1"/>
    <col min="15883" max="15883" width="7.5546875" style="188" bestFit="1" customWidth="1"/>
    <col min="15884" max="15884" width="7.5546875" style="188" customWidth="1"/>
    <col min="15885" max="15885" width="13.6640625" style="188" customWidth="1"/>
    <col min="15886" max="15886" width="8.88671875" style="188" customWidth="1"/>
    <col min="15887" max="15887" width="19.5546875" style="188" customWidth="1"/>
    <col min="15888" max="15888" width="20.33203125" style="188" customWidth="1"/>
    <col min="15889" max="15889" width="14.88671875" style="188" customWidth="1"/>
    <col min="15890" max="15890" width="14.33203125" style="188" bestFit="1" customWidth="1"/>
    <col min="15891" max="16128" width="11.5546875" style="188"/>
    <col min="16129" max="16129" width="1.6640625" style="188" customWidth="1"/>
    <col min="16130" max="16130" width="8.109375" style="188" customWidth="1"/>
    <col min="16131" max="16131" width="6.44140625" style="188" customWidth="1"/>
    <col min="16132" max="16133" width="11.5546875" style="188"/>
    <col min="16134" max="16134" width="19.33203125" style="188" customWidth="1"/>
    <col min="16135" max="16135" width="51.33203125" style="188" customWidth="1"/>
    <col min="16136" max="16136" width="9.109375" style="188" customWidth="1"/>
    <col min="16137" max="16137" width="5.88671875" style="188" customWidth="1"/>
    <col min="16138" max="16138" width="7.6640625" style="188" customWidth="1"/>
    <col min="16139" max="16139" width="7.5546875" style="188" bestFit="1" customWidth="1"/>
    <col min="16140" max="16140" width="7.5546875" style="188" customWidth="1"/>
    <col min="16141" max="16141" width="13.6640625" style="188" customWidth="1"/>
    <col min="16142" max="16142" width="8.88671875" style="188" customWidth="1"/>
    <col min="16143" max="16143" width="19.5546875" style="188" customWidth="1"/>
    <col min="16144" max="16144" width="20.33203125" style="188" customWidth="1"/>
    <col min="16145" max="16145" width="14.88671875" style="188" customWidth="1"/>
    <col min="16146" max="16146" width="14.33203125" style="188" bestFit="1" customWidth="1"/>
    <col min="16147" max="16384" width="11.5546875" style="188"/>
  </cols>
  <sheetData>
    <row r="1" spans="2:18" ht="14.4" thickBot="1" x14ac:dyDescent="0.3">
      <c r="C1" s="189"/>
      <c r="D1" s="190"/>
      <c r="E1" s="190"/>
      <c r="F1" s="190"/>
      <c r="G1" s="190"/>
      <c r="H1" s="190"/>
      <c r="I1" s="190"/>
      <c r="J1" s="190"/>
      <c r="K1" s="190"/>
      <c r="L1" s="190"/>
      <c r="M1" s="190"/>
      <c r="N1" s="67"/>
      <c r="O1" s="67"/>
    </row>
    <row r="2" spans="2:18" x14ac:dyDescent="0.3">
      <c r="C2" s="1001" t="s">
        <v>5247</v>
      </c>
      <c r="D2" s="1037"/>
      <c r="E2" s="1037"/>
      <c r="F2" s="1037"/>
      <c r="G2" s="1037"/>
      <c r="H2" s="1037"/>
      <c r="I2" s="1037"/>
      <c r="J2" s="1037"/>
      <c r="K2" s="1037"/>
      <c r="L2" s="1038"/>
      <c r="M2" s="1039"/>
      <c r="N2" s="1040"/>
      <c r="O2" s="1041"/>
    </row>
    <row r="3" spans="2:18" x14ac:dyDescent="0.3">
      <c r="C3" s="1048" t="s">
        <v>12</v>
      </c>
      <c r="D3" s="1049"/>
      <c r="E3" s="1049"/>
      <c r="F3" s="1049"/>
      <c r="G3" s="1049"/>
      <c r="H3" s="1049"/>
      <c r="I3" s="1049"/>
      <c r="J3" s="1049"/>
      <c r="K3" s="1049"/>
      <c r="L3" s="1050"/>
      <c r="M3" s="1042"/>
      <c r="N3" s="1043"/>
      <c r="O3" s="1044"/>
    </row>
    <row r="4" spans="2:18" x14ac:dyDescent="0.3">
      <c r="C4" s="1048" t="s">
        <v>5271</v>
      </c>
      <c r="D4" s="1049"/>
      <c r="E4" s="1049"/>
      <c r="F4" s="1049"/>
      <c r="G4" s="1049"/>
      <c r="H4" s="1049"/>
      <c r="I4" s="1049"/>
      <c r="J4" s="1049"/>
      <c r="K4" s="1049"/>
      <c r="L4" s="1050"/>
      <c r="M4" s="1045"/>
      <c r="N4" s="1046"/>
      <c r="O4" s="1047"/>
    </row>
    <row r="5" spans="2:18" ht="14.4" thickBot="1" x14ac:dyDescent="0.35">
      <c r="C5" s="1051" t="s">
        <v>5275</v>
      </c>
      <c r="D5" s="1052"/>
      <c r="E5" s="1052"/>
      <c r="F5" s="1052"/>
      <c r="G5" s="1052"/>
      <c r="H5" s="1052"/>
      <c r="I5" s="1052"/>
      <c r="J5" s="1052"/>
      <c r="K5" s="1052"/>
      <c r="L5" s="1053"/>
      <c r="M5" s="1054" t="s">
        <v>12</v>
      </c>
      <c r="N5" s="1055"/>
      <c r="O5" s="1056"/>
    </row>
    <row r="6" spans="2:18" ht="63.6" customHeight="1" thickBot="1" x14ac:dyDescent="0.35">
      <c r="C6" s="1021" t="s">
        <v>0</v>
      </c>
      <c r="D6" s="1022"/>
      <c r="E6" s="1023"/>
      <c r="F6" s="1024" t="str">
        <f>+'DATOS DEL PROCESO'!B6</f>
        <v>EJECUTAR POR EL SISTEMA DE PRECIOS UNITARIOS Y A MONTO AGOTABLE LAS ACTIVIDADES PARA LA CONSERVACION DE LA MALLA VIAL LOCAL E INTERMEDIA Y ESPACIO PÚBLICO EN LA LOCALIDAD DE SUBA EN LA CIUDAD DE BOGOTA D.C</v>
      </c>
      <c r="G6" s="1025"/>
      <c r="H6" s="1025"/>
      <c r="I6" s="1025"/>
      <c r="J6" s="1025"/>
      <c r="K6" s="1025"/>
      <c r="L6" s="1025"/>
      <c r="M6" s="1025"/>
      <c r="N6" s="1025"/>
      <c r="O6" s="1026"/>
    </row>
    <row r="7" spans="2:18" x14ac:dyDescent="0.3">
      <c r="D7" s="192"/>
      <c r="E7" s="192"/>
      <c r="F7" s="192"/>
      <c r="G7" s="192"/>
      <c r="H7" s="192"/>
      <c r="I7" s="192"/>
      <c r="J7" s="192"/>
      <c r="K7" s="192"/>
      <c r="L7" s="192"/>
      <c r="M7" s="192"/>
      <c r="N7" s="192"/>
      <c r="O7" s="193"/>
      <c r="R7" s="188">
        <v>1.5669999999999999</v>
      </c>
    </row>
    <row r="8" spans="2:18" x14ac:dyDescent="0.3">
      <c r="C8" s="194" t="s">
        <v>5276</v>
      </c>
      <c r="D8" s="195"/>
      <c r="E8" s="195"/>
      <c r="F8" s="195"/>
      <c r="G8" s="195"/>
      <c r="H8" s="195"/>
      <c r="I8" s="195"/>
      <c r="J8" s="195"/>
      <c r="K8" s="195"/>
      <c r="L8" s="195"/>
      <c r="M8" s="195"/>
      <c r="N8" s="195"/>
      <c r="O8" s="196"/>
      <c r="R8" s="188">
        <v>1.4510000000000001</v>
      </c>
    </row>
    <row r="9" spans="2:18" x14ac:dyDescent="0.3">
      <c r="C9" s="1027" t="s">
        <v>5277</v>
      </c>
      <c r="D9" s="1028"/>
      <c r="E9" s="1028"/>
      <c r="F9" s="1028"/>
      <c r="G9" s="1028"/>
      <c r="H9" s="1028"/>
      <c r="I9" s="1028"/>
      <c r="J9" s="1028"/>
      <c r="K9" s="1028"/>
      <c r="L9" s="1028"/>
      <c r="M9" s="1028"/>
      <c r="N9" s="1028"/>
      <c r="O9" s="1029"/>
    </row>
    <row r="10" spans="2:18" x14ac:dyDescent="0.3">
      <c r="C10" s="197"/>
      <c r="D10" s="198"/>
      <c r="E10" s="198"/>
      <c r="F10" s="198"/>
      <c r="G10" s="198"/>
      <c r="H10" s="199"/>
      <c r="I10" s="199"/>
      <c r="J10" s="200"/>
      <c r="K10" s="201"/>
      <c r="L10" s="202"/>
      <c r="M10" s="203"/>
      <c r="N10" s="204"/>
      <c r="O10" s="205"/>
      <c r="P10" s="206"/>
    </row>
    <row r="11" spans="2:18" x14ac:dyDescent="0.3">
      <c r="C11" s="194"/>
      <c r="D11" s="195"/>
      <c r="E11" s="195"/>
      <c r="F11" s="195"/>
      <c r="G11" s="207"/>
      <c r="H11" s="207"/>
      <c r="I11" s="195"/>
      <c r="J11" s="195"/>
      <c r="K11" s="1030" t="s">
        <v>5278</v>
      </c>
      <c r="L11" s="1030"/>
      <c r="M11" s="1030"/>
      <c r="N11" s="207">
        <f>+'DATOS DEL PROCESO'!B16</f>
        <v>11</v>
      </c>
      <c r="O11" s="208" t="s">
        <v>5</v>
      </c>
    </row>
    <row r="12" spans="2:18" x14ac:dyDescent="0.3">
      <c r="C12" s="1031" t="s">
        <v>5279</v>
      </c>
      <c r="D12" s="1032"/>
      <c r="E12" s="1032"/>
      <c r="F12" s="1032"/>
      <c r="G12" s="1032"/>
      <c r="H12" s="1032"/>
      <c r="I12" s="1032"/>
      <c r="J12" s="1032"/>
      <c r="K12" s="1032"/>
      <c r="L12" s="1032"/>
      <c r="M12" s="1032"/>
      <c r="N12" s="1032"/>
      <c r="O12" s="1033"/>
    </row>
    <row r="13" spans="2:18" ht="28.8" x14ac:dyDescent="0.3">
      <c r="B13" s="482" t="s">
        <v>5413</v>
      </c>
      <c r="C13" s="1034" t="s">
        <v>5280</v>
      </c>
      <c r="D13" s="1035"/>
      <c r="E13" s="1035"/>
      <c r="F13" s="1035"/>
      <c r="G13" s="1036"/>
      <c r="H13" s="209" t="s">
        <v>5281</v>
      </c>
      <c r="I13" s="210" t="s">
        <v>5196</v>
      </c>
      <c r="J13" s="211" t="s">
        <v>5282</v>
      </c>
      <c r="K13" s="210" t="s">
        <v>5283</v>
      </c>
      <c r="L13" s="211" t="s">
        <v>5284</v>
      </c>
      <c r="M13" s="212" t="s">
        <v>5285</v>
      </c>
      <c r="N13" s="213" t="s">
        <v>5286</v>
      </c>
      <c r="O13" s="212" t="s">
        <v>5287</v>
      </c>
    </row>
    <row r="14" spans="2:18" ht="14.25" customHeight="1" x14ac:dyDescent="0.3">
      <c r="B14" s="188">
        <v>9113</v>
      </c>
      <c r="C14" s="214">
        <v>1</v>
      </c>
      <c r="D14" s="1068" t="s">
        <v>5288</v>
      </c>
      <c r="E14" s="1069"/>
      <c r="F14" s="1069"/>
      <c r="G14" s="1070"/>
      <c r="H14" s="219" t="str">
        <f>+_xlfn.XLOOKUP(B14,INSUMO_IDU[Código],INSUMO_IDU[UM],"",0)</f>
        <v>MES</v>
      </c>
      <c r="I14" s="215">
        <v>7</v>
      </c>
      <c r="J14" s="216">
        <v>1</v>
      </c>
      <c r="K14" s="530">
        <v>0.5</v>
      </c>
      <c r="L14" s="218">
        <f>K14*$N$11</f>
        <v>5.5</v>
      </c>
      <c r="M14" s="219">
        <f>+_xlfn.XLOOKUP(B14,INSUMO_IDU[Código],INSUMO_IDU[Precio],"",0)</f>
        <v>5791000</v>
      </c>
      <c r="N14" s="220">
        <f>+VLOOKUP(B14,F.P!$B$7:$H$46,7,FALSE)</f>
        <v>1.4510000000000001</v>
      </c>
      <c r="O14" s="221">
        <f>ROUND((N14*M14*L14*J14),0)</f>
        <v>46215076</v>
      </c>
      <c r="Q14" s="222"/>
    </row>
    <row r="15" spans="2:18" ht="14.25" customHeight="1" x14ac:dyDescent="0.3">
      <c r="B15" s="188">
        <v>9113</v>
      </c>
      <c r="C15" s="214">
        <v>2</v>
      </c>
      <c r="D15" s="1068" t="s">
        <v>5289</v>
      </c>
      <c r="E15" s="1069"/>
      <c r="F15" s="1069"/>
      <c r="G15" s="1070"/>
      <c r="H15" s="219" t="str">
        <f>+_xlfn.XLOOKUP(B15,INSUMO_IDU[Código],INSUMO_IDU[UM],"",0)</f>
        <v>MES</v>
      </c>
      <c r="I15" s="215">
        <v>7</v>
      </c>
      <c r="J15" s="216">
        <v>1</v>
      </c>
      <c r="K15" s="217">
        <v>1</v>
      </c>
      <c r="L15" s="218">
        <f>K15*$N$11</f>
        <v>11</v>
      </c>
      <c r="M15" s="219">
        <f>+_xlfn.XLOOKUP(B15,INSUMO_IDU[Código],INSUMO_IDU[Precio],"",0)</f>
        <v>5791000</v>
      </c>
      <c r="N15" s="220">
        <f>+VLOOKUP(B15,F.P!$B$7:$H$46,7,FALSE)</f>
        <v>1.4510000000000001</v>
      </c>
      <c r="O15" s="221">
        <f>ROUND((N15*M15*L15*J15),0)</f>
        <v>92430151</v>
      </c>
      <c r="Q15" s="222"/>
    </row>
    <row r="16" spans="2:18" ht="14.25" customHeight="1" x14ac:dyDescent="0.3">
      <c r="B16" s="188">
        <v>9113</v>
      </c>
      <c r="C16" s="214">
        <v>3</v>
      </c>
      <c r="D16" s="1068" t="s">
        <v>6908</v>
      </c>
      <c r="E16" s="1069"/>
      <c r="F16" s="1069"/>
      <c r="G16" s="1070"/>
      <c r="H16" s="219" t="str">
        <f>+_xlfn.XLOOKUP(B16,INSUMO_IDU[Código],INSUMO_IDU[UM],"",0)</f>
        <v>MES</v>
      </c>
      <c r="I16" s="215">
        <v>7</v>
      </c>
      <c r="J16" s="216">
        <v>1</v>
      </c>
      <c r="K16" s="509">
        <v>0.1</v>
      </c>
      <c r="L16" s="218">
        <f>K16*$N$11</f>
        <v>1.1000000000000001</v>
      </c>
      <c r="M16" s="219">
        <f>+_xlfn.XLOOKUP(B16,INSUMO_IDU[Código],INSUMO_IDU[Precio],"",0)</f>
        <v>5791000</v>
      </c>
      <c r="N16" s="220">
        <f>+VLOOKUP(B16,F.P!$B$7:$H$46,7,FALSE)</f>
        <v>1.4510000000000001</v>
      </c>
      <c r="O16" s="221">
        <f>ROUND((N16*M16*L16*J16),0)</f>
        <v>9243015</v>
      </c>
      <c r="Q16" s="222"/>
    </row>
    <row r="17" spans="2:18" ht="14.25" customHeight="1" x14ac:dyDescent="0.3">
      <c r="C17" s="223"/>
      <c r="D17" s="1071" t="s">
        <v>5412</v>
      </c>
      <c r="E17" s="1071"/>
      <c r="F17" s="1071"/>
      <c r="G17" s="1071"/>
      <c r="H17" s="224"/>
      <c r="I17" s="225"/>
      <c r="J17" s="226"/>
      <c r="K17" s="227"/>
      <c r="L17" s="228"/>
      <c r="M17" s="229"/>
      <c r="N17" s="230"/>
      <c r="O17" s="231"/>
    </row>
    <row r="18" spans="2:18" ht="14.25" customHeight="1" x14ac:dyDescent="0.3">
      <c r="B18" s="188">
        <v>9094</v>
      </c>
      <c r="C18" s="214">
        <v>3</v>
      </c>
      <c r="D18" s="1072" t="s">
        <v>5410</v>
      </c>
      <c r="E18" s="1073"/>
      <c r="F18" s="1073"/>
      <c r="G18" s="1073"/>
      <c r="H18" s="219" t="str">
        <f>+_xlfn.XLOOKUP(B18,INSUMO_IDU[Código],INSUMO_IDU[UM],"",0)</f>
        <v>MES</v>
      </c>
      <c r="I18" s="232"/>
      <c r="J18" s="483">
        <v>1</v>
      </c>
      <c r="K18" s="484">
        <v>0.5</v>
      </c>
      <c r="L18" s="218">
        <f>K18*$N$11</f>
        <v>5.5</v>
      </c>
      <c r="M18" s="219">
        <f>+_xlfn.XLOOKUP(B18,INSUMO_IDU[Código],INSUMO_IDU[Precio],"",0)</f>
        <v>2447000</v>
      </c>
      <c r="N18" s="220">
        <f>+VLOOKUP(B18,F.P!$B$7:$H$46,7,FALSE)</f>
        <v>1.5669999999999999</v>
      </c>
      <c r="O18" s="221">
        <f>ROUND((N18*M18*L18*J18),0)</f>
        <v>21089470</v>
      </c>
    </row>
    <row r="19" spans="2:18" ht="14.25" customHeight="1" x14ac:dyDescent="0.3">
      <c r="C19" s="223"/>
      <c r="D19" s="1071" t="s">
        <v>5290</v>
      </c>
      <c r="E19" s="1071"/>
      <c r="F19" s="1071"/>
      <c r="G19" s="1071"/>
      <c r="H19" s="224"/>
      <c r="I19" s="225"/>
      <c r="J19" s="226"/>
      <c r="K19" s="227"/>
      <c r="L19" s="228"/>
      <c r="M19" s="229"/>
      <c r="N19" s="230"/>
      <c r="O19" s="231"/>
    </row>
    <row r="20" spans="2:18" ht="14.25" customHeight="1" x14ac:dyDescent="0.3">
      <c r="B20" s="188">
        <v>9455</v>
      </c>
      <c r="C20" s="214">
        <v>4</v>
      </c>
      <c r="D20" s="1072" t="s">
        <v>5411</v>
      </c>
      <c r="E20" s="1073"/>
      <c r="F20" s="1073"/>
      <c r="G20" s="1073"/>
      <c r="H20" s="219" t="str">
        <f>+_xlfn.XLOOKUP(B20,INSUMO_IDU[Código],INSUMO_IDU[UM],"",0)</f>
        <v>MES</v>
      </c>
      <c r="I20" s="232"/>
      <c r="J20" s="216">
        <v>2</v>
      </c>
      <c r="K20" s="217">
        <v>0.5</v>
      </c>
      <c r="L20" s="218">
        <f>K20*$N$11</f>
        <v>5.5</v>
      </c>
      <c r="M20" s="219">
        <f>+_xlfn.XLOOKUP(B20,INSUMO_IDU[Código],INSUMO_IDU[Precio],"",0)</f>
        <v>1750905</v>
      </c>
      <c r="N20" s="220">
        <f>+VLOOKUP(B20,F.P!$B$7:$H$46,7,FALSE)</f>
        <v>1.5669999999999999</v>
      </c>
      <c r="O20" s="221">
        <f>ROUND((N20*M20*L20*J20),0)</f>
        <v>30180349</v>
      </c>
    </row>
    <row r="21" spans="2:18" x14ac:dyDescent="0.3">
      <c r="D21" s="233"/>
      <c r="E21" s="233"/>
      <c r="F21" s="233"/>
      <c r="G21" s="233"/>
      <c r="H21" s="234" t="s">
        <v>5291</v>
      </c>
      <c r="I21" s="235"/>
      <c r="J21" s="235"/>
      <c r="K21" s="235"/>
      <c r="L21" s="235"/>
      <c r="M21" s="235"/>
      <c r="N21" s="236"/>
      <c r="O21" s="237">
        <f>SUM(O14:O20)</f>
        <v>199158061</v>
      </c>
      <c r="P21" s="206"/>
    </row>
    <row r="22" spans="2:18" x14ac:dyDescent="0.3">
      <c r="D22" s="233"/>
      <c r="E22" s="233"/>
      <c r="F22" s="233"/>
      <c r="G22" s="233"/>
      <c r="H22" s="238"/>
      <c r="I22" s="238"/>
      <c r="J22" s="238"/>
      <c r="K22" s="238"/>
      <c r="L22" s="238"/>
      <c r="M22" s="238"/>
      <c r="N22" s="238"/>
      <c r="O22" s="239"/>
      <c r="P22" s="206"/>
      <c r="Q22" s="240"/>
      <c r="R22" s="240"/>
    </row>
    <row r="23" spans="2:18" ht="14.25" customHeight="1" x14ac:dyDescent="0.3">
      <c r="C23" s="234" t="s">
        <v>5292</v>
      </c>
      <c r="D23" s="235"/>
      <c r="E23" s="235"/>
      <c r="F23" s="235"/>
      <c r="G23" s="235"/>
      <c r="H23" s="235"/>
      <c r="I23" s="235"/>
      <c r="J23" s="235"/>
      <c r="K23" s="235"/>
      <c r="L23" s="235"/>
      <c r="M23" s="235"/>
      <c r="N23" s="235"/>
      <c r="O23" s="236"/>
      <c r="P23" s="206"/>
    </row>
    <row r="24" spans="2:18" x14ac:dyDescent="0.3">
      <c r="C24" s="1057" t="s">
        <v>5280</v>
      </c>
      <c r="D24" s="1058"/>
      <c r="E24" s="1058"/>
      <c r="F24" s="1058"/>
      <c r="G24" s="241" t="s">
        <v>5293</v>
      </c>
      <c r="H24" s="241" t="s">
        <v>5281</v>
      </c>
      <c r="I24" s="1059" t="s">
        <v>5250</v>
      </c>
      <c r="J24" s="1059"/>
      <c r="K24" s="1060" t="s">
        <v>5294</v>
      </c>
      <c r="L24" s="1060"/>
      <c r="M24" s="1060"/>
      <c r="N24" s="1061" t="s">
        <v>5295</v>
      </c>
      <c r="O24" s="1061"/>
      <c r="P24" s="206"/>
      <c r="Q24" s="242"/>
      <c r="R24" s="242"/>
    </row>
    <row r="25" spans="2:18" ht="14.25" customHeight="1" x14ac:dyDescent="0.3">
      <c r="C25" s="243" t="s">
        <v>5296</v>
      </c>
      <c r="D25" s="244" t="s">
        <v>5297</v>
      </c>
      <c r="E25" s="245"/>
      <c r="F25" s="245"/>
      <c r="G25" s="245"/>
      <c r="H25" s="245"/>
      <c r="I25" s="245"/>
      <c r="J25" s="245"/>
      <c r="K25" s="245"/>
      <c r="L25" s="245"/>
      <c r="M25" s="245"/>
      <c r="N25" s="245"/>
      <c r="O25" s="246"/>
      <c r="P25" s="206"/>
    </row>
    <row r="26" spans="2:18" x14ac:dyDescent="0.3">
      <c r="B26" s="188">
        <v>7559</v>
      </c>
      <c r="C26" s="214">
        <v>1.1000000000000001</v>
      </c>
      <c r="D26" s="1062" t="s">
        <v>5298</v>
      </c>
      <c r="E26" s="1062"/>
      <c r="F26" s="1062"/>
      <c r="G26" s="219" t="str">
        <f>+_xlfn.XLOOKUP(B26,INSUMO_IDU[Código],INSUMO_IDU[Nombre],"",0)</f>
        <v>TELA VERDE DE CERRAMIENTO (2.10mx250)</v>
      </c>
      <c r="H26" s="219" t="str">
        <f>+_xlfn.XLOOKUP(B26,INSUMO_IDU[Código],INSUMO_IDU[UM],"",0)</f>
        <v>M2</v>
      </c>
      <c r="I26" s="1063">
        <v>50</v>
      </c>
      <c r="J26" s="1063"/>
      <c r="K26" s="1064">
        <f>+_xlfn.XLOOKUP(B26,INSUMO_IDU[Código],INSUMO_IDU[Precio],"",0)</f>
        <v>2763</v>
      </c>
      <c r="L26" s="1065" t="e">
        <v>#N/A</v>
      </c>
      <c r="M26" s="1066">
        <v>2538</v>
      </c>
      <c r="N26" s="1067">
        <f>ROUND((I26*K26),0)</f>
        <v>138150</v>
      </c>
      <c r="O26" s="1067"/>
      <c r="P26" s="206"/>
      <c r="Q26" s="248"/>
    </row>
    <row r="27" spans="2:18" x14ac:dyDescent="0.3">
      <c r="B27" s="188">
        <v>7285</v>
      </c>
      <c r="C27" s="214">
        <v>1.2</v>
      </c>
      <c r="D27" s="1078" t="s">
        <v>5299</v>
      </c>
      <c r="E27" s="1078"/>
      <c r="F27" s="1078"/>
      <c r="G27" s="219" t="str">
        <f>+_xlfn.XLOOKUP(B27,INSUMO_IDU[Código],INSUMO_IDU[Nombre],"",0)</f>
        <v>VARA DE CORREDOR 6.0 M</v>
      </c>
      <c r="H27" s="219" t="str">
        <f>+_xlfn.XLOOKUP(B27,INSUMO_IDU[Código],INSUMO_IDU[UM],"",0)</f>
        <v>UN</v>
      </c>
      <c r="I27" s="1079">
        <v>30</v>
      </c>
      <c r="J27" s="1079"/>
      <c r="K27" s="1064">
        <f>+_xlfn.XLOOKUP(B27,INSUMO_IDU[Código],INSUMO_IDU[Precio],"",0)</f>
        <v>22050</v>
      </c>
      <c r="L27" s="1065" t="e">
        <v>#N/A</v>
      </c>
      <c r="M27" s="1066">
        <v>2538</v>
      </c>
      <c r="N27" s="1080">
        <f>ROUND((I27*K27),0)</f>
        <v>661500</v>
      </c>
      <c r="O27" s="1080"/>
      <c r="P27" s="206"/>
      <c r="Q27" s="248"/>
    </row>
    <row r="28" spans="2:18" ht="14.25" customHeight="1" x14ac:dyDescent="0.3">
      <c r="C28" s="249"/>
      <c r="D28" s="249"/>
      <c r="E28" s="249"/>
      <c r="F28" s="249"/>
      <c r="G28" s="249"/>
      <c r="H28" s="250" t="s">
        <v>5300</v>
      </c>
      <c r="I28" s="251"/>
      <c r="J28" s="251"/>
      <c r="K28" s="251"/>
      <c r="L28" s="251"/>
      <c r="M28" s="252"/>
      <c r="N28" s="1081">
        <f>SUM(N26:O27)</f>
        <v>799650</v>
      </c>
      <c r="O28" s="1082"/>
      <c r="P28" s="206"/>
    </row>
    <row r="29" spans="2:18" x14ac:dyDescent="0.3">
      <c r="C29" s="253"/>
      <c r="D29" s="253"/>
      <c r="E29" s="253"/>
      <c r="F29" s="253"/>
      <c r="G29" s="253"/>
      <c r="H29" s="253"/>
      <c r="I29" s="253"/>
      <c r="J29" s="253"/>
      <c r="K29" s="253"/>
      <c r="L29" s="253"/>
      <c r="M29" s="253"/>
      <c r="N29" s="253"/>
      <c r="O29" s="253"/>
      <c r="P29" s="206"/>
    </row>
    <row r="30" spans="2:18" ht="14.25" customHeight="1" x14ac:dyDescent="0.3">
      <c r="C30" s="234" t="s">
        <v>5301</v>
      </c>
      <c r="D30" s="235"/>
      <c r="E30" s="235"/>
      <c r="F30" s="235"/>
      <c r="G30" s="235"/>
      <c r="H30" s="235"/>
      <c r="I30" s="235"/>
      <c r="J30" s="235"/>
      <c r="K30" s="235"/>
      <c r="L30" s="235"/>
      <c r="M30" s="235"/>
      <c r="N30" s="235"/>
      <c r="O30" s="236"/>
    </row>
    <row r="31" spans="2:18" ht="15" customHeight="1" x14ac:dyDescent="0.3">
      <c r="C31" s="1057" t="s">
        <v>5280</v>
      </c>
      <c r="D31" s="1058"/>
      <c r="E31" s="1058"/>
      <c r="F31" s="1058"/>
      <c r="G31" s="241" t="s">
        <v>5293</v>
      </c>
      <c r="H31" s="241" t="s">
        <v>5281</v>
      </c>
      <c r="I31" s="1059" t="s">
        <v>5250</v>
      </c>
      <c r="J31" s="1059"/>
      <c r="K31" s="1060" t="s">
        <v>5294</v>
      </c>
      <c r="L31" s="1060"/>
      <c r="M31" s="1060"/>
      <c r="N31" s="1061" t="s">
        <v>5295</v>
      </c>
      <c r="O31" s="1061"/>
    </row>
    <row r="32" spans="2:18" ht="15" customHeight="1" x14ac:dyDescent="0.3">
      <c r="C32" s="243" t="s">
        <v>5302</v>
      </c>
      <c r="D32" s="254" t="s">
        <v>5303</v>
      </c>
      <c r="E32" s="245"/>
      <c r="F32" s="245"/>
      <c r="G32" s="245"/>
      <c r="H32" s="245"/>
      <c r="I32" s="245"/>
      <c r="J32" s="245"/>
      <c r="K32" s="245"/>
      <c r="L32" s="245"/>
      <c r="M32" s="245"/>
      <c r="N32" s="245"/>
      <c r="O32" s="246"/>
    </row>
    <row r="33" spans="2:17" ht="31.5" customHeight="1" x14ac:dyDescent="0.3">
      <c r="B33" s="188">
        <v>9290</v>
      </c>
      <c r="C33" s="214">
        <v>1.1000000000000001</v>
      </c>
      <c r="D33" s="1062" t="s">
        <v>5304</v>
      </c>
      <c r="E33" s="1062"/>
      <c r="F33" s="1062"/>
      <c r="G33" s="623" t="str">
        <f>+_xlfn.XLOOKUP(B33,INSUMO_IDU[Código],INSUMO_IDU[Nombre],"",0)</f>
        <v>CANECA PLÁSTICA NEGRA DE 55 GALONES CON TAPA PLANA.</v>
      </c>
      <c r="H33" s="219" t="str">
        <f>+_xlfn.XLOOKUP(B33,INSUMO_IDU[Código],INSUMO_IDU[UM],"",0)</f>
        <v>UN</v>
      </c>
      <c r="I33" s="1063">
        <v>15</v>
      </c>
      <c r="J33" s="1063"/>
      <c r="K33" s="1064">
        <f>+_xlfn.XLOOKUP(B33,INSUMO_IDU[Código],INSUMO_IDU[Precio],"",0)</f>
        <v>148609</v>
      </c>
      <c r="L33" s="1065" t="e">
        <v>#N/A</v>
      </c>
      <c r="M33" s="1066">
        <v>2539</v>
      </c>
      <c r="N33" s="1067">
        <f>ROUND((I33*K33),0)</f>
        <v>2229135</v>
      </c>
      <c r="O33" s="1067"/>
      <c r="Q33" s="248"/>
    </row>
    <row r="34" spans="2:17" ht="31.5" customHeight="1" x14ac:dyDescent="0.3">
      <c r="B34" s="188">
        <v>7558</v>
      </c>
      <c r="C34" s="214">
        <v>1.2</v>
      </c>
      <c r="D34" s="1062" t="s">
        <v>5414</v>
      </c>
      <c r="E34" s="1062"/>
      <c r="F34" s="1062"/>
      <c r="G34" s="623" t="str">
        <f>+_xlfn.XLOOKUP(B34,INSUMO_IDU[Código],INSUMO_IDU[Nombre],"",0)</f>
        <v>BAÑO TIPO FLUSHING - ALQUILER MANTENIMIENTO Y ASEO DE BAÑOS PORTÁTILES VIP MENSUAL</v>
      </c>
      <c r="H34" s="219" t="str">
        <f>+_xlfn.XLOOKUP(B34,INSUMO_IDU[Código],INSUMO_IDU[UM],"",0)</f>
        <v>UN/MES</v>
      </c>
      <c r="I34" s="1063">
        <v>25</v>
      </c>
      <c r="J34" s="1063"/>
      <c r="K34" s="1064">
        <f>+_xlfn.XLOOKUP(B34,INSUMO_IDU[Código],INSUMO_IDU[Precio],"",0)</f>
        <v>863345</v>
      </c>
      <c r="L34" s="1065" t="e">
        <v>#N/A</v>
      </c>
      <c r="M34" s="1066">
        <v>2540</v>
      </c>
      <c r="N34" s="1067">
        <f>ROUND((I34*K34),0)</f>
        <v>21583625</v>
      </c>
      <c r="O34" s="1067"/>
      <c r="Q34" s="248"/>
    </row>
    <row r="35" spans="2:17" ht="15" customHeight="1" x14ac:dyDescent="0.3">
      <c r="C35" s="1074"/>
      <c r="D35" s="1074"/>
      <c r="E35" s="1074"/>
      <c r="F35" s="1074"/>
      <c r="G35" s="1075"/>
      <c r="H35" s="250" t="s">
        <v>5305</v>
      </c>
      <c r="I35" s="251"/>
      <c r="J35" s="251"/>
      <c r="K35" s="251"/>
      <c r="L35" s="251"/>
      <c r="M35" s="252"/>
      <c r="N35" s="1076">
        <f>SUM(N33:O34)</f>
        <v>23812760</v>
      </c>
      <c r="O35" s="1077"/>
    </row>
    <row r="36" spans="2:17" ht="13.5" customHeight="1" x14ac:dyDescent="0.3">
      <c r="C36" s="253"/>
      <c r="D36" s="253"/>
      <c r="E36" s="253"/>
      <c r="F36" s="253"/>
      <c r="G36" s="253"/>
      <c r="H36" s="188"/>
      <c r="O36" s="188"/>
    </row>
    <row r="37" spans="2:17" ht="14.25" customHeight="1" x14ac:dyDescent="0.3">
      <c r="C37" s="214" t="s">
        <v>5306</v>
      </c>
      <c r="D37" s="255" t="s">
        <v>5307</v>
      </c>
      <c r="E37" s="255"/>
      <c r="F37" s="255"/>
      <c r="G37" s="234"/>
      <c r="H37" s="234"/>
      <c r="I37" s="235"/>
      <c r="J37" s="235"/>
      <c r="K37" s="235"/>
      <c r="L37" s="235"/>
      <c r="M37" s="235"/>
      <c r="N37" s="235"/>
      <c r="O37" s="236"/>
    </row>
    <row r="38" spans="2:17" ht="26.4" customHeight="1" x14ac:dyDescent="0.3">
      <c r="B38" s="188">
        <v>7556</v>
      </c>
      <c r="C38" s="1089">
        <v>2.1</v>
      </c>
      <c r="D38" s="1092" t="s">
        <v>5308</v>
      </c>
      <c r="E38" s="1093"/>
      <c r="F38" s="1094"/>
      <c r="G38" s="219" t="str">
        <f>+_xlfn.XLOOKUP(B38,INSUMO_IDU[Código],INSUMO_IDU[Nombre],"",0)</f>
        <v>PLASTICO NEGRO CALIBRE 6</v>
      </c>
      <c r="H38" s="219" t="str">
        <f>+_xlfn.XLOOKUP(B38,INSUMO_IDU[Código],INSUMO_IDU[UM],"",0)</f>
        <v>M2</v>
      </c>
      <c r="I38" s="1063">
        <v>250</v>
      </c>
      <c r="J38" s="1063"/>
      <c r="K38" s="1064">
        <f>+_xlfn.XLOOKUP(B38,INSUMO_IDU[Código],INSUMO_IDU[Precio],"",0)</f>
        <v>1802</v>
      </c>
      <c r="L38" s="1065" t="e">
        <v>#N/A</v>
      </c>
      <c r="M38" s="1066">
        <v>2540</v>
      </c>
      <c r="N38" s="1067">
        <f>ROUND((I38*K38),0)</f>
        <v>450500</v>
      </c>
      <c r="O38" s="1067"/>
      <c r="P38" s="206"/>
      <c r="Q38" s="248"/>
    </row>
    <row r="39" spans="2:17" x14ac:dyDescent="0.3">
      <c r="B39" s="188">
        <v>7554</v>
      </c>
      <c r="C39" s="1090"/>
      <c r="D39" s="1095"/>
      <c r="E39" s="1096"/>
      <c r="F39" s="1097"/>
      <c r="G39" s="219" t="str">
        <f>+_xlfn.XLOOKUP(B39,INSUMO_IDU[Código],INSUMO_IDU[Nombre],"",0)</f>
        <v>SEÑALIZACION TUBULAR COLOMBINA PLASTICA</v>
      </c>
      <c r="H39" s="219" t="str">
        <f>+_xlfn.XLOOKUP(B39,INSUMO_IDU[Código],INSUMO_IDU[UM],"",0)</f>
        <v>UN</v>
      </c>
      <c r="I39" s="1101">
        <v>50</v>
      </c>
      <c r="J39" s="1101"/>
      <c r="K39" s="1064">
        <f>+_xlfn.XLOOKUP(B39,INSUMO_IDU[Código],INSUMO_IDU[Precio],"",0)</f>
        <v>46520</v>
      </c>
      <c r="L39" s="1065" t="e">
        <v>#N/A</v>
      </c>
      <c r="M39" s="1066">
        <v>2541</v>
      </c>
      <c r="N39" s="1080">
        <f>ROUND((I39*K39),0)</f>
        <v>2326000</v>
      </c>
      <c r="O39" s="1080"/>
      <c r="Q39" s="248"/>
    </row>
    <row r="40" spans="2:17" ht="24" customHeight="1" x14ac:dyDescent="0.3">
      <c r="B40" s="188">
        <v>7850</v>
      </c>
      <c r="C40" s="1091"/>
      <c r="D40" s="1098"/>
      <c r="E40" s="1099"/>
      <c r="F40" s="1100"/>
      <c r="G40" s="219" t="str">
        <f>+_xlfn.XLOOKUP(B40,INSUMO_IDU[Código],INSUMO_IDU[Nombre],"",0)</f>
        <v>CINTA PARA SEÑALIZACION DE 500MT X 4" PELIGRO CALIBRE 3.5</v>
      </c>
      <c r="H40" s="219" t="str">
        <f>+_xlfn.XLOOKUP(B40,INSUMO_IDU[Código],INSUMO_IDU[UM],"",0)</f>
        <v>ROLLO</v>
      </c>
      <c r="I40" s="1079">
        <v>40</v>
      </c>
      <c r="J40" s="1079"/>
      <c r="K40" s="1064">
        <f>+_xlfn.XLOOKUP(B40,INSUMO_IDU[Código],INSUMO_IDU[Precio],"",0)</f>
        <v>26009</v>
      </c>
      <c r="L40" s="1065" t="e">
        <v>#N/A</v>
      </c>
      <c r="M40" s="1066">
        <v>2542</v>
      </c>
      <c r="N40" s="1080">
        <f>ROUND((I40*K40),0)</f>
        <v>1040360</v>
      </c>
      <c r="O40" s="1080"/>
      <c r="Q40" s="248"/>
    </row>
    <row r="41" spans="2:17" ht="15" customHeight="1" x14ac:dyDescent="0.3">
      <c r="D41" s="256"/>
      <c r="E41" s="256"/>
      <c r="F41" s="256"/>
      <c r="G41" s="256"/>
      <c r="H41" s="250" t="s">
        <v>5309</v>
      </c>
      <c r="I41" s="257"/>
      <c r="J41" s="257"/>
      <c r="K41" s="257"/>
      <c r="L41" s="257"/>
      <c r="M41" s="258"/>
      <c r="N41" s="1077">
        <f>SUM(N38:O40)</f>
        <v>3816860</v>
      </c>
      <c r="O41" s="1086"/>
    </row>
    <row r="42" spans="2:17" ht="11.25" customHeight="1" x14ac:dyDescent="0.3">
      <c r="D42" s="233"/>
      <c r="E42" s="233"/>
      <c r="F42" s="233"/>
      <c r="G42" s="233"/>
      <c r="H42" s="238"/>
      <c r="I42" s="238"/>
      <c r="J42" s="238"/>
      <c r="K42" s="238"/>
      <c r="L42" s="238"/>
      <c r="M42" s="238"/>
      <c r="N42" s="239"/>
      <c r="O42" s="239"/>
    </row>
    <row r="43" spans="2:17" ht="14.25" customHeight="1" x14ac:dyDescent="0.3">
      <c r="C43" s="259" t="s">
        <v>5310</v>
      </c>
      <c r="D43" s="234" t="s">
        <v>5311</v>
      </c>
      <c r="E43" s="235"/>
      <c r="F43" s="235"/>
      <c r="G43" s="235"/>
      <c r="H43" s="235"/>
      <c r="I43" s="235"/>
      <c r="J43" s="235"/>
      <c r="K43" s="235"/>
      <c r="L43" s="235"/>
      <c r="M43" s="235"/>
      <c r="N43" s="235"/>
      <c r="O43" s="236"/>
    </row>
    <row r="44" spans="2:17" ht="28.5" customHeight="1" x14ac:dyDescent="0.3">
      <c r="B44" s="188">
        <v>7556</v>
      </c>
      <c r="C44" s="214">
        <v>3.1</v>
      </c>
      <c r="D44" s="1087" t="s">
        <v>5312</v>
      </c>
      <c r="E44" s="1088"/>
      <c r="F44" s="1088"/>
      <c r="G44" s="623" t="str">
        <f>+_xlfn.XLOOKUP(B44,INSUMO_IDU[Código],INSUMO_IDU[Nombre],"",0)</f>
        <v>PLASTICO NEGRO CALIBRE 6</v>
      </c>
      <c r="H44" s="219" t="str">
        <f>+_xlfn.XLOOKUP(B44,INSUMO_IDU[Código],INSUMO_IDU[UM],"",0)</f>
        <v>M2</v>
      </c>
      <c r="I44" s="1063">
        <v>500</v>
      </c>
      <c r="J44" s="1063"/>
      <c r="K44" s="1064">
        <f>+_xlfn.XLOOKUP(B44,INSUMO_IDU[Código],INSUMO_IDU[Precio],"",0)</f>
        <v>1802</v>
      </c>
      <c r="L44" s="1065" t="e">
        <v>#N/A</v>
      </c>
      <c r="M44" s="1066">
        <v>2542</v>
      </c>
      <c r="N44" s="1067">
        <f>ROUND((I44*K44),0)</f>
        <v>901000</v>
      </c>
      <c r="O44" s="1067"/>
      <c r="Q44" s="248"/>
    </row>
    <row r="45" spans="2:17" x14ac:dyDescent="0.3">
      <c r="B45" s="188">
        <v>9287</v>
      </c>
      <c r="C45" s="1083"/>
      <c r="D45" s="1078"/>
      <c r="E45" s="1078"/>
      <c r="F45" s="1078"/>
      <c r="G45" s="623" t="str">
        <f>+_xlfn.XLOOKUP(B45,INSUMO_IDU[Código],INSUMO_IDU[Nombre],"",0)</f>
        <v>PALA REDONDA No.  2 CON CABO</v>
      </c>
      <c r="H45" s="219" t="str">
        <f>+_xlfn.XLOOKUP(B45,INSUMO_IDU[Código],INSUMO_IDU[UM],"",0)</f>
        <v>UN</v>
      </c>
      <c r="I45" s="1084">
        <v>20</v>
      </c>
      <c r="J45" s="1085"/>
      <c r="K45" s="1064">
        <f>+_xlfn.XLOOKUP(B45,INSUMO_IDU[Código],INSUMO_IDU[Precio],"",0)</f>
        <v>22992</v>
      </c>
      <c r="L45" s="1065" t="e">
        <v>#N/A</v>
      </c>
      <c r="M45" s="1066">
        <v>2543</v>
      </c>
      <c r="N45" s="1080">
        <f>ROUND((I45*K45),0)</f>
        <v>459840</v>
      </c>
      <c r="O45" s="1080"/>
      <c r="Q45" s="248"/>
    </row>
    <row r="46" spans="2:17" ht="25.5" customHeight="1" x14ac:dyDescent="0.3">
      <c r="B46" s="188">
        <v>7811</v>
      </c>
      <c r="C46" s="1083"/>
      <c r="D46" s="1078"/>
      <c r="E46" s="1078"/>
      <c r="F46" s="1078"/>
      <c r="G46" s="623" t="str">
        <f>+_xlfn.XLOOKUP(B46,INSUMO_IDU[Código],INSUMO_IDU[Nombre],"",0)</f>
        <v>CEPILLO INDUSTRIAL DE NYLON CON CABO DE 35CM A 42CM X 9CM X 17CM</v>
      </c>
      <c r="H46" s="219" t="str">
        <f>+_xlfn.XLOOKUP(B46,INSUMO_IDU[Código],INSUMO_IDU[UM],"",0)</f>
        <v>UN</v>
      </c>
      <c r="I46" s="1084">
        <v>20</v>
      </c>
      <c r="J46" s="1085"/>
      <c r="K46" s="1064">
        <f>+_xlfn.XLOOKUP(B46,INSUMO_IDU[Código],INSUMO_IDU[Precio],"",0)</f>
        <v>17190</v>
      </c>
      <c r="L46" s="1065" t="e">
        <v>#N/A</v>
      </c>
      <c r="M46" s="1066">
        <v>2544</v>
      </c>
      <c r="N46" s="1080">
        <f>ROUND((I46*K46),0)</f>
        <v>343800</v>
      </c>
      <c r="O46" s="1080"/>
      <c r="Q46" s="248"/>
    </row>
    <row r="47" spans="2:17" ht="30" customHeight="1" x14ac:dyDescent="0.3">
      <c r="B47" s="188">
        <v>9280</v>
      </c>
      <c r="C47" s="1083"/>
      <c r="D47" s="1078"/>
      <c r="E47" s="1078"/>
      <c r="F47" s="1078"/>
      <c r="G47" s="623" t="str">
        <f>+_xlfn.XLOOKUP(B47,INSUMO_IDU[Código],INSUMO_IDU[Nombre],"",0)</f>
        <v>BOLSA PARA BASURA TIPO INDUSTRIAL NEGRA DE 60 x 90 Cm CALIBRE 2 (PAQUETE DE 30 UNIDADES)</v>
      </c>
      <c r="H47" s="219" t="str">
        <f>+_xlfn.XLOOKUP(B47,INSUMO_IDU[Código],INSUMO_IDU[UM],"",0)</f>
        <v>UN</v>
      </c>
      <c r="I47" s="1084">
        <v>30</v>
      </c>
      <c r="J47" s="1085"/>
      <c r="K47" s="1064">
        <f>+_xlfn.XLOOKUP(B47,INSUMO_IDU[Código],INSUMO_IDU[Precio],"",0)</f>
        <v>14053</v>
      </c>
      <c r="L47" s="1065" t="e">
        <v>#N/A</v>
      </c>
      <c r="M47" s="1066">
        <v>2545</v>
      </c>
      <c r="N47" s="1080">
        <f>ROUND((I47*K47),0)</f>
        <v>421590</v>
      </c>
      <c r="O47" s="1080"/>
      <c r="Q47" s="248"/>
    </row>
    <row r="48" spans="2:17" ht="15" customHeight="1" x14ac:dyDescent="0.3">
      <c r="H48" s="234" t="s">
        <v>5313</v>
      </c>
      <c r="I48" s="235"/>
      <c r="J48" s="235"/>
      <c r="K48" s="235"/>
      <c r="L48" s="235"/>
      <c r="M48" s="236"/>
      <c r="N48" s="1102">
        <f>SUM(N44:O47)</f>
        <v>2126230</v>
      </c>
      <c r="O48" s="1103"/>
    </row>
    <row r="49" spans="2:17" ht="11.25" customHeight="1" x14ac:dyDescent="0.3">
      <c r="C49" s="253"/>
      <c r="D49" s="253"/>
      <c r="E49" s="253"/>
      <c r="F49" s="253"/>
      <c r="G49" s="253"/>
      <c r="H49" s="188"/>
      <c r="O49" s="188"/>
    </row>
    <row r="50" spans="2:17" ht="14.25" customHeight="1" x14ac:dyDescent="0.3">
      <c r="C50" s="214" t="s">
        <v>5314</v>
      </c>
      <c r="D50" s="255" t="s">
        <v>5315</v>
      </c>
      <c r="E50" s="255"/>
      <c r="F50" s="255"/>
      <c r="G50" s="234"/>
      <c r="H50" s="234"/>
      <c r="I50" s="235"/>
      <c r="J50" s="235"/>
      <c r="K50" s="235"/>
      <c r="L50" s="235"/>
      <c r="M50" s="235"/>
      <c r="N50" s="235"/>
      <c r="O50" s="236"/>
    </row>
    <row r="51" spans="2:17" ht="26.4" customHeight="1" x14ac:dyDescent="0.3">
      <c r="B51" s="188">
        <v>7554</v>
      </c>
      <c r="C51" s="214">
        <v>4.0999999999999996</v>
      </c>
      <c r="D51" s="1104" t="s">
        <v>5316</v>
      </c>
      <c r="E51" s="1104"/>
      <c r="F51" s="1104"/>
      <c r="G51" s="623" t="str">
        <f>+_xlfn.XLOOKUP(B51,INSUMO_IDU[Código],INSUMO_IDU[Nombre],"",0)</f>
        <v>SEÑALIZACION TUBULAR COLOMBINA PLASTICA</v>
      </c>
      <c r="H51" s="219" t="str">
        <f>+_xlfn.XLOOKUP(B51,INSUMO_IDU[Código],INSUMO_IDU[UM],"",0)</f>
        <v>UN</v>
      </c>
      <c r="I51" s="1063">
        <v>100</v>
      </c>
      <c r="J51" s="1063"/>
      <c r="K51" s="1064">
        <f>+_xlfn.XLOOKUP(B51,INSUMO_IDU[Código],INSUMO_IDU[Precio],"",0)</f>
        <v>46520</v>
      </c>
      <c r="L51" s="1065" t="e">
        <v>#N/A</v>
      </c>
      <c r="M51" s="1066">
        <v>2545</v>
      </c>
      <c r="N51" s="1067">
        <f>ROUND((I51*K51),0)</f>
        <v>4652000</v>
      </c>
      <c r="O51" s="1067"/>
      <c r="P51" s="260"/>
      <c r="Q51" s="248"/>
    </row>
    <row r="52" spans="2:17" ht="25.5" customHeight="1" x14ac:dyDescent="0.3">
      <c r="B52" s="188">
        <v>10259</v>
      </c>
      <c r="C52" s="214">
        <v>4.2</v>
      </c>
      <c r="D52" s="1104"/>
      <c r="E52" s="1104"/>
      <c r="F52" s="1104"/>
      <c r="G52" s="623" t="str">
        <f>+_xlfn.XLOOKUP(B52,APU_IDU[Código],APU_IDU[Nombre],"",0)</f>
        <v>POLISOMBRA VERDE PARA CERRAMIENTO. (INCLUYE SUMINISTRO E INSTALACION).</v>
      </c>
      <c r="H52" s="219" t="str">
        <f>+_xlfn.XLOOKUP(B52,APU_IDU[Código],APU_IDU[UM],"",0)</f>
        <v>M2</v>
      </c>
      <c r="I52" s="1079">
        <v>2000</v>
      </c>
      <c r="J52" s="1079"/>
      <c r="K52" s="1064">
        <f>+_xlfn.XLOOKUP(B52,APU_IDU[Código],APU_IDU[Valor],"",0)</f>
        <v>2147</v>
      </c>
      <c r="L52" s="1065" t="e">
        <v>#N/A</v>
      </c>
      <c r="M52" s="1066">
        <v>2539</v>
      </c>
      <c r="N52" s="1080">
        <f>ROUND((I52*K52),0)</f>
        <v>4294000</v>
      </c>
      <c r="O52" s="1080"/>
      <c r="P52" s="260"/>
      <c r="Q52" s="248"/>
    </row>
    <row r="53" spans="2:17" ht="15" customHeight="1" x14ac:dyDescent="0.3">
      <c r="D53" s="256"/>
      <c r="E53" s="256"/>
      <c r="F53" s="256"/>
      <c r="G53" s="256"/>
      <c r="H53" s="250" t="s">
        <v>5317</v>
      </c>
      <c r="I53" s="257"/>
      <c r="J53" s="257"/>
      <c r="K53" s="257"/>
      <c r="L53" s="257"/>
      <c r="M53" s="258"/>
      <c r="N53" s="1102">
        <f>SUM(N51:O52)</f>
        <v>8946000</v>
      </c>
      <c r="O53" s="1103"/>
    </row>
    <row r="54" spans="2:17" ht="9.75" customHeight="1" x14ac:dyDescent="0.3">
      <c r="D54" s="256"/>
      <c r="E54" s="256"/>
      <c r="F54" s="256"/>
      <c r="G54" s="256"/>
      <c r="H54" s="223"/>
      <c r="I54" s="223"/>
      <c r="J54" s="223"/>
      <c r="K54" s="223"/>
      <c r="L54" s="223"/>
      <c r="M54" s="223"/>
      <c r="N54" s="239"/>
      <c r="O54" s="239"/>
    </row>
    <row r="55" spans="2:17" ht="14.25" customHeight="1" x14ac:dyDescent="0.3">
      <c r="C55" s="259" t="s">
        <v>5318</v>
      </c>
      <c r="D55" s="250" t="s">
        <v>5319</v>
      </c>
      <c r="E55" s="257"/>
      <c r="F55" s="257"/>
      <c r="G55" s="257"/>
      <c r="H55" s="257"/>
      <c r="I55" s="257"/>
      <c r="J55" s="257"/>
      <c r="K55" s="257"/>
      <c r="L55" s="257"/>
      <c r="M55" s="257"/>
      <c r="N55" s="257"/>
      <c r="O55" s="258"/>
    </row>
    <row r="56" spans="2:17" ht="50.4" customHeight="1" x14ac:dyDescent="0.3">
      <c r="B56" s="188">
        <v>5168</v>
      </c>
      <c r="C56" s="214">
        <v>5.0999999999999996</v>
      </c>
      <c r="D56" s="1114" t="s">
        <v>5320</v>
      </c>
      <c r="E56" s="1114"/>
      <c r="F56" s="1114"/>
      <c r="G56" s="623" t="str">
        <f>+_xlfn.XLOOKUP(B56,APU_IDU[Código],APU_IDU[Nombre],"",0)</f>
        <v>PROTECCION A SUMIDEROS. (INCLUYE SUMINISTRO Y COLOCACION DE BOLSAS DE LONA Y GEOTEXTIL NO TEJIDO CON RESISTENCIA A LA TENSION GRAB DE 400 N).</v>
      </c>
      <c r="H56" s="219" t="str">
        <f>+_xlfn.XLOOKUP(B56,APU_IDU[Código],APU_IDU[UM],"",0)</f>
        <v>UN/MES</v>
      </c>
      <c r="I56" s="1063">
        <v>200</v>
      </c>
      <c r="J56" s="1063"/>
      <c r="K56" s="1064">
        <f>+_xlfn.XLOOKUP(B56,APU_IDU[Código],APU_IDU[Valor],"",0)</f>
        <v>21674</v>
      </c>
      <c r="L56" s="1065" t="e">
        <v>#N/A</v>
      </c>
      <c r="M56" s="1066">
        <v>2539</v>
      </c>
      <c r="N56" s="1067">
        <f>ROUND((I56*K56),0)</f>
        <v>4334800</v>
      </c>
      <c r="O56" s="1067"/>
      <c r="Q56" s="248"/>
    </row>
    <row r="57" spans="2:17" ht="79.8" customHeight="1" x14ac:dyDescent="0.3">
      <c r="B57" s="188">
        <v>5169</v>
      </c>
      <c r="C57" s="214">
        <v>5.2</v>
      </c>
      <c r="D57" s="1114"/>
      <c r="E57" s="1114"/>
      <c r="F57" s="1114"/>
      <c r="G57" s="623" t="str">
        <f>+_xlfn.XLOOKUP(B57,APU_IDU[Código],APU_IDU[Nombre],"",0)</f>
        <v>PLAFONADO DE POZOS (INCLUYE SUMINISTRO Y COLOCACIÓN DE PUNTILLA, TABLA BURRA DE 2.90 X0.28X0.025M, CINTA DE SEÑALIZACION CAL 4 ROLLO 500MX0.10M Y SEÑALIZACIÓN TUBULAR COLOMBINA PLÁSTICA).</v>
      </c>
      <c r="H57" s="219" t="str">
        <f>+_xlfn.XLOOKUP(B57,APU_IDU[Código],APU_IDU[UM],"",0)</f>
        <v>UN</v>
      </c>
      <c r="I57" s="1101">
        <v>20</v>
      </c>
      <c r="J57" s="1101"/>
      <c r="K57" s="1064">
        <f>+_xlfn.XLOOKUP(B57,APU_IDU[Código],APU_IDU[Valor],"",0)</f>
        <v>210313</v>
      </c>
      <c r="L57" s="1065" t="e">
        <v>#N/A</v>
      </c>
      <c r="M57" s="1066">
        <v>2540</v>
      </c>
      <c r="N57" s="1080">
        <f>ROUND((I57*K57),0)</f>
        <v>4206260</v>
      </c>
      <c r="O57" s="1080"/>
      <c r="Q57" s="248"/>
    </row>
    <row r="58" spans="2:17" ht="38.25" customHeight="1" x14ac:dyDescent="0.3">
      <c r="B58" s="188">
        <v>10259</v>
      </c>
      <c r="C58" s="214">
        <v>5.3</v>
      </c>
      <c r="D58" s="1115"/>
      <c r="E58" s="1115"/>
      <c r="F58" s="1115"/>
      <c r="G58" s="623" t="str">
        <f>+_xlfn.XLOOKUP(B58,APU_IDU[Código],APU_IDU[Nombre],"",0)</f>
        <v>POLISOMBRA VERDE PARA CERRAMIENTO. (INCLUYE SUMINISTRO E INSTALACION).</v>
      </c>
      <c r="H58" s="219" t="str">
        <f>+_xlfn.XLOOKUP(B58,APU_IDU[Código],APU_IDU[UM],"",0)</f>
        <v>M2</v>
      </c>
      <c r="I58" s="1101">
        <v>100</v>
      </c>
      <c r="J58" s="1101"/>
      <c r="K58" s="1064">
        <f>+_xlfn.XLOOKUP(B58,APU_IDU[Código],APU_IDU[Valor],"",0)</f>
        <v>2147</v>
      </c>
      <c r="L58" s="1065" t="e">
        <v>#N/A</v>
      </c>
      <c r="M58" s="1066">
        <v>2541</v>
      </c>
      <c r="N58" s="1080">
        <f>ROUND((I58*K58),0)</f>
        <v>214700</v>
      </c>
      <c r="O58" s="1080"/>
      <c r="Q58" s="248"/>
    </row>
    <row r="59" spans="2:17" ht="14.25" customHeight="1" x14ac:dyDescent="0.3">
      <c r="D59" s="256"/>
      <c r="E59" s="256"/>
      <c r="F59" s="256"/>
      <c r="G59" s="256"/>
      <c r="H59" s="234" t="s">
        <v>5321</v>
      </c>
      <c r="I59" s="235"/>
      <c r="J59" s="235"/>
      <c r="K59" s="235"/>
      <c r="L59" s="235"/>
      <c r="M59" s="236"/>
      <c r="N59" s="1105">
        <f>SUM(N56:O58)</f>
        <v>8755760</v>
      </c>
      <c r="O59" s="1106"/>
    </row>
    <row r="60" spans="2:17" ht="15" customHeight="1" x14ac:dyDescent="0.3">
      <c r="D60" s="256"/>
      <c r="E60" s="256"/>
      <c r="F60" s="256"/>
      <c r="G60" s="256"/>
      <c r="H60" s="234" t="s">
        <v>5322</v>
      </c>
      <c r="I60" s="235"/>
      <c r="J60" s="235"/>
      <c r="K60" s="235"/>
      <c r="L60" s="235"/>
      <c r="M60" s="236"/>
      <c r="N60" s="1107">
        <f>N35+N41+N48+N53+N59</f>
        <v>47457610</v>
      </c>
      <c r="O60" s="1108"/>
    </row>
    <row r="61" spans="2:17" ht="12" customHeight="1" x14ac:dyDescent="0.3">
      <c r="D61" s="256"/>
      <c r="E61" s="256"/>
      <c r="F61" s="256"/>
      <c r="G61" s="256"/>
      <c r="H61" s="256"/>
      <c r="I61" s="256"/>
      <c r="J61" s="256"/>
      <c r="K61" s="256"/>
      <c r="L61" s="256"/>
      <c r="M61" s="256"/>
      <c r="N61" s="1109"/>
      <c r="O61" s="1109"/>
    </row>
    <row r="62" spans="2:17" ht="14.25" customHeight="1" x14ac:dyDescent="0.3">
      <c r="C62" s="255" t="s">
        <v>5323</v>
      </c>
      <c r="D62" s="255"/>
      <c r="E62" s="234"/>
      <c r="F62" s="234"/>
      <c r="G62" s="235"/>
      <c r="H62" s="235"/>
      <c r="I62" s="235"/>
      <c r="J62" s="235"/>
      <c r="K62" s="235"/>
      <c r="L62" s="235"/>
      <c r="M62" s="235"/>
      <c r="N62" s="235"/>
      <c r="O62" s="236"/>
    </row>
    <row r="63" spans="2:17" x14ac:dyDescent="0.3">
      <c r="C63" s="1110" t="s">
        <v>5280</v>
      </c>
      <c r="D63" s="1111"/>
      <c r="E63" s="1111"/>
      <c r="F63" s="1061"/>
      <c r="G63" s="1061"/>
      <c r="H63" s="261" t="s">
        <v>5281</v>
      </c>
      <c r="I63" s="1061" t="s">
        <v>5250</v>
      </c>
      <c r="J63" s="1061"/>
      <c r="K63" s="1112" t="s">
        <v>5294</v>
      </c>
      <c r="L63" s="1112"/>
      <c r="M63" s="1112"/>
      <c r="N63" s="1113" t="s">
        <v>5295</v>
      </c>
      <c r="O63" s="1113"/>
    </row>
    <row r="64" spans="2:17" ht="14.25" customHeight="1" x14ac:dyDescent="0.3">
      <c r="C64" s="259" t="s">
        <v>5324</v>
      </c>
      <c r="D64" s="234" t="s">
        <v>5325</v>
      </c>
      <c r="E64" s="235"/>
      <c r="F64" s="235"/>
      <c r="G64" s="235"/>
      <c r="H64" s="235"/>
      <c r="I64" s="235"/>
      <c r="J64" s="235"/>
      <c r="K64" s="235"/>
      <c r="L64" s="235"/>
      <c r="M64" s="235"/>
      <c r="N64" s="235"/>
      <c r="O64" s="236"/>
    </row>
    <row r="65" spans="2:17" ht="14.25" customHeight="1" x14ac:dyDescent="0.3">
      <c r="B65" s="188">
        <v>12357</v>
      </c>
      <c r="C65" s="262">
        <v>1.01</v>
      </c>
      <c r="D65" s="1116" t="str">
        <f>+_xlfn.XLOOKUP(B65,INSUMO_IDU[Código],INSUMO_IDU[Nombre],"",0)</f>
        <v>BOTIQUIN TIPO A DOTADO PORTÁTIL</v>
      </c>
      <c r="E65" s="1117"/>
      <c r="F65" s="1117"/>
      <c r="G65" s="1118"/>
      <c r="H65" s="590" t="str">
        <f>+_xlfn.XLOOKUP(B65,INSUMO_IDU[Código],INSUMO_IDU[UM],"",0)</f>
        <v>UN</v>
      </c>
      <c r="I65" s="1063">
        <v>10</v>
      </c>
      <c r="J65" s="1063"/>
      <c r="K65" s="1064">
        <f>+_xlfn.XLOOKUP(B65,INSUMO_IDU[Código],INSUMO_IDU[Precio],"",0)</f>
        <v>91610</v>
      </c>
      <c r="L65" s="1065" t="e">
        <v>#N/A</v>
      </c>
      <c r="M65" s="1066">
        <v>2538</v>
      </c>
      <c r="N65" s="1067">
        <f>ROUND((I65*K65),0)</f>
        <v>916100</v>
      </c>
      <c r="O65" s="1067"/>
      <c r="Q65" s="248"/>
    </row>
    <row r="66" spans="2:17" ht="14.25" customHeight="1" x14ac:dyDescent="0.3">
      <c r="B66" s="188">
        <v>11084</v>
      </c>
      <c r="C66" s="262">
        <f>C65+0.01</f>
        <v>1.02</v>
      </c>
      <c r="D66" s="1116" t="str">
        <f>+_xlfn.XLOOKUP(B66,INSUMO_IDU[Código],INSUMO_IDU[Nombre],"",0)</f>
        <v>CAMILLA FÉRULA ESPINAL LARGA - FEL PARA ADULTO (POLIETILENO). INCLUYE ARNES TIPO ARAÑA CON SECCIONES REFLECTIVAS</v>
      </c>
      <c r="E66" s="1117"/>
      <c r="F66" s="1117"/>
      <c r="G66" s="1118"/>
      <c r="H66" s="590" t="str">
        <f>+_xlfn.XLOOKUP(B66,INSUMO_IDU[Código],INSUMO_IDU[UM],"",0)</f>
        <v>UN</v>
      </c>
      <c r="I66" s="1101">
        <v>10</v>
      </c>
      <c r="J66" s="1101"/>
      <c r="K66" s="1064">
        <f>+_xlfn.XLOOKUP(B66,INSUMO_IDU[Código],INSUMO_IDU[Precio],"",0)</f>
        <v>178500</v>
      </c>
      <c r="L66" s="1065" t="e">
        <v>#N/A</v>
      </c>
      <c r="M66" s="1066">
        <v>2539</v>
      </c>
      <c r="N66" s="1080">
        <f t="shared" ref="N66:N83" si="0">ROUND((I66*K66),0)</f>
        <v>1785000</v>
      </c>
      <c r="O66" s="1080"/>
      <c r="Q66" s="248"/>
    </row>
    <row r="67" spans="2:17" ht="14.25" customHeight="1" x14ac:dyDescent="0.3">
      <c r="B67" s="188">
        <v>7819</v>
      </c>
      <c r="C67" s="262">
        <f>C66+0.01</f>
        <v>1.03</v>
      </c>
      <c r="D67" s="1116" t="str">
        <f>+_xlfn.XLOOKUP(B67,INSUMO_IDU[Código],INSUMO_IDU[Nombre],"",0)</f>
        <v>EXTINTOR POLVO QUIMICO SECO DE 20LB TIPO ABC METALICO CON GANCHO Y AVISO</v>
      </c>
      <c r="E67" s="1117"/>
      <c r="F67" s="1117"/>
      <c r="G67" s="1118"/>
      <c r="H67" s="590" t="str">
        <f>+_xlfn.XLOOKUP(B67,INSUMO_IDU[Código],INSUMO_IDU[UM],"",0)</f>
        <v>UN</v>
      </c>
      <c r="I67" s="1101">
        <v>20</v>
      </c>
      <c r="J67" s="1101"/>
      <c r="K67" s="1064">
        <f>+_xlfn.XLOOKUP(B67,INSUMO_IDU[Código],INSUMO_IDU[Precio],"",0)</f>
        <v>93900</v>
      </c>
      <c r="L67" s="1065" t="e">
        <v>#N/A</v>
      </c>
      <c r="M67" s="1066">
        <v>2540</v>
      </c>
      <c r="N67" s="1080">
        <f t="shared" si="0"/>
        <v>1878000</v>
      </c>
      <c r="O67" s="1080"/>
      <c r="Q67" s="248"/>
    </row>
    <row r="68" spans="2:17" ht="14.25" customHeight="1" x14ac:dyDescent="0.3">
      <c r="B68" s="188">
        <v>7822</v>
      </c>
      <c r="C68" s="262">
        <f>C67+0.01</f>
        <v>1.04</v>
      </c>
      <c r="D68" s="1116" t="str">
        <f>+_xlfn.XLOOKUP(B68,INSUMO_IDU[Código],INSUMO_IDU[Nombre],"",0)</f>
        <v>BOTA CUERO LISA NEGRA SEGURIDAD PUNTERA DE ACERO</v>
      </c>
      <c r="E68" s="1117"/>
      <c r="F68" s="1117"/>
      <c r="G68" s="1118"/>
      <c r="H68" s="590" t="str">
        <f>+_xlfn.XLOOKUP(B68,INSUMO_IDU[Código],INSUMO_IDU[UM],"",0)</f>
        <v>PAR</v>
      </c>
      <c r="I68" s="1101">
        <v>50</v>
      </c>
      <c r="J68" s="1101"/>
      <c r="K68" s="1064">
        <f>+_xlfn.XLOOKUP(B68,INSUMO_IDU[Código],INSUMO_IDU[Precio],"",0)</f>
        <v>96900</v>
      </c>
      <c r="L68" s="1065" t="e">
        <v>#N/A</v>
      </c>
      <c r="M68" s="1066">
        <v>2541</v>
      </c>
      <c r="N68" s="1080">
        <f t="shared" si="0"/>
        <v>4845000</v>
      </c>
      <c r="O68" s="1080"/>
      <c r="Q68" s="248"/>
    </row>
    <row r="69" spans="2:17" ht="14.25" customHeight="1" x14ac:dyDescent="0.3">
      <c r="B69" s="188">
        <v>7827</v>
      </c>
      <c r="C69" s="262">
        <f t="shared" ref="C69:C83" si="1">C68+0.01</f>
        <v>1.05</v>
      </c>
      <c r="D69" s="1116" t="str">
        <f>+_xlfn.XLOOKUP(B69,INSUMO_IDU[Código],INSUMO_IDU[Nombre],"",0)</f>
        <v>PROTECTOR AUDITIVO TIPO TAPON INSERCION EN SILICONA CON CORDEL EN ESTUCHE</v>
      </c>
      <c r="E69" s="1117"/>
      <c r="F69" s="1117"/>
      <c r="G69" s="1118"/>
      <c r="H69" s="590" t="str">
        <f>+_xlfn.XLOOKUP(B69,INSUMO_IDU[Código],INSUMO_IDU[UM],"",0)</f>
        <v>PAR</v>
      </c>
      <c r="I69" s="1101">
        <v>80</v>
      </c>
      <c r="J69" s="1101"/>
      <c r="K69" s="1064">
        <f>+_xlfn.XLOOKUP(B69,INSUMO_IDU[Código],INSUMO_IDU[Precio],"",0)</f>
        <v>2319</v>
      </c>
      <c r="L69" s="1065" t="e">
        <v>#N/A</v>
      </c>
      <c r="M69" s="1066">
        <v>2542</v>
      </c>
      <c r="N69" s="1080">
        <f t="shared" si="0"/>
        <v>185520</v>
      </c>
      <c r="O69" s="1080"/>
      <c r="Q69" s="248"/>
    </row>
    <row r="70" spans="2:17" ht="14.25" customHeight="1" x14ac:dyDescent="0.3">
      <c r="B70" s="188">
        <v>7583</v>
      </c>
      <c r="C70" s="262">
        <f t="shared" si="1"/>
        <v>1.06</v>
      </c>
      <c r="D70" s="1116" t="str">
        <f>+_xlfn.XLOOKUP(B70,INSUMO_IDU[Código],INSUMO_IDU[Nombre],"",0)</f>
        <v>PROTECTOR AUDITIVO TIPO COPA</v>
      </c>
      <c r="E70" s="1117"/>
      <c r="F70" s="1117"/>
      <c r="G70" s="1118"/>
      <c r="H70" s="590" t="str">
        <f>+_xlfn.XLOOKUP(B70,INSUMO_IDU[Código],INSUMO_IDU[UM],"",0)</f>
        <v>UN</v>
      </c>
      <c r="I70" s="1101">
        <v>20</v>
      </c>
      <c r="J70" s="1101"/>
      <c r="K70" s="1064">
        <f>+_xlfn.XLOOKUP(B70,INSUMO_IDU[Código],INSUMO_IDU[Precio],"",0)</f>
        <v>32800</v>
      </c>
      <c r="L70" s="1065" t="e">
        <v>#N/A</v>
      </c>
      <c r="M70" s="1066">
        <v>2543</v>
      </c>
      <c r="N70" s="1080">
        <f t="shared" si="0"/>
        <v>656000</v>
      </c>
      <c r="O70" s="1080"/>
      <c r="Q70" s="248"/>
    </row>
    <row r="71" spans="2:17" ht="14.25" customHeight="1" x14ac:dyDescent="0.3">
      <c r="B71" s="188">
        <v>7825</v>
      </c>
      <c r="C71" s="262">
        <f t="shared" si="1"/>
        <v>1.07</v>
      </c>
      <c r="D71" s="1116" t="str">
        <f>+_xlfn.XLOOKUP(B71,INSUMO_IDU[Código],INSUMO_IDU[Nombre],"",0)</f>
        <v>MASCARILLA DESECHABLE CONTRA POLVOS Y PARTICULAS NO TOXICAS</v>
      </c>
      <c r="E71" s="1117"/>
      <c r="F71" s="1117"/>
      <c r="G71" s="1118"/>
      <c r="H71" s="590" t="str">
        <f>+_xlfn.XLOOKUP(B71,INSUMO_IDU[Código],INSUMO_IDU[UM],"",0)</f>
        <v>UN</v>
      </c>
      <c r="I71" s="1101">
        <v>200</v>
      </c>
      <c r="J71" s="1101"/>
      <c r="K71" s="1064">
        <f>+_xlfn.XLOOKUP(B71,INSUMO_IDU[Código],INSUMO_IDU[Precio],"",0)</f>
        <v>4400</v>
      </c>
      <c r="L71" s="1065" t="e">
        <v>#N/A</v>
      </c>
      <c r="M71" s="1066">
        <v>2544</v>
      </c>
      <c r="N71" s="1080">
        <f t="shared" si="0"/>
        <v>880000</v>
      </c>
      <c r="O71" s="1080"/>
      <c r="Q71" s="248"/>
    </row>
    <row r="72" spans="2:17" ht="14.25" customHeight="1" x14ac:dyDescent="0.3">
      <c r="B72" s="188">
        <v>9289</v>
      </c>
      <c r="C72" s="262">
        <f t="shared" si="1"/>
        <v>1.08</v>
      </c>
      <c r="D72" s="1116" t="str">
        <f>+_xlfn.XLOOKUP(B72,INSUMO_IDU[Código],INSUMO_IDU[Nombre],"",0)</f>
        <v>FILTRO PARTICULAS PARA RESPIRADOR N95 MATERIAL PARTICULADO</v>
      </c>
      <c r="E72" s="1117"/>
      <c r="F72" s="1117"/>
      <c r="G72" s="1118"/>
      <c r="H72" s="590" t="str">
        <f>+_xlfn.XLOOKUP(B72,INSUMO_IDU[Código],INSUMO_IDU[UM],"",0)</f>
        <v>UN</v>
      </c>
      <c r="I72" s="1101">
        <v>20</v>
      </c>
      <c r="J72" s="1101"/>
      <c r="K72" s="1064">
        <f>+_xlfn.XLOOKUP(B72,INSUMO_IDU[Código],INSUMO_IDU[Precio],"",0)</f>
        <v>12350</v>
      </c>
      <c r="L72" s="1065" t="e">
        <v>#N/A</v>
      </c>
      <c r="M72" s="1066">
        <v>2545</v>
      </c>
      <c r="N72" s="1080">
        <f t="shared" si="0"/>
        <v>247000</v>
      </c>
      <c r="O72" s="1080"/>
      <c r="Q72" s="248"/>
    </row>
    <row r="73" spans="2:17" ht="14.25" customHeight="1" x14ac:dyDescent="0.3">
      <c r="B73" s="188">
        <v>9289</v>
      </c>
      <c r="C73" s="262">
        <f t="shared" si="1"/>
        <v>1.0900000000000001</v>
      </c>
      <c r="D73" s="1116" t="str">
        <f>+_xlfn.XLOOKUP(B73,INSUMO_IDU[Código],INSUMO_IDU[Nombre],"",0)</f>
        <v>FILTRO PARTICULAS PARA RESPIRADOR N95 MATERIAL PARTICULADO</v>
      </c>
      <c r="E73" s="1117"/>
      <c r="F73" s="1117"/>
      <c r="G73" s="1118"/>
      <c r="H73" s="590" t="str">
        <f>+_xlfn.XLOOKUP(B73,INSUMO_IDU[Código],INSUMO_IDU[UM],"",0)</f>
        <v>UN</v>
      </c>
      <c r="I73" s="1101">
        <v>20</v>
      </c>
      <c r="J73" s="1101"/>
      <c r="K73" s="1064">
        <f>+_xlfn.XLOOKUP(B73,INSUMO_IDU[Código],INSUMO_IDU[Precio],"",0)</f>
        <v>12350</v>
      </c>
      <c r="L73" s="1065" t="e">
        <v>#N/A</v>
      </c>
      <c r="M73" s="1066">
        <v>2546</v>
      </c>
      <c r="N73" s="1080">
        <f t="shared" si="0"/>
        <v>247000</v>
      </c>
      <c r="O73" s="1080"/>
      <c r="Q73" s="248"/>
    </row>
    <row r="74" spans="2:17" ht="14.25" customHeight="1" x14ac:dyDescent="0.3">
      <c r="B74" s="188">
        <v>7580</v>
      </c>
      <c r="C74" s="262">
        <f t="shared" si="1"/>
        <v>1.1000000000000001</v>
      </c>
      <c r="D74" s="1116" t="str">
        <f>+_xlfn.XLOOKUP(B74,INSUMO_IDU[Código],INSUMO_IDU[Nombre],"",0)</f>
        <v>CASCO DE SEGURIDAD DIELECTRICO</v>
      </c>
      <c r="E74" s="1117"/>
      <c r="F74" s="1117"/>
      <c r="G74" s="1118"/>
      <c r="H74" s="590" t="str">
        <f>+_xlfn.XLOOKUP(B74,INSUMO_IDU[Código],INSUMO_IDU[UM],"",0)</f>
        <v>UN</v>
      </c>
      <c r="I74" s="1101">
        <v>80</v>
      </c>
      <c r="J74" s="1101"/>
      <c r="K74" s="1064">
        <f>+_xlfn.XLOOKUP(B74,INSUMO_IDU[Código],INSUMO_IDU[Precio],"",0)</f>
        <v>21800</v>
      </c>
      <c r="L74" s="1065" t="e">
        <v>#N/A</v>
      </c>
      <c r="M74" s="1066">
        <v>2547</v>
      </c>
      <c r="N74" s="1080">
        <f t="shared" si="0"/>
        <v>1744000</v>
      </c>
      <c r="O74" s="1080"/>
      <c r="Q74" s="248"/>
    </row>
    <row r="75" spans="2:17" ht="14.25" customHeight="1" x14ac:dyDescent="0.3">
      <c r="B75" s="188">
        <v>7832</v>
      </c>
      <c r="C75" s="262">
        <f t="shared" si="1"/>
        <v>1.1100000000000001</v>
      </c>
      <c r="D75" s="1116" t="str">
        <f>+_xlfn.XLOOKUP(B75,INSUMO_IDU[Código],INSUMO_IDU[Nombre],"",0)</f>
        <v>BARBUQUEJO EN REATA CON MENTONERA CON TRES APOYOS PARA CASCO</v>
      </c>
      <c r="E75" s="1117"/>
      <c r="F75" s="1117"/>
      <c r="G75" s="1118"/>
      <c r="H75" s="590" t="str">
        <f>+_xlfn.XLOOKUP(B75,INSUMO_IDU[Código],INSUMO_IDU[UM],"",0)</f>
        <v>UN</v>
      </c>
      <c r="I75" s="1101">
        <v>80</v>
      </c>
      <c r="J75" s="1101"/>
      <c r="K75" s="1064">
        <f>+_xlfn.XLOOKUP(B75,INSUMO_IDU[Código],INSUMO_IDU[Precio],"",0)</f>
        <v>6188</v>
      </c>
      <c r="L75" s="1065" t="e">
        <v>#N/A</v>
      </c>
      <c r="M75" s="1066">
        <v>2548</v>
      </c>
      <c r="N75" s="1080">
        <f t="shared" si="0"/>
        <v>495040</v>
      </c>
      <c r="O75" s="1080"/>
      <c r="Q75" s="248"/>
    </row>
    <row r="76" spans="2:17" ht="14.25" customHeight="1" x14ac:dyDescent="0.3">
      <c r="B76" s="188">
        <v>7577</v>
      </c>
      <c r="C76" s="262">
        <f t="shared" si="1"/>
        <v>1.1200000000000001</v>
      </c>
      <c r="D76" s="1116" t="str">
        <f>+_xlfn.XLOOKUP(B76,INSUMO_IDU[Código],INSUMO_IDU[Nombre],"",0)</f>
        <v>GAFAS DE SEGURIDAD</v>
      </c>
      <c r="E76" s="1117"/>
      <c r="F76" s="1117"/>
      <c r="G76" s="1118"/>
      <c r="H76" s="590" t="str">
        <f>+_xlfn.XLOOKUP(B76,INSUMO_IDU[Código],INSUMO_IDU[UM],"",0)</f>
        <v>UN</v>
      </c>
      <c r="I76" s="1101">
        <v>200</v>
      </c>
      <c r="J76" s="1101"/>
      <c r="K76" s="1064">
        <f>+_xlfn.XLOOKUP(B76,INSUMO_IDU[Código],INSUMO_IDU[Precio],"",0)</f>
        <v>8100</v>
      </c>
      <c r="L76" s="1065" t="e">
        <v>#N/A</v>
      </c>
      <c r="M76" s="1066">
        <v>2549</v>
      </c>
      <c r="N76" s="1080">
        <f t="shared" si="0"/>
        <v>1620000</v>
      </c>
      <c r="O76" s="1080"/>
      <c r="Q76" s="248"/>
    </row>
    <row r="77" spans="2:17" ht="24" customHeight="1" x14ac:dyDescent="0.3">
      <c r="B77" s="188">
        <v>7836</v>
      </c>
      <c r="C77" s="262">
        <f t="shared" si="1"/>
        <v>1.1300000000000001</v>
      </c>
      <c r="D77" s="1116" t="str">
        <f>+_xlfn.XLOOKUP(B77,INSUMO_IDU[Código],INSUMO_IDU[Nombre],"",0)</f>
        <v>ARNES MULTIPROPOSITO CON ESLINGA - 4 ANILLOS - PARA RESTRICCION Y DETENCION DE CAIDAS CON PUNTO FIJO</v>
      </c>
      <c r="E77" s="1117"/>
      <c r="F77" s="1117"/>
      <c r="G77" s="1118"/>
      <c r="H77" s="590" t="str">
        <f>+_xlfn.XLOOKUP(B77,INSUMO_IDU[Código],INSUMO_IDU[UM],"",0)</f>
        <v>UN</v>
      </c>
      <c r="I77" s="1101">
        <v>4</v>
      </c>
      <c r="J77" s="1101"/>
      <c r="K77" s="1064">
        <f>+_xlfn.XLOOKUP(B77,INSUMO_IDU[Código],INSUMO_IDU[Precio],"",0)</f>
        <v>191900</v>
      </c>
      <c r="L77" s="1065" t="e">
        <v>#N/A</v>
      </c>
      <c r="M77" s="1066">
        <v>2550</v>
      </c>
      <c r="N77" s="1080">
        <f t="shared" si="0"/>
        <v>767600</v>
      </c>
      <c r="O77" s="1080"/>
      <c r="Q77" s="248"/>
    </row>
    <row r="78" spans="2:17" ht="14.25" customHeight="1" x14ac:dyDescent="0.3">
      <c r="B78" s="188">
        <v>9286</v>
      </c>
      <c r="C78" s="262">
        <f t="shared" si="1"/>
        <v>1.1400000000000001</v>
      </c>
      <c r="D78" s="1116" t="str">
        <f>+_xlfn.XLOOKUP(B78,INSUMO_IDU[Código],INSUMO_IDU[Nombre],"",0)</f>
        <v>OVEROL EN DRILL DOS PIEZAS, CAMISA Y PANTALÓN</v>
      </c>
      <c r="E78" s="1117"/>
      <c r="F78" s="1117"/>
      <c r="G78" s="1118"/>
      <c r="H78" s="590" t="str">
        <f>+_xlfn.XLOOKUP(B78,INSUMO_IDU[Código],INSUMO_IDU[UM],"",0)</f>
        <v>UN</v>
      </c>
      <c r="I78" s="1101">
        <v>100</v>
      </c>
      <c r="J78" s="1101"/>
      <c r="K78" s="1064">
        <f>+_xlfn.XLOOKUP(B78,INSUMO_IDU[Código],INSUMO_IDU[Precio],"",0)</f>
        <v>73071</v>
      </c>
      <c r="L78" s="1065" t="e">
        <v>#N/A</v>
      </c>
      <c r="M78" s="1066">
        <v>2551</v>
      </c>
      <c r="N78" s="1080">
        <f t="shared" si="0"/>
        <v>7307100</v>
      </c>
      <c r="O78" s="1080"/>
      <c r="Q78" s="248"/>
    </row>
    <row r="79" spans="2:17" ht="14.25" customHeight="1" x14ac:dyDescent="0.3">
      <c r="B79" s="188">
        <v>7839</v>
      </c>
      <c r="C79" s="262">
        <f t="shared" si="1"/>
        <v>1.1500000000000001</v>
      </c>
      <c r="D79" s="1116" t="str">
        <f>+_xlfn.XLOOKUP(B79,INSUMO_IDU[Código],INSUMO_IDU[Nombre],"",0)</f>
        <v>OVEROL IMPERMEABLE INDUSTRIAL AMARILLO 2 PIEZAS CON CAPUCHA</v>
      </c>
      <c r="E79" s="1117"/>
      <c r="F79" s="1117"/>
      <c r="G79" s="1118"/>
      <c r="H79" s="590" t="str">
        <f>+_xlfn.XLOOKUP(B79,INSUMO_IDU[Código],INSUMO_IDU[UM],"",0)</f>
        <v>UN</v>
      </c>
      <c r="I79" s="1101">
        <v>100</v>
      </c>
      <c r="J79" s="1101"/>
      <c r="K79" s="1064">
        <f>+_xlfn.XLOOKUP(B79,INSUMO_IDU[Código],INSUMO_IDU[Precio],"",0)</f>
        <v>62316</v>
      </c>
      <c r="L79" s="1065" t="e">
        <v>#N/A</v>
      </c>
      <c r="M79" s="1066">
        <v>2552</v>
      </c>
      <c r="N79" s="1080">
        <f t="shared" si="0"/>
        <v>6231600</v>
      </c>
      <c r="O79" s="1080"/>
      <c r="Q79" s="248"/>
    </row>
    <row r="80" spans="2:17" ht="14.25" customHeight="1" x14ac:dyDescent="0.3">
      <c r="B80" s="188">
        <v>7846</v>
      </c>
      <c r="C80" s="262">
        <f t="shared" si="1"/>
        <v>1.1600000000000001</v>
      </c>
      <c r="D80" s="1116" t="str">
        <f>+_xlfn.XLOOKUP(B80,INSUMO_IDU[Código],INSUMO_IDU[Nombre],"",0)</f>
        <v xml:space="preserve">GUANTE DE CARNAZA LARGO REFORZADO </v>
      </c>
      <c r="E80" s="1117"/>
      <c r="F80" s="1117"/>
      <c r="G80" s="1118"/>
      <c r="H80" s="590" t="str">
        <f>+_xlfn.XLOOKUP(B80,INSUMO_IDU[Código],INSUMO_IDU[UM],"",0)</f>
        <v>PAR</v>
      </c>
      <c r="I80" s="1101">
        <v>100</v>
      </c>
      <c r="J80" s="1101"/>
      <c r="K80" s="1064">
        <f>+_xlfn.XLOOKUP(B80,INSUMO_IDU[Código],INSUMO_IDU[Precio],"",0)</f>
        <v>11900</v>
      </c>
      <c r="L80" s="1065" t="e">
        <v>#N/A</v>
      </c>
      <c r="M80" s="1066">
        <v>2553</v>
      </c>
      <c r="N80" s="1080">
        <f t="shared" si="0"/>
        <v>1190000</v>
      </c>
      <c r="O80" s="1080"/>
      <c r="Q80" s="248"/>
    </row>
    <row r="81" spans="2:17" ht="14.25" customHeight="1" x14ac:dyDescent="0.3">
      <c r="B81" s="188">
        <v>7578</v>
      </c>
      <c r="C81" s="262">
        <f t="shared" si="1"/>
        <v>1.1700000000000002</v>
      </c>
      <c r="D81" s="1116" t="str">
        <f>+_xlfn.XLOOKUP(B81,INSUMO_IDU[Código],INSUMO_IDU[Nombre],"",0)</f>
        <v>GUANTE DE VAQUETA</v>
      </c>
      <c r="E81" s="1117"/>
      <c r="F81" s="1117"/>
      <c r="G81" s="1118"/>
      <c r="H81" s="590" t="str">
        <f>+_xlfn.XLOOKUP(B81,INSUMO_IDU[Código],INSUMO_IDU[UM],"",0)</f>
        <v>PAR</v>
      </c>
      <c r="I81" s="1101">
        <v>100</v>
      </c>
      <c r="J81" s="1101"/>
      <c r="K81" s="1064">
        <f>+_xlfn.XLOOKUP(B81,INSUMO_IDU[Código],INSUMO_IDU[Precio],"",0)</f>
        <v>9055</v>
      </c>
      <c r="L81" s="1065" t="e">
        <v>#N/A</v>
      </c>
      <c r="M81" s="1066">
        <v>2554</v>
      </c>
      <c r="N81" s="1080">
        <f t="shared" si="0"/>
        <v>905500</v>
      </c>
      <c r="O81" s="1080"/>
      <c r="Q81" s="248"/>
    </row>
    <row r="82" spans="2:17" ht="14.25" customHeight="1" x14ac:dyDescent="0.3">
      <c r="B82" s="188">
        <v>9283</v>
      </c>
      <c r="C82" s="262">
        <f t="shared" si="1"/>
        <v>1.1800000000000002</v>
      </c>
      <c r="D82" s="1116" t="str">
        <f>+_xlfn.XLOOKUP(B82,INSUMO_IDU[Código],INSUMO_IDU[Nombre],"",0)</f>
        <v>GUANTE CAUCHO NEGRO CORRUGADO CALIBRE 35</v>
      </c>
      <c r="E82" s="1117"/>
      <c r="F82" s="1117"/>
      <c r="G82" s="1118"/>
      <c r="H82" s="590" t="str">
        <f>+_xlfn.XLOOKUP(B82,INSUMO_IDU[Código],INSUMO_IDU[UM],"",0)</f>
        <v>PAR</v>
      </c>
      <c r="I82" s="1101">
        <v>100</v>
      </c>
      <c r="J82" s="1101"/>
      <c r="K82" s="1064">
        <f>+_xlfn.XLOOKUP(B82,INSUMO_IDU[Código],INSUMO_IDU[Precio],"",0)</f>
        <v>8600</v>
      </c>
      <c r="L82" s="1065" t="e">
        <v>#N/A</v>
      </c>
      <c r="M82" s="1066">
        <v>2555</v>
      </c>
      <c r="N82" s="1080">
        <f t="shared" si="0"/>
        <v>860000</v>
      </c>
      <c r="O82" s="1080"/>
      <c r="Q82" s="248"/>
    </row>
    <row r="83" spans="2:17" ht="14.25" customHeight="1" x14ac:dyDescent="0.3">
      <c r="B83" s="188">
        <v>7844</v>
      </c>
      <c r="C83" s="262">
        <f t="shared" si="1"/>
        <v>1.1900000000000002</v>
      </c>
      <c r="D83" s="1116" t="str">
        <f>+_xlfn.XLOOKUP(B83,INSUMO_IDU[Código],INSUMO_IDU[Nombre],"",0)</f>
        <v>GUANTE NITRILO 13" RESISTENTE CONTRA QUIMICOS COMBUSTIBLES SOLVENTES GRASAS</v>
      </c>
      <c r="E83" s="1117"/>
      <c r="F83" s="1117"/>
      <c r="G83" s="1118"/>
      <c r="H83" s="590" t="str">
        <f>+_xlfn.XLOOKUP(B83,INSUMO_IDU[Código],INSUMO_IDU[UM],"",0)</f>
        <v>PAR</v>
      </c>
      <c r="I83" s="1101">
        <v>100</v>
      </c>
      <c r="J83" s="1101"/>
      <c r="K83" s="1064">
        <f>+_xlfn.XLOOKUP(B83,INSUMO_IDU[Código],INSUMO_IDU[Precio],"",0)</f>
        <v>11900</v>
      </c>
      <c r="L83" s="1065" t="e">
        <v>#N/A</v>
      </c>
      <c r="M83" s="1066">
        <v>2556</v>
      </c>
      <c r="N83" s="1080">
        <f t="shared" si="0"/>
        <v>1190000</v>
      </c>
      <c r="O83" s="1080"/>
      <c r="Q83" s="248"/>
    </row>
    <row r="84" spans="2:17" x14ac:dyDescent="0.3">
      <c r="C84" s="263"/>
      <c r="D84" s="264" t="s">
        <v>5326</v>
      </c>
      <c r="E84" s="265"/>
      <c r="F84" s="266"/>
      <c r="G84" s="267"/>
      <c r="H84" s="268"/>
      <c r="I84" s="269"/>
      <c r="J84" s="270"/>
      <c r="K84" s="1119"/>
      <c r="L84" s="1120"/>
      <c r="M84" s="1121"/>
      <c r="N84" s="1122"/>
      <c r="O84" s="1123"/>
      <c r="Q84" s="248"/>
    </row>
    <row r="85" spans="2:17" ht="14.25" customHeight="1" x14ac:dyDescent="0.3">
      <c r="B85" s="188">
        <v>7904</v>
      </c>
      <c r="C85" s="262">
        <f>C83+0.01</f>
        <v>1.2000000000000002</v>
      </c>
      <c r="D85" s="1116" t="str">
        <f>+_xlfn.XLOOKUP(B85,INSUMO_IDU[Código],INSUMO_IDU[Nombre],"",0)</f>
        <v>EXÁMEN MÉDICO OCUPACIONAL DE INGRESO O RETIRO</v>
      </c>
      <c r="E85" s="1117"/>
      <c r="F85" s="1117"/>
      <c r="G85" s="1118"/>
      <c r="H85" s="590" t="str">
        <f>+_xlfn.XLOOKUP(B85,INSUMO_IDU[Código],INSUMO_IDU[UM],"",0)</f>
        <v>UN</v>
      </c>
      <c r="I85" s="1101">
        <v>100</v>
      </c>
      <c r="J85" s="1101"/>
      <c r="K85" s="1064">
        <f>+_xlfn.XLOOKUP(B85,INSUMO_IDU[Código],INSUMO_IDU[Precio],"",0)</f>
        <v>40000</v>
      </c>
      <c r="L85" s="1065" t="e">
        <v>#N/A</v>
      </c>
      <c r="M85" s="1066">
        <v>2556</v>
      </c>
      <c r="N85" s="1080">
        <f>ROUND((I85*K85),0)</f>
        <v>4000000</v>
      </c>
      <c r="O85" s="1080"/>
      <c r="Q85" s="248"/>
    </row>
    <row r="86" spans="2:17" ht="14.25" customHeight="1" x14ac:dyDescent="0.3">
      <c r="B86" s="188">
        <v>7906</v>
      </c>
      <c r="C86" s="262">
        <f>C85+0.01</f>
        <v>1.2100000000000002</v>
      </c>
      <c r="D86" s="1116" t="str">
        <f>+_xlfn.XLOOKUP(B86,INSUMO_IDU[Código],INSUMO_IDU[Nombre],"",0)</f>
        <v>EXAMEN DE AUDIOMETRÍA DE INGRESO O EGRESO</v>
      </c>
      <c r="E86" s="1117"/>
      <c r="F86" s="1117"/>
      <c r="G86" s="1118"/>
      <c r="H86" s="590" t="str">
        <f>+_xlfn.XLOOKUP(B86,INSUMO_IDU[Código],INSUMO_IDU[UM],"",0)</f>
        <v>UN</v>
      </c>
      <c r="I86" s="1101">
        <v>100</v>
      </c>
      <c r="J86" s="1101"/>
      <c r="K86" s="1064">
        <f>+_xlfn.XLOOKUP(B86,INSUMO_IDU[Código],INSUMO_IDU[Precio],"",0)</f>
        <v>25000</v>
      </c>
      <c r="L86" s="1065" t="e">
        <v>#N/A</v>
      </c>
      <c r="M86" s="1066">
        <v>2557</v>
      </c>
      <c r="N86" s="1080">
        <f>ROUND((I86*K86),0)</f>
        <v>2500000</v>
      </c>
      <c r="O86" s="1080"/>
      <c r="Q86" s="248"/>
    </row>
    <row r="87" spans="2:17" ht="14.25" customHeight="1" x14ac:dyDescent="0.3">
      <c r="B87" s="188">
        <v>7908</v>
      </c>
      <c r="C87" s="262">
        <f>C86+0.01</f>
        <v>1.2200000000000002</v>
      </c>
      <c r="D87" s="1116" t="str">
        <f>+_xlfn.XLOOKUP(B87,INSUMO_IDU[Código],INSUMO_IDU[Nombre],"",0)</f>
        <v>EXAMEN DE OPTOMETRÍA DE INGRESO O EGRESO</v>
      </c>
      <c r="E87" s="1117"/>
      <c r="F87" s="1117"/>
      <c r="G87" s="1118"/>
      <c r="H87" s="590" t="str">
        <f>+_xlfn.XLOOKUP(B87,INSUMO_IDU[Código],INSUMO_IDU[UM],"",0)</f>
        <v>UN</v>
      </c>
      <c r="I87" s="1101">
        <v>100</v>
      </c>
      <c r="J87" s="1101"/>
      <c r="K87" s="1064">
        <f>+_xlfn.XLOOKUP(B87,INSUMO_IDU[Código],INSUMO_IDU[Precio],"",0)</f>
        <v>30000</v>
      </c>
      <c r="L87" s="1065" t="e">
        <v>#N/A</v>
      </c>
      <c r="M87" s="1066">
        <v>2558</v>
      </c>
      <c r="N87" s="1080">
        <f>ROUND((I87*K87),0)</f>
        <v>3000000</v>
      </c>
      <c r="O87" s="1080"/>
      <c r="Q87" s="248"/>
    </row>
    <row r="88" spans="2:17" ht="14.25" customHeight="1" x14ac:dyDescent="0.3">
      <c r="B88" s="188">
        <v>7910</v>
      </c>
      <c r="C88" s="262">
        <f>C87+0.01</f>
        <v>1.2300000000000002</v>
      </c>
      <c r="D88" s="1116" t="str">
        <f>+_xlfn.XLOOKUP(B88,INSUMO_IDU[Código],INSUMO_IDU[Nombre],"",0)</f>
        <v>EXAMEN DE ESPIROMETRÍA DE INGRESO O EGRESO</v>
      </c>
      <c r="E88" s="1117"/>
      <c r="F88" s="1117"/>
      <c r="G88" s="1118"/>
      <c r="H88" s="590" t="str">
        <f>+_xlfn.XLOOKUP(B88,INSUMO_IDU[Código],INSUMO_IDU[UM],"",0)</f>
        <v>UN</v>
      </c>
      <c r="I88" s="1101">
        <v>100</v>
      </c>
      <c r="J88" s="1101"/>
      <c r="K88" s="1064">
        <f>+_xlfn.XLOOKUP(B88,INSUMO_IDU[Código],INSUMO_IDU[Precio],"",0)</f>
        <v>30000</v>
      </c>
      <c r="L88" s="1065" t="e">
        <v>#N/A</v>
      </c>
      <c r="M88" s="1066">
        <v>2559</v>
      </c>
      <c r="N88" s="1080">
        <f>ROUND((I88*K88),0)</f>
        <v>3000000</v>
      </c>
      <c r="O88" s="1080"/>
      <c r="Q88" s="248"/>
    </row>
    <row r="89" spans="2:17" ht="15" customHeight="1" x14ac:dyDescent="0.3">
      <c r="D89" s="256"/>
      <c r="E89" s="256"/>
      <c r="F89" s="256"/>
      <c r="G89" s="256"/>
      <c r="H89" s="234" t="s">
        <v>5327</v>
      </c>
      <c r="I89" s="235"/>
      <c r="J89" s="235"/>
      <c r="K89" s="235"/>
      <c r="L89" s="235"/>
      <c r="M89" s="236"/>
      <c r="N89" s="1076">
        <f>SUM(N65:O88)</f>
        <v>46450460</v>
      </c>
      <c r="O89" s="1077"/>
    </row>
    <row r="90" spans="2:17" x14ac:dyDescent="0.3">
      <c r="D90" s="256"/>
      <c r="E90" s="256"/>
      <c r="F90" s="256"/>
      <c r="G90" s="256"/>
      <c r="H90" s="256"/>
      <c r="I90" s="256"/>
      <c r="J90" s="256"/>
      <c r="K90" s="256"/>
      <c r="L90" s="256"/>
      <c r="M90" s="256"/>
      <c r="N90" s="271"/>
      <c r="O90" s="271"/>
    </row>
    <row r="91" spans="2:17" ht="24" hidden="1" customHeight="1" x14ac:dyDescent="0.3">
      <c r="C91" s="272" t="s">
        <v>5328</v>
      </c>
      <c r="D91" s="272"/>
      <c r="E91" s="272"/>
      <c r="F91" s="272"/>
      <c r="G91" s="272"/>
      <c r="H91" s="272"/>
      <c r="I91" s="272"/>
      <c r="J91" s="272"/>
      <c r="K91" s="272"/>
      <c r="L91" s="272"/>
      <c r="M91" s="272"/>
      <c r="N91" s="272"/>
      <c r="O91" s="272"/>
    </row>
    <row r="92" spans="2:17" ht="14.25" hidden="1" customHeight="1" x14ac:dyDescent="0.3"/>
    <row r="93" spans="2:17" ht="14.25" customHeight="1" x14ac:dyDescent="0.3">
      <c r="C93" s="234" t="s">
        <v>5329</v>
      </c>
      <c r="D93" s="235"/>
      <c r="E93" s="235"/>
      <c r="F93" s="235"/>
      <c r="G93" s="235"/>
      <c r="H93" s="235"/>
      <c r="I93" s="235"/>
      <c r="J93" s="235"/>
      <c r="K93" s="235"/>
      <c r="L93" s="235"/>
      <c r="M93" s="235"/>
      <c r="N93" s="235"/>
      <c r="O93" s="236"/>
    </row>
    <row r="94" spans="2:17" x14ac:dyDescent="0.3">
      <c r="C94" s="1129" t="s">
        <v>5280</v>
      </c>
      <c r="D94" s="1061"/>
      <c r="E94" s="1061"/>
      <c r="F94" s="1061"/>
      <c r="G94" s="261" t="s">
        <v>5293</v>
      </c>
      <c r="H94" s="261" t="s">
        <v>5281</v>
      </c>
      <c r="I94" s="1061" t="s">
        <v>5250</v>
      </c>
      <c r="J94" s="1061"/>
      <c r="K94" s="1112" t="s">
        <v>5294</v>
      </c>
      <c r="L94" s="1112"/>
      <c r="M94" s="1112"/>
      <c r="N94" s="1113" t="s">
        <v>5295</v>
      </c>
      <c r="O94" s="1113"/>
    </row>
    <row r="95" spans="2:17" ht="14.25" customHeight="1" x14ac:dyDescent="0.3">
      <c r="C95" s="259" t="s">
        <v>5330</v>
      </c>
      <c r="D95" s="234" t="s">
        <v>5331</v>
      </c>
      <c r="E95" s="235"/>
      <c r="F95" s="235"/>
      <c r="G95" s="235"/>
      <c r="H95" s="235"/>
      <c r="I95" s="235"/>
      <c r="J95" s="235"/>
      <c r="K95" s="235"/>
      <c r="L95" s="235"/>
      <c r="M95" s="235"/>
      <c r="N95" s="235"/>
      <c r="O95" s="236"/>
    </row>
    <row r="96" spans="2:17" x14ac:dyDescent="0.3">
      <c r="B96" s="188">
        <v>7554</v>
      </c>
      <c r="C96" s="1089">
        <v>1.1000000000000001</v>
      </c>
      <c r="D96" s="1124" t="s">
        <v>5332</v>
      </c>
      <c r="E96" s="1125"/>
      <c r="F96" s="1126"/>
      <c r="G96" s="247" t="str">
        <f>+_xlfn.XLOOKUP(B96,INSUMO_IDU[Código],INSUMO_IDU[Nombre],"",0)</f>
        <v>SEÑALIZACION TUBULAR COLOMBINA PLASTICA</v>
      </c>
      <c r="H96" s="590" t="str">
        <f>+_xlfn.XLOOKUP(B96,INSUMO_IDU[Código],INSUMO_IDU[UM],"",0)</f>
        <v>UN</v>
      </c>
      <c r="I96" s="1127">
        <v>80</v>
      </c>
      <c r="J96" s="1128"/>
      <c r="K96" s="1064">
        <f>+_xlfn.XLOOKUP(B96,INSUMO_IDU[Código],INSUMO_IDU[Precio],"",0)</f>
        <v>46520</v>
      </c>
      <c r="L96" s="1065" t="e">
        <v>#N/A</v>
      </c>
      <c r="M96" s="1066">
        <v>2559</v>
      </c>
      <c r="N96" s="1067">
        <f>ROUND((I96*K96),0)</f>
        <v>3721600</v>
      </c>
      <c r="O96" s="1067"/>
      <c r="Q96" s="248"/>
    </row>
    <row r="97" spans="2:17" ht="27.75" customHeight="1" x14ac:dyDescent="0.3">
      <c r="B97" s="188">
        <v>7850</v>
      </c>
      <c r="C97" s="1091"/>
      <c r="D97" s="1116"/>
      <c r="E97" s="1117"/>
      <c r="F97" s="1118"/>
      <c r="G97" s="247" t="str">
        <f>+_xlfn.XLOOKUP(B97,INSUMO_IDU[Código],INSUMO_IDU[Nombre],"",0)</f>
        <v>CINTA PARA SEÑALIZACION DE 500MT X 4" PELIGRO CALIBRE 3.5</v>
      </c>
      <c r="H97" s="590" t="str">
        <f>+_xlfn.XLOOKUP(B97,INSUMO_IDU[Código],INSUMO_IDU[UM],"",0)</f>
        <v>ROLLO</v>
      </c>
      <c r="I97" s="1101">
        <v>30</v>
      </c>
      <c r="J97" s="1101"/>
      <c r="K97" s="1064">
        <f>+_xlfn.XLOOKUP(B97,INSUMO_IDU[Código],INSUMO_IDU[Precio],"",0)</f>
        <v>26009</v>
      </c>
      <c r="L97" s="1065" t="e">
        <v>#N/A</v>
      </c>
      <c r="M97" s="1066">
        <v>2559</v>
      </c>
      <c r="N97" s="1080">
        <f>ROUND((I97*K97),0)</f>
        <v>780270</v>
      </c>
      <c r="O97" s="1080"/>
      <c r="Q97" s="248"/>
    </row>
    <row r="98" spans="2:17" ht="27.75" customHeight="1" x14ac:dyDescent="0.3">
      <c r="B98" s="188">
        <v>9985</v>
      </c>
      <c r="C98" s="1089">
        <v>1.2</v>
      </c>
      <c r="D98" s="1135" t="s">
        <v>5333</v>
      </c>
      <c r="E98" s="1136"/>
      <c r="F98" s="1137"/>
      <c r="G98" s="247" t="str">
        <f>+_xlfn.XLOOKUP(B98,INSUMO_IDU[Código],INSUMO_IDU[Nombre],"",0)</f>
        <v>SEÑAL EN POLIESTIRENO (30cm x 20cm) FOTOLUMINISCENTE - NORMA NTC - ISO</v>
      </c>
      <c r="H98" s="590" t="str">
        <f>+_xlfn.XLOOKUP(B98,INSUMO_IDU[Código],INSUMO_IDU[UM],"",0)</f>
        <v>UN</v>
      </c>
      <c r="I98" s="1101">
        <v>80</v>
      </c>
      <c r="J98" s="1101"/>
      <c r="K98" s="1064">
        <f>+_xlfn.XLOOKUP(B98,INSUMO_IDU[Código],INSUMO_IDU[Precio],"",0)</f>
        <v>70765</v>
      </c>
      <c r="L98" s="1065" t="e">
        <v>#N/A</v>
      </c>
      <c r="M98" s="1066">
        <v>2559</v>
      </c>
      <c r="N98" s="1080">
        <f>ROUND((I98*K98),0)</f>
        <v>5661200</v>
      </c>
      <c r="O98" s="1080"/>
      <c r="Q98" s="248"/>
    </row>
    <row r="99" spans="2:17" ht="28.5" customHeight="1" x14ac:dyDescent="0.3">
      <c r="B99" s="188">
        <v>9986</v>
      </c>
      <c r="C99" s="1091"/>
      <c r="D99" s="1138"/>
      <c r="E99" s="1139"/>
      <c r="F99" s="1140"/>
      <c r="G99" s="247" t="str">
        <f>+_xlfn.XLOOKUP(B99,INSUMO_IDU[Código],INSUMO_IDU[Nombre],"",0)</f>
        <v>SEÑAL EN POLIESTRIENO (30cm x 45cm) REFLECTIVO GRADO INGENIERÍA - NORMA ISO</v>
      </c>
      <c r="H99" s="590" t="str">
        <f>+_xlfn.XLOOKUP(B99,INSUMO_IDU[Código],INSUMO_IDU[UM],"",0)</f>
        <v>UN</v>
      </c>
      <c r="I99" s="1079">
        <v>80</v>
      </c>
      <c r="J99" s="1079"/>
      <c r="K99" s="1064">
        <f>+_xlfn.XLOOKUP(B99,INSUMO_IDU[Código],INSUMO_IDU[Precio],"",0)</f>
        <v>93902</v>
      </c>
      <c r="L99" s="1065" t="e">
        <v>#N/A</v>
      </c>
      <c r="M99" s="1066">
        <v>2559</v>
      </c>
      <c r="N99" s="1080">
        <f>ROUND((I99*K99),0)</f>
        <v>7512160</v>
      </c>
      <c r="O99" s="1080"/>
      <c r="Q99" s="248"/>
    </row>
    <row r="100" spans="2:17" ht="14.25" customHeight="1" x14ac:dyDescent="0.3">
      <c r="D100" s="256"/>
      <c r="E100" s="256"/>
      <c r="F100" s="256"/>
      <c r="G100" s="256"/>
      <c r="H100" s="234" t="s">
        <v>5334</v>
      </c>
      <c r="I100" s="235"/>
      <c r="J100" s="235"/>
      <c r="K100" s="235"/>
      <c r="L100" s="235"/>
      <c r="M100" s="236"/>
      <c r="N100" s="1107">
        <f>SUM(N96:O99)</f>
        <v>17675230</v>
      </c>
      <c r="O100" s="1108"/>
    </row>
    <row r="101" spans="2:17" x14ac:dyDescent="0.3">
      <c r="D101" s="256"/>
      <c r="E101" s="256"/>
      <c r="F101" s="256"/>
      <c r="G101" s="256"/>
      <c r="H101" s="223"/>
      <c r="I101" s="223"/>
      <c r="J101" s="223"/>
      <c r="K101" s="223"/>
      <c r="L101" s="223"/>
      <c r="M101" s="223"/>
      <c r="N101" s="239"/>
      <c r="O101" s="239"/>
    </row>
    <row r="102" spans="2:17" x14ac:dyDescent="0.3">
      <c r="D102" s="256"/>
      <c r="E102" s="256"/>
      <c r="F102" s="256"/>
      <c r="G102" s="256"/>
      <c r="H102" s="256"/>
      <c r="I102" s="256"/>
      <c r="J102" s="256"/>
      <c r="K102" s="256"/>
      <c r="L102" s="256"/>
      <c r="M102" s="256"/>
      <c r="N102" s="1109"/>
      <c r="O102" s="1109"/>
    </row>
    <row r="103" spans="2:17" ht="14.25" customHeight="1" x14ac:dyDescent="0.3">
      <c r="C103" s="234" t="s">
        <v>5335</v>
      </c>
      <c r="D103" s="235"/>
      <c r="E103" s="235"/>
      <c r="F103" s="235"/>
      <c r="G103" s="235"/>
      <c r="H103" s="235"/>
      <c r="I103" s="235"/>
      <c r="J103" s="235"/>
      <c r="K103" s="235"/>
      <c r="L103" s="235"/>
      <c r="M103" s="236"/>
      <c r="N103" s="1132">
        <f>O21+N28+N60+N89+N100</f>
        <v>311541011</v>
      </c>
      <c r="O103" s="1133"/>
    </row>
    <row r="104" spans="2:17" x14ac:dyDescent="0.3">
      <c r="C104" s="274" t="s">
        <v>5336</v>
      </c>
      <c r="D104" s="233"/>
      <c r="E104" s="233"/>
      <c r="F104" s="233"/>
      <c r="G104" s="233"/>
      <c r="H104" s="233"/>
      <c r="I104" s="233"/>
      <c r="J104" s="233"/>
      <c r="K104" s="233"/>
      <c r="L104" s="275"/>
      <c r="M104" s="276">
        <f>+'AIU PGA Y SST'!L37</f>
        <v>0.15108130871411982</v>
      </c>
      <c r="N104" s="1134">
        <f>ROUND((N103*M104),0)</f>
        <v>47068024</v>
      </c>
      <c r="O104" s="1134"/>
    </row>
    <row r="105" spans="2:17" ht="14.25" customHeight="1" x14ac:dyDescent="0.3">
      <c r="C105" s="234" t="s">
        <v>5337</v>
      </c>
      <c r="D105" s="235"/>
      <c r="E105" s="235"/>
      <c r="F105" s="235"/>
      <c r="G105" s="235"/>
      <c r="H105" s="235"/>
      <c r="I105" s="235"/>
      <c r="J105" s="235"/>
      <c r="K105" s="235"/>
      <c r="L105" s="236"/>
      <c r="M105" s="236"/>
      <c r="N105" s="1134">
        <f>N103+N104</f>
        <v>358609035</v>
      </c>
      <c r="O105" s="1134"/>
      <c r="P105" s="277"/>
      <c r="Q105" s="278">
        <v>396488450</v>
      </c>
    </row>
    <row r="106" spans="2:17" ht="14.25" customHeight="1" x14ac:dyDescent="0.3">
      <c r="C106" s="234" t="s">
        <v>5338</v>
      </c>
      <c r="D106" s="235"/>
      <c r="E106" s="235"/>
      <c r="F106" s="235"/>
      <c r="G106" s="235"/>
      <c r="H106" s="235"/>
      <c r="I106" s="235"/>
      <c r="J106" s="235"/>
      <c r="K106" s="235"/>
      <c r="L106" s="235"/>
      <c r="M106" s="279"/>
      <c r="N106" s="1130">
        <f>+N105/'DATOS DEL PROCESO'!C16</f>
        <v>3.8082569933433695E-2</v>
      </c>
      <c r="O106" s="1131"/>
    </row>
    <row r="108" spans="2:17" ht="15" customHeight="1" x14ac:dyDescent="0.3">
      <c r="C108" s="280" t="s">
        <v>5339</v>
      </c>
      <c r="D108" s="280"/>
      <c r="E108" s="280"/>
      <c r="F108" s="280"/>
      <c r="G108" s="280"/>
      <c r="H108" s="280"/>
      <c r="I108" s="280"/>
      <c r="J108" s="280"/>
      <c r="K108" s="280"/>
      <c r="L108" s="280"/>
      <c r="M108" s="280"/>
      <c r="N108" s="280"/>
      <c r="O108" s="280"/>
    </row>
    <row r="109" spans="2:17" ht="14.25" customHeight="1" x14ac:dyDescent="0.3">
      <c r="C109" s="280"/>
      <c r="D109" s="280"/>
      <c r="E109" s="280"/>
      <c r="F109" s="280"/>
      <c r="G109" s="280"/>
      <c r="H109" s="280"/>
      <c r="I109" s="280"/>
      <c r="J109" s="280"/>
      <c r="K109" s="280"/>
      <c r="L109" s="280"/>
      <c r="M109" s="280"/>
      <c r="N109" s="280"/>
      <c r="O109" s="280"/>
    </row>
    <row r="110" spans="2:17" x14ac:dyDescent="0.3">
      <c r="O110" s="281"/>
      <c r="P110" s="282"/>
    </row>
    <row r="111" spans="2:17" x14ac:dyDescent="0.3">
      <c r="O111" s="188"/>
    </row>
    <row r="112" spans="2:17" x14ac:dyDescent="0.3">
      <c r="O112" s="188"/>
    </row>
    <row r="113" spans="15:15" x14ac:dyDescent="0.3">
      <c r="O113" s="188"/>
    </row>
    <row r="114" spans="15:15" x14ac:dyDescent="0.3">
      <c r="O114" s="188"/>
    </row>
    <row r="115" spans="15:15" x14ac:dyDescent="0.3">
      <c r="O115" s="188"/>
    </row>
    <row r="116" spans="15:15" x14ac:dyDescent="0.3">
      <c r="O116" s="188"/>
    </row>
    <row r="117" spans="15:15" x14ac:dyDescent="0.3">
      <c r="O117" s="188"/>
    </row>
    <row r="118" spans="15:15" x14ac:dyDescent="0.3">
      <c r="O118" s="188"/>
    </row>
  </sheetData>
  <mergeCells count="220">
    <mergeCell ref="N106:O106"/>
    <mergeCell ref="N100:O100"/>
    <mergeCell ref="N102:O102"/>
    <mergeCell ref="N103:O103"/>
    <mergeCell ref="N104:O104"/>
    <mergeCell ref="N105:O105"/>
    <mergeCell ref="C98:C99"/>
    <mergeCell ref="D98:F99"/>
    <mergeCell ref="I98:J98"/>
    <mergeCell ref="K98:M98"/>
    <mergeCell ref="N98:O98"/>
    <mergeCell ref="I99:J99"/>
    <mergeCell ref="K99:M99"/>
    <mergeCell ref="N99:O99"/>
    <mergeCell ref="C96:C97"/>
    <mergeCell ref="D96:F97"/>
    <mergeCell ref="I96:J96"/>
    <mergeCell ref="K96:M96"/>
    <mergeCell ref="N96:O96"/>
    <mergeCell ref="I97:J97"/>
    <mergeCell ref="K97:M97"/>
    <mergeCell ref="N97:O97"/>
    <mergeCell ref="D88:G88"/>
    <mergeCell ref="I88:J88"/>
    <mergeCell ref="K88:M88"/>
    <mergeCell ref="N88:O88"/>
    <mergeCell ref="N89:O89"/>
    <mergeCell ref="C94:F94"/>
    <mergeCell ref="I94:J94"/>
    <mergeCell ref="K94:M94"/>
    <mergeCell ref="N94:O94"/>
    <mergeCell ref="D86:G86"/>
    <mergeCell ref="I86:J86"/>
    <mergeCell ref="K86:M86"/>
    <mergeCell ref="N86:O86"/>
    <mergeCell ref="D87:G87"/>
    <mergeCell ref="I87:J87"/>
    <mergeCell ref="K87:M87"/>
    <mergeCell ref="N87:O87"/>
    <mergeCell ref="K84:M84"/>
    <mergeCell ref="N84:O84"/>
    <mergeCell ref="D85:G85"/>
    <mergeCell ref="I85:J85"/>
    <mergeCell ref="K85:M85"/>
    <mergeCell ref="N85:O85"/>
    <mergeCell ref="D82:G82"/>
    <mergeCell ref="I82:J82"/>
    <mergeCell ref="K82:M82"/>
    <mergeCell ref="N82:O82"/>
    <mergeCell ref="D83:G83"/>
    <mergeCell ref="I83:J83"/>
    <mergeCell ref="K83:M83"/>
    <mergeCell ref="N83:O83"/>
    <mergeCell ref="D80:G80"/>
    <mergeCell ref="I80:J80"/>
    <mergeCell ref="K80:M80"/>
    <mergeCell ref="N80:O80"/>
    <mergeCell ref="D81:G81"/>
    <mergeCell ref="I81:J81"/>
    <mergeCell ref="K81:M81"/>
    <mergeCell ref="N81:O81"/>
    <mergeCell ref="D78:G78"/>
    <mergeCell ref="I78:J78"/>
    <mergeCell ref="K78:M78"/>
    <mergeCell ref="N78:O78"/>
    <mergeCell ref="D79:G79"/>
    <mergeCell ref="I79:J79"/>
    <mergeCell ref="K79:M79"/>
    <mergeCell ref="N79:O79"/>
    <mergeCell ref="D76:G76"/>
    <mergeCell ref="I76:J76"/>
    <mergeCell ref="K76:M76"/>
    <mergeCell ref="N76:O76"/>
    <mergeCell ref="D77:G77"/>
    <mergeCell ref="I77:J77"/>
    <mergeCell ref="K77:M77"/>
    <mergeCell ref="N77:O77"/>
    <mergeCell ref="D74:G74"/>
    <mergeCell ref="I74:J74"/>
    <mergeCell ref="K74:M74"/>
    <mergeCell ref="N74:O74"/>
    <mergeCell ref="D75:G75"/>
    <mergeCell ref="I75:J75"/>
    <mergeCell ref="K75:M75"/>
    <mergeCell ref="N75:O75"/>
    <mergeCell ref="D72:G72"/>
    <mergeCell ref="I72:J72"/>
    <mergeCell ref="K72:M72"/>
    <mergeCell ref="N72:O72"/>
    <mergeCell ref="D73:G73"/>
    <mergeCell ref="I73:J73"/>
    <mergeCell ref="K73:M73"/>
    <mergeCell ref="N73:O73"/>
    <mergeCell ref="D70:G70"/>
    <mergeCell ref="I70:J70"/>
    <mergeCell ref="K70:M70"/>
    <mergeCell ref="N70:O70"/>
    <mergeCell ref="D71:G71"/>
    <mergeCell ref="I71:J71"/>
    <mergeCell ref="K71:M71"/>
    <mergeCell ref="N71:O71"/>
    <mergeCell ref="K69:M69"/>
    <mergeCell ref="D69:G69"/>
    <mergeCell ref="I69:J69"/>
    <mergeCell ref="N69:O69"/>
    <mergeCell ref="D67:G67"/>
    <mergeCell ref="I67:J67"/>
    <mergeCell ref="K67:M67"/>
    <mergeCell ref="N67:O67"/>
    <mergeCell ref="D68:G68"/>
    <mergeCell ref="I68:J68"/>
    <mergeCell ref="K68:M68"/>
    <mergeCell ref="N68:O68"/>
    <mergeCell ref="D65:G65"/>
    <mergeCell ref="I65:J65"/>
    <mergeCell ref="K65:M65"/>
    <mergeCell ref="N65:O65"/>
    <mergeCell ref="D66:G66"/>
    <mergeCell ref="I66:J66"/>
    <mergeCell ref="K66:M66"/>
    <mergeCell ref="N66:O66"/>
    <mergeCell ref="N59:O59"/>
    <mergeCell ref="N60:O60"/>
    <mergeCell ref="N61:O61"/>
    <mergeCell ref="C63:G63"/>
    <mergeCell ref="I63:J63"/>
    <mergeCell ref="K63:M63"/>
    <mergeCell ref="N63:O63"/>
    <mergeCell ref="N58:O58"/>
    <mergeCell ref="N53:O53"/>
    <mergeCell ref="D56:F58"/>
    <mergeCell ref="I56:J56"/>
    <mergeCell ref="K56:M56"/>
    <mergeCell ref="N56:O56"/>
    <mergeCell ref="I57:J57"/>
    <mergeCell ref="K57:M57"/>
    <mergeCell ref="N57:O57"/>
    <mergeCell ref="I58:J58"/>
    <mergeCell ref="K58:M58"/>
    <mergeCell ref="N48:O48"/>
    <mergeCell ref="D51:F52"/>
    <mergeCell ref="I51:J51"/>
    <mergeCell ref="K51:M51"/>
    <mergeCell ref="N51:O51"/>
    <mergeCell ref="I52:J52"/>
    <mergeCell ref="K52:M52"/>
    <mergeCell ref="N52:O52"/>
    <mergeCell ref="I47:J47"/>
    <mergeCell ref="K47:M47"/>
    <mergeCell ref="N47:O47"/>
    <mergeCell ref="N46:O46"/>
    <mergeCell ref="C45:C47"/>
    <mergeCell ref="D45:F47"/>
    <mergeCell ref="K45:M45"/>
    <mergeCell ref="I45:J45"/>
    <mergeCell ref="N45:O45"/>
    <mergeCell ref="I46:J46"/>
    <mergeCell ref="K46:M46"/>
    <mergeCell ref="N40:O40"/>
    <mergeCell ref="N41:O41"/>
    <mergeCell ref="D44:F44"/>
    <mergeCell ref="I44:J44"/>
    <mergeCell ref="K44:M44"/>
    <mergeCell ref="N44:O44"/>
    <mergeCell ref="C38:C40"/>
    <mergeCell ref="D38:F40"/>
    <mergeCell ref="I38:J38"/>
    <mergeCell ref="K38:M38"/>
    <mergeCell ref="N38:O38"/>
    <mergeCell ref="I39:J39"/>
    <mergeCell ref="K39:M39"/>
    <mergeCell ref="N39:O39"/>
    <mergeCell ref="I40:J40"/>
    <mergeCell ref="K40:M40"/>
    <mergeCell ref="D33:F33"/>
    <mergeCell ref="I33:J33"/>
    <mergeCell ref="K33:M33"/>
    <mergeCell ref="N33:O33"/>
    <mergeCell ref="C35:G35"/>
    <mergeCell ref="N35:O35"/>
    <mergeCell ref="D27:F27"/>
    <mergeCell ref="I27:J27"/>
    <mergeCell ref="K27:M27"/>
    <mergeCell ref="N27:O27"/>
    <mergeCell ref="N28:O28"/>
    <mergeCell ref="C31:F31"/>
    <mergeCell ref="I31:J31"/>
    <mergeCell ref="K31:M31"/>
    <mergeCell ref="N31:O31"/>
    <mergeCell ref="D34:F34"/>
    <mergeCell ref="I34:J34"/>
    <mergeCell ref="K34:M34"/>
    <mergeCell ref="N34:O34"/>
    <mergeCell ref="C24:F24"/>
    <mergeCell ref="I24:J24"/>
    <mergeCell ref="K24:M24"/>
    <mergeCell ref="N24:O24"/>
    <mergeCell ref="D26:F26"/>
    <mergeCell ref="I26:J26"/>
    <mergeCell ref="K26:M26"/>
    <mergeCell ref="N26:O26"/>
    <mergeCell ref="D14:G14"/>
    <mergeCell ref="D17:G17"/>
    <mergeCell ref="D18:G18"/>
    <mergeCell ref="D19:G19"/>
    <mergeCell ref="D20:G20"/>
    <mergeCell ref="D15:G15"/>
    <mergeCell ref="D16:G16"/>
    <mergeCell ref="C6:E6"/>
    <mergeCell ref="F6:O6"/>
    <mergeCell ref="C9:O9"/>
    <mergeCell ref="K11:M11"/>
    <mergeCell ref="C12:O12"/>
    <mergeCell ref="C13:G13"/>
    <mergeCell ref="C2:L2"/>
    <mergeCell ref="M2:O4"/>
    <mergeCell ref="C3:L3"/>
    <mergeCell ref="C4:L4"/>
    <mergeCell ref="C5:L5"/>
    <mergeCell ref="M5:O5"/>
  </mergeCells>
  <printOptions horizontalCentered="1"/>
  <pageMargins left="0.51181102362204722" right="0.51181102362204722" top="0.74803149606299213" bottom="0.74803149606299213" header="0.31496062992125984" footer="0.31496062992125984"/>
  <pageSetup scale="54" fitToHeight="2" orientation="portrait" r:id="rId1"/>
  <rowBreaks count="1" manualBreakCount="1">
    <brk id="61" min="2" max="1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3D4C5-7E52-4E6A-9FF9-37666E2A7558}">
  <sheetPr>
    <tabColor theme="8" tint="0.39997558519241921"/>
    <pageSetUpPr fitToPage="1"/>
  </sheetPr>
  <dimension ref="A1:P67"/>
  <sheetViews>
    <sheetView view="pageBreakPreview" topLeftCell="A26" zoomScaleNormal="100" zoomScaleSheetLayoutView="100" workbookViewId="0">
      <selection activeCell="D6" sqref="D6:L6"/>
    </sheetView>
  </sheetViews>
  <sheetFormatPr baseColWidth="10" defaultRowHeight="13.2" x14ac:dyDescent="0.3"/>
  <cols>
    <col min="1" max="1" width="7.109375" style="283" bestFit="1" customWidth="1"/>
    <col min="2" max="2" width="5.33203125" style="283" bestFit="1" customWidth="1"/>
    <col min="3" max="3" width="43.6640625" style="284" customWidth="1"/>
    <col min="4" max="4" width="13.5546875" style="284" customWidth="1"/>
    <col min="5" max="5" width="10.109375" style="284" customWidth="1"/>
    <col min="6" max="6" width="10" style="284" customWidth="1"/>
    <col min="7" max="7" width="6.109375" style="284" bestFit="1" customWidth="1"/>
    <col min="8" max="8" width="5.5546875" style="284" customWidth="1"/>
    <col min="9" max="9" width="14.88671875" style="284" bestFit="1" customWidth="1"/>
    <col min="10" max="10" width="12.88671875" style="284" bestFit="1" customWidth="1"/>
    <col min="11" max="11" width="7.6640625" style="284" customWidth="1"/>
    <col min="12" max="12" width="18" style="284" customWidth="1"/>
    <col min="13" max="13" width="8.33203125" style="284" customWidth="1"/>
    <col min="14" max="14" width="16" style="284" customWidth="1"/>
    <col min="15" max="15" width="15.109375" style="284" bestFit="1" customWidth="1"/>
    <col min="16" max="16" width="14.109375" style="284" bestFit="1" customWidth="1"/>
    <col min="17" max="256" width="11.5546875" style="284"/>
    <col min="257" max="257" width="7.109375" style="284" bestFit="1" customWidth="1"/>
    <col min="258" max="258" width="5.33203125" style="284" bestFit="1" customWidth="1"/>
    <col min="259" max="259" width="43.6640625" style="284" customWidth="1"/>
    <col min="260" max="260" width="13.5546875" style="284" customWidth="1"/>
    <col min="261" max="261" width="10.109375" style="284" customWidth="1"/>
    <col min="262" max="262" width="10" style="284" customWidth="1"/>
    <col min="263" max="263" width="6.109375" style="284" bestFit="1" customWidth="1"/>
    <col min="264" max="264" width="4.6640625" style="284" customWidth="1"/>
    <col min="265" max="265" width="14.88671875" style="284" bestFit="1" customWidth="1"/>
    <col min="266" max="266" width="12.88671875" style="284" bestFit="1" customWidth="1"/>
    <col min="267" max="267" width="7.6640625" style="284" customWidth="1"/>
    <col min="268" max="268" width="18" style="284" customWidth="1"/>
    <col min="269" max="269" width="8.33203125" style="284" customWidth="1"/>
    <col min="270" max="270" width="16" style="284" customWidth="1"/>
    <col min="271" max="271" width="15.109375" style="284" bestFit="1" customWidth="1"/>
    <col min="272" max="272" width="14.109375" style="284" bestFit="1" customWidth="1"/>
    <col min="273" max="512" width="11.5546875" style="284"/>
    <col min="513" max="513" width="7.109375" style="284" bestFit="1" customWidth="1"/>
    <col min="514" max="514" width="5.33203125" style="284" bestFit="1" customWidth="1"/>
    <col min="515" max="515" width="43.6640625" style="284" customWidth="1"/>
    <col min="516" max="516" width="13.5546875" style="284" customWidth="1"/>
    <col min="517" max="517" width="10.109375" style="284" customWidth="1"/>
    <col min="518" max="518" width="10" style="284" customWidth="1"/>
    <col min="519" max="519" width="6.109375" style="284" bestFit="1" customWidth="1"/>
    <col min="520" max="520" width="4.6640625" style="284" customWidth="1"/>
    <col min="521" max="521" width="14.88671875" style="284" bestFit="1" customWidth="1"/>
    <col min="522" max="522" width="12.88671875" style="284" bestFit="1" customWidth="1"/>
    <col min="523" max="523" width="7.6640625" style="284" customWidth="1"/>
    <col min="524" max="524" width="18" style="284" customWidth="1"/>
    <col min="525" max="525" width="8.33203125" style="284" customWidth="1"/>
    <col min="526" max="526" width="16" style="284" customWidth="1"/>
    <col min="527" max="527" width="15.109375" style="284" bestFit="1" customWidth="1"/>
    <col min="528" max="528" width="14.109375" style="284" bestFit="1" customWidth="1"/>
    <col min="529" max="768" width="11.5546875" style="284"/>
    <col min="769" max="769" width="7.109375" style="284" bestFit="1" customWidth="1"/>
    <col min="770" max="770" width="5.33203125" style="284" bestFit="1" customWidth="1"/>
    <col min="771" max="771" width="43.6640625" style="284" customWidth="1"/>
    <col min="772" max="772" width="13.5546875" style="284" customWidth="1"/>
    <col min="773" max="773" width="10.109375" style="284" customWidth="1"/>
    <col min="774" max="774" width="10" style="284" customWidth="1"/>
    <col min="775" max="775" width="6.109375" style="284" bestFit="1" customWidth="1"/>
    <col min="776" max="776" width="4.6640625" style="284" customWidth="1"/>
    <col min="777" max="777" width="14.88671875" style="284" bestFit="1" customWidth="1"/>
    <col min="778" max="778" width="12.88671875" style="284" bestFit="1" customWidth="1"/>
    <col min="779" max="779" width="7.6640625" style="284" customWidth="1"/>
    <col min="780" max="780" width="18" style="284" customWidth="1"/>
    <col min="781" max="781" width="8.33203125" style="284" customWidth="1"/>
    <col min="782" max="782" width="16" style="284" customWidth="1"/>
    <col min="783" max="783" width="15.109375" style="284" bestFit="1" customWidth="1"/>
    <col min="784" max="784" width="14.109375" style="284" bestFit="1" customWidth="1"/>
    <col min="785" max="1024" width="11.5546875" style="284"/>
    <col min="1025" max="1025" width="7.109375" style="284" bestFit="1" customWidth="1"/>
    <col min="1026" max="1026" width="5.33203125" style="284" bestFit="1" customWidth="1"/>
    <col min="1027" max="1027" width="43.6640625" style="284" customWidth="1"/>
    <col min="1028" max="1028" width="13.5546875" style="284" customWidth="1"/>
    <col min="1029" max="1029" width="10.109375" style="284" customWidth="1"/>
    <col min="1030" max="1030" width="10" style="284" customWidth="1"/>
    <col min="1031" max="1031" width="6.109375" style="284" bestFit="1" customWidth="1"/>
    <col min="1032" max="1032" width="4.6640625" style="284" customWidth="1"/>
    <col min="1033" max="1033" width="14.88671875" style="284" bestFit="1" customWidth="1"/>
    <col min="1034" max="1034" width="12.88671875" style="284" bestFit="1" customWidth="1"/>
    <col min="1035" max="1035" width="7.6640625" style="284" customWidth="1"/>
    <col min="1036" max="1036" width="18" style="284" customWidth="1"/>
    <col min="1037" max="1037" width="8.33203125" style="284" customWidth="1"/>
    <col min="1038" max="1038" width="16" style="284" customWidth="1"/>
    <col min="1039" max="1039" width="15.109375" style="284" bestFit="1" customWidth="1"/>
    <col min="1040" max="1040" width="14.109375" style="284" bestFit="1" customWidth="1"/>
    <col min="1041" max="1280" width="11.5546875" style="284"/>
    <col min="1281" max="1281" width="7.109375" style="284" bestFit="1" customWidth="1"/>
    <col min="1282" max="1282" width="5.33203125" style="284" bestFit="1" customWidth="1"/>
    <col min="1283" max="1283" width="43.6640625" style="284" customWidth="1"/>
    <col min="1284" max="1284" width="13.5546875" style="284" customWidth="1"/>
    <col min="1285" max="1285" width="10.109375" style="284" customWidth="1"/>
    <col min="1286" max="1286" width="10" style="284" customWidth="1"/>
    <col min="1287" max="1287" width="6.109375" style="284" bestFit="1" customWidth="1"/>
    <col min="1288" max="1288" width="4.6640625" style="284" customWidth="1"/>
    <col min="1289" max="1289" width="14.88671875" style="284" bestFit="1" customWidth="1"/>
    <col min="1290" max="1290" width="12.88671875" style="284" bestFit="1" customWidth="1"/>
    <col min="1291" max="1291" width="7.6640625" style="284" customWidth="1"/>
    <col min="1292" max="1292" width="18" style="284" customWidth="1"/>
    <col min="1293" max="1293" width="8.33203125" style="284" customWidth="1"/>
    <col min="1294" max="1294" width="16" style="284" customWidth="1"/>
    <col min="1295" max="1295" width="15.109375" style="284" bestFit="1" customWidth="1"/>
    <col min="1296" max="1296" width="14.109375" style="284" bestFit="1" customWidth="1"/>
    <col min="1297" max="1536" width="11.5546875" style="284"/>
    <col min="1537" max="1537" width="7.109375" style="284" bestFit="1" customWidth="1"/>
    <col min="1538" max="1538" width="5.33203125" style="284" bestFit="1" customWidth="1"/>
    <col min="1539" max="1539" width="43.6640625" style="284" customWidth="1"/>
    <col min="1540" max="1540" width="13.5546875" style="284" customWidth="1"/>
    <col min="1541" max="1541" width="10.109375" style="284" customWidth="1"/>
    <col min="1542" max="1542" width="10" style="284" customWidth="1"/>
    <col min="1543" max="1543" width="6.109375" style="284" bestFit="1" customWidth="1"/>
    <col min="1544" max="1544" width="4.6640625" style="284" customWidth="1"/>
    <col min="1545" max="1545" width="14.88671875" style="284" bestFit="1" customWidth="1"/>
    <col min="1546" max="1546" width="12.88671875" style="284" bestFit="1" customWidth="1"/>
    <col min="1547" max="1547" width="7.6640625" style="284" customWidth="1"/>
    <col min="1548" max="1548" width="18" style="284" customWidth="1"/>
    <col min="1549" max="1549" width="8.33203125" style="284" customWidth="1"/>
    <col min="1550" max="1550" width="16" style="284" customWidth="1"/>
    <col min="1551" max="1551" width="15.109375" style="284" bestFit="1" customWidth="1"/>
    <col min="1552" max="1552" width="14.109375" style="284" bestFit="1" customWidth="1"/>
    <col min="1553" max="1792" width="11.5546875" style="284"/>
    <col min="1793" max="1793" width="7.109375" style="284" bestFit="1" customWidth="1"/>
    <col min="1794" max="1794" width="5.33203125" style="284" bestFit="1" customWidth="1"/>
    <col min="1795" max="1795" width="43.6640625" style="284" customWidth="1"/>
    <col min="1796" max="1796" width="13.5546875" style="284" customWidth="1"/>
    <col min="1797" max="1797" width="10.109375" style="284" customWidth="1"/>
    <col min="1798" max="1798" width="10" style="284" customWidth="1"/>
    <col min="1799" max="1799" width="6.109375" style="284" bestFit="1" customWidth="1"/>
    <col min="1800" max="1800" width="4.6640625" style="284" customWidth="1"/>
    <col min="1801" max="1801" width="14.88671875" style="284" bestFit="1" customWidth="1"/>
    <col min="1802" max="1802" width="12.88671875" style="284" bestFit="1" customWidth="1"/>
    <col min="1803" max="1803" width="7.6640625" style="284" customWidth="1"/>
    <col min="1804" max="1804" width="18" style="284" customWidth="1"/>
    <col min="1805" max="1805" width="8.33203125" style="284" customWidth="1"/>
    <col min="1806" max="1806" width="16" style="284" customWidth="1"/>
    <col min="1807" max="1807" width="15.109375" style="284" bestFit="1" customWidth="1"/>
    <col min="1808" max="1808" width="14.109375" style="284" bestFit="1" customWidth="1"/>
    <col min="1809" max="2048" width="11.5546875" style="284"/>
    <col min="2049" max="2049" width="7.109375" style="284" bestFit="1" customWidth="1"/>
    <col min="2050" max="2050" width="5.33203125" style="284" bestFit="1" customWidth="1"/>
    <col min="2051" max="2051" width="43.6640625" style="284" customWidth="1"/>
    <col min="2052" max="2052" width="13.5546875" style="284" customWidth="1"/>
    <col min="2053" max="2053" width="10.109375" style="284" customWidth="1"/>
    <col min="2054" max="2054" width="10" style="284" customWidth="1"/>
    <col min="2055" max="2055" width="6.109375" style="284" bestFit="1" customWidth="1"/>
    <col min="2056" max="2056" width="4.6640625" style="284" customWidth="1"/>
    <col min="2057" max="2057" width="14.88671875" style="284" bestFit="1" customWidth="1"/>
    <col min="2058" max="2058" width="12.88671875" style="284" bestFit="1" customWidth="1"/>
    <col min="2059" max="2059" width="7.6640625" style="284" customWidth="1"/>
    <col min="2060" max="2060" width="18" style="284" customWidth="1"/>
    <col min="2061" max="2061" width="8.33203125" style="284" customWidth="1"/>
    <col min="2062" max="2062" width="16" style="284" customWidth="1"/>
    <col min="2063" max="2063" width="15.109375" style="284" bestFit="1" customWidth="1"/>
    <col min="2064" max="2064" width="14.109375" style="284" bestFit="1" customWidth="1"/>
    <col min="2065" max="2304" width="11.5546875" style="284"/>
    <col min="2305" max="2305" width="7.109375" style="284" bestFit="1" customWidth="1"/>
    <col min="2306" max="2306" width="5.33203125" style="284" bestFit="1" customWidth="1"/>
    <col min="2307" max="2307" width="43.6640625" style="284" customWidth="1"/>
    <col min="2308" max="2308" width="13.5546875" style="284" customWidth="1"/>
    <col min="2309" max="2309" width="10.109375" style="284" customWidth="1"/>
    <col min="2310" max="2310" width="10" style="284" customWidth="1"/>
    <col min="2311" max="2311" width="6.109375" style="284" bestFit="1" customWidth="1"/>
    <col min="2312" max="2312" width="4.6640625" style="284" customWidth="1"/>
    <col min="2313" max="2313" width="14.88671875" style="284" bestFit="1" customWidth="1"/>
    <col min="2314" max="2314" width="12.88671875" style="284" bestFit="1" customWidth="1"/>
    <col min="2315" max="2315" width="7.6640625" style="284" customWidth="1"/>
    <col min="2316" max="2316" width="18" style="284" customWidth="1"/>
    <col min="2317" max="2317" width="8.33203125" style="284" customWidth="1"/>
    <col min="2318" max="2318" width="16" style="284" customWidth="1"/>
    <col min="2319" max="2319" width="15.109375" style="284" bestFit="1" customWidth="1"/>
    <col min="2320" max="2320" width="14.109375" style="284" bestFit="1" customWidth="1"/>
    <col min="2321" max="2560" width="11.5546875" style="284"/>
    <col min="2561" max="2561" width="7.109375" style="284" bestFit="1" customWidth="1"/>
    <col min="2562" max="2562" width="5.33203125" style="284" bestFit="1" customWidth="1"/>
    <col min="2563" max="2563" width="43.6640625" style="284" customWidth="1"/>
    <col min="2564" max="2564" width="13.5546875" style="284" customWidth="1"/>
    <col min="2565" max="2565" width="10.109375" style="284" customWidth="1"/>
    <col min="2566" max="2566" width="10" style="284" customWidth="1"/>
    <col min="2567" max="2567" width="6.109375" style="284" bestFit="1" customWidth="1"/>
    <col min="2568" max="2568" width="4.6640625" style="284" customWidth="1"/>
    <col min="2569" max="2569" width="14.88671875" style="284" bestFit="1" customWidth="1"/>
    <col min="2570" max="2570" width="12.88671875" style="284" bestFit="1" customWidth="1"/>
    <col min="2571" max="2571" width="7.6640625" style="284" customWidth="1"/>
    <col min="2572" max="2572" width="18" style="284" customWidth="1"/>
    <col min="2573" max="2573" width="8.33203125" style="284" customWidth="1"/>
    <col min="2574" max="2574" width="16" style="284" customWidth="1"/>
    <col min="2575" max="2575" width="15.109375" style="284" bestFit="1" customWidth="1"/>
    <col min="2576" max="2576" width="14.109375" style="284" bestFit="1" customWidth="1"/>
    <col min="2577" max="2816" width="11.5546875" style="284"/>
    <col min="2817" max="2817" width="7.109375" style="284" bestFit="1" customWidth="1"/>
    <col min="2818" max="2818" width="5.33203125" style="284" bestFit="1" customWidth="1"/>
    <col min="2819" max="2819" width="43.6640625" style="284" customWidth="1"/>
    <col min="2820" max="2820" width="13.5546875" style="284" customWidth="1"/>
    <col min="2821" max="2821" width="10.109375" style="284" customWidth="1"/>
    <col min="2822" max="2822" width="10" style="284" customWidth="1"/>
    <col min="2823" max="2823" width="6.109375" style="284" bestFit="1" customWidth="1"/>
    <col min="2824" max="2824" width="4.6640625" style="284" customWidth="1"/>
    <col min="2825" max="2825" width="14.88671875" style="284" bestFit="1" customWidth="1"/>
    <col min="2826" max="2826" width="12.88671875" style="284" bestFit="1" customWidth="1"/>
    <col min="2827" max="2827" width="7.6640625" style="284" customWidth="1"/>
    <col min="2828" max="2828" width="18" style="284" customWidth="1"/>
    <col min="2829" max="2829" width="8.33203125" style="284" customWidth="1"/>
    <col min="2830" max="2830" width="16" style="284" customWidth="1"/>
    <col min="2831" max="2831" width="15.109375" style="284" bestFit="1" customWidth="1"/>
    <col min="2832" max="2832" width="14.109375" style="284" bestFit="1" customWidth="1"/>
    <col min="2833" max="3072" width="11.5546875" style="284"/>
    <col min="3073" max="3073" width="7.109375" style="284" bestFit="1" customWidth="1"/>
    <col min="3074" max="3074" width="5.33203125" style="284" bestFit="1" customWidth="1"/>
    <col min="3075" max="3075" width="43.6640625" style="284" customWidth="1"/>
    <col min="3076" max="3076" width="13.5546875" style="284" customWidth="1"/>
    <col min="3077" max="3077" width="10.109375" style="284" customWidth="1"/>
    <col min="3078" max="3078" width="10" style="284" customWidth="1"/>
    <col min="3079" max="3079" width="6.109375" style="284" bestFit="1" customWidth="1"/>
    <col min="3080" max="3080" width="4.6640625" style="284" customWidth="1"/>
    <col min="3081" max="3081" width="14.88671875" style="284" bestFit="1" customWidth="1"/>
    <col min="3082" max="3082" width="12.88671875" style="284" bestFit="1" customWidth="1"/>
    <col min="3083" max="3083" width="7.6640625" style="284" customWidth="1"/>
    <col min="3084" max="3084" width="18" style="284" customWidth="1"/>
    <col min="3085" max="3085" width="8.33203125" style="284" customWidth="1"/>
    <col min="3086" max="3086" width="16" style="284" customWidth="1"/>
    <col min="3087" max="3087" width="15.109375" style="284" bestFit="1" customWidth="1"/>
    <col min="3088" max="3088" width="14.109375" style="284" bestFit="1" customWidth="1"/>
    <col min="3089" max="3328" width="11.5546875" style="284"/>
    <col min="3329" max="3329" width="7.109375" style="284" bestFit="1" customWidth="1"/>
    <col min="3330" max="3330" width="5.33203125" style="284" bestFit="1" customWidth="1"/>
    <col min="3331" max="3331" width="43.6640625" style="284" customWidth="1"/>
    <col min="3332" max="3332" width="13.5546875" style="284" customWidth="1"/>
    <col min="3333" max="3333" width="10.109375" style="284" customWidth="1"/>
    <col min="3334" max="3334" width="10" style="284" customWidth="1"/>
    <col min="3335" max="3335" width="6.109375" style="284" bestFit="1" customWidth="1"/>
    <col min="3336" max="3336" width="4.6640625" style="284" customWidth="1"/>
    <col min="3337" max="3337" width="14.88671875" style="284" bestFit="1" customWidth="1"/>
    <col min="3338" max="3338" width="12.88671875" style="284" bestFit="1" customWidth="1"/>
    <col min="3339" max="3339" width="7.6640625" style="284" customWidth="1"/>
    <col min="3340" max="3340" width="18" style="284" customWidth="1"/>
    <col min="3341" max="3341" width="8.33203125" style="284" customWidth="1"/>
    <col min="3342" max="3342" width="16" style="284" customWidth="1"/>
    <col min="3343" max="3343" width="15.109375" style="284" bestFit="1" customWidth="1"/>
    <col min="3344" max="3344" width="14.109375" style="284" bestFit="1" customWidth="1"/>
    <col min="3345" max="3584" width="11.5546875" style="284"/>
    <col min="3585" max="3585" width="7.109375" style="284" bestFit="1" customWidth="1"/>
    <col min="3586" max="3586" width="5.33203125" style="284" bestFit="1" customWidth="1"/>
    <col min="3587" max="3587" width="43.6640625" style="284" customWidth="1"/>
    <col min="3588" max="3588" width="13.5546875" style="284" customWidth="1"/>
    <col min="3589" max="3589" width="10.109375" style="284" customWidth="1"/>
    <col min="3590" max="3590" width="10" style="284" customWidth="1"/>
    <col min="3591" max="3591" width="6.109375" style="284" bestFit="1" customWidth="1"/>
    <col min="3592" max="3592" width="4.6640625" style="284" customWidth="1"/>
    <col min="3593" max="3593" width="14.88671875" style="284" bestFit="1" customWidth="1"/>
    <col min="3594" max="3594" width="12.88671875" style="284" bestFit="1" customWidth="1"/>
    <col min="3595" max="3595" width="7.6640625" style="284" customWidth="1"/>
    <col min="3596" max="3596" width="18" style="284" customWidth="1"/>
    <col min="3597" max="3597" width="8.33203125" style="284" customWidth="1"/>
    <col min="3598" max="3598" width="16" style="284" customWidth="1"/>
    <col min="3599" max="3599" width="15.109375" style="284" bestFit="1" customWidth="1"/>
    <col min="3600" max="3600" width="14.109375" style="284" bestFit="1" customWidth="1"/>
    <col min="3601" max="3840" width="11.5546875" style="284"/>
    <col min="3841" max="3841" width="7.109375" style="284" bestFit="1" customWidth="1"/>
    <col min="3842" max="3842" width="5.33203125" style="284" bestFit="1" customWidth="1"/>
    <col min="3843" max="3843" width="43.6640625" style="284" customWidth="1"/>
    <col min="3844" max="3844" width="13.5546875" style="284" customWidth="1"/>
    <col min="3845" max="3845" width="10.109375" style="284" customWidth="1"/>
    <col min="3846" max="3846" width="10" style="284" customWidth="1"/>
    <col min="3847" max="3847" width="6.109375" style="284" bestFit="1" customWidth="1"/>
    <col min="3848" max="3848" width="4.6640625" style="284" customWidth="1"/>
    <col min="3849" max="3849" width="14.88671875" style="284" bestFit="1" customWidth="1"/>
    <col min="3850" max="3850" width="12.88671875" style="284" bestFit="1" customWidth="1"/>
    <col min="3851" max="3851" width="7.6640625" style="284" customWidth="1"/>
    <col min="3852" max="3852" width="18" style="284" customWidth="1"/>
    <col min="3853" max="3853" width="8.33203125" style="284" customWidth="1"/>
    <col min="3854" max="3854" width="16" style="284" customWidth="1"/>
    <col min="3855" max="3855" width="15.109375" style="284" bestFit="1" customWidth="1"/>
    <col min="3856" max="3856" width="14.109375" style="284" bestFit="1" customWidth="1"/>
    <col min="3857" max="4096" width="11.5546875" style="284"/>
    <col min="4097" max="4097" width="7.109375" style="284" bestFit="1" customWidth="1"/>
    <col min="4098" max="4098" width="5.33203125" style="284" bestFit="1" customWidth="1"/>
    <col min="4099" max="4099" width="43.6640625" style="284" customWidth="1"/>
    <col min="4100" max="4100" width="13.5546875" style="284" customWidth="1"/>
    <col min="4101" max="4101" width="10.109375" style="284" customWidth="1"/>
    <col min="4102" max="4102" width="10" style="284" customWidth="1"/>
    <col min="4103" max="4103" width="6.109375" style="284" bestFit="1" customWidth="1"/>
    <col min="4104" max="4104" width="4.6640625" style="284" customWidth="1"/>
    <col min="4105" max="4105" width="14.88671875" style="284" bestFit="1" customWidth="1"/>
    <col min="4106" max="4106" width="12.88671875" style="284" bestFit="1" customWidth="1"/>
    <col min="4107" max="4107" width="7.6640625" style="284" customWidth="1"/>
    <col min="4108" max="4108" width="18" style="284" customWidth="1"/>
    <col min="4109" max="4109" width="8.33203125" style="284" customWidth="1"/>
    <col min="4110" max="4110" width="16" style="284" customWidth="1"/>
    <col min="4111" max="4111" width="15.109375" style="284" bestFit="1" customWidth="1"/>
    <col min="4112" max="4112" width="14.109375" style="284" bestFit="1" customWidth="1"/>
    <col min="4113" max="4352" width="11.5546875" style="284"/>
    <col min="4353" max="4353" width="7.109375" style="284" bestFit="1" customWidth="1"/>
    <col min="4354" max="4354" width="5.33203125" style="284" bestFit="1" customWidth="1"/>
    <col min="4355" max="4355" width="43.6640625" style="284" customWidth="1"/>
    <col min="4356" max="4356" width="13.5546875" style="284" customWidth="1"/>
    <col min="4357" max="4357" width="10.109375" style="284" customWidth="1"/>
    <col min="4358" max="4358" width="10" style="284" customWidth="1"/>
    <col min="4359" max="4359" width="6.109375" style="284" bestFit="1" customWidth="1"/>
    <col min="4360" max="4360" width="4.6640625" style="284" customWidth="1"/>
    <col min="4361" max="4361" width="14.88671875" style="284" bestFit="1" customWidth="1"/>
    <col min="4362" max="4362" width="12.88671875" style="284" bestFit="1" customWidth="1"/>
    <col min="4363" max="4363" width="7.6640625" style="284" customWidth="1"/>
    <col min="4364" max="4364" width="18" style="284" customWidth="1"/>
    <col min="4365" max="4365" width="8.33203125" style="284" customWidth="1"/>
    <col min="4366" max="4366" width="16" style="284" customWidth="1"/>
    <col min="4367" max="4367" width="15.109375" style="284" bestFit="1" customWidth="1"/>
    <col min="4368" max="4368" width="14.109375" style="284" bestFit="1" customWidth="1"/>
    <col min="4369" max="4608" width="11.5546875" style="284"/>
    <col min="4609" max="4609" width="7.109375" style="284" bestFit="1" customWidth="1"/>
    <col min="4610" max="4610" width="5.33203125" style="284" bestFit="1" customWidth="1"/>
    <col min="4611" max="4611" width="43.6640625" style="284" customWidth="1"/>
    <col min="4612" max="4612" width="13.5546875" style="284" customWidth="1"/>
    <col min="4613" max="4613" width="10.109375" style="284" customWidth="1"/>
    <col min="4614" max="4614" width="10" style="284" customWidth="1"/>
    <col min="4615" max="4615" width="6.109375" style="284" bestFit="1" customWidth="1"/>
    <col min="4616" max="4616" width="4.6640625" style="284" customWidth="1"/>
    <col min="4617" max="4617" width="14.88671875" style="284" bestFit="1" customWidth="1"/>
    <col min="4618" max="4618" width="12.88671875" style="284" bestFit="1" customWidth="1"/>
    <col min="4619" max="4619" width="7.6640625" style="284" customWidth="1"/>
    <col min="4620" max="4620" width="18" style="284" customWidth="1"/>
    <col min="4621" max="4621" width="8.33203125" style="284" customWidth="1"/>
    <col min="4622" max="4622" width="16" style="284" customWidth="1"/>
    <col min="4623" max="4623" width="15.109375" style="284" bestFit="1" customWidth="1"/>
    <col min="4624" max="4624" width="14.109375" style="284" bestFit="1" customWidth="1"/>
    <col min="4625" max="4864" width="11.5546875" style="284"/>
    <col min="4865" max="4865" width="7.109375" style="284" bestFit="1" customWidth="1"/>
    <col min="4866" max="4866" width="5.33203125" style="284" bestFit="1" customWidth="1"/>
    <col min="4867" max="4867" width="43.6640625" style="284" customWidth="1"/>
    <col min="4868" max="4868" width="13.5546875" style="284" customWidth="1"/>
    <col min="4869" max="4869" width="10.109375" style="284" customWidth="1"/>
    <col min="4870" max="4870" width="10" style="284" customWidth="1"/>
    <col min="4871" max="4871" width="6.109375" style="284" bestFit="1" customWidth="1"/>
    <col min="4872" max="4872" width="4.6640625" style="284" customWidth="1"/>
    <col min="4873" max="4873" width="14.88671875" style="284" bestFit="1" customWidth="1"/>
    <col min="4874" max="4874" width="12.88671875" style="284" bestFit="1" customWidth="1"/>
    <col min="4875" max="4875" width="7.6640625" style="284" customWidth="1"/>
    <col min="4876" max="4876" width="18" style="284" customWidth="1"/>
    <col min="4877" max="4877" width="8.33203125" style="284" customWidth="1"/>
    <col min="4878" max="4878" width="16" style="284" customWidth="1"/>
    <col min="4879" max="4879" width="15.109375" style="284" bestFit="1" customWidth="1"/>
    <col min="4880" max="4880" width="14.109375" style="284" bestFit="1" customWidth="1"/>
    <col min="4881" max="5120" width="11.5546875" style="284"/>
    <col min="5121" max="5121" width="7.109375" style="284" bestFit="1" customWidth="1"/>
    <col min="5122" max="5122" width="5.33203125" style="284" bestFit="1" customWidth="1"/>
    <col min="5123" max="5123" width="43.6640625" style="284" customWidth="1"/>
    <col min="5124" max="5124" width="13.5546875" style="284" customWidth="1"/>
    <col min="5125" max="5125" width="10.109375" style="284" customWidth="1"/>
    <col min="5126" max="5126" width="10" style="284" customWidth="1"/>
    <col min="5127" max="5127" width="6.109375" style="284" bestFit="1" customWidth="1"/>
    <col min="5128" max="5128" width="4.6640625" style="284" customWidth="1"/>
    <col min="5129" max="5129" width="14.88671875" style="284" bestFit="1" customWidth="1"/>
    <col min="5130" max="5130" width="12.88671875" style="284" bestFit="1" customWidth="1"/>
    <col min="5131" max="5131" width="7.6640625" style="284" customWidth="1"/>
    <col min="5132" max="5132" width="18" style="284" customWidth="1"/>
    <col min="5133" max="5133" width="8.33203125" style="284" customWidth="1"/>
    <col min="5134" max="5134" width="16" style="284" customWidth="1"/>
    <col min="5135" max="5135" width="15.109375" style="284" bestFit="1" customWidth="1"/>
    <col min="5136" max="5136" width="14.109375" style="284" bestFit="1" customWidth="1"/>
    <col min="5137" max="5376" width="11.5546875" style="284"/>
    <col min="5377" max="5377" width="7.109375" style="284" bestFit="1" customWidth="1"/>
    <col min="5378" max="5378" width="5.33203125" style="284" bestFit="1" customWidth="1"/>
    <col min="5379" max="5379" width="43.6640625" style="284" customWidth="1"/>
    <col min="5380" max="5380" width="13.5546875" style="284" customWidth="1"/>
    <col min="5381" max="5381" width="10.109375" style="284" customWidth="1"/>
    <col min="5382" max="5382" width="10" style="284" customWidth="1"/>
    <col min="5383" max="5383" width="6.109375" style="284" bestFit="1" customWidth="1"/>
    <col min="5384" max="5384" width="4.6640625" style="284" customWidth="1"/>
    <col min="5385" max="5385" width="14.88671875" style="284" bestFit="1" customWidth="1"/>
    <col min="5386" max="5386" width="12.88671875" style="284" bestFit="1" customWidth="1"/>
    <col min="5387" max="5387" width="7.6640625" style="284" customWidth="1"/>
    <col min="5388" max="5388" width="18" style="284" customWidth="1"/>
    <col min="5389" max="5389" width="8.33203125" style="284" customWidth="1"/>
    <col min="5390" max="5390" width="16" style="284" customWidth="1"/>
    <col min="5391" max="5391" width="15.109375" style="284" bestFit="1" customWidth="1"/>
    <col min="5392" max="5392" width="14.109375" style="284" bestFit="1" customWidth="1"/>
    <col min="5393" max="5632" width="11.5546875" style="284"/>
    <col min="5633" max="5633" width="7.109375" style="284" bestFit="1" customWidth="1"/>
    <col min="5634" max="5634" width="5.33203125" style="284" bestFit="1" customWidth="1"/>
    <col min="5635" max="5635" width="43.6640625" style="284" customWidth="1"/>
    <col min="5636" max="5636" width="13.5546875" style="284" customWidth="1"/>
    <col min="5637" max="5637" width="10.109375" style="284" customWidth="1"/>
    <col min="5638" max="5638" width="10" style="284" customWidth="1"/>
    <col min="5639" max="5639" width="6.109375" style="284" bestFit="1" customWidth="1"/>
    <col min="5640" max="5640" width="4.6640625" style="284" customWidth="1"/>
    <col min="5641" max="5641" width="14.88671875" style="284" bestFit="1" customWidth="1"/>
    <col min="5642" max="5642" width="12.88671875" style="284" bestFit="1" customWidth="1"/>
    <col min="5643" max="5643" width="7.6640625" style="284" customWidth="1"/>
    <col min="5644" max="5644" width="18" style="284" customWidth="1"/>
    <col min="5645" max="5645" width="8.33203125" style="284" customWidth="1"/>
    <col min="5646" max="5646" width="16" style="284" customWidth="1"/>
    <col min="5647" max="5647" width="15.109375" style="284" bestFit="1" customWidth="1"/>
    <col min="5648" max="5648" width="14.109375" style="284" bestFit="1" customWidth="1"/>
    <col min="5649" max="5888" width="11.5546875" style="284"/>
    <col min="5889" max="5889" width="7.109375" style="284" bestFit="1" customWidth="1"/>
    <col min="5890" max="5890" width="5.33203125" style="284" bestFit="1" customWidth="1"/>
    <col min="5891" max="5891" width="43.6640625" style="284" customWidth="1"/>
    <col min="5892" max="5892" width="13.5546875" style="284" customWidth="1"/>
    <col min="5893" max="5893" width="10.109375" style="284" customWidth="1"/>
    <col min="5894" max="5894" width="10" style="284" customWidth="1"/>
    <col min="5895" max="5895" width="6.109375" style="284" bestFit="1" customWidth="1"/>
    <col min="5896" max="5896" width="4.6640625" style="284" customWidth="1"/>
    <col min="5897" max="5897" width="14.88671875" style="284" bestFit="1" customWidth="1"/>
    <col min="5898" max="5898" width="12.88671875" style="284" bestFit="1" customWidth="1"/>
    <col min="5899" max="5899" width="7.6640625" style="284" customWidth="1"/>
    <col min="5900" max="5900" width="18" style="284" customWidth="1"/>
    <col min="5901" max="5901" width="8.33203125" style="284" customWidth="1"/>
    <col min="5902" max="5902" width="16" style="284" customWidth="1"/>
    <col min="5903" max="5903" width="15.109375" style="284" bestFit="1" customWidth="1"/>
    <col min="5904" max="5904" width="14.109375" style="284" bestFit="1" customWidth="1"/>
    <col min="5905" max="6144" width="11.5546875" style="284"/>
    <col min="6145" max="6145" width="7.109375" style="284" bestFit="1" customWidth="1"/>
    <col min="6146" max="6146" width="5.33203125" style="284" bestFit="1" customWidth="1"/>
    <col min="6147" max="6147" width="43.6640625" style="284" customWidth="1"/>
    <col min="6148" max="6148" width="13.5546875" style="284" customWidth="1"/>
    <col min="6149" max="6149" width="10.109375" style="284" customWidth="1"/>
    <col min="6150" max="6150" width="10" style="284" customWidth="1"/>
    <col min="6151" max="6151" width="6.109375" style="284" bestFit="1" customWidth="1"/>
    <col min="6152" max="6152" width="4.6640625" style="284" customWidth="1"/>
    <col min="6153" max="6153" width="14.88671875" style="284" bestFit="1" customWidth="1"/>
    <col min="6154" max="6154" width="12.88671875" style="284" bestFit="1" customWidth="1"/>
    <col min="6155" max="6155" width="7.6640625" style="284" customWidth="1"/>
    <col min="6156" max="6156" width="18" style="284" customWidth="1"/>
    <col min="6157" max="6157" width="8.33203125" style="284" customWidth="1"/>
    <col min="6158" max="6158" width="16" style="284" customWidth="1"/>
    <col min="6159" max="6159" width="15.109375" style="284" bestFit="1" customWidth="1"/>
    <col min="6160" max="6160" width="14.109375" style="284" bestFit="1" customWidth="1"/>
    <col min="6161" max="6400" width="11.5546875" style="284"/>
    <col min="6401" max="6401" width="7.109375" style="284" bestFit="1" customWidth="1"/>
    <col min="6402" max="6402" width="5.33203125" style="284" bestFit="1" customWidth="1"/>
    <col min="6403" max="6403" width="43.6640625" style="284" customWidth="1"/>
    <col min="6404" max="6404" width="13.5546875" style="284" customWidth="1"/>
    <col min="6405" max="6405" width="10.109375" style="284" customWidth="1"/>
    <col min="6406" max="6406" width="10" style="284" customWidth="1"/>
    <col min="6407" max="6407" width="6.109375" style="284" bestFit="1" customWidth="1"/>
    <col min="6408" max="6408" width="4.6640625" style="284" customWidth="1"/>
    <col min="6409" max="6409" width="14.88671875" style="284" bestFit="1" customWidth="1"/>
    <col min="6410" max="6410" width="12.88671875" style="284" bestFit="1" customWidth="1"/>
    <col min="6411" max="6411" width="7.6640625" style="284" customWidth="1"/>
    <col min="6412" max="6412" width="18" style="284" customWidth="1"/>
    <col min="6413" max="6413" width="8.33203125" style="284" customWidth="1"/>
    <col min="6414" max="6414" width="16" style="284" customWidth="1"/>
    <col min="6415" max="6415" width="15.109375" style="284" bestFit="1" customWidth="1"/>
    <col min="6416" max="6416" width="14.109375" style="284" bestFit="1" customWidth="1"/>
    <col min="6417" max="6656" width="11.5546875" style="284"/>
    <col min="6657" max="6657" width="7.109375" style="284" bestFit="1" customWidth="1"/>
    <col min="6658" max="6658" width="5.33203125" style="284" bestFit="1" customWidth="1"/>
    <col min="6659" max="6659" width="43.6640625" style="284" customWidth="1"/>
    <col min="6660" max="6660" width="13.5546875" style="284" customWidth="1"/>
    <col min="6661" max="6661" width="10.109375" style="284" customWidth="1"/>
    <col min="6662" max="6662" width="10" style="284" customWidth="1"/>
    <col min="6663" max="6663" width="6.109375" style="284" bestFit="1" customWidth="1"/>
    <col min="6664" max="6664" width="4.6640625" style="284" customWidth="1"/>
    <col min="6665" max="6665" width="14.88671875" style="284" bestFit="1" customWidth="1"/>
    <col min="6666" max="6666" width="12.88671875" style="284" bestFit="1" customWidth="1"/>
    <col min="6667" max="6667" width="7.6640625" style="284" customWidth="1"/>
    <col min="6668" max="6668" width="18" style="284" customWidth="1"/>
    <col min="6669" max="6669" width="8.33203125" style="284" customWidth="1"/>
    <col min="6670" max="6670" width="16" style="284" customWidth="1"/>
    <col min="6671" max="6671" width="15.109375" style="284" bestFit="1" customWidth="1"/>
    <col min="6672" max="6672" width="14.109375" style="284" bestFit="1" customWidth="1"/>
    <col min="6673" max="6912" width="11.5546875" style="284"/>
    <col min="6913" max="6913" width="7.109375" style="284" bestFit="1" customWidth="1"/>
    <col min="6914" max="6914" width="5.33203125" style="284" bestFit="1" customWidth="1"/>
    <col min="6915" max="6915" width="43.6640625" style="284" customWidth="1"/>
    <col min="6916" max="6916" width="13.5546875" style="284" customWidth="1"/>
    <col min="6917" max="6917" width="10.109375" style="284" customWidth="1"/>
    <col min="6918" max="6918" width="10" style="284" customWidth="1"/>
    <col min="6919" max="6919" width="6.109375" style="284" bestFit="1" customWidth="1"/>
    <col min="6920" max="6920" width="4.6640625" style="284" customWidth="1"/>
    <col min="6921" max="6921" width="14.88671875" style="284" bestFit="1" customWidth="1"/>
    <col min="6922" max="6922" width="12.88671875" style="284" bestFit="1" customWidth="1"/>
    <col min="6923" max="6923" width="7.6640625" style="284" customWidth="1"/>
    <col min="6924" max="6924" width="18" style="284" customWidth="1"/>
    <col min="6925" max="6925" width="8.33203125" style="284" customWidth="1"/>
    <col min="6926" max="6926" width="16" style="284" customWidth="1"/>
    <col min="6927" max="6927" width="15.109375" style="284" bestFit="1" customWidth="1"/>
    <col min="6928" max="6928" width="14.109375" style="284" bestFit="1" customWidth="1"/>
    <col min="6929" max="7168" width="11.5546875" style="284"/>
    <col min="7169" max="7169" width="7.109375" style="284" bestFit="1" customWidth="1"/>
    <col min="7170" max="7170" width="5.33203125" style="284" bestFit="1" customWidth="1"/>
    <col min="7171" max="7171" width="43.6640625" style="284" customWidth="1"/>
    <col min="7172" max="7172" width="13.5546875" style="284" customWidth="1"/>
    <col min="7173" max="7173" width="10.109375" style="284" customWidth="1"/>
    <col min="7174" max="7174" width="10" style="284" customWidth="1"/>
    <col min="7175" max="7175" width="6.109375" style="284" bestFit="1" customWidth="1"/>
    <col min="7176" max="7176" width="4.6640625" style="284" customWidth="1"/>
    <col min="7177" max="7177" width="14.88671875" style="284" bestFit="1" customWidth="1"/>
    <col min="7178" max="7178" width="12.88671875" style="284" bestFit="1" customWidth="1"/>
    <col min="7179" max="7179" width="7.6640625" style="284" customWidth="1"/>
    <col min="7180" max="7180" width="18" style="284" customWidth="1"/>
    <col min="7181" max="7181" width="8.33203125" style="284" customWidth="1"/>
    <col min="7182" max="7182" width="16" style="284" customWidth="1"/>
    <col min="7183" max="7183" width="15.109375" style="284" bestFit="1" customWidth="1"/>
    <col min="7184" max="7184" width="14.109375" style="284" bestFit="1" customWidth="1"/>
    <col min="7185" max="7424" width="11.5546875" style="284"/>
    <col min="7425" max="7425" width="7.109375" style="284" bestFit="1" customWidth="1"/>
    <col min="7426" max="7426" width="5.33203125" style="284" bestFit="1" customWidth="1"/>
    <col min="7427" max="7427" width="43.6640625" style="284" customWidth="1"/>
    <col min="7428" max="7428" width="13.5546875" style="284" customWidth="1"/>
    <col min="7429" max="7429" width="10.109375" style="284" customWidth="1"/>
    <col min="7430" max="7430" width="10" style="284" customWidth="1"/>
    <col min="7431" max="7431" width="6.109375" style="284" bestFit="1" customWidth="1"/>
    <col min="7432" max="7432" width="4.6640625" style="284" customWidth="1"/>
    <col min="7433" max="7433" width="14.88671875" style="284" bestFit="1" customWidth="1"/>
    <col min="7434" max="7434" width="12.88671875" style="284" bestFit="1" customWidth="1"/>
    <col min="7435" max="7435" width="7.6640625" style="284" customWidth="1"/>
    <col min="7436" max="7436" width="18" style="284" customWidth="1"/>
    <col min="7437" max="7437" width="8.33203125" style="284" customWidth="1"/>
    <col min="7438" max="7438" width="16" style="284" customWidth="1"/>
    <col min="7439" max="7439" width="15.109375" style="284" bestFit="1" customWidth="1"/>
    <col min="7440" max="7440" width="14.109375" style="284" bestFit="1" customWidth="1"/>
    <col min="7441" max="7680" width="11.5546875" style="284"/>
    <col min="7681" max="7681" width="7.109375" style="284" bestFit="1" customWidth="1"/>
    <col min="7682" max="7682" width="5.33203125" style="284" bestFit="1" customWidth="1"/>
    <col min="7683" max="7683" width="43.6640625" style="284" customWidth="1"/>
    <col min="7684" max="7684" width="13.5546875" style="284" customWidth="1"/>
    <col min="7685" max="7685" width="10.109375" style="284" customWidth="1"/>
    <col min="7686" max="7686" width="10" style="284" customWidth="1"/>
    <col min="7687" max="7687" width="6.109375" style="284" bestFit="1" customWidth="1"/>
    <col min="7688" max="7688" width="4.6640625" style="284" customWidth="1"/>
    <col min="7689" max="7689" width="14.88671875" style="284" bestFit="1" customWidth="1"/>
    <col min="7690" max="7690" width="12.88671875" style="284" bestFit="1" customWidth="1"/>
    <col min="7691" max="7691" width="7.6640625" style="284" customWidth="1"/>
    <col min="7692" max="7692" width="18" style="284" customWidth="1"/>
    <col min="7693" max="7693" width="8.33203125" style="284" customWidth="1"/>
    <col min="7694" max="7694" width="16" style="284" customWidth="1"/>
    <col min="7695" max="7695" width="15.109375" style="284" bestFit="1" customWidth="1"/>
    <col min="7696" max="7696" width="14.109375" style="284" bestFit="1" customWidth="1"/>
    <col min="7697" max="7936" width="11.5546875" style="284"/>
    <col min="7937" max="7937" width="7.109375" style="284" bestFit="1" customWidth="1"/>
    <col min="7938" max="7938" width="5.33203125" style="284" bestFit="1" customWidth="1"/>
    <col min="7939" max="7939" width="43.6640625" style="284" customWidth="1"/>
    <col min="7940" max="7940" width="13.5546875" style="284" customWidth="1"/>
    <col min="7941" max="7941" width="10.109375" style="284" customWidth="1"/>
    <col min="7942" max="7942" width="10" style="284" customWidth="1"/>
    <col min="7943" max="7943" width="6.109375" style="284" bestFit="1" customWidth="1"/>
    <col min="7944" max="7944" width="4.6640625" style="284" customWidth="1"/>
    <col min="7945" max="7945" width="14.88671875" style="284" bestFit="1" customWidth="1"/>
    <col min="7946" max="7946" width="12.88671875" style="284" bestFit="1" customWidth="1"/>
    <col min="7947" max="7947" width="7.6640625" style="284" customWidth="1"/>
    <col min="7948" max="7948" width="18" style="284" customWidth="1"/>
    <col min="7949" max="7949" width="8.33203125" style="284" customWidth="1"/>
    <col min="7950" max="7950" width="16" style="284" customWidth="1"/>
    <col min="7951" max="7951" width="15.109375" style="284" bestFit="1" customWidth="1"/>
    <col min="7952" max="7952" width="14.109375" style="284" bestFit="1" customWidth="1"/>
    <col min="7953" max="8192" width="11.5546875" style="284"/>
    <col min="8193" max="8193" width="7.109375" style="284" bestFit="1" customWidth="1"/>
    <col min="8194" max="8194" width="5.33203125" style="284" bestFit="1" customWidth="1"/>
    <col min="8195" max="8195" width="43.6640625" style="284" customWidth="1"/>
    <col min="8196" max="8196" width="13.5546875" style="284" customWidth="1"/>
    <col min="8197" max="8197" width="10.109375" style="284" customWidth="1"/>
    <col min="8198" max="8198" width="10" style="284" customWidth="1"/>
    <col min="8199" max="8199" width="6.109375" style="284" bestFit="1" customWidth="1"/>
    <col min="8200" max="8200" width="4.6640625" style="284" customWidth="1"/>
    <col min="8201" max="8201" width="14.88671875" style="284" bestFit="1" customWidth="1"/>
    <col min="8202" max="8202" width="12.88671875" style="284" bestFit="1" customWidth="1"/>
    <col min="8203" max="8203" width="7.6640625" style="284" customWidth="1"/>
    <col min="8204" max="8204" width="18" style="284" customWidth="1"/>
    <col min="8205" max="8205" width="8.33203125" style="284" customWidth="1"/>
    <col min="8206" max="8206" width="16" style="284" customWidth="1"/>
    <col min="8207" max="8207" width="15.109375" style="284" bestFit="1" customWidth="1"/>
    <col min="8208" max="8208" width="14.109375" style="284" bestFit="1" customWidth="1"/>
    <col min="8209" max="8448" width="11.5546875" style="284"/>
    <col min="8449" max="8449" width="7.109375" style="284" bestFit="1" customWidth="1"/>
    <col min="8450" max="8450" width="5.33203125" style="284" bestFit="1" customWidth="1"/>
    <col min="8451" max="8451" width="43.6640625" style="284" customWidth="1"/>
    <col min="8452" max="8452" width="13.5546875" style="284" customWidth="1"/>
    <col min="8453" max="8453" width="10.109375" style="284" customWidth="1"/>
    <col min="8454" max="8454" width="10" style="284" customWidth="1"/>
    <col min="8455" max="8455" width="6.109375" style="284" bestFit="1" customWidth="1"/>
    <col min="8456" max="8456" width="4.6640625" style="284" customWidth="1"/>
    <col min="8457" max="8457" width="14.88671875" style="284" bestFit="1" customWidth="1"/>
    <col min="8458" max="8458" width="12.88671875" style="284" bestFit="1" customWidth="1"/>
    <col min="8459" max="8459" width="7.6640625" style="284" customWidth="1"/>
    <col min="8460" max="8460" width="18" style="284" customWidth="1"/>
    <col min="8461" max="8461" width="8.33203125" style="284" customWidth="1"/>
    <col min="8462" max="8462" width="16" style="284" customWidth="1"/>
    <col min="8463" max="8463" width="15.109375" style="284" bestFit="1" customWidth="1"/>
    <col min="8464" max="8464" width="14.109375" style="284" bestFit="1" customWidth="1"/>
    <col min="8465" max="8704" width="11.5546875" style="284"/>
    <col min="8705" max="8705" width="7.109375" style="284" bestFit="1" customWidth="1"/>
    <col min="8706" max="8706" width="5.33203125" style="284" bestFit="1" customWidth="1"/>
    <col min="8707" max="8707" width="43.6640625" style="284" customWidth="1"/>
    <col min="8708" max="8708" width="13.5546875" style="284" customWidth="1"/>
    <col min="8709" max="8709" width="10.109375" style="284" customWidth="1"/>
    <col min="8710" max="8710" width="10" style="284" customWidth="1"/>
    <col min="8711" max="8711" width="6.109375" style="284" bestFit="1" customWidth="1"/>
    <col min="8712" max="8712" width="4.6640625" style="284" customWidth="1"/>
    <col min="8713" max="8713" width="14.88671875" style="284" bestFit="1" customWidth="1"/>
    <col min="8714" max="8714" width="12.88671875" style="284" bestFit="1" customWidth="1"/>
    <col min="8715" max="8715" width="7.6640625" style="284" customWidth="1"/>
    <col min="8716" max="8716" width="18" style="284" customWidth="1"/>
    <col min="8717" max="8717" width="8.33203125" style="284" customWidth="1"/>
    <col min="8718" max="8718" width="16" style="284" customWidth="1"/>
    <col min="8719" max="8719" width="15.109375" style="284" bestFit="1" customWidth="1"/>
    <col min="8720" max="8720" width="14.109375" style="284" bestFit="1" customWidth="1"/>
    <col min="8721" max="8960" width="11.5546875" style="284"/>
    <col min="8961" max="8961" width="7.109375" style="284" bestFit="1" customWidth="1"/>
    <col min="8962" max="8962" width="5.33203125" style="284" bestFit="1" customWidth="1"/>
    <col min="8963" max="8963" width="43.6640625" style="284" customWidth="1"/>
    <col min="8964" max="8964" width="13.5546875" style="284" customWidth="1"/>
    <col min="8965" max="8965" width="10.109375" style="284" customWidth="1"/>
    <col min="8966" max="8966" width="10" style="284" customWidth="1"/>
    <col min="8967" max="8967" width="6.109375" style="284" bestFit="1" customWidth="1"/>
    <col min="8968" max="8968" width="4.6640625" style="284" customWidth="1"/>
    <col min="8969" max="8969" width="14.88671875" style="284" bestFit="1" customWidth="1"/>
    <col min="8970" max="8970" width="12.88671875" style="284" bestFit="1" customWidth="1"/>
    <col min="8971" max="8971" width="7.6640625" style="284" customWidth="1"/>
    <col min="8972" max="8972" width="18" style="284" customWidth="1"/>
    <col min="8973" max="8973" width="8.33203125" style="284" customWidth="1"/>
    <col min="8974" max="8974" width="16" style="284" customWidth="1"/>
    <col min="8975" max="8975" width="15.109375" style="284" bestFit="1" customWidth="1"/>
    <col min="8976" max="8976" width="14.109375" style="284" bestFit="1" customWidth="1"/>
    <col min="8977" max="9216" width="11.5546875" style="284"/>
    <col min="9217" max="9217" width="7.109375" style="284" bestFit="1" customWidth="1"/>
    <col min="9218" max="9218" width="5.33203125" style="284" bestFit="1" customWidth="1"/>
    <col min="9219" max="9219" width="43.6640625" style="284" customWidth="1"/>
    <col min="9220" max="9220" width="13.5546875" style="284" customWidth="1"/>
    <col min="9221" max="9221" width="10.109375" style="284" customWidth="1"/>
    <col min="9222" max="9222" width="10" style="284" customWidth="1"/>
    <col min="9223" max="9223" width="6.109375" style="284" bestFit="1" customWidth="1"/>
    <col min="9224" max="9224" width="4.6640625" style="284" customWidth="1"/>
    <col min="9225" max="9225" width="14.88671875" style="284" bestFit="1" customWidth="1"/>
    <col min="9226" max="9226" width="12.88671875" style="284" bestFit="1" customWidth="1"/>
    <col min="9227" max="9227" width="7.6640625" style="284" customWidth="1"/>
    <col min="9228" max="9228" width="18" style="284" customWidth="1"/>
    <col min="9229" max="9229" width="8.33203125" style="284" customWidth="1"/>
    <col min="9230" max="9230" width="16" style="284" customWidth="1"/>
    <col min="9231" max="9231" width="15.109375" style="284" bestFit="1" customWidth="1"/>
    <col min="9232" max="9232" width="14.109375" style="284" bestFit="1" customWidth="1"/>
    <col min="9233" max="9472" width="11.5546875" style="284"/>
    <col min="9473" max="9473" width="7.109375" style="284" bestFit="1" customWidth="1"/>
    <col min="9474" max="9474" width="5.33203125" style="284" bestFit="1" customWidth="1"/>
    <col min="9475" max="9475" width="43.6640625" style="284" customWidth="1"/>
    <col min="9476" max="9476" width="13.5546875" style="284" customWidth="1"/>
    <col min="9477" max="9477" width="10.109375" style="284" customWidth="1"/>
    <col min="9478" max="9478" width="10" style="284" customWidth="1"/>
    <col min="9479" max="9479" width="6.109375" style="284" bestFit="1" customWidth="1"/>
    <col min="9480" max="9480" width="4.6640625" style="284" customWidth="1"/>
    <col min="9481" max="9481" width="14.88671875" style="284" bestFit="1" customWidth="1"/>
    <col min="9482" max="9482" width="12.88671875" style="284" bestFit="1" customWidth="1"/>
    <col min="9483" max="9483" width="7.6640625" style="284" customWidth="1"/>
    <col min="9484" max="9484" width="18" style="284" customWidth="1"/>
    <col min="9485" max="9485" width="8.33203125" style="284" customWidth="1"/>
    <col min="9486" max="9486" width="16" style="284" customWidth="1"/>
    <col min="9487" max="9487" width="15.109375" style="284" bestFit="1" customWidth="1"/>
    <col min="9488" max="9488" width="14.109375" style="284" bestFit="1" customWidth="1"/>
    <col min="9489" max="9728" width="11.5546875" style="284"/>
    <col min="9729" max="9729" width="7.109375" style="284" bestFit="1" customWidth="1"/>
    <col min="9730" max="9730" width="5.33203125" style="284" bestFit="1" customWidth="1"/>
    <col min="9731" max="9731" width="43.6640625" style="284" customWidth="1"/>
    <col min="9732" max="9732" width="13.5546875" style="284" customWidth="1"/>
    <col min="9733" max="9733" width="10.109375" style="284" customWidth="1"/>
    <col min="9734" max="9734" width="10" style="284" customWidth="1"/>
    <col min="9735" max="9735" width="6.109375" style="284" bestFit="1" customWidth="1"/>
    <col min="9736" max="9736" width="4.6640625" style="284" customWidth="1"/>
    <col min="9737" max="9737" width="14.88671875" style="284" bestFit="1" customWidth="1"/>
    <col min="9738" max="9738" width="12.88671875" style="284" bestFit="1" customWidth="1"/>
    <col min="9739" max="9739" width="7.6640625" style="284" customWidth="1"/>
    <col min="9740" max="9740" width="18" style="284" customWidth="1"/>
    <col min="9741" max="9741" width="8.33203125" style="284" customWidth="1"/>
    <col min="9742" max="9742" width="16" style="284" customWidth="1"/>
    <col min="9743" max="9743" width="15.109375" style="284" bestFit="1" customWidth="1"/>
    <col min="9744" max="9744" width="14.109375" style="284" bestFit="1" customWidth="1"/>
    <col min="9745" max="9984" width="11.5546875" style="284"/>
    <col min="9985" max="9985" width="7.109375" style="284" bestFit="1" customWidth="1"/>
    <col min="9986" max="9986" width="5.33203125" style="284" bestFit="1" customWidth="1"/>
    <col min="9987" max="9987" width="43.6640625" style="284" customWidth="1"/>
    <col min="9988" max="9988" width="13.5546875" style="284" customWidth="1"/>
    <col min="9989" max="9989" width="10.109375" style="284" customWidth="1"/>
    <col min="9990" max="9990" width="10" style="284" customWidth="1"/>
    <col min="9991" max="9991" width="6.109375" style="284" bestFit="1" customWidth="1"/>
    <col min="9992" max="9992" width="4.6640625" style="284" customWidth="1"/>
    <col min="9993" max="9993" width="14.88671875" style="284" bestFit="1" customWidth="1"/>
    <col min="9994" max="9994" width="12.88671875" style="284" bestFit="1" customWidth="1"/>
    <col min="9995" max="9995" width="7.6640625" style="284" customWidth="1"/>
    <col min="9996" max="9996" width="18" style="284" customWidth="1"/>
    <col min="9997" max="9997" width="8.33203125" style="284" customWidth="1"/>
    <col min="9998" max="9998" width="16" style="284" customWidth="1"/>
    <col min="9999" max="9999" width="15.109375" style="284" bestFit="1" customWidth="1"/>
    <col min="10000" max="10000" width="14.109375" style="284" bestFit="1" customWidth="1"/>
    <col min="10001" max="10240" width="11.5546875" style="284"/>
    <col min="10241" max="10241" width="7.109375" style="284" bestFit="1" customWidth="1"/>
    <col min="10242" max="10242" width="5.33203125" style="284" bestFit="1" customWidth="1"/>
    <col min="10243" max="10243" width="43.6640625" style="284" customWidth="1"/>
    <col min="10244" max="10244" width="13.5546875" style="284" customWidth="1"/>
    <col min="10245" max="10245" width="10.109375" style="284" customWidth="1"/>
    <col min="10246" max="10246" width="10" style="284" customWidth="1"/>
    <col min="10247" max="10247" width="6.109375" style="284" bestFit="1" customWidth="1"/>
    <col min="10248" max="10248" width="4.6640625" style="284" customWidth="1"/>
    <col min="10249" max="10249" width="14.88671875" style="284" bestFit="1" customWidth="1"/>
    <col min="10250" max="10250" width="12.88671875" style="284" bestFit="1" customWidth="1"/>
    <col min="10251" max="10251" width="7.6640625" style="284" customWidth="1"/>
    <col min="10252" max="10252" width="18" style="284" customWidth="1"/>
    <col min="10253" max="10253" width="8.33203125" style="284" customWidth="1"/>
    <col min="10254" max="10254" width="16" style="284" customWidth="1"/>
    <col min="10255" max="10255" width="15.109375" style="284" bestFit="1" customWidth="1"/>
    <col min="10256" max="10256" width="14.109375" style="284" bestFit="1" customWidth="1"/>
    <col min="10257" max="10496" width="11.5546875" style="284"/>
    <col min="10497" max="10497" width="7.109375" style="284" bestFit="1" customWidth="1"/>
    <col min="10498" max="10498" width="5.33203125" style="284" bestFit="1" customWidth="1"/>
    <col min="10499" max="10499" width="43.6640625" style="284" customWidth="1"/>
    <col min="10500" max="10500" width="13.5546875" style="284" customWidth="1"/>
    <col min="10501" max="10501" width="10.109375" style="284" customWidth="1"/>
    <col min="10502" max="10502" width="10" style="284" customWidth="1"/>
    <col min="10503" max="10503" width="6.109375" style="284" bestFit="1" customWidth="1"/>
    <col min="10504" max="10504" width="4.6640625" style="284" customWidth="1"/>
    <col min="10505" max="10505" width="14.88671875" style="284" bestFit="1" customWidth="1"/>
    <col min="10506" max="10506" width="12.88671875" style="284" bestFit="1" customWidth="1"/>
    <col min="10507" max="10507" width="7.6640625" style="284" customWidth="1"/>
    <col min="10508" max="10508" width="18" style="284" customWidth="1"/>
    <col min="10509" max="10509" width="8.33203125" style="284" customWidth="1"/>
    <col min="10510" max="10510" width="16" style="284" customWidth="1"/>
    <col min="10511" max="10511" width="15.109375" style="284" bestFit="1" customWidth="1"/>
    <col min="10512" max="10512" width="14.109375" style="284" bestFit="1" customWidth="1"/>
    <col min="10513" max="10752" width="11.5546875" style="284"/>
    <col min="10753" max="10753" width="7.109375" style="284" bestFit="1" customWidth="1"/>
    <col min="10754" max="10754" width="5.33203125" style="284" bestFit="1" customWidth="1"/>
    <col min="10755" max="10755" width="43.6640625" style="284" customWidth="1"/>
    <col min="10756" max="10756" width="13.5546875" style="284" customWidth="1"/>
    <col min="10757" max="10757" width="10.109375" style="284" customWidth="1"/>
    <col min="10758" max="10758" width="10" style="284" customWidth="1"/>
    <col min="10759" max="10759" width="6.109375" style="284" bestFit="1" customWidth="1"/>
    <col min="10760" max="10760" width="4.6640625" style="284" customWidth="1"/>
    <col min="10761" max="10761" width="14.88671875" style="284" bestFit="1" customWidth="1"/>
    <col min="10762" max="10762" width="12.88671875" style="284" bestFit="1" customWidth="1"/>
    <col min="10763" max="10763" width="7.6640625" style="284" customWidth="1"/>
    <col min="10764" max="10764" width="18" style="284" customWidth="1"/>
    <col min="10765" max="10765" width="8.33203125" style="284" customWidth="1"/>
    <col min="10766" max="10766" width="16" style="284" customWidth="1"/>
    <col min="10767" max="10767" width="15.109375" style="284" bestFit="1" customWidth="1"/>
    <col min="10768" max="10768" width="14.109375" style="284" bestFit="1" customWidth="1"/>
    <col min="10769" max="11008" width="11.5546875" style="284"/>
    <col min="11009" max="11009" width="7.109375" style="284" bestFit="1" customWidth="1"/>
    <col min="11010" max="11010" width="5.33203125" style="284" bestFit="1" customWidth="1"/>
    <col min="11011" max="11011" width="43.6640625" style="284" customWidth="1"/>
    <col min="11012" max="11012" width="13.5546875" style="284" customWidth="1"/>
    <col min="11013" max="11013" width="10.109375" style="284" customWidth="1"/>
    <col min="11014" max="11014" width="10" style="284" customWidth="1"/>
    <col min="11015" max="11015" width="6.109375" style="284" bestFit="1" customWidth="1"/>
    <col min="11016" max="11016" width="4.6640625" style="284" customWidth="1"/>
    <col min="11017" max="11017" width="14.88671875" style="284" bestFit="1" customWidth="1"/>
    <col min="11018" max="11018" width="12.88671875" style="284" bestFit="1" customWidth="1"/>
    <col min="11019" max="11019" width="7.6640625" style="284" customWidth="1"/>
    <col min="11020" max="11020" width="18" style="284" customWidth="1"/>
    <col min="11021" max="11021" width="8.33203125" style="284" customWidth="1"/>
    <col min="11022" max="11022" width="16" style="284" customWidth="1"/>
    <col min="11023" max="11023" width="15.109375" style="284" bestFit="1" customWidth="1"/>
    <col min="11024" max="11024" width="14.109375" style="284" bestFit="1" customWidth="1"/>
    <col min="11025" max="11264" width="11.5546875" style="284"/>
    <col min="11265" max="11265" width="7.109375" style="284" bestFit="1" customWidth="1"/>
    <col min="11266" max="11266" width="5.33203125" style="284" bestFit="1" customWidth="1"/>
    <col min="11267" max="11267" width="43.6640625" style="284" customWidth="1"/>
    <col min="11268" max="11268" width="13.5546875" style="284" customWidth="1"/>
    <col min="11269" max="11269" width="10.109375" style="284" customWidth="1"/>
    <col min="11270" max="11270" width="10" style="284" customWidth="1"/>
    <col min="11271" max="11271" width="6.109375" style="284" bestFit="1" customWidth="1"/>
    <col min="11272" max="11272" width="4.6640625" style="284" customWidth="1"/>
    <col min="11273" max="11273" width="14.88671875" style="284" bestFit="1" customWidth="1"/>
    <col min="11274" max="11274" width="12.88671875" style="284" bestFit="1" customWidth="1"/>
    <col min="11275" max="11275" width="7.6640625" style="284" customWidth="1"/>
    <col min="11276" max="11276" width="18" style="284" customWidth="1"/>
    <col min="11277" max="11277" width="8.33203125" style="284" customWidth="1"/>
    <col min="11278" max="11278" width="16" style="284" customWidth="1"/>
    <col min="11279" max="11279" width="15.109375" style="284" bestFit="1" customWidth="1"/>
    <col min="11280" max="11280" width="14.109375" style="284" bestFit="1" customWidth="1"/>
    <col min="11281" max="11520" width="11.5546875" style="284"/>
    <col min="11521" max="11521" width="7.109375" style="284" bestFit="1" customWidth="1"/>
    <col min="11522" max="11522" width="5.33203125" style="284" bestFit="1" customWidth="1"/>
    <col min="11523" max="11523" width="43.6640625" style="284" customWidth="1"/>
    <col min="11524" max="11524" width="13.5546875" style="284" customWidth="1"/>
    <col min="11525" max="11525" width="10.109375" style="284" customWidth="1"/>
    <col min="11526" max="11526" width="10" style="284" customWidth="1"/>
    <col min="11527" max="11527" width="6.109375" style="284" bestFit="1" customWidth="1"/>
    <col min="11528" max="11528" width="4.6640625" style="284" customWidth="1"/>
    <col min="11529" max="11529" width="14.88671875" style="284" bestFit="1" customWidth="1"/>
    <col min="11530" max="11530" width="12.88671875" style="284" bestFit="1" customWidth="1"/>
    <col min="11531" max="11531" width="7.6640625" style="284" customWidth="1"/>
    <col min="11532" max="11532" width="18" style="284" customWidth="1"/>
    <col min="11533" max="11533" width="8.33203125" style="284" customWidth="1"/>
    <col min="11534" max="11534" width="16" style="284" customWidth="1"/>
    <col min="11535" max="11535" width="15.109375" style="284" bestFit="1" customWidth="1"/>
    <col min="11536" max="11536" width="14.109375" style="284" bestFit="1" customWidth="1"/>
    <col min="11537" max="11776" width="11.5546875" style="284"/>
    <col min="11777" max="11777" width="7.109375" style="284" bestFit="1" customWidth="1"/>
    <col min="11778" max="11778" width="5.33203125" style="284" bestFit="1" customWidth="1"/>
    <col min="11779" max="11779" width="43.6640625" style="284" customWidth="1"/>
    <col min="11780" max="11780" width="13.5546875" style="284" customWidth="1"/>
    <col min="11781" max="11781" width="10.109375" style="284" customWidth="1"/>
    <col min="11782" max="11782" width="10" style="284" customWidth="1"/>
    <col min="11783" max="11783" width="6.109375" style="284" bestFit="1" customWidth="1"/>
    <col min="11784" max="11784" width="4.6640625" style="284" customWidth="1"/>
    <col min="11785" max="11785" width="14.88671875" style="284" bestFit="1" customWidth="1"/>
    <col min="11786" max="11786" width="12.88671875" style="284" bestFit="1" customWidth="1"/>
    <col min="11787" max="11787" width="7.6640625" style="284" customWidth="1"/>
    <col min="11788" max="11788" width="18" style="284" customWidth="1"/>
    <col min="11789" max="11789" width="8.33203125" style="284" customWidth="1"/>
    <col min="11790" max="11790" width="16" style="284" customWidth="1"/>
    <col min="11791" max="11791" width="15.109375" style="284" bestFit="1" customWidth="1"/>
    <col min="11792" max="11792" width="14.109375" style="284" bestFit="1" customWidth="1"/>
    <col min="11793" max="12032" width="11.5546875" style="284"/>
    <col min="12033" max="12033" width="7.109375" style="284" bestFit="1" customWidth="1"/>
    <col min="12034" max="12034" width="5.33203125" style="284" bestFit="1" customWidth="1"/>
    <col min="12035" max="12035" width="43.6640625" style="284" customWidth="1"/>
    <col min="12036" max="12036" width="13.5546875" style="284" customWidth="1"/>
    <col min="12037" max="12037" width="10.109375" style="284" customWidth="1"/>
    <col min="12038" max="12038" width="10" style="284" customWidth="1"/>
    <col min="12039" max="12039" width="6.109375" style="284" bestFit="1" customWidth="1"/>
    <col min="12040" max="12040" width="4.6640625" style="284" customWidth="1"/>
    <col min="12041" max="12041" width="14.88671875" style="284" bestFit="1" customWidth="1"/>
    <col min="12042" max="12042" width="12.88671875" style="284" bestFit="1" customWidth="1"/>
    <col min="12043" max="12043" width="7.6640625" style="284" customWidth="1"/>
    <col min="12044" max="12044" width="18" style="284" customWidth="1"/>
    <col min="12045" max="12045" width="8.33203125" style="284" customWidth="1"/>
    <col min="12046" max="12046" width="16" style="284" customWidth="1"/>
    <col min="12047" max="12047" width="15.109375" style="284" bestFit="1" customWidth="1"/>
    <col min="12048" max="12048" width="14.109375" style="284" bestFit="1" customWidth="1"/>
    <col min="12049" max="12288" width="11.5546875" style="284"/>
    <col min="12289" max="12289" width="7.109375" style="284" bestFit="1" customWidth="1"/>
    <col min="12290" max="12290" width="5.33203125" style="284" bestFit="1" customWidth="1"/>
    <col min="12291" max="12291" width="43.6640625" style="284" customWidth="1"/>
    <col min="12292" max="12292" width="13.5546875" style="284" customWidth="1"/>
    <col min="12293" max="12293" width="10.109375" style="284" customWidth="1"/>
    <col min="12294" max="12294" width="10" style="284" customWidth="1"/>
    <col min="12295" max="12295" width="6.109375" style="284" bestFit="1" customWidth="1"/>
    <col min="12296" max="12296" width="4.6640625" style="284" customWidth="1"/>
    <col min="12297" max="12297" width="14.88671875" style="284" bestFit="1" customWidth="1"/>
    <col min="12298" max="12298" width="12.88671875" style="284" bestFit="1" customWidth="1"/>
    <col min="12299" max="12299" width="7.6640625" style="284" customWidth="1"/>
    <col min="12300" max="12300" width="18" style="284" customWidth="1"/>
    <col min="12301" max="12301" width="8.33203125" style="284" customWidth="1"/>
    <col min="12302" max="12302" width="16" style="284" customWidth="1"/>
    <col min="12303" max="12303" width="15.109375" style="284" bestFit="1" customWidth="1"/>
    <col min="12304" max="12304" width="14.109375" style="284" bestFit="1" customWidth="1"/>
    <col min="12305" max="12544" width="11.5546875" style="284"/>
    <col min="12545" max="12545" width="7.109375" style="284" bestFit="1" customWidth="1"/>
    <col min="12546" max="12546" width="5.33203125" style="284" bestFit="1" customWidth="1"/>
    <col min="12547" max="12547" width="43.6640625" style="284" customWidth="1"/>
    <col min="12548" max="12548" width="13.5546875" style="284" customWidth="1"/>
    <col min="12549" max="12549" width="10.109375" style="284" customWidth="1"/>
    <col min="12550" max="12550" width="10" style="284" customWidth="1"/>
    <col min="12551" max="12551" width="6.109375" style="284" bestFit="1" customWidth="1"/>
    <col min="12552" max="12552" width="4.6640625" style="284" customWidth="1"/>
    <col min="12553" max="12553" width="14.88671875" style="284" bestFit="1" customWidth="1"/>
    <col min="12554" max="12554" width="12.88671875" style="284" bestFit="1" customWidth="1"/>
    <col min="12555" max="12555" width="7.6640625" style="284" customWidth="1"/>
    <col min="12556" max="12556" width="18" style="284" customWidth="1"/>
    <col min="12557" max="12557" width="8.33203125" style="284" customWidth="1"/>
    <col min="12558" max="12558" width="16" style="284" customWidth="1"/>
    <col min="12559" max="12559" width="15.109375" style="284" bestFit="1" customWidth="1"/>
    <col min="12560" max="12560" width="14.109375" style="284" bestFit="1" customWidth="1"/>
    <col min="12561" max="12800" width="11.5546875" style="284"/>
    <col min="12801" max="12801" width="7.109375" style="284" bestFit="1" customWidth="1"/>
    <col min="12802" max="12802" width="5.33203125" style="284" bestFit="1" customWidth="1"/>
    <col min="12803" max="12803" width="43.6640625" style="284" customWidth="1"/>
    <col min="12804" max="12804" width="13.5546875" style="284" customWidth="1"/>
    <col min="12805" max="12805" width="10.109375" style="284" customWidth="1"/>
    <col min="12806" max="12806" width="10" style="284" customWidth="1"/>
    <col min="12807" max="12807" width="6.109375" style="284" bestFit="1" customWidth="1"/>
    <col min="12808" max="12808" width="4.6640625" style="284" customWidth="1"/>
    <col min="12809" max="12809" width="14.88671875" style="284" bestFit="1" customWidth="1"/>
    <col min="12810" max="12810" width="12.88671875" style="284" bestFit="1" customWidth="1"/>
    <col min="12811" max="12811" width="7.6640625" style="284" customWidth="1"/>
    <col min="12812" max="12812" width="18" style="284" customWidth="1"/>
    <col min="12813" max="12813" width="8.33203125" style="284" customWidth="1"/>
    <col min="12814" max="12814" width="16" style="284" customWidth="1"/>
    <col min="12815" max="12815" width="15.109375" style="284" bestFit="1" customWidth="1"/>
    <col min="12816" max="12816" width="14.109375" style="284" bestFit="1" customWidth="1"/>
    <col min="12817" max="13056" width="11.5546875" style="284"/>
    <col min="13057" max="13057" width="7.109375" style="284" bestFit="1" customWidth="1"/>
    <col min="13058" max="13058" width="5.33203125" style="284" bestFit="1" customWidth="1"/>
    <col min="13059" max="13059" width="43.6640625" style="284" customWidth="1"/>
    <col min="13060" max="13060" width="13.5546875" style="284" customWidth="1"/>
    <col min="13061" max="13061" width="10.109375" style="284" customWidth="1"/>
    <col min="13062" max="13062" width="10" style="284" customWidth="1"/>
    <col min="13063" max="13063" width="6.109375" style="284" bestFit="1" customWidth="1"/>
    <col min="13064" max="13064" width="4.6640625" style="284" customWidth="1"/>
    <col min="13065" max="13065" width="14.88671875" style="284" bestFit="1" customWidth="1"/>
    <col min="13066" max="13066" width="12.88671875" style="284" bestFit="1" customWidth="1"/>
    <col min="13067" max="13067" width="7.6640625" style="284" customWidth="1"/>
    <col min="13068" max="13068" width="18" style="284" customWidth="1"/>
    <col min="13069" max="13069" width="8.33203125" style="284" customWidth="1"/>
    <col min="13070" max="13070" width="16" style="284" customWidth="1"/>
    <col min="13071" max="13071" width="15.109375" style="284" bestFit="1" customWidth="1"/>
    <col min="13072" max="13072" width="14.109375" style="284" bestFit="1" customWidth="1"/>
    <col min="13073" max="13312" width="11.5546875" style="284"/>
    <col min="13313" max="13313" width="7.109375" style="284" bestFit="1" customWidth="1"/>
    <col min="13314" max="13314" width="5.33203125" style="284" bestFit="1" customWidth="1"/>
    <col min="13315" max="13315" width="43.6640625" style="284" customWidth="1"/>
    <col min="13316" max="13316" width="13.5546875" style="284" customWidth="1"/>
    <col min="13317" max="13317" width="10.109375" style="284" customWidth="1"/>
    <col min="13318" max="13318" width="10" style="284" customWidth="1"/>
    <col min="13319" max="13319" width="6.109375" style="284" bestFit="1" customWidth="1"/>
    <col min="13320" max="13320" width="4.6640625" style="284" customWidth="1"/>
    <col min="13321" max="13321" width="14.88671875" style="284" bestFit="1" customWidth="1"/>
    <col min="13322" max="13322" width="12.88671875" style="284" bestFit="1" customWidth="1"/>
    <col min="13323" max="13323" width="7.6640625" style="284" customWidth="1"/>
    <col min="13324" max="13324" width="18" style="284" customWidth="1"/>
    <col min="13325" max="13325" width="8.33203125" style="284" customWidth="1"/>
    <col min="13326" max="13326" width="16" style="284" customWidth="1"/>
    <col min="13327" max="13327" width="15.109375" style="284" bestFit="1" customWidth="1"/>
    <col min="13328" max="13328" width="14.109375" style="284" bestFit="1" customWidth="1"/>
    <col min="13329" max="13568" width="11.5546875" style="284"/>
    <col min="13569" max="13569" width="7.109375" style="284" bestFit="1" customWidth="1"/>
    <col min="13570" max="13570" width="5.33203125" style="284" bestFit="1" customWidth="1"/>
    <col min="13571" max="13571" width="43.6640625" style="284" customWidth="1"/>
    <col min="13572" max="13572" width="13.5546875" style="284" customWidth="1"/>
    <col min="13573" max="13573" width="10.109375" style="284" customWidth="1"/>
    <col min="13574" max="13574" width="10" style="284" customWidth="1"/>
    <col min="13575" max="13575" width="6.109375" style="284" bestFit="1" customWidth="1"/>
    <col min="13576" max="13576" width="4.6640625" style="284" customWidth="1"/>
    <col min="13577" max="13577" width="14.88671875" style="284" bestFit="1" customWidth="1"/>
    <col min="13578" max="13578" width="12.88671875" style="284" bestFit="1" customWidth="1"/>
    <col min="13579" max="13579" width="7.6640625" style="284" customWidth="1"/>
    <col min="13580" max="13580" width="18" style="284" customWidth="1"/>
    <col min="13581" max="13581" width="8.33203125" style="284" customWidth="1"/>
    <col min="13582" max="13582" width="16" style="284" customWidth="1"/>
    <col min="13583" max="13583" width="15.109375" style="284" bestFit="1" customWidth="1"/>
    <col min="13584" max="13584" width="14.109375" style="284" bestFit="1" customWidth="1"/>
    <col min="13585" max="13824" width="11.5546875" style="284"/>
    <col min="13825" max="13825" width="7.109375" style="284" bestFit="1" customWidth="1"/>
    <col min="13826" max="13826" width="5.33203125" style="284" bestFit="1" customWidth="1"/>
    <col min="13827" max="13827" width="43.6640625" style="284" customWidth="1"/>
    <col min="13828" max="13828" width="13.5546875" style="284" customWidth="1"/>
    <col min="13829" max="13829" width="10.109375" style="284" customWidth="1"/>
    <col min="13830" max="13830" width="10" style="284" customWidth="1"/>
    <col min="13831" max="13831" width="6.109375" style="284" bestFit="1" customWidth="1"/>
    <col min="13832" max="13832" width="4.6640625" style="284" customWidth="1"/>
    <col min="13833" max="13833" width="14.88671875" style="284" bestFit="1" customWidth="1"/>
    <col min="13834" max="13834" width="12.88671875" style="284" bestFit="1" customWidth="1"/>
    <col min="13835" max="13835" width="7.6640625" style="284" customWidth="1"/>
    <col min="13836" max="13836" width="18" style="284" customWidth="1"/>
    <col min="13837" max="13837" width="8.33203125" style="284" customWidth="1"/>
    <col min="13838" max="13838" width="16" style="284" customWidth="1"/>
    <col min="13839" max="13839" width="15.109375" style="284" bestFit="1" customWidth="1"/>
    <col min="13840" max="13840" width="14.109375" style="284" bestFit="1" customWidth="1"/>
    <col min="13841" max="14080" width="11.5546875" style="284"/>
    <col min="14081" max="14081" width="7.109375" style="284" bestFit="1" customWidth="1"/>
    <col min="14082" max="14082" width="5.33203125" style="284" bestFit="1" customWidth="1"/>
    <col min="14083" max="14083" width="43.6640625" style="284" customWidth="1"/>
    <col min="14084" max="14084" width="13.5546875" style="284" customWidth="1"/>
    <col min="14085" max="14085" width="10.109375" style="284" customWidth="1"/>
    <col min="14086" max="14086" width="10" style="284" customWidth="1"/>
    <col min="14087" max="14087" width="6.109375" style="284" bestFit="1" customWidth="1"/>
    <col min="14088" max="14088" width="4.6640625" style="284" customWidth="1"/>
    <col min="14089" max="14089" width="14.88671875" style="284" bestFit="1" customWidth="1"/>
    <col min="14090" max="14090" width="12.88671875" style="284" bestFit="1" customWidth="1"/>
    <col min="14091" max="14091" width="7.6640625" style="284" customWidth="1"/>
    <col min="14092" max="14092" width="18" style="284" customWidth="1"/>
    <col min="14093" max="14093" width="8.33203125" style="284" customWidth="1"/>
    <col min="14094" max="14094" width="16" style="284" customWidth="1"/>
    <col min="14095" max="14095" width="15.109375" style="284" bestFit="1" customWidth="1"/>
    <col min="14096" max="14096" width="14.109375" style="284" bestFit="1" customWidth="1"/>
    <col min="14097" max="14336" width="11.5546875" style="284"/>
    <col min="14337" max="14337" width="7.109375" style="284" bestFit="1" customWidth="1"/>
    <col min="14338" max="14338" width="5.33203125" style="284" bestFit="1" customWidth="1"/>
    <col min="14339" max="14339" width="43.6640625" style="284" customWidth="1"/>
    <col min="14340" max="14340" width="13.5546875" style="284" customWidth="1"/>
    <col min="14341" max="14341" width="10.109375" style="284" customWidth="1"/>
    <col min="14342" max="14342" width="10" style="284" customWidth="1"/>
    <col min="14343" max="14343" width="6.109375" style="284" bestFit="1" customWidth="1"/>
    <col min="14344" max="14344" width="4.6640625" style="284" customWidth="1"/>
    <col min="14345" max="14345" width="14.88671875" style="284" bestFit="1" customWidth="1"/>
    <col min="14346" max="14346" width="12.88671875" style="284" bestFit="1" customWidth="1"/>
    <col min="14347" max="14347" width="7.6640625" style="284" customWidth="1"/>
    <col min="14348" max="14348" width="18" style="284" customWidth="1"/>
    <col min="14349" max="14349" width="8.33203125" style="284" customWidth="1"/>
    <col min="14350" max="14350" width="16" style="284" customWidth="1"/>
    <col min="14351" max="14351" width="15.109375" style="284" bestFit="1" customWidth="1"/>
    <col min="14352" max="14352" width="14.109375" style="284" bestFit="1" customWidth="1"/>
    <col min="14353" max="14592" width="11.5546875" style="284"/>
    <col min="14593" max="14593" width="7.109375" style="284" bestFit="1" customWidth="1"/>
    <col min="14594" max="14594" width="5.33203125" style="284" bestFit="1" customWidth="1"/>
    <col min="14595" max="14595" width="43.6640625" style="284" customWidth="1"/>
    <col min="14596" max="14596" width="13.5546875" style="284" customWidth="1"/>
    <col min="14597" max="14597" width="10.109375" style="284" customWidth="1"/>
    <col min="14598" max="14598" width="10" style="284" customWidth="1"/>
    <col min="14599" max="14599" width="6.109375" style="284" bestFit="1" customWidth="1"/>
    <col min="14600" max="14600" width="4.6640625" style="284" customWidth="1"/>
    <col min="14601" max="14601" width="14.88671875" style="284" bestFit="1" customWidth="1"/>
    <col min="14602" max="14602" width="12.88671875" style="284" bestFit="1" customWidth="1"/>
    <col min="14603" max="14603" width="7.6640625" style="284" customWidth="1"/>
    <col min="14604" max="14604" width="18" style="284" customWidth="1"/>
    <col min="14605" max="14605" width="8.33203125" style="284" customWidth="1"/>
    <col min="14606" max="14606" width="16" style="284" customWidth="1"/>
    <col min="14607" max="14607" width="15.109375" style="284" bestFit="1" customWidth="1"/>
    <col min="14608" max="14608" width="14.109375" style="284" bestFit="1" customWidth="1"/>
    <col min="14609" max="14848" width="11.5546875" style="284"/>
    <col min="14849" max="14849" width="7.109375" style="284" bestFit="1" customWidth="1"/>
    <col min="14850" max="14850" width="5.33203125" style="284" bestFit="1" customWidth="1"/>
    <col min="14851" max="14851" width="43.6640625" style="284" customWidth="1"/>
    <col min="14852" max="14852" width="13.5546875" style="284" customWidth="1"/>
    <col min="14853" max="14853" width="10.109375" style="284" customWidth="1"/>
    <col min="14854" max="14854" width="10" style="284" customWidth="1"/>
    <col min="14855" max="14855" width="6.109375" style="284" bestFit="1" customWidth="1"/>
    <col min="14856" max="14856" width="4.6640625" style="284" customWidth="1"/>
    <col min="14857" max="14857" width="14.88671875" style="284" bestFit="1" customWidth="1"/>
    <col min="14858" max="14858" width="12.88671875" style="284" bestFit="1" customWidth="1"/>
    <col min="14859" max="14859" width="7.6640625" style="284" customWidth="1"/>
    <col min="14860" max="14860" width="18" style="284" customWidth="1"/>
    <col min="14861" max="14861" width="8.33203125" style="284" customWidth="1"/>
    <col min="14862" max="14862" width="16" style="284" customWidth="1"/>
    <col min="14863" max="14863" width="15.109375" style="284" bestFit="1" customWidth="1"/>
    <col min="14864" max="14864" width="14.109375" style="284" bestFit="1" customWidth="1"/>
    <col min="14865" max="15104" width="11.5546875" style="284"/>
    <col min="15105" max="15105" width="7.109375" style="284" bestFit="1" customWidth="1"/>
    <col min="15106" max="15106" width="5.33203125" style="284" bestFit="1" customWidth="1"/>
    <col min="15107" max="15107" width="43.6640625" style="284" customWidth="1"/>
    <col min="15108" max="15108" width="13.5546875" style="284" customWidth="1"/>
    <col min="15109" max="15109" width="10.109375" style="284" customWidth="1"/>
    <col min="15110" max="15110" width="10" style="284" customWidth="1"/>
    <col min="15111" max="15111" width="6.109375" style="284" bestFit="1" customWidth="1"/>
    <col min="15112" max="15112" width="4.6640625" style="284" customWidth="1"/>
    <col min="15113" max="15113" width="14.88671875" style="284" bestFit="1" customWidth="1"/>
    <col min="15114" max="15114" width="12.88671875" style="284" bestFit="1" customWidth="1"/>
    <col min="15115" max="15115" width="7.6640625" style="284" customWidth="1"/>
    <col min="15116" max="15116" width="18" style="284" customWidth="1"/>
    <col min="15117" max="15117" width="8.33203125" style="284" customWidth="1"/>
    <col min="15118" max="15118" width="16" style="284" customWidth="1"/>
    <col min="15119" max="15119" width="15.109375" style="284" bestFit="1" customWidth="1"/>
    <col min="15120" max="15120" width="14.109375" style="284" bestFit="1" customWidth="1"/>
    <col min="15121" max="15360" width="11.5546875" style="284"/>
    <col min="15361" max="15361" width="7.109375" style="284" bestFit="1" customWidth="1"/>
    <col min="15362" max="15362" width="5.33203125" style="284" bestFit="1" customWidth="1"/>
    <col min="15363" max="15363" width="43.6640625" style="284" customWidth="1"/>
    <col min="15364" max="15364" width="13.5546875" style="284" customWidth="1"/>
    <col min="15365" max="15365" width="10.109375" style="284" customWidth="1"/>
    <col min="15366" max="15366" width="10" style="284" customWidth="1"/>
    <col min="15367" max="15367" width="6.109375" style="284" bestFit="1" customWidth="1"/>
    <col min="15368" max="15368" width="4.6640625" style="284" customWidth="1"/>
    <col min="15369" max="15369" width="14.88671875" style="284" bestFit="1" customWidth="1"/>
    <col min="15370" max="15370" width="12.88671875" style="284" bestFit="1" customWidth="1"/>
    <col min="15371" max="15371" width="7.6640625" style="284" customWidth="1"/>
    <col min="15372" max="15372" width="18" style="284" customWidth="1"/>
    <col min="15373" max="15373" width="8.33203125" style="284" customWidth="1"/>
    <col min="15374" max="15374" width="16" style="284" customWidth="1"/>
    <col min="15375" max="15375" width="15.109375" style="284" bestFit="1" customWidth="1"/>
    <col min="15376" max="15376" width="14.109375" style="284" bestFit="1" customWidth="1"/>
    <col min="15377" max="15616" width="11.5546875" style="284"/>
    <col min="15617" max="15617" width="7.109375" style="284" bestFit="1" customWidth="1"/>
    <col min="15618" max="15618" width="5.33203125" style="284" bestFit="1" customWidth="1"/>
    <col min="15619" max="15619" width="43.6640625" style="284" customWidth="1"/>
    <col min="15620" max="15620" width="13.5546875" style="284" customWidth="1"/>
    <col min="15621" max="15621" width="10.109375" style="284" customWidth="1"/>
    <col min="15622" max="15622" width="10" style="284" customWidth="1"/>
    <col min="15623" max="15623" width="6.109375" style="284" bestFit="1" customWidth="1"/>
    <col min="15624" max="15624" width="4.6640625" style="284" customWidth="1"/>
    <col min="15625" max="15625" width="14.88671875" style="284" bestFit="1" customWidth="1"/>
    <col min="15626" max="15626" width="12.88671875" style="284" bestFit="1" customWidth="1"/>
    <col min="15627" max="15627" width="7.6640625" style="284" customWidth="1"/>
    <col min="15628" max="15628" width="18" style="284" customWidth="1"/>
    <col min="15629" max="15629" width="8.33203125" style="284" customWidth="1"/>
    <col min="15630" max="15630" width="16" style="284" customWidth="1"/>
    <col min="15631" max="15631" width="15.109375" style="284" bestFit="1" customWidth="1"/>
    <col min="15632" max="15632" width="14.109375" style="284" bestFit="1" customWidth="1"/>
    <col min="15633" max="15872" width="11.5546875" style="284"/>
    <col min="15873" max="15873" width="7.109375" style="284" bestFit="1" customWidth="1"/>
    <col min="15874" max="15874" width="5.33203125" style="284" bestFit="1" customWidth="1"/>
    <col min="15875" max="15875" width="43.6640625" style="284" customWidth="1"/>
    <col min="15876" max="15876" width="13.5546875" style="284" customWidth="1"/>
    <col min="15877" max="15877" width="10.109375" style="284" customWidth="1"/>
    <col min="15878" max="15878" width="10" style="284" customWidth="1"/>
    <col min="15879" max="15879" width="6.109375" style="284" bestFit="1" customWidth="1"/>
    <col min="15880" max="15880" width="4.6640625" style="284" customWidth="1"/>
    <col min="15881" max="15881" width="14.88671875" style="284" bestFit="1" customWidth="1"/>
    <col min="15882" max="15882" width="12.88671875" style="284" bestFit="1" customWidth="1"/>
    <col min="15883" max="15883" width="7.6640625" style="284" customWidth="1"/>
    <col min="15884" max="15884" width="18" style="284" customWidth="1"/>
    <col min="15885" max="15885" width="8.33203125" style="284" customWidth="1"/>
    <col min="15886" max="15886" width="16" style="284" customWidth="1"/>
    <col min="15887" max="15887" width="15.109375" style="284" bestFit="1" customWidth="1"/>
    <col min="15888" max="15888" width="14.109375" style="284" bestFit="1" customWidth="1"/>
    <col min="15889" max="16128" width="11.5546875" style="284"/>
    <col min="16129" max="16129" width="7.109375" style="284" bestFit="1" customWidth="1"/>
    <col min="16130" max="16130" width="5.33203125" style="284" bestFit="1" customWidth="1"/>
    <col min="16131" max="16131" width="43.6640625" style="284" customWidth="1"/>
    <col min="16132" max="16132" width="13.5546875" style="284" customWidth="1"/>
    <col min="16133" max="16133" width="10.109375" style="284" customWidth="1"/>
    <col min="16134" max="16134" width="10" style="284" customWidth="1"/>
    <col min="16135" max="16135" width="6.109375" style="284" bestFit="1" customWidth="1"/>
    <col min="16136" max="16136" width="4.6640625" style="284" customWidth="1"/>
    <col min="16137" max="16137" width="14.88671875" style="284" bestFit="1" customWidth="1"/>
    <col min="16138" max="16138" width="12.88671875" style="284" bestFit="1" customWidth="1"/>
    <col min="16139" max="16139" width="7.6640625" style="284" customWidth="1"/>
    <col min="16140" max="16140" width="18" style="284" customWidth="1"/>
    <col min="16141" max="16141" width="8.33203125" style="284" customWidth="1"/>
    <col min="16142" max="16142" width="16" style="284" customWidth="1"/>
    <col min="16143" max="16143" width="15.109375" style="284" bestFit="1" customWidth="1"/>
    <col min="16144" max="16144" width="14.109375" style="284" bestFit="1" customWidth="1"/>
    <col min="16145" max="16384" width="11.5546875" style="284"/>
  </cols>
  <sheetData>
    <row r="1" spans="1:15" ht="7.5" customHeight="1" thickBot="1" x14ac:dyDescent="0.35"/>
    <row r="2" spans="1:15" x14ac:dyDescent="0.3">
      <c r="B2" s="1147" t="s">
        <v>5340</v>
      </c>
      <c r="C2" s="1148"/>
      <c r="D2" s="1148"/>
      <c r="E2" s="1148"/>
      <c r="F2" s="1148"/>
      <c r="G2" s="1148"/>
      <c r="H2" s="1148"/>
      <c r="I2" s="1149"/>
      <c r="J2" s="285"/>
      <c r="K2" s="285"/>
      <c r="L2" s="286"/>
    </row>
    <row r="3" spans="1:15" x14ac:dyDescent="0.3">
      <c r="B3" s="1150" t="s">
        <v>12</v>
      </c>
      <c r="C3" s="1151"/>
      <c r="D3" s="1151"/>
      <c r="E3" s="1151"/>
      <c r="F3" s="1151"/>
      <c r="G3" s="1151"/>
      <c r="H3" s="1151"/>
      <c r="I3" s="1152"/>
      <c r="J3" s="287"/>
      <c r="K3" s="287"/>
      <c r="L3" s="288"/>
    </row>
    <row r="4" spans="1:15" x14ac:dyDescent="0.3">
      <c r="B4" s="1150" t="s">
        <v>5271</v>
      </c>
      <c r="C4" s="1151"/>
      <c r="D4" s="1151"/>
      <c r="E4" s="1151"/>
      <c r="F4" s="1151"/>
      <c r="G4" s="1151"/>
      <c r="H4" s="1151"/>
      <c r="I4" s="1152"/>
      <c r="J4" s="287"/>
      <c r="K4" s="287"/>
      <c r="L4" s="288"/>
    </row>
    <row r="5" spans="1:15" ht="13.8" thickBot="1" x14ac:dyDescent="0.35">
      <c r="B5" s="1153" t="s">
        <v>5272</v>
      </c>
      <c r="C5" s="1154"/>
      <c r="D5" s="1154"/>
      <c r="E5" s="1154"/>
      <c r="F5" s="1154"/>
      <c r="G5" s="1154"/>
      <c r="H5" s="1154"/>
      <c r="I5" s="1155"/>
      <c r="J5" s="1156" t="s">
        <v>12</v>
      </c>
      <c r="K5" s="1157"/>
      <c r="L5" s="1158"/>
    </row>
    <row r="6" spans="1:15" ht="52.95" customHeight="1" thickBot="1" x14ac:dyDescent="0.35">
      <c r="B6" s="1141" t="s">
        <v>0</v>
      </c>
      <c r="C6" s="1142"/>
      <c r="D6" s="1143" t="str">
        <f>+'DATOS DEL PROCESO'!B6</f>
        <v>EJECUTAR POR EL SISTEMA DE PRECIOS UNITARIOS Y A MONTO AGOTABLE LAS ACTIVIDADES PARA LA CONSERVACION DE LA MALLA VIAL LOCAL E INTERMEDIA Y ESPACIO PÚBLICO EN LA LOCALIDAD DE SUBA EN LA CIUDAD DE BOGOTA D.C</v>
      </c>
      <c r="E6" s="1144"/>
      <c r="F6" s="1144"/>
      <c r="G6" s="1144"/>
      <c r="H6" s="1144"/>
      <c r="I6" s="1144"/>
      <c r="J6" s="1145"/>
      <c r="K6" s="1145"/>
      <c r="L6" s="1146"/>
    </row>
    <row r="7" spans="1:15" ht="13.8" thickBot="1" x14ac:dyDescent="0.35">
      <c r="A7" s="284"/>
      <c r="B7" s="289"/>
      <c r="C7" s="289"/>
      <c r="D7" s="289"/>
      <c r="E7" s="289"/>
      <c r="F7" s="289"/>
      <c r="G7" s="289"/>
      <c r="H7" s="289"/>
      <c r="I7" s="289"/>
      <c r="J7" s="289"/>
      <c r="K7" s="289"/>
      <c r="L7" s="290"/>
    </row>
    <row r="8" spans="1:15" ht="13.8" thickBot="1" x14ac:dyDescent="0.35">
      <c r="A8" s="284"/>
      <c r="B8" s="1159" t="s">
        <v>5341</v>
      </c>
      <c r="C8" s="1160"/>
      <c r="D8" s="1160"/>
      <c r="E8" s="1160"/>
      <c r="F8" s="1160"/>
      <c r="G8" s="1160"/>
      <c r="H8" s="1160"/>
      <c r="I8" s="1160"/>
      <c r="J8" s="1160"/>
      <c r="K8" s="1160"/>
      <c r="L8" s="1161"/>
    </row>
    <row r="9" spans="1:15" x14ac:dyDescent="0.3">
      <c r="B9" s="990" t="s">
        <v>5335</v>
      </c>
      <c r="C9" s="991"/>
      <c r="D9" s="991"/>
      <c r="E9" s="1162">
        <f>+'PGA Y SST'!N103</f>
        <v>311541011</v>
      </c>
      <c r="F9" s="1163"/>
      <c r="G9" s="1164"/>
      <c r="H9" s="291"/>
      <c r="I9" s="292" t="s">
        <v>5129</v>
      </c>
      <c r="J9" s="1165">
        <f ca="1">+TODAY()</f>
        <v>46293</v>
      </c>
      <c r="K9" s="1165"/>
      <c r="L9" s="1166"/>
    </row>
    <row r="10" spans="1:15" ht="13.8" thickBot="1" x14ac:dyDescent="0.35">
      <c r="B10" s="996" t="s">
        <v>5342</v>
      </c>
      <c r="C10" s="997"/>
      <c r="D10" s="997"/>
      <c r="E10" s="132">
        <v>11</v>
      </c>
      <c r="F10" s="997" t="s">
        <v>5</v>
      </c>
      <c r="G10" s="998"/>
      <c r="H10" s="293"/>
      <c r="I10" s="294" t="s">
        <v>5130</v>
      </c>
      <c r="J10" s="1167"/>
      <c r="K10" s="1167"/>
      <c r="L10" s="1168"/>
    </row>
    <row r="12" spans="1:15" s="27" customFormat="1" ht="12.75" customHeight="1" x14ac:dyDescent="0.3">
      <c r="A12" s="36"/>
      <c r="B12" s="966" t="s">
        <v>5343</v>
      </c>
      <c r="C12" s="966"/>
      <c r="D12" s="966"/>
      <c r="E12" s="966"/>
      <c r="F12" s="966"/>
      <c r="G12" s="966"/>
      <c r="H12" s="966"/>
      <c r="I12" s="966"/>
      <c r="J12" s="966"/>
      <c r="K12" s="966"/>
      <c r="L12" s="966"/>
    </row>
    <row r="13" spans="1:15" s="38" customFormat="1" ht="10.199999999999999" x14ac:dyDescent="0.3">
      <c r="A13" s="32"/>
      <c r="B13" s="46">
        <v>3.1</v>
      </c>
      <c r="C13" s="967" t="s">
        <v>5164</v>
      </c>
      <c r="D13" s="967"/>
      <c r="E13" s="967"/>
      <c r="F13" s="967"/>
      <c r="G13" s="967"/>
      <c r="H13" s="967"/>
      <c r="I13" s="967"/>
      <c r="J13" s="967"/>
      <c r="K13" s="967"/>
      <c r="L13" s="967"/>
    </row>
    <row r="14" spans="1:15" s="38" customFormat="1" ht="10.199999999999999" x14ac:dyDescent="0.3">
      <c r="A14" s="32"/>
      <c r="B14" s="47" t="s">
        <v>5132</v>
      </c>
      <c r="C14" s="939" t="s">
        <v>5165</v>
      </c>
      <c r="D14" s="940"/>
      <c r="E14" s="39"/>
      <c r="F14" s="40"/>
      <c r="G14" s="968"/>
      <c r="H14" s="968"/>
      <c r="I14" s="165"/>
      <c r="J14" s="939" t="s">
        <v>5166</v>
      </c>
      <c r="K14" s="941"/>
      <c r="L14" s="46" t="s">
        <v>5160</v>
      </c>
    </row>
    <row r="15" spans="1:15" s="27" customFormat="1" ht="10.199999999999999" x14ac:dyDescent="0.3">
      <c r="A15" s="32"/>
      <c r="B15" s="41">
        <f>B13+0.001</f>
        <v>3.101</v>
      </c>
      <c r="C15" s="295" t="s">
        <v>5167</v>
      </c>
      <c r="D15" s="296"/>
      <c r="E15" s="296"/>
      <c r="F15" s="296"/>
      <c r="G15" s="296"/>
      <c r="H15" s="296"/>
      <c r="I15" s="297"/>
      <c r="J15" s="949">
        <v>0.05</v>
      </c>
      <c r="K15" s="951"/>
      <c r="L15" s="43">
        <f>ROUND($E$9*J15,0)</f>
        <v>15577051</v>
      </c>
      <c r="O15" s="298"/>
    </row>
    <row r="16" spans="1:15" s="27" customFormat="1" ht="10.199999999999999" x14ac:dyDescent="0.3">
      <c r="A16" s="32"/>
      <c r="B16" s="41">
        <f>B15+0.001</f>
        <v>3.1019999999999999</v>
      </c>
      <c r="C16" s="295" t="s">
        <v>5168</v>
      </c>
      <c r="D16" s="296"/>
      <c r="E16" s="296"/>
      <c r="F16" s="296"/>
      <c r="G16" s="296"/>
      <c r="H16" s="296"/>
      <c r="I16" s="297"/>
      <c r="J16" s="949">
        <v>8.6599999999999993E-3</v>
      </c>
      <c r="K16" s="951"/>
      <c r="L16" s="43">
        <f>ROUND($E$9*J16,0)</f>
        <v>2697945</v>
      </c>
      <c r="O16" s="298"/>
    </row>
    <row r="17" spans="1:16" s="27" customFormat="1" ht="11.25" customHeight="1" x14ac:dyDescent="0.3">
      <c r="A17" s="32"/>
      <c r="B17" s="41">
        <f>B16+0.001</f>
        <v>3.1029999999999998</v>
      </c>
      <c r="C17" s="295" t="s">
        <v>5169</v>
      </c>
      <c r="D17" s="296"/>
      <c r="E17" s="296"/>
      <c r="F17" s="296"/>
      <c r="G17" s="296"/>
      <c r="H17" s="296"/>
      <c r="I17" s="297"/>
      <c r="J17" s="949">
        <v>0.02</v>
      </c>
      <c r="K17" s="951"/>
      <c r="L17" s="43">
        <f>ROUND($E$9*J17,0)</f>
        <v>6230820</v>
      </c>
      <c r="O17" s="298"/>
    </row>
    <row r="18" spans="1:16" s="27" customFormat="1" ht="10.199999999999999" x14ac:dyDescent="0.3">
      <c r="A18" s="32"/>
      <c r="B18" s="41">
        <f>B17+0.001</f>
        <v>3.1039999999999996</v>
      </c>
      <c r="C18" s="295" t="s">
        <v>5170</v>
      </c>
      <c r="D18" s="296"/>
      <c r="E18" s="296"/>
      <c r="F18" s="296"/>
      <c r="G18" s="296"/>
      <c r="H18" s="296"/>
      <c r="I18" s="297"/>
      <c r="J18" s="949">
        <v>5.0000000000000001E-3</v>
      </c>
      <c r="K18" s="951"/>
      <c r="L18" s="43">
        <f>ROUND($E$9*J18,0)</f>
        <v>1557705</v>
      </c>
      <c r="O18" s="298"/>
    </row>
    <row r="19" spans="1:16" s="27" customFormat="1" ht="10.199999999999999" x14ac:dyDescent="0.3">
      <c r="A19" s="32"/>
      <c r="B19" s="32"/>
      <c r="C19" s="952" t="s">
        <v>5171</v>
      </c>
      <c r="D19" s="953"/>
      <c r="E19" s="953"/>
      <c r="F19" s="953"/>
      <c r="G19" s="953"/>
      <c r="H19" s="953"/>
      <c r="I19" s="953"/>
      <c r="J19" s="953"/>
      <c r="K19" s="954"/>
      <c r="L19" s="33">
        <f>SUM(L15:L18)</f>
        <v>26063521</v>
      </c>
      <c r="O19" s="298"/>
    </row>
    <row r="20" spans="1:16" s="27" customFormat="1" ht="10.199999999999999" x14ac:dyDescent="0.3">
      <c r="A20" s="32"/>
      <c r="B20" s="32"/>
      <c r="C20" s="45"/>
      <c r="D20" s="45"/>
      <c r="E20" s="45"/>
      <c r="F20" s="45"/>
      <c r="G20" s="45"/>
      <c r="H20" s="45"/>
      <c r="I20" s="45"/>
      <c r="J20" s="45"/>
      <c r="K20" s="45"/>
      <c r="L20" s="45"/>
    </row>
    <row r="21" spans="1:16" s="27" customFormat="1" ht="10.199999999999999" x14ac:dyDescent="0.3">
      <c r="A21" s="32"/>
      <c r="B21" s="46">
        <f>B13+0.1</f>
        <v>3.2</v>
      </c>
      <c r="C21" s="958" t="s">
        <v>5267</v>
      </c>
      <c r="D21" s="958"/>
      <c r="E21" s="958"/>
      <c r="F21" s="958"/>
      <c r="G21" s="958"/>
      <c r="H21" s="958"/>
      <c r="I21" s="958"/>
      <c r="J21" s="958"/>
      <c r="K21" s="958"/>
      <c r="L21" s="958"/>
    </row>
    <row r="22" spans="1:16" s="48" customFormat="1" ht="20.399999999999999" x14ac:dyDescent="0.3">
      <c r="A22" s="32"/>
      <c r="B22" s="47" t="s">
        <v>5132</v>
      </c>
      <c r="C22" s="959" t="s">
        <v>5165</v>
      </c>
      <c r="D22" s="959"/>
      <c r="E22" s="960" t="s">
        <v>5172</v>
      </c>
      <c r="F22" s="961"/>
      <c r="G22" s="939" t="s">
        <v>5173</v>
      </c>
      <c r="H22" s="941"/>
      <c r="I22" s="47" t="s">
        <v>5174</v>
      </c>
      <c r="J22" s="939" t="s">
        <v>5175</v>
      </c>
      <c r="K22" s="941"/>
      <c r="L22" s="46" t="s">
        <v>5160</v>
      </c>
    </row>
    <row r="23" spans="1:16" s="27" customFormat="1" ht="12.75" customHeight="1" x14ac:dyDescent="0.3">
      <c r="A23" s="32"/>
      <c r="B23" s="41">
        <f>B21+0.001</f>
        <v>3.2010000000000001</v>
      </c>
      <c r="C23" s="49" t="s">
        <v>5176</v>
      </c>
      <c r="D23" s="1169" t="s">
        <v>5177</v>
      </c>
      <c r="E23" s="946">
        <f>+E9</f>
        <v>311541011</v>
      </c>
      <c r="F23" s="947"/>
      <c r="G23" s="957">
        <v>0.2</v>
      </c>
      <c r="H23" s="957"/>
      <c r="I23" s="50">
        <v>17</v>
      </c>
      <c r="J23" s="949">
        <v>2E-3</v>
      </c>
      <c r="K23" s="951"/>
      <c r="L23" s="43">
        <f>(((((E23*G23)*J23)/12)*I23)+2500)*1.19</f>
        <v>213057.48841766667</v>
      </c>
    </row>
    <row r="24" spans="1:16" s="27" customFormat="1" ht="12.75" customHeight="1" x14ac:dyDescent="0.25">
      <c r="A24" s="32"/>
      <c r="B24" s="41">
        <f>B23+0.001</f>
        <v>3.202</v>
      </c>
      <c r="C24" s="49" t="s">
        <v>5178</v>
      </c>
      <c r="D24" s="1170"/>
      <c r="E24" s="946">
        <f>+E23</f>
        <v>311541011</v>
      </c>
      <c r="F24" s="947"/>
      <c r="G24" s="957">
        <v>0.1</v>
      </c>
      <c r="H24" s="957"/>
      <c r="I24" s="50">
        <v>47</v>
      </c>
      <c r="J24" s="949">
        <v>2E-3</v>
      </c>
      <c r="K24" s="951"/>
      <c r="L24" s="43">
        <f>(((((E24*G24)*J24)/12)*I24)+2500)*1.19</f>
        <v>293383.14575383335</v>
      </c>
      <c r="O24" s="299"/>
      <c r="P24" s="299"/>
    </row>
    <row r="25" spans="1:16" s="27" customFormat="1" ht="12" x14ac:dyDescent="0.25">
      <c r="A25" s="32"/>
      <c r="B25" s="41">
        <f>B24+0.001</f>
        <v>3.2029999999999998</v>
      </c>
      <c r="C25" s="49" t="s">
        <v>5179</v>
      </c>
      <c r="D25" s="1170"/>
      <c r="E25" s="946">
        <f>+E23</f>
        <v>311541011</v>
      </c>
      <c r="F25" s="947"/>
      <c r="G25" s="957">
        <v>0.3</v>
      </c>
      <c r="H25" s="957"/>
      <c r="I25" s="50">
        <v>60</v>
      </c>
      <c r="J25" s="949">
        <v>3.0000000000000001E-3</v>
      </c>
      <c r="K25" s="951"/>
      <c r="L25" s="43">
        <f>(((((E25*G25)*J25)/12)*I25)+2500)*1.19</f>
        <v>1671277.1139049996</v>
      </c>
      <c r="N25" s="300"/>
      <c r="O25" s="301"/>
      <c r="P25" s="299"/>
    </row>
    <row r="26" spans="1:16" s="27" customFormat="1" ht="30.75" customHeight="1" x14ac:dyDescent="0.3">
      <c r="A26" s="32"/>
      <c r="B26" s="41">
        <f>B25+0.001</f>
        <v>3.2039999999999997</v>
      </c>
      <c r="C26" s="51" t="s">
        <v>5180</v>
      </c>
      <c r="D26" s="302" t="s">
        <v>5181</v>
      </c>
      <c r="E26" s="946">
        <v>40137385</v>
      </c>
      <c r="F26" s="947"/>
      <c r="G26" s="948" t="s">
        <v>5425</v>
      </c>
      <c r="H26" s="948"/>
      <c r="I26" s="50">
        <v>11</v>
      </c>
      <c r="J26" s="949">
        <v>3.0000000000000001E-3</v>
      </c>
      <c r="K26" s="951"/>
      <c r="L26" s="43">
        <f>((((E26*J26)/12)*I26)+2500)*1.19</f>
        <v>134324.5924125</v>
      </c>
      <c r="N26" s="300"/>
      <c r="O26" s="300"/>
      <c r="P26" s="303"/>
    </row>
    <row r="28" spans="1:16" s="27" customFormat="1" ht="10.199999999999999" x14ac:dyDescent="0.3">
      <c r="A28" s="32"/>
      <c r="B28" s="32"/>
      <c r="C28" s="952" t="s">
        <v>5182</v>
      </c>
      <c r="D28" s="953"/>
      <c r="E28" s="953"/>
      <c r="F28" s="953"/>
      <c r="G28" s="953"/>
      <c r="H28" s="953"/>
      <c r="I28" s="953"/>
      <c r="J28" s="953"/>
      <c r="K28" s="954"/>
      <c r="L28" s="33">
        <f>ROUND((SUM(L23:L26)),0)</f>
        <v>2312042</v>
      </c>
    </row>
    <row r="29" spans="1:16" s="27" customFormat="1" ht="10.199999999999999" x14ac:dyDescent="0.3">
      <c r="A29" s="32"/>
      <c r="B29" s="32"/>
      <c r="C29" s="932"/>
      <c r="D29" s="932"/>
      <c r="E29" s="932"/>
      <c r="F29" s="932"/>
      <c r="G29" s="932"/>
      <c r="H29" s="932"/>
      <c r="I29" s="932"/>
      <c r="J29" s="932"/>
      <c r="K29" s="932"/>
      <c r="L29" s="932"/>
      <c r="N29" s="304"/>
    </row>
    <row r="30" spans="1:16" s="27" customFormat="1" ht="10.199999999999999" x14ac:dyDescent="0.3">
      <c r="A30" s="32"/>
      <c r="B30" s="32"/>
      <c r="C30" s="53" t="s">
        <v>5183</v>
      </c>
      <c r="D30" s="54"/>
      <c r="E30" s="54"/>
      <c r="F30" s="54"/>
      <c r="G30" s="54"/>
      <c r="H30" s="54"/>
      <c r="I30" s="54"/>
      <c r="J30" s="54"/>
      <c r="K30" s="55"/>
      <c r="L30" s="33">
        <f>L19+L28</f>
        <v>28375563</v>
      </c>
    </row>
    <row r="31" spans="1:16" s="27" customFormat="1" ht="10.199999999999999" x14ac:dyDescent="0.3">
      <c r="A31" s="32"/>
      <c r="B31" s="32"/>
      <c r="C31" s="53" t="s">
        <v>5184</v>
      </c>
      <c r="D31" s="54"/>
      <c r="E31" s="54"/>
      <c r="F31" s="54"/>
      <c r="G31" s="54"/>
      <c r="H31" s="54"/>
      <c r="I31" s="54"/>
      <c r="J31" s="54"/>
      <c r="K31" s="55"/>
      <c r="L31" s="508">
        <f>L30/E9</f>
        <v>9.1081308714119819E-2</v>
      </c>
    </row>
    <row r="32" spans="1:16" s="27" customFormat="1" ht="10.199999999999999" x14ac:dyDescent="0.3">
      <c r="A32" s="32"/>
      <c r="B32" s="32"/>
      <c r="C32" s="932"/>
      <c r="D32" s="932"/>
      <c r="E32" s="932"/>
      <c r="F32" s="932"/>
      <c r="G32" s="932"/>
      <c r="H32" s="932"/>
      <c r="I32" s="932"/>
      <c r="J32" s="932"/>
      <c r="K32" s="932"/>
      <c r="L32" s="932"/>
    </row>
    <row r="33" spans="1:16" s="27" customFormat="1" ht="10.199999999999999" x14ac:dyDescent="0.3">
      <c r="A33" s="32"/>
      <c r="B33" s="32"/>
      <c r="C33" s="53" t="s">
        <v>5344</v>
      </c>
      <c r="D33" s="54"/>
      <c r="E33" s="54"/>
      <c r="F33" s="54"/>
      <c r="G33" s="54"/>
      <c r="H33" s="54"/>
      <c r="I33" s="54"/>
      <c r="J33" s="54"/>
      <c r="K33" s="55"/>
      <c r="L33" s="306">
        <f>L31</f>
        <v>9.1081308714119819E-2</v>
      </c>
    </row>
    <row r="34" spans="1:16" s="48" customFormat="1" ht="10.199999999999999" x14ac:dyDescent="0.3">
      <c r="A34" s="38"/>
      <c r="B34" s="38"/>
      <c r="C34" s="53" t="s">
        <v>5185</v>
      </c>
      <c r="D34" s="54"/>
      <c r="E34" s="54"/>
      <c r="F34" s="54"/>
      <c r="G34" s="54"/>
      <c r="H34" s="54"/>
      <c r="I34" s="54"/>
      <c r="J34" s="54"/>
      <c r="K34" s="55"/>
      <c r="L34" s="306">
        <v>0.01</v>
      </c>
      <c r="O34" s="307"/>
      <c r="P34" s="170"/>
    </row>
    <row r="35" spans="1:16" s="48" customFormat="1" ht="10.199999999999999" x14ac:dyDescent="0.3">
      <c r="A35" s="38"/>
      <c r="B35" s="38"/>
      <c r="C35" s="53" t="s">
        <v>5186</v>
      </c>
      <c r="D35" s="54"/>
      <c r="E35" s="54"/>
      <c r="F35" s="54"/>
      <c r="G35" s="54"/>
      <c r="H35" s="54"/>
      <c r="I35" s="54"/>
      <c r="J35" s="54"/>
      <c r="K35" s="55"/>
      <c r="L35" s="306">
        <v>0.05</v>
      </c>
    </row>
    <row r="36" spans="1:16" s="27" customFormat="1" ht="10.199999999999999" x14ac:dyDescent="0.3">
      <c r="A36" s="32"/>
      <c r="B36" s="32"/>
      <c r="C36" s="932"/>
      <c r="D36" s="932"/>
      <c r="E36" s="932"/>
      <c r="F36" s="932"/>
      <c r="G36" s="932"/>
      <c r="H36" s="932"/>
      <c r="I36" s="932"/>
      <c r="J36" s="932"/>
      <c r="K36" s="932"/>
      <c r="L36" s="932"/>
      <c r="M36" s="171"/>
    </row>
    <row r="37" spans="1:16" s="27" customFormat="1" ht="11.4" x14ac:dyDescent="0.3">
      <c r="A37" s="32"/>
      <c r="B37" s="32"/>
      <c r="C37" s="53" t="s">
        <v>5187</v>
      </c>
      <c r="D37" s="54"/>
      <c r="E37" s="54"/>
      <c r="F37" s="54"/>
      <c r="G37" s="54"/>
      <c r="H37" s="54"/>
      <c r="I37" s="54"/>
      <c r="J37" s="54"/>
      <c r="K37" s="55"/>
      <c r="L37" s="306">
        <f>SUM(L33:L35)</f>
        <v>0.15108130871411982</v>
      </c>
      <c r="M37" s="309"/>
    </row>
    <row r="38" spans="1:16" s="27" customFormat="1" x14ac:dyDescent="0.3">
      <c r="A38" s="32"/>
      <c r="B38" s="32"/>
      <c r="C38" s="174"/>
      <c r="D38" s="174"/>
      <c r="E38" s="174"/>
      <c r="F38" s="174"/>
      <c r="G38" s="175"/>
      <c r="H38" s="175"/>
      <c r="I38" s="175"/>
      <c r="J38" s="175"/>
      <c r="K38" s="175"/>
      <c r="L38" s="176"/>
    </row>
    <row r="39" spans="1:16" s="27" customFormat="1" ht="10.199999999999999" x14ac:dyDescent="0.3">
      <c r="A39" s="32"/>
      <c r="B39" s="32"/>
      <c r="C39" s="177"/>
      <c r="D39" s="933"/>
      <c r="E39" s="933"/>
      <c r="F39" s="933"/>
      <c r="G39" s="933"/>
      <c r="H39" s="933"/>
      <c r="I39" s="933"/>
      <c r="J39" s="933"/>
      <c r="K39" s="933"/>
      <c r="L39" s="934"/>
    </row>
    <row r="40" spans="1:16" s="27" customFormat="1" ht="10.199999999999999" x14ac:dyDescent="0.3">
      <c r="A40" s="32"/>
      <c r="B40" s="32"/>
      <c r="C40" s="179" t="s">
        <v>5269</v>
      </c>
      <c r="D40" s="935" t="s">
        <v>5270</v>
      </c>
      <c r="E40" s="935"/>
      <c r="F40" s="935"/>
      <c r="G40" s="935"/>
      <c r="H40" s="935"/>
      <c r="I40" s="935"/>
      <c r="J40" s="935"/>
      <c r="K40" s="935"/>
      <c r="L40" s="936"/>
    </row>
    <row r="41" spans="1:16" s="27" customFormat="1" ht="10.199999999999999" x14ac:dyDescent="0.3">
      <c r="A41" s="32"/>
      <c r="B41" s="32"/>
      <c r="C41" s="180"/>
      <c r="D41" s="937"/>
      <c r="E41" s="937"/>
      <c r="F41" s="937"/>
      <c r="G41" s="937"/>
      <c r="H41" s="937"/>
      <c r="I41" s="937"/>
      <c r="J41" s="937"/>
      <c r="K41" s="937"/>
      <c r="L41" s="938"/>
    </row>
    <row r="67" spans="5:5" x14ac:dyDescent="0.3">
      <c r="E67" s="284">
        <v>635614033</v>
      </c>
    </row>
  </sheetData>
  <mergeCells count="49">
    <mergeCell ref="E26:F26"/>
    <mergeCell ref="G26:H26"/>
    <mergeCell ref="J26:K26"/>
    <mergeCell ref="D41:L41"/>
    <mergeCell ref="C28:K28"/>
    <mergeCell ref="C29:L29"/>
    <mergeCell ref="C32:L32"/>
    <mergeCell ref="C36:L36"/>
    <mergeCell ref="D39:L39"/>
    <mergeCell ref="D40:L40"/>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2:L12"/>
    <mergeCell ref="C13:L13"/>
    <mergeCell ref="C14:D14"/>
    <mergeCell ref="G14:H14"/>
    <mergeCell ref="J14:K14"/>
    <mergeCell ref="J15:K15"/>
    <mergeCell ref="J16:K16"/>
    <mergeCell ref="J17:K17"/>
    <mergeCell ref="J18:K18"/>
    <mergeCell ref="C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75"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95233-D3F1-464C-8370-AF39EDB79816}">
  <sheetPr>
    <tabColor theme="3" tint="0.59999389629810485"/>
    <pageSetUpPr fitToPage="1"/>
  </sheetPr>
  <dimension ref="B2:P58"/>
  <sheetViews>
    <sheetView topLeftCell="A9" zoomScale="85" zoomScaleNormal="85" zoomScaleSheetLayoutView="85" workbookViewId="0">
      <selection activeCell="E14" sqref="E14"/>
    </sheetView>
  </sheetViews>
  <sheetFormatPr baseColWidth="10" defaultRowHeight="13.8" x14ac:dyDescent="0.25"/>
  <cols>
    <col min="1" max="1" width="1.6640625" style="312" customWidth="1"/>
    <col min="2" max="2" width="6" style="310" bestFit="1" customWidth="1"/>
    <col min="3" max="3" width="8.6640625" style="312" customWidth="1"/>
    <col min="4" max="4" width="55.88671875" style="312" customWidth="1"/>
    <col min="5" max="5" width="14.33203125" style="354" customWidth="1"/>
    <col min="6" max="6" width="12.88671875" style="312" bestFit="1" customWidth="1"/>
    <col min="7" max="7" width="14" style="312" customWidth="1"/>
    <col min="8" max="8" width="9.6640625" style="312" customWidth="1"/>
    <col min="9" max="9" width="11.5546875" style="312" customWidth="1"/>
    <col min="10" max="10" width="14" style="312" customWidth="1"/>
    <col min="11" max="11" width="10.6640625" style="312" customWidth="1"/>
    <col min="12" max="12" width="25.5546875" style="312" customWidth="1"/>
    <col min="13" max="13" width="16.33203125" style="312" bestFit="1" customWidth="1"/>
    <col min="14" max="14" width="14.109375" style="312" bestFit="1" customWidth="1"/>
    <col min="15" max="256" width="11.5546875" style="312"/>
    <col min="257" max="257" width="1.6640625" style="312" customWidth="1"/>
    <col min="258" max="258" width="6" style="312" bestFit="1" customWidth="1"/>
    <col min="259" max="259" width="8.6640625" style="312" customWidth="1"/>
    <col min="260" max="260" width="48.44140625" style="312" customWidth="1"/>
    <col min="261" max="261" width="14.33203125" style="312" customWidth="1"/>
    <col min="262" max="262" width="12.88671875" style="312" bestFit="1" customWidth="1"/>
    <col min="263" max="263" width="14" style="312" customWidth="1"/>
    <col min="264" max="264" width="9.6640625" style="312" customWidth="1"/>
    <col min="265" max="265" width="11.5546875" style="312" customWidth="1"/>
    <col min="266" max="266" width="10.44140625" style="312" customWidth="1"/>
    <col min="267" max="267" width="9.44140625" style="312" bestFit="1" customWidth="1"/>
    <col min="268" max="268" width="18.44140625" style="312" customWidth="1"/>
    <col min="269" max="269" width="11.5546875" style="312"/>
    <col min="270" max="270" width="14.109375" style="312" bestFit="1" customWidth="1"/>
    <col min="271" max="512" width="11.5546875" style="312"/>
    <col min="513" max="513" width="1.6640625" style="312" customWidth="1"/>
    <col min="514" max="514" width="6" style="312" bestFit="1" customWidth="1"/>
    <col min="515" max="515" width="8.6640625" style="312" customWidth="1"/>
    <col min="516" max="516" width="48.44140625" style="312" customWidth="1"/>
    <col min="517" max="517" width="14.33203125" style="312" customWidth="1"/>
    <col min="518" max="518" width="12.88671875" style="312" bestFit="1" customWidth="1"/>
    <col min="519" max="519" width="14" style="312" customWidth="1"/>
    <col min="520" max="520" width="9.6640625" style="312" customWidth="1"/>
    <col min="521" max="521" width="11.5546875" style="312" customWidth="1"/>
    <col min="522" max="522" width="10.44140625" style="312" customWidth="1"/>
    <col min="523" max="523" width="9.44140625" style="312" bestFit="1" customWidth="1"/>
    <col min="524" max="524" width="18.44140625" style="312" customWidth="1"/>
    <col min="525" max="525" width="11.5546875" style="312"/>
    <col min="526" max="526" width="14.109375" style="312" bestFit="1" customWidth="1"/>
    <col min="527" max="768" width="11.5546875" style="312"/>
    <col min="769" max="769" width="1.6640625" style="312" customWidth="1"/>
    <col min="770" max="770" width="6" style="312" bestFit="1" customWidth="1"/>
    <col min="771" max="771" width="8.6640625" style="312" customWidth="1"/>
    <col min="772" max="772" width="48.44140625" style="312" customWidth="1"/>
    <col min="773" max="773" width="14.33203125" style="312" customWidth="1"/>
    <col min="774" max="774" width="12.88671875" style="312" bestFit="1" customWidth="1"/>
    <col min="775" max="775" width="14" style="312" customWidth="1"/>
    <col min="776" max="776" width="9.6640625" style="312" customWidth="1"/>
    <col min="777" max="777" width="11.5546875" style="312" customWidth="1"/>
    <col min="778" max="778" width="10.44140625" style="312" customWidth="1"/>
    <col min="779" max="779" width="9.44140625" style="312" bestFit="1" customWidth="1"/>
    <col min="780" max="780" width="18.44140625" style="312" customWidth="1"/>
    <col min="781" max="781" width="11.5546875" style="312"/>
    <col min="782" max="782" width="14.109375" style="312" bestFit="1" customWidth="1"/>
    <col min="783" max="1024" width="11.5546875" style="312"/>
    <col min="1025" max="1025" width="1.6640625" style="312" customWidth="1"/>
    <col min="1026" max="1026" width="6" style="312" bestFit="1" customWidth="1"/>
    <col min="1027" max="1027" width="8.6640625" style="312" customWidth="1"/>
    <col min="1028" max="1028" width="48.44140625" style="312" customWidth="1"/>
    <col min="1029" max="1029" width="14.33203125" style="312" customWidth="1"/>
    <col min="1030" max="1030" width="12.88671875" style="312" bestFit="1" customWidth="1"/>
    <col min="1031" max="1031" width="14" style="312" customWidth="1"/>
    <col min="1032" max="1032" width="9.6640625" style="312" customWidth="1"/>
    <col min="1033" max="1033" width="11.5546875" style="312" customWidth="1"/>
    <col min="1034" max="1034" width="10.44140625" style="312" customWidth="1"/>
    <col min="1035" max="1035" width="9.44140625" style="312" bestFit="1" customWidth="1"/>
    <col min="1036" max="1036" width="18.44140625" style="312" customWidth="1"/>
    <col min="1037" max="1037" width="11.5546875" style="312"/>
    <col min="1038" max="1038" width="14.109375" style="312" bestFit="1" customWidth="1"/>
    <col min="1039" max="1280" width="11.5546875" style="312"/>
    <col min="1281" max="1281" width="1.6640625" style="312" customWidth="1"/>
    <col min="1282" max="1282" width="6" style="312" bestFit="1" customWidth="1"/>
    <col min="1283" max="1283" width="8.6640625" style="312" customWidth="1"/>
    <col min="1284" max="1284" width="48.44140625" style="312" customWidth="1"/>
    <col min="1285" max="1285" width="14.33203125" style="312" customWidth="1"/>
    <col min="1286" max="1286" width="12.88671875" style="312" bestFit="1" customWidth="1"/>
    <col min="1287" max="1287" width="14" style="312" customWidth="1"/>
    <col min="1288" max="1288" width="9.6640625" style="312" customWidth="1"/>
    <col min="1289" max="1289" width="11.5546875" style="312" customWidth="1"/>
    <col min="1290" max="1290" width="10.44140625" style="312" customWidth="1"/>
    <col min="1291" max="1291" width="9.44140625" style="312" bestFit="1" customWidth="1"/>
    <col min="1292" max="1292" width="18.44140625" style="312" customWidth="1"/>
    <col min="1293" max="1293" width="11.5546875" style="312"/>
    <col min="1294" max="1294" width="14.109375" style="312" bestFit="1" customWidth="1"/>
    <col min="1295" max="1536" width="11.5546875" style="312"/>
    <col min="1537" max="1537" width="1.6640625" style="312" customWidth="1"/>
    <col min="1538" max="1538" width="6" style="312" bestFit="1" customWidth="1"/>
    <col min="1539" max="1539" width="8.6640625" style="312" customWidth="1"/>
    <col min="1540" max="1540" width="48.44140625" style="312" customWidth="1"/>
    <col min="1541" max="1541" width="14.33203125" style="312" customWidth="1"/>
    <col min="1542" max="1542" width="12.88671875" style="312" bestFit="1" customWidth="1"/>
    <col min="1543" max="1543" width="14" style="312" customWidth="1"/>
    <col min="1544" max="1544" width="9.6640625" style="312" customWidth="1"/>
    <col min="1545" max="1545" width="11.5546875" style="312" customWidth="1"/>
    <col min="1546" max="1546" width="10.44140625" style="312" customWidth="1"/>
    <col min="1547" max="1547" width="9.44140625" style="312" bestFit="1" customWidth="1"/>
    <col min="1548" max="1548" width="18.44140625" style="312" customWidth="1"/>
    <col min="1549" max="1549" width="11.5546875" style="312"/>
    <col min="1550" max="1550" width="14.109375" style="312" bestFit="1" customWidth="1"/>
    <col min="1551" max="1792" width="11.5546875" style="312"/>
    <col min="1793" max="1793" width="1.6640625" style="312" customWidth="1"/>
    <col min="1794" max="1794" width="6" style="312" bestFit="1" customWidth="1"/>
    <col min="1795" max="1795" width="8.6640625" style="312" customWidth="1"/>
    <col min="1796" max="1796" width="48.44140625" style="312" customWidth="1"/>
    <col min="1797" max="1797" width="14.33203125" style="312" customWidth="1"/>
    <col min="1798" max="1798" width="12.88671875" style="312" bestFit="1" customWidth="1"/>
    <col min="1799" max="1799" width="14" style="312" customWidth="1"/>
    <col min="1800" max="1800" width="9.6640625" style="312" customWidth="1"/>
    <col min="1801" max="1801" width="11.5546875" style="312" customWidth="1"/>
    <col min="1802" max="1802" width="10.44140625" style="312" customWidth="1"/>
    <col min="1803" max="1803" width="9.44140625" style="312" bestFit="1" customWidth="1"/>
    <col min="1804" max="1804" width="18.44140625" style="312" customWidth="1"/>
    <col min="1805" max="1805" width="11.5546875" style="312"/>
    <col min="1806" max="1806" width="14.109375" style="312" bestFit="1" customWidth="1"/>
    <col min="1807" max="2048" width="11.5546875" style="312"/>
    <col min="2049" max="2049" width="1.6640625" style="312" customWidth="1"/>
    <col min="2050" max="2050" width="6" style="312" bestFit="1" customWidth="1"/>
    <col min="2051" max="2051" width="8.6640625" style="312" customWidth="1"/>
    <col min="2052" max="2052" width="48.44140625" style="312" customWidth="1"/>
    <col min="2053" max="2053" width="14.33203125" style="312" customWidth="1"/>
    <col min="2054" max="2054" width="12.88671875" style="312" bestFit="1" customWidth="1"/>
    <col min="2055" max="2055" width="14" style="312" customWidth="1"/>
    <col min="2056" max="2056" width="9.6640625" style="312" customWidth="1"/>
    <col min="2057" max="2057" width="11.5546875" style="312" customWidth="1"/>
    <col min="2058" max="2058" width="10.44140625" style="312" customWidth="1"/>
    <col min="2059" max="2059" width="9.44140625" style="312" bestFit="1" customWidth="1"/>
    <col min="2060" max="2060" width="18.44140625" style="312" customWidth="1"/>
    <col min="2061" max="2061" width="11.5546875" style="312"/>
    <col min="2062" max="2062" width="14.109375" style="312" bestFit="1" customWidth="1"/>
    <col min="2063" max="2304" width="11.5546875" style="312"/>
    <col min="2305" max="2305" width="1.6640625" style="312" customWidth="1"/>
    <col min="2306" max="2306" width="6" style="312" bestFit="1" customWidth="1"/>
    <col min="2307" max="2307" width="8.6640625" style="312" customWidth="1"/>
    <col min="2308" max="2308" width="48.44140625" style="312" customWidth="1"/>
    <col min="2309" max="2309" width="14.33203125" style="312" customWidth="1"/>
    <col min="2310" max="2310" width="12.88671875" style="312" bestFit="1" customWidth="1"/>
    <col min="2311" max="2311" width="14" style="312" customWidth="1"/>
    <col min="2312" max="2312" width="9.6640625" style="312" customWidth="1"/>
    <col min="2313" max="2313" width="11.5546875" style="312" customWidth="1"/>
    <col min="2314" max="2314" width="10.44140625" style="312" customWidth="1"/>
    <col min="2315" max="2315" width="9.44140625" style="312" bestFit="1" customWidth="1"/>
    <col min="2316" max="2316" width="18.44140625" style="312" customWidth="1"/>
    <col min="2317" max="2317" width="11.5546875" style="312"/>
    <col min="2318" max="2318" width="14.109375" style="312" bestFit="1" customWidth="1"/>
    <col min="2319" max="2560" width="11.5546875" style="312"/>
    <col min="2561" max="2561" width="1.6640625" style="312" customWidth="1"/>
    <col min="2562" max="2562" width="6" style="312" bestFit="1" customWidth="1"/>
    <col min="2563" max="2563" width="8.6640625" style="312" customWidth="1"/>
    <col min="2564" max="2564" width="48.44140625" style="312" customWidth="1"/>
    <col min="2565" max="2565" width="14.33203125" style="312" customWidth="1"/>
    <col min="2566" max="2566" width="12.88671875" style="312" bestFit="1" customWidth="1"/>
    <col min="2567" max="2567" width="14" style="312" customWidth="1"/>
    <col min="2568" max="2568" width="9.6640625" style="312" customWidth="1"/>
    <col min="2569" max="2569" width="11.5546875" style="312" customWidth="1"/>
    <col min="2570" max="2570" width="10.44140625" style="312" customWidth="1"/>
    <col min="2571" max="2571" width="9.44140625" style="312" bestFit="1" customWidth="1"/>
    <col min="2572" max="2572" width="18.44140625" style="312" customWidth="1"/>
    <col min="2573" max="2573" width="11.5546875" style="312"/>
    <col min="2574" max="2574" width="14.109375" style="312" bestFit="1" customWidth="1"/>
    <col min="2575" max="2816" width="11.5546875" style="312"/>
    <col min="2817" max="2817" width="1.6640625" style="312" customWidth="1"/>
    <col min="2818" max="2818" width="6" style="312" bestFit="1" customWidth="1"/>
    <col min="2819" max="2819" width="8.6640625" style="312" customWidth="1"/>
    <col min="2820" max="2820" width="48.44140625" style="312" customWidth="1"/>
    <col min="2821" max="2821" width="14.33203125" style="312" customWidth="1"/>
    <col min="2822" max="2822" width="12.88671875" style="312" bestFit="1" customWidth="1"/>
    <col min="2823" max="2823" width="14" style="312" customWidth="1"/>
    <col min="2824" max="2824" width="9.6640625" style="312" customWidth="1"/>
    <col min="2825" max="2825" width="11.5546875" style="312" customWidth="1"/>
    <col min="2826" max="2826" width="10.44140625" style="312" customWidth="1"/>
    <col min="2827" max="2827" width="9.44140625" style="312" bestFit="1" customWidth="1"/>
    <col min="2828" max="2828" width="18.44140625" style="312" customWidth="1"/>
    <col min="2829" max="2829" width="11.5546875" style="312"/>
    <col min="2830" max="2830" width="14.109375" style="312" bestFit="1" customWidth="1"/>
    <col min="2831" max="3072" width="11.5546875" style="312"/>
    <col min="3073" max="3073" width="1.6640625" style="312" customWidth="1"/>
    <col min="3074" max="3074" width="6" style="312" bestFit="1" customWidth="1"/>
    <col min="3075" max="3075" width="8.6640625" style="312" customWidth="1"/>
    <col min="3076" max="3076" width="48.44140625" style="312" customWidth="1"/>
    <col min="3077" max="3077" width="14.33203125" style="312" customWidth="1"/>
    <col min="3078" max="3078" width="12.88671875" style="312" bestFit="1" customWidth="1"/>
    <col min="3079" max="3079" width="14" style="312" customWidth="1"/>
    <col min="3080" max="3080" width="9.6640625" style="312" customWidth="1"/>
    <col min="3081" max="3081" width="11.5546875" style="312" customWidth="1"/>
    <col min="3082" max="3082" width="10.44140625" style="312" customWidth="1"/>
    <col min="3083" max="3083" width="9.44140625" style="312" bestFit="1" customWidth="1"/>
    <col min="3084" max="3084" width="18.44140625" style="312" customWidth="1"/>
    <col min="3085" max="3085" width="11.5546875" style="312"/>
    <col min="3086" max="3086" width="14.109375" style="312" bestFit="1" customWidth="1"/>
    <col min="3087" max="3328" width="11.5546875" style="312"/>
    <col min="3329" max="3329" width="1.6640625" style="312" customWidth="1"/>
    <col min="3330" max="3330" width="6" style="312" bestFit="1" customWidth="1"/>
    <col min="3331" max="3331" width="8.6640625" style="312" customWidth="1"/>
    <col min="3332" max="3332" width="48.44140625" style="312" customWidth="1"/>
    <col min="3333" max="3333" width="14.33203125" style="312" customWidth="1"/>
    <col min="3334" max="3334" width="12.88671875" style="312" bestFit="1" customWidth="1"/>
    <col min="3335" max="3335" width="14" style="312" customWidth="1"/>
    <col min="3336" max="3336" width="9.6640625" style="312" customWidth="1"/>
    <col min="3337" max="3337" width="11.5546875" style="312" customWidth="1"/>
    <col min="3338" max="3338" width="10.44140625" style="312" customWidth="1"/>
    <col min="3339" max="3339" width="9.44140625" style="312" bestFit="1" customWidth="1"/>
    <col min="3340" max="3340" width="18.44140625" style="312" customWidth="1"/>
    <col min="3341" max="3341" width="11.5546875" style="312"/>
    <col min="3342" max="3342" width="14.109375" style="312" bestFit="1" customWidth="1"/>
    <col min="3343" max="3584" width="11.5546875" style="312"/>
    <col min="3585" max="3585" width="1.6640625" style="312" customWidth="1"/>
    <col min="3586" max="3586" width="6" style="312" bestFit="1" customWidth="1"/>
    <col min="3587" max="3587" width="8.6640625" style="312" customWidth="1"/>
    <col min="3588" max="3588" width="48.44140625" style="312" customWidth="1"/>
    <col min="3589" max="3589" width="14.33203125" style="312" customWidth="1"/>
    <col min="3590" max="3590" width="12.88671875" style="312" bestFit="1" customWidth="1"/>
    <col min="3591" max="3591" width="14" style="312" customWidth="1"/>
    <col min="3592" max="3592" width="9.6640625" style="312" customWidth="1"/>
    <col min="3593" max="3593" width="11.5546875" style="312" customWidth="1"/>
    <col min="3594" max="3594" width="10.44140625" style="312" customWidth="1"/>
    <col min="3595" max="3595" width="9.44140625" style="312" bestFit="1" customWidth="1"/>
    <col min="3596" max="3596" width="18.44140625" style="312" customWidth="1"/>
    <col min="3597" max="3597" width="11.5546875" style="312"/>
    <col min="3598" max="3598" width="14.109375" style="312" bestFit="1" customWidth="1"/>
    <col min="3599" max="3840" width="11.5546875" style="312"/>
    <col min="3841" max="3841" width="1.6640625" style="312" customWidth="1"/>
    <col min="3842" max="3842" width="6" style="312" bestFit="1" customWidth="1"/>
    <col min="3843" max="3843" width="8.6640625" style="312" customWidth="1"/>
    <col min="3844" max="3844" width="48.44140625" style="312" customWidth="1"/>
    <col min="3845" max="3845" width="14.33203125" style="312" customWidth="1"/>
    <col min="3846" max="3846" width="12.88671875" style="312" bestFit="1" customWidth="1"/>
    <col min="3847" max="3847" width="14" style="312" customWidth="1"/>
    <col min="3848" max="3848" width="9.6640625" style="312" customWidth="1"/>
    <col min="3849" max="3849" width="11.5546875" style="312" customWidth="1"/>
    <col min="3850" max="3850" width="10.44140625" style="312" customWidth="1"/>
    <col min="3851" max="3851" width="9.44140625" style="312" bestFit="1" customWidth="1"/>
    <col min="3852" max="3852" width="18.44140625" style="312" customWidth="1"/>
    <col min="3853" max="3853" width="11.5546875" style="312"/>
    <col min="3854" max="3854" width="14.109375" style="312" bestFit="1" customWidth="1"/>
    <col min="3855" max="4096" width="11.5546875" style="312"/>
    <col min="4097" max="4097" width="1.6640625" style="312" customWidth="1"/>
    <col min="4098" max="4098" width="6" style="312" bestFit="1" customWidth="1"/>
    <col min="4099" max="4099" width="8.6640625" style="312" customWidth="1"/>
    <col min="4100" max="4100" width="48.44140625" style="312" customWidth="1"/>
    <col min="4101" max="4101" width="14.33203125" style="312" customWidth="1"/>
    <col min="4102" max="4102" width="12.88671875" style="312" bestFit="1" customWidth="1"/>
    <col min="4103" max="4103" width="14" style="312" customWidth="1"/>
    <col min="4104" max="4104" width="9.6640625" style="312" customWidth="1"/>
    <col min="4105" max="4105" width="11.5546875" style="312" customWidth="1"/>
    <col min="4106" max="4106" width="10.44140625" style="312" customWidth="1"/>
    <col min="4107" max="4107" width="9.44140625" style="312" bestFit="1" customWidth="1"/>
    <col min="4108" max="4108" width="18.44140625" style="312" customWidth="1"/>
    <col min="4109" max="4109" width="11.5546875" style="312"/>
    <col min="4110" max="4110" width="14.109375" style="312" bestFit="1" customWidth="1"/>
    <col min="4111" max="4352" width="11.5546875" style="312"/>
    <col min="4353" max="4353" width="1.6640625" style="312" customWidth="1"/>
    <col min="4354" max="4354" width="6" style="312" bestFit="1" customWidth="1"/>
    <col min="4355" max="4355" width="8.6640625" style="312" customWidth="1"/>
    <col min="4356" max="4356" width="48.44140625" style="312" customWidth="1"/>
    <col min="4357" max="4357" width="14.33203125" style="312" customWidth="1"/>
    <col min="4358" max="4358" width="12.88671875" style="312" bestFit="1" customWidth="1"/>
    <col min="4359" max="4359" width="14" style="312" customWidth="1"/>
    <col min="4360" max="4360" width="9.6640625" style="312" customWidth="1"/>
    <col min="4361" max="4361" width="11.5546875" style="312" customWidth="1"/>
    <col min="4362" max="4362" width="10.44140625" style="312" customWidth="1"/>
    <col min="4363" max="4363" width="9.44140625" style="312" bestFit="1" customWidth="1"/>
    <col min="4364" max="4364" width="18.44140625" style="312" customWidth="1"/>
    <col min="4365" max="4365" width="11.5546875" style="312"/>
    <col min="4366" max="4366" width="14.109375" style="312" bestFit="1" customWidth="1"/>
    <col min="4367" max="4608" width="11.5546875" style="312"/>
    <col min="4609" max="4609" width="1.6640625" style="312" customWidth="1"/>
    <col min="4610" max="4610" width="6" style="312" bestFit="1" customWidth="1"/>
    <col min="4611" max="4611" width="8.6640625" style="312" customWidth="1"/>
    <col min="4612" max="4612" width="48.44140625" style="312" customWidth="1"/>
    <col min="4613" max="4613" width="14.33203125" style="312" customWidth="1"/>
    <col min="4614" max="4614" width="12.88671875" style="312" bestFit="1" customWidth="1"/>
    <col min="4615" max="4615" width="14" style="312" customWidth="1"/>
    <col min="4616" max="4616" width="9.6640625" style="312" customWidth="1"/>
    <col min="4617" max="4617" width="11.5546875" style="312" customWidth="1"/>
    <col min="4618" max="4618" width="10.44140625" style="312" customWidth="1"/>
    <col min="4619" max="4619" width="9.44140625" style="312" bestFit="1" customWidth="1"/>
    <col min="4620" max="4620" width="18.44140625" style="312" customWidth="1"/>
    <col min="4621" max="4621" width="11.5546875" style="312"/>
    <col min="4622" max="4622" width="14.109375" style="312" bestFit="1" customWidth="1"/>
    <col min="4623" max="4864" width="11.5546875" style="312"/>
    <col min="4865" max="4865" width="1.6640625" style="312" customWidth="1"/>
    <col min="4866" max="4866" width="6" style="312" bestFit="1" customWidth="1"/>
    <col min="4867" max="4867" width="8.6640625" style="312" customWidth="1"/>
    <col min="4868" max="4868" width="48.44140625" style="312" customWidth="1"/>
    <col min="4869" max="4869" width="14.33203125" style="312" customWidth="1"/>
    <col min="4870" max="4870" width="12.88671875" style="312" bestFit="1" customWidth="1"/>
    <col min="4871" max="4871" width="14" style="312" customWidth="1"/>
    <col min="4872" max="4872" width="9.6640625" style="312" customWidth="1"/>
    <col min="4873" max="4873" width="11.5546875" style="312" customWidth="1"/>
    <col min="4874" max="4874" width="10.44140625" style="312" customWidth="1"/>
    <col min="4875" max="4875" width="9.44140625" style="312" bestFit="1" customWidth="1"/>
    <col min="4876" max="4876" width="18.44140625" style="312" customWidth="1"/>
    <col min="4877" max="4877" width="11.5546875" style="312"/>
    <col min="4878" max="4878" width="14.109375" style="312" bestFit="1" customWidth="1"/>
    <col min="4879" max="5120" width="11.5546875" style="312"/>
    <col min="5121" max="5121" width="1.6640625" style="312" customWidth="1"/>
    <col min="5122" max="5122" width="6" style="312" bestFit="1" customWidth="1"/>
    <col min="5123" max="5123" width="8.6640625" style="312" customWidth="1"/>
    <col min="5124" max="5124" width="48.44140625" style="312" customWidth="1"/>
    <col min="5125" max="5125" width="14.33203125" style="312" customWidth="1"/>
    <col min="5126" max="5126" width="12.88671875" style="312" bestFit="1" customWidth="1"/>
    <col min="5127" max="5127" width="14" style="312" customWidth="1"/>
    <col min="5128" max="5128" width="9.6640625" style="312" customWidth="1"/>
    <col min="5129" max="5129" width="11.5546875" style="312" customWidth="1"/>
    <col min="5130" max="5130" width="10.44140625" style="312" customWidth="1"/>
    <col min="5131" max="5131" width="9.44140625" style="312" bestFit="1" customWidth="1"/>
    <col min="5132" max="5132" width="18.44140625" style="312" customWidth="1"/>
    <col min="5133" max="5133" width="11.5546875" style="312"/>
    <col min="5134" max="5134" width="14.109375" style="312" bestFit="1" customWidth="1"/>
    <col min="5135" max="5376" width="11.5546875" style="312"/>
    <col min="5377" max="5377" width="1.6640625" style="312" customWidth="1"/>
    <col min="5378" max="5378" width="6" style="312" bestFit="1" customWidth="1"/>
    <col min="5379" max="5379" width="8.6640625" style="312" customWidth="1"/>
    <col min="5380" max="5380" width="48.44140625" style="312" customWidth="1"/>
    <col min="5381" max="5381" width="14.33203125" style="312" customWidth="1"/>
    <col min="5382" max="5382" width="12.88671875" style="312" bestFit="1" customWidth="1"/>
    <col min="5383" max="5383" width="14" style="312" customWidth="1"/>
    <col min="5384" max="5384" width="9.6640625" style="312" customWidth="1"/>
    <col min="5385" max="5385" width="11.5546875" style="312" customWidth="1"/>
    <col min="5386" max="5386" width="10.44140625" style="312" customWidth="1"/>
    <col min="5387" max="5387" width="9.44140625" style="312" bestFit="1" customWidth="1"/>
    <col min="5388" max="5388" width="18.44140625" style="312" customWidth="1"/>
    <col min="5389" max="5389" width="11.5546875" style="312"/>
    <col min="5390" max="5390" width="14.109375" style="312" bestFit="1" customWidth="1"/>
    <col min="5391" max="5632" width="11.5546875" style="312"/>
    <col min="5633" max="5633" width="1.6640625" style="312" customWidth="1"/>
    <col min="5634" max="5634" width="6" style="312" bestFit="1" customWidth="1"/>
    <col min="5635" max="5635" width="8.6640625" style="312" customWidth="1"/>
    <col min="5636" max="5636" width="48.44140625" style="312" customWidth="1"/>
    <col min="5637" max="5637" width="14.33203125" style="312" customWidth="1"/>
    <col min="5638" max="5638" width="12.88671875" style="312" bestFit="1" customWidth="1"/>
    <col min="5639" max="5639" width="14" style="312" customWidth="1"/>
    <col min="5640" max="5640" width="9.6640625" style="312" customWidth="1"/>
    <col min="5641" max="5641" width="11.5546875" style="312" customWidth="1"/>
    <col min="5642" max="5642" width="10.44140625" style="312" customWidth="1"/>
    <col min="5643" max="5643" width="9.44140625" style="312" bestFit="1" customWidth="1"/>
    <col min="5644" max="5644" width="18.44140625" style="312" customWidth="1"/>
    <col min="5645" max="5645" width="11.5546875" style="312"/>
    <col min="5646" max="5646" width="14.109375" style="312" bestFit="1" customWidth="1"/>
    <col min="5647" max="5888" width="11.5546875" style="312"/>
    <col min="5889" max="5889" width="1.6640625" style="312" customWidth="1"/>
    <col min="5890" max="5890" width="6" style="312" bestFit="1" customWidth="1"/>
    <col min="5891" max="5891" width="8.6640625" style="312" customWidth="1"/>
    <col min="5892" max="5892" width="48.44140625" style="312" customWidth="1"/>
    <col min="5893" max="5893" width="14.33203125" style="312" customWidth="1"/>
    <col min="5894" max="5894" width="12.88671875" style="312" bestFit="1" customWidth="1"/>
    <col min="5895" max="5895" width="14" style="312" customWidth="1"/>
    <col min="5896" max="5896" width="9.6640625" style="312" customWidth="1"/>
    <col min="5897" max="5897" width="11.5546875" style="312" customWidth="1"/>
    <col min="5898" max="5898" width="10.44140625" style="312" customWidth="1"/>
    <col min="5899" max="5899" width="9.44140625" style="312" bestFit="1" customWidth="1"/>
    <col min="5900" max="5900" width="18.44140625" style="312" customWidth="1"/>
    <col min="5901" max="5901" width="11.5546875" style="312"/>
    <col min="5902" max="5902" width="14.109375" style="312" bestFit="1" customWidth="1"/>
    <col min="5903" max="6144" width="11.5546875" style="312"/>
    <col min="6145" max="6145" width="1.6640625" style="312" customWidth="1"/>
    <col min="6146" max="6146" width="6" style="312" bestFit="1" customWidth="1"/>
    <col min="6147" max="6147" width="8.6640625" style="312" customWidth="1"/>
    <col min="6148" max="6148" width="48.44140625" style="312" customWidth="1"/>
    <col min="6149" max="6149" width="14.33203125" style="312" customWidth="1"/>
    <col min="6150" max="6150" width="12.88671875" style="312" bestFit="1" customWidth="1"/>
    <col min="6151" max="6151" width="14" style="312" customWidth="1"/>
    <col min="6152" max="6152" width="9.6640625" style="312" customWidth="1"/>
    <col min="6153" max="6153" width="11.5546875" style="312" customWidth="1"/>
    <col min="6154" max="6154" width="10.44140625" style="312" customWidth="1"/>
    <col min="6155" max="6155" width="9.44140625" style="312" bestFit="1" customWidth="1"/>
    <col min="6156" max="6156" width="18.44140625" style="312" customWidth="1"/>
    <col min="6157" max="6157" width="11.5546875" style="312"/>
    <col min="6158" max="6158" width="14.109375" style="312" bestFit="1" customWidth="1"/>
    <col min="6159" max="6400" width="11.5546875" style="312"/>
    <col min="6401" max="6401" width="1.6640625" style="312" customWidth="1"/>
    <col min="6402" max="6402" width="6" style="312" bestFit="1" customWidth="1"/>
    <col min="6403" max="6403" width="8.6640625" style="312" customWidth="1"/>
    <col min="6404" max="6404" width="48.44140625" style="312" customWidth="1"/>
    <col min="6405" max="6405" width="14.33203125" style="312" customWidth="1"/>
    <col min="6406" max="6406" width="12.88671875" style="312" bestFit="1" customWidth="1"/>
    <col min="6407" max="6407" width="14" style="312" customWidth="1"/>
    <col min="6408" max="6408" width="9.6640625" style="312" customWidth="1"/>
    <col min="6409" max="6409" width="11.5546875" style="312" customWidth="1"/>
    <col min="6410" max="6410" width="10.44140625" style="312" customWidth="1"/>
    <col min="6411" max="6411" width="9.44140625" style="312" bestFit="1" customWidth="1"/>
    <col min="6412" max="6412" width="18.44140625" style="312" customWidth="1"/>
    <col min="6413" max="6413" width="11.5546875" style="312"/>
    <col min="6414" max="6414" width="14.109375" style="312" bestFit="1" customWidth="1"/>
    <col min="6415" max="6656" width="11.5546875" style="312"/>
    <col min="6657" max="6657" width="1.6640625" style="312" customWidth="1"/>
    <col min="6658" max="6658" width="6" style="312" bestFit="1" customWidth="1"/>
    <col min="6659" max="6659" width="8.6640625" style="312" customWidth="1"/>
    <col min="6660" max="6660" width="48.44140625" style="312" customWidth="1"/>
    <col min="6661" max="6661" width="14.33203125" style="312" customWidth="1"/>
    <col min="6662" max="6662" width="12.88671875" style="312" bestFit="1" customWidth="1"/>
    <col min="6663" max="6663" width="14" style="312" customWidth="1"/>
    <col min="6664" max="6664" width="9.6640625" style="312" customWidth="1"/>
    <col min="6665" max="6665" width="11.5546875" style="312" customWidth="1"/>
    <col min="6666" max="6666" width="10.44140625" style="312" customWidth="1"/>
    <col min="6667" max="6667" width="9.44140625" style="312" bestFit="1" customWidth="1"/>
    <col min="6668" max="6668" width="18.44140625" style="312" customWidth="1"/>
    <col min="6669" max="6669" width="11.5546875" style="312"/>
    <col min="6670" max="6670" width="14.109375" style="312" bestFit="1" customWidth="1"/>
    <col min="6671" max="6912" width="11.5546875" style="312"/>
    <col min="6913" max="6913" width="1.6640625" style="312" customWidth="1"/>
    <col min="6914" max="6914" width="6" style="312" bestFit="1" customWidth="1"/>
    <col min="6915" max="6915" width="8.6640625" style="312" customWidth="1"/>
    <col min="6916" max="6916" width="48.44140625" style="312" customWidth="1"/>
    <col min="6917" max="6917" width="14.33203125" style="312" customWidth="1"/>
    <col min="6918" max="6918" width="12.88671875" style="312" bestFit="1" customWidth="1"/>
    <col min="6919" max="6919" width="14" style="312" customWidth="1"/>
    <col min="6920" max="6920" width="9.6640625" style="312" customWidth="1"/>
    <col min="6921" max="6921" width="11.5546875" style="312" customWidth="1"/>
    <col min="6922" max="6922" width="10.44140625" style="312" customWidth="1"/>
    <col min="6923" max="6923" width="9.44140625" style="312" bestFit="1" customWidth="1"/>
    <col min="6924" max="6924" width="18.44140625" style="312" customWidth="1"/>
    <col min="6925" max="6925" width="11.5546875" style="312"/>
    <col min="6926" max="6926" width="14.109375" style="312" bestFit="1" customWidth="1"/>
    <col min="6927" max="7168" width="11.5546875" style="312"/>
    <col min="7169" max="7169" width="1.6640625" style="312" customWidth="1"/>
    <col min="7170" max="7170" width="6" style="312" bestFit="1" customWidth="1"/>
    <col min="7171" max="7171" width="8.6640625" style="312" customWidth="1"/>
    <col min="7172" max="7172" width="48.44140625" style="312" customWidth="1"/>
    <col min="7173" max="7173" width="14.33203125" style="312" customWidth="1"/>
    <col min="7174" max="7174" width="12.88671875" style="312" bestFit="1" customWidth="1"/>
    <col min="7175" max="7175" width="14" style="312" customWidth="1"/>
    <col min="7176" max="7176" width="9.6640625" style="312" customWidth="1"/>
    <col min="7177" max="7177" width="11.5546875" style="312" customWidth="1"/>
    <col min="7178" max="7178" width="10.44140625" style="312" customWidth="1"/>
    <col min="7179" max="7179" width="9.44140625" style="312" bestFit="1" customWidth="1"/>
    <col min="7180" max="7180" width="18.44140625" style="312" customWidth="1"/>
    <col min="7181" max="7181" width="11.5546875" style="312"/>
    <col min="7182" max="7182" width="14.109375" style="312" bestFit="1" customWidth="1"/>
    <col min="7183" max="7424" width="11.5546875" style="312"/>
    <col min="7425" max="7425" width="1.6640625" style="312" customWidth="1"/>
    <col min="7426" max="7426" width="6" style="312" bestFit="1" customWidth="1"/>
    <col min="7427" max="7427" width="8.6640625" style="312" customWidth="1"/>
    <col min="7428" max="7428" width="48.44140625" style="312" customWidth="1"/>
    <col min="7429" max="7429" width="14.33203125" style="312" customWidth="1"/>
    <col min="7430" max="7430" width="12.88671875" style="312" bestFit="1" customWidth="1"/>
    <col min="7431" max="7431" width="14" style="312" customWidth="1"/>
    <col min="7432" max="7432" width="9.6640625" style="312" customWidth="1"/>
    <col min="7433" max="7433" width="11.5546875" style="312" customWidth="1"/>
    <col min="7434" max="7434" width="10.44140625" style="312" customWidth="1"/>
    <col min="7435" max="7435" width="9.44140625" style="312" bestFit="1" customWidth="1"/>
    <col min="7436" max="7436" width="18.44140625" style="312" customWidth="1"/>
    <col min="7437" max="7437" width="11.5546875" style="312"/>
    <col min="7438" max="7438" width="14.109375" style="312" bestFit="1" customWidth="1"/>
    <col min="7439" max="7680" width="11.5546875" style="312"/>
    <col min="7681" max="7681" width="1.6640625" style="312" customWidth="1"/>
    <col min="7682" max="7682" width="6" style="312" bestFit="1" customWidth="1"/>
    <col min="7683" max="7683" width="8.6640625" style="312" customWidth="1"/>
    <col min="7684" max="7684" width="48.44140625" style="312" customWidth="1"/>
    <col min="7685" max="7685" width="14.33203125" style="312" customWidth="1"/>
    <col min="7686" max="7686" width="12.88671875" style="312" bestFit="1" customWidth="1"/>
    <col min="7687" max="7687" width="14" style="312" customWidth="1"/>
    <col min="7688" max="7688" width="9.6640625" style="312" customWidth="1"/>
    <col min="7689" max="7689" width="11.5546875" style="312" customWidth="1"/>
    <col min="7690" max="7690" width="10.44140625" style="312" customWidth="1"/>
    <col min="7691" max="7691" width="9.44140625" style="312" bestFit="1" customWidth="1"/>
    <col min="7692" max="7692" width="18.44140625" style="312" customWidth="1"/>
    <col min="7693" max="7693" width="11.5546875" style="312"/>
    <col min="7694" max="7694" width="14.109375" style="312" bestFit="1" customWidth="1"/>
    <col min="7695" max="7936" width="11.5546875" style="312"/>
    <col min="7937" max="7937" width="1.6640625" style="312" customWidth="1"/>
    <col min="7938" max="7938" width="6" style="312" bestFit="1" customWidth="1"/>
    <col min="7939" max="7939" width="8.6640625" style="312" customWidth="1"/>
    <col min="7940" max="7940" width="48.44140625" style="312" customWidth="1"/>
    <col min="7941" max="7941" width="14.33203125" style="312" customWidth="1"/>
    <col min="7942" max="7942" width="12.88671875" style="312" bestFit="1" customWidth="1"/>
    <col min="7943" max="7943" width="14" style="312" customWidth="1"/>
    <col min="7944" max="7944" width="9.6640625" style="312" customWidth="1"/>
    <col min="7945" max="7945" width="11.5546875" style="312" customWidth="1"/>
    <col min="7946" max="7946" width="10.44140625" style="312" customWidth="1"/>
    <col min="7947" max="7947" width="9.44140625" style="312" bestFit="1" customWidth="1"/>
    <col min="7948" max="7948" width="18.44140625" style="312" customWidth="1"/>
    <col min="7949" max="7949" width="11.5546875" style="312"/>
    <col min="7950" max="7950" width="14.109375" style="312" bestFit="1" customWidth="1"/>
    <col min="7951" max="8192" width="11.5546875" style="312"/>
    <col min="8193" max="8193" width="1.6640625" style="312" customWidth="1"/>
    <col min="8194" max="8194" width="6" style="312" bestFit="1" customWidth="1"/>
    <col min="8195" max="8195" width="8.6640625" style="312" customWidth="1"/>
    <col min="8196" max="8196" width="48.44140625" style="312" customWidth="1"/>
    <col min="8197" max="8197" width="14.33203125" style="312" customWidth="1"/>
    <col min="8198" max="8198" width="12.88671875" style="312" bestFit="1" customWidth="1"/>
    <col min="8199" max="8199" width="14" style="312" customWidth="1"/>
    <col min="8200" max="8200" width="9.6640625" style="312" customWidth="1"/>
    <col min="8201" max="8201" width="11.5546875" style="312" customWidth="1"/>
    <col min="8202" max="8202" width="10.44140625" style="312" customWidth="1"/>
    <col min="8203" max="8203" width="9.44140625" style="312" bestFit="1" customWidth="1"/>
    <col min="8204" max="8204" width="18.44140625" style="312" customWidth="1"/>
    <col min="8205" max="8205" width="11.5546875" style="312"/>
    <col min="8206" max="8206" width="14.109375" style="312" bestFit="1" customWidth="1"/>
    <col min="8207" max="8448" width="11.5546875" style="312"/>
    <col min="8449" max="8449" width="1.6640625" style="312" customWidth="1"/>
    <col min="8450" max="8450" width="6" style="312" bestFit="1" customWidth="1"/>
    <col min="8451" max="8451" width="8.6640625" style="312" customWidth="1"/>
    <col min="8452" max="8452" width="48.44140625" style="312" customWidth="1"/>
    <col min="8453" max="8453" width="14.33203125" style="312" customWidth="1"/>
    <col min="8454" max="8454" width="12.88671875" style="312" bestFit="1" customWidth="1"/>
    <col min="8455" max="8455" width="14" style="312" customWidth="1"/>
    <col min="8456" max="8456" width="9.6640625" style="312" customWidth="1"/>
    <col min="8457" max="8457" width="11.5546875" style="312" customWidth="1"/>
    <col min="8458" max="8458" width="10.44140625" style="312" customWidth="1"/>
    <col min="8459" max="8459" width="9.44140625" style="312" bestFit="1" customWidth="1"/>
    <col min="8460" max="8460" width="18.44140625" style="312" customWidth="1"/>
    <col min="8461" max="8461" width="11.5546875" style="312"/>
    <col min="8462" max="8462" width="14.109375" style="312" bestFit="1" customWidth="1"/>
    <col min="8463" max="8704" width="11.5546875" style="312"/>
    <col min="8705" max="8705" width="1.6640625" style="312" customWidth="1"/>
    <col min="8706" max="8706" width="6" style="312" bestFit="1" customWidth="1"/>
    <col min="8707" max="8707" width="8.6640625" style="312" customWidth="1"/>
    <col min="8708" max="8708" width="48.44140625" style="312" customWidth="1"/>
    <col min="8709" max="8709" width="14.33203125" style="312" customWidth="1"/>
    <col min="8710" max="8710" width="12.88671875" style="312" bestFit="1" customWidth="1"/>
    <col min="8711" max="8711" width="14" style="312" customWidth="1"/>
    <col min="8712" max="8712" width="9.6640625" style="312" customWidth="1"/>
    <col min="8713" max="8713" width="11.5546875" style="312" customWidth="1"/>
    <col min="8714" max="8714" width="10.44140625" style="312" customWidth="1"/>
    <col min="8715" max="8715" width="9.44140625" style="312" bestFit="1" customWidth="1"/>
    <col min="8716" max="8716" width="18.44140625" style="312" customWidth="1"/>
    <col min="8717" max="8717" width="11.5546875" style="312"/>
    <col min="8718" max="8718" width="14.109375" style="312" bestFit="1" customWidth="1"/>
    <col min="8719" max="8960" width="11.5546875" style="312"/>
    <col min="8961" max="8961" width="1.6640625" style="312" customWidth="1"/>
    <col min="8962" max="8962" width="6" style="312" bestFit="1" customWidth="1"/>
    <col min="8963" max="8963" width="8.6640625" style="312" customWidth="1"/>
    <col min="8964" max="8964" width="48.44140625" style="312" customWidth="1"/>
    <col min="8965" max="8965" width="14.33203125" style="312" customWidth="1"/>
    <col min="8966" max="8966" width="12.88671875" style="312" bestFit="1" customWidth="1"/>
    <col min="8967" max="8967" width="14" style="312" customWidth="1"/>
    <col min="8968" max="8968" width="9.6640625" style="312" customWidth="1"/>
    <col min="8969" max="8969" width="11.5546875" style="312" customWidth="1"/>
    <col min="8970" max="8970" width="10.44140625" style="312" customWidth="1"/>
    <col min="8971" max="8971" width="9.44140625" style="312" bestFit="1" customWidth="1"/>
    <col min="8972" max="8972" width="18.44140625" style="312" customWidth="1"/>
    <col min="8973" max="8973" width="11.5546875" style="312"/>
    <col min="8974" max="8974" width="14.109375" style="312" bestFit="1" customWidth="1"/>
    <col min="8975" max="9216" width="11.5546875" style="312"/>
    <col min="9217" max="9217" width="1.6640625" style="312" customWidth="1"/>
    <col min="9218" max="9218" width="6" style="312" bestFit="1" customWidth="1"/>
    <col min="9219" max="9219" width="8.6640625" style="312" customWidth="1"/>
    <col min="9220" max="9220" width="48.44140625" style="312" customWidth="1"/>
    <col min="9221" max="9221" width="14.33203125" style="312" customWidth="1"/>
    <col min="9222" max="9222" width="12.88671875" style="312" bestFit="1" customWidth="1"/>
    <col min="9223" max="9223" width="14" style="312" customWidth="1"/>
    <col min="9224" max="9224" width="9.6640625" style="312" customWidth="1"/>
    <col min="9225" max="9225" width="11.5546875" style="312" customWidth="1"/>
    <col min="9226" max="9226" width="10.44140625" style="312" customWidth="1"/>
    <col min="9227" max="9227" width="9.44140625" style="312" bestFit="1" customWidth="1"/>
    <col min="9228" max="9228" width="18.44140625" style="312" customWidth="1"/>
    <col min="9229" max="9229" width="11.5546875" style="312"/>
    <col min="9230" max="9230" width="14.109375" style="312" bestFit="1" customWidth="1"/>
    <col min="9231" max="9472" width="11.5546875" style="312"/>
    <col min="9473" max="9473" width="1.6640625" style="312" customWidth="1"/>
    <col min="9474" max="9474" width="6" style="312" bestFit="1" customWidth="1"/>
    <col min="9475" max="9475" width="8.6640625" style="312" customWidth="1"/>
    <col min="9476" max="9476" width="48.44140625" style="312" customWidth="1"/>
    <col min="9477" max="9477" width="14.33203125" style="312" customWidth="1"/>
    <col min="9478" max="9478" width="12.88671875" style="312" bestFit="1" customWidth="1"/>
    <col min="9479" max="9479" width="14" style="312" customWidth="1"/>
    <col min="9480" max="9480" width="9.6640625" style="312" customWidth="1"/>
    <col min="9481" max="9481" width="11.5546875" style="312" customWidth="1"/>
    <col min="9482" max="9482" width="10.44140625" style="312" customWidth="1"/>
    <col min="9483" max="9483" width="9.44140625" style="312" bestFit="1" customWidth="1"/>
    <col min="9484" max="9484" width="18.44140625" style="312" customWidth="1"/>
    <col min="9485" max="9485" width="11.5546875" style="312"/>
    <col min="9486" max="9486" width="14.109375" style="312" bestFit="1" customWidth="1"/>
    <col min="9487" max="9728" width="11.5546875" style="312"/>
    <col min="9729" max="9729" width="1.6640625" style="312" customWidth="1"/>
    <col min="9730" max="9730" width="6" style="312" bestFit="1" customWidth="1"/>
    <col min="9731" max="9731" width="8.6640625" style="312" customWidth="1"/>
    <col min="9732" max="9732" width="48.44140625" style="312" customWidth="1"/>
    <col min="9733" max="9733" width="14.33203125" style="312" customWidth="1"/>
    <col min="9734" max="9734" width="12.88671875" style="312" bestFit="1" customWidth="1"/>
    <col min="9735" max="9735" width="14" style="312" customWidth="1"/>
    <col min="9736" max="9736" width="9.6640625" style="312" customWidth="1"/>
    <col min="9737" max="9737" width="11.5546875" style="312" customWidth="1"/>
    <col min="9738" max="9738" width="10.44140625" style="312" customWidth="1"/>
    <col min="9739" max="9739" width="9.44140625" style="312" bestFit="1" customWidth="1"/>
    <col min="9740" max="9740" width="18.44140625" style="312" customWidth="1"/>
    <col min="9741" max="9741" width="11.5546875" style="312"/>
    <col min="9742" max="9742" width="14.109375" style="312" bestFit="1" customWidth="1"/>
    <col min="9743" max="9984" width="11.5546875" style="312"/>
    <col min="9985" max="9985" width="1.6640625" style="312" customWidth="1"/>
    <col min="9986" max="9986" width="6" style="312" bestFit="1" customWidth="1"/>
    <col min="9987" max="9987" width="8.6640625" style="312" customWidth="1"/>
    <col min="9988" max="9988" width="48.44140625" style="312" customWidth="1"/>
    <col min="9989" max="9989" width="14.33203125" style="312" customWidth="1"/>
    <col min="9990" max="9990" width="12.88671875" style="312" bestFit="1" customWidth="1"/>
    <col min="9991" max="9991" width="14" style="312" customWidth="1"/>
    <col min="9992" max="9992" width="9.6640625" style="312" customWidth="1"/>
    <col min="9993" max="9993" width="11.5546875" style="312" customWidth="1"/>
    <col min="9994" max="9994" width="10.44140625" style="312" customWidth="1"/>
    <col min="9995" max="9995" width="9.44140625" style="312" bestFit="1" customWidth="1"/>
    <col min="9996" max="9996" width="18.44140625" style="312" customWidth="1"/>
    <col min="9997" max="9997" width="11.5546875" style="312"/>
    <col min="9998" max="9998" width="14.109375" style="312" bestFit="1" customWidth="1"/>
    <col min="9999" max="10240" width="11.5546875" style="312"/>
    <col min="10241" max="10241" width="1.6640625" style="312" customWidth="1"/>
    <col min="10242" max="10242" width="6" style="312" bestFit="1" customWidth="1"/>
    <col min="10243" max="10243" width="8.6640625" style="312" customWidth="1"/>
    <col min="10244" max="10244" width="48.44140625" style="312" customWidth="1"/>
    <col min="10245" max="10245" width="14.33203125" style="312" customWidth="1"/>
    <col min="10246" max="10246" width="12.88671875" style="312" bestFit="1" customWidth="1"/>
    <col min="10247" max="10247" width="14" style="312" customWidth="1"/>
    <col min="10248" max="10248" width="9.6640625" style="312" customWidth="1"/>
    <col min="10249" max="10249" width="11.5546875" style="312" customWidth="1"/>
    <col min="10250" max="10250" width="10.44140625" style="312" customWidth="1"/>
    <col min="10251" max="10251" width="9.44140625" style="312" bestFit="1" customWidth="1"/>
    <col min="10252" max="10252" width="18.44140625" style="312" customWidth="1"/>
    <col min="10253" max="10253" width="11.5546875" style="312"/>
    <col min="10254" max="10254" width="14.109375" style="312" bestFit="1" customWidth="1"/>
    <col min="10255" max="10496" width="11.5546875" style="312"/>
    <col min="10497" max="10497" width="1.6640625" style="312" customWidth="1"/>
    <col min="10498" max="10498" width="6" style="312" bestFit="1" customWidth="1"/>
    <col min="10499" max="10499" width="8.6640625" style="312" customWidth="1"/>
    <col min="10500" max="10500" width="48.44140625" style="312" customWidth="1"/>
    <col min="10501" max="10501" width="14.33203125" style="312" customWidth="1"/>
    <col min="10502" max="10502" width="12.88671875" style="312" bestFit="1" customWidth="1"/>
    <col min="10503" max="10503" width="14" style="312" customWidth="1"/>
    <col min="10504" max="10504" width="9.6640625" style="312" customWidth="1"/>
    <col min="10505" max="10505" width="11.5546875" style="312" customWidth="1"/>
    <col min="10506" max="10506" width="10.44140625" style="312" customWidth="1"/>
    <col min="10507" max="10507" width="9.44140625" style="312" bestFit="1" customWidth="1"/>
    <col min="10508" max="10508" width="18.44140625" style="312" customWidth="1"/>
    <col min="10509" max="10509" width="11.5546875" style="312"/>
    <col min="10510" max="10510" width="14.109375" style="312" bestFit="1" customWidth="1"/>
    <col min="10511" max="10752" width="11.5546875" style="312"/>
    <col min="10753" max="10753" width="1.6640625" style="312" customWidth="1"/>
    <col min="10754" max="10754" width="6" style="312" bestFit="1" customWidth="1"/>
    <col min="10755" max="10755" width="8.6640625" style="312" customWidth="1"/>
    <col min="10756" max="10756" width="48.44140625" style="312" customWidth="1"/>
    <col min="10757" max="10757" width="14.33203125" style="312" customWidth="1"/>
    <col min="10758" max="10758" width="12.88671875" style="312" bestFit="1" customWidth="1"/>
    <col min="10759" max="10759" width="14" style="312" customWidth="1"/>
    <col min="10760" max="10760" width="9.6640625" style="312" customWidth="1"/>
    <col min="10761" max="10761" width="11.5546875" style="312" customWidth="1"/>
    <col min="10762" max="10762" width="10.44140625" style="312" customWidth="1"/>
    <col min="10763" max="10763" width="9.44140625" style="312" bestFit="1" customWidth="1"/>
    <col min="10764" max="10764" width="18.44140625" style="312" customWidth="1"/>
    <col min="10765" max="10765" width="11.5546875" style="312"/>
    <col min="10766" max="10766" width="14.109375" style="312" bestFit="1" customWidth="1"/>
    <col min="10767" max="11008" width="11.5546875" style="312"/>
    <col min="11009" max="11009" width="1.6640625" style="312" customWidth="1"/>
    <col min="11010" max="11010" width="6" style="312" bestFit="1" customWidth="1"/>
    <col min="11011" max="11011" width="8.6640625" style="312" customWidth="1"/>
    <col min="11012" max="11012" width="48.44140625" style="312" customWidth="1"/>
    <col min="11013" max="11013" width="14.33203125" style="312" customWidth="1"/>
    <col min="11014" max="11014" width="12.88671875" style="312" bestFit="1" customWidth="1"/>
    <col min="11015" max="11015" width="14" style="312" customWidth="1"/>
    <col min="11016" max="11016" width="9.6640625" style="312" customWidth="1"/>
    <col min="11017" max="11017" width="11.5546875" style="312" customWidth="1"/>
    <col min="11018" max="11018" width="10.44140625" style="312" customWidth="1"/>
    <col min="11019" max="11019" width="9.44140625" style="312" bestFit="1" customWidth="1"/>
    <col min="11020" max="11020" width="18.44140625" style="312" customWidth="1"/>
    <col min="11021" max="11021" width="11.5546875" style="312"/>
    <col min="11022" max="11022" width="14.109375" style="312" bestFit="1" customWidth="1"/>
    <col min="11023" max="11264" width="11.5546875" style="312"/>
    <col min="11265" max="11265" width="1.6640625" style="312" customWidth="1"/>
    <col min="11266" max="11266" width="6" style="312" bestFit="1" customWidth="1"/>
    <col min="11267" max="11267" width="8.6640625" style="312" customWidth="1"/>
    <col min="11268" max="11268" width="48.44140625" style="312" customWidth="1"/>
    <col min="11269" max="11269" width="14.33203125" style="312" customWidth="1"/>
    <col min="11270" max="11270" width="12.88671875" style="312" bestFit="1" customWidth="1"/>
    <col min="11271" max="11271" width="14" style="312" customWidth="1"/>
    <col min="11272" max="11272" width="9.6640625" style="312" customWidth="1"/>
    <col min="11273" max="11273" width="11.5546875" style="312" customWidth="1"/>
    <col min="11274" max="11274" width="10.44140625" style="312" customWidth="1"/>
    <col min="11275" max="11275" width="9.44140625" style="312" bestFit="1" customWidth="1"/>
    <col min="11276" max="11276" width="18.44140625" style="312" customWidth="1"/>
    <col min="11277" max="11277" width="11.5546875" style="312"/>
    <col min="11278" max="11278" width="14.109375" style="312" bestFit="1" customWidth="1"/>
    <col min="11279" max="11520" width="11.5546875" style="312"/>
    <col min="11521" max="11521" width="1.6640625" style="312" customWidth="1"/>
    <col min="11522" max="11522" width="6" style="312" bestFit="1" customWidth="1"/>
    <col min="11523" max="11523" width="8.6640625" style="312" customWidth="1"/>
    <col min="11524" max="11524" width="48.44140625" style="312" customWidth="1"/>
    <col min="11525" max="11525" width="14.33203125" style="312" customWidth="1"/>
    <col min="11526" max="11526" width="12.88671875" style="312" bestFit="1" customWidth="1"/>
    <col min="11527" max="11527" width="14" style="312" customWidth="1"/>
    <col min="11528" max="11528" width="9.6640625" style="312" customWidth="1"/>
    <col min="11529" max="11529" width="11.5546875" style="312" customWidth="1"/>
    <col min="11530" max="11530" width="10.44140625" style="312" customWidth="1"/>
    <col min="11531" max="11531" width="9.44140625" style="312" bestFit="1" customWidth="1"/>
    <col min="11532" max="11532" width="18.44140625" style="312" customWidth="1"/>
    <col min="11533" max="11533" width="11.5546875" style="312"/>
    <col min="11534" max="11534" width="14.109375" style="312" bestFit="1" customWidth="1"/>
    <col min="11535" max="11776" width="11.5546875" style="312"/>
    <col min="11777" max="11777" width="1.6640625" style="312" customWidth="1"/>
    <col min="11778" max="11778" width="6" style="312" bestFit="1" customWidth="1"/>
    <col min="11779" max="11779" width="8.6640625" style="312" customWidth="1"/>
    <col min="11780" max="11780" width="48.44140625" style="312" customWidth="1"/>
    <col min="11781" max="11781" width="14.33203125" style="312" customWidth="1"/>
    <col min="11782" max="11782" width="12.88671875" style="312" bestFit="1" customWidth="1"/>
    <col min="11783" max="11783" width="14" style="312" customWidth="1"/>
    <col min="11784" max="11784" width="9.6640625" style="312" customWidth="1"/>
    <col min="11785" max="11785" width="11.5546875" style="312" customWidth="1"/>
    <col min="11786" max="11786" width="10.44140625" style="312" customWidth="1"/>
    <col min="11787" max="11787" width="9.44140625" style="312" bestFit="1" customWidth="1"/>
    <col min="11788" max="11788" width="18.44140625" style="312" customWidth="1"/>
    <col min="11789" max="11789" width="11.5546875" style="312"/>
    <col min="11790" max="11790" width="14.109375" style="312" bestFit="1" customWidth="1"/>
    <col min="11791" max="12032" width="11.5546875" style="312"/>
    <col min="12033" max="12033" width="1.6640625" style="312" customWidth="1"/>
    <col min="12034" max="12034" width="6" style="312" bestFit="1" customWidth="1"/>
    <col min="12035" max="12035" width="8.6640625" style="312" customWidth="1"/>
    <col min="12036" max="12036" width="48.44140625" style="312" customWidth="1"/>
    <col min="12037" max="12037" width="14.33203125" style="312" customWidth="1"/>
    <col min="12038" max="12038" width="12.88671875" style="312" bestFit="1" customWidth="1"/>
    <col min="12039" max="12039" width="14" style="312" customWidth="1"/>
    <col min="12040" max="12040" width="9.6640625" style="312" customWidth="1"/>
    <col min="12041" max="12041" width="11.5546875" style="312" customWidth="1"/>
    <col min="12042" max="12042" width="10.44140625" style="312" customWidth="1"/>
    <col min="12043" max="12043" width="9.44140625" style="312" bestFit="1" customWidth="1"/>
    <col min="12044" max="12044" width="18.44140625" style="312" customWidth="1"/>
    <col min="12045" max="12045" width="11.5546875" style="312"/>
    <col min="12046" max="12046" width="14.109375" style="312" bestFit="1" customWidth="1"/>
    <col min="12047" max="12288" width="11.5546875" style="312"/>
    <col min="12289" max="12289" width="1.6640625" style="312" customWidth="1"/>
    <col min="12290" max="12290" width="6" style="312" bestFit="1" customWidth="1"/>
    <col min="12291" max="12291" width="8.6640625" style="312" customWidth="1"/>
    <col min="12292" max="12292" width="48.44140625" style="312" customWidth="1"/>
    <col min="12293" max="12293" width="14.33203125" style="312" customWidth="1"/>
    <col min="12294" max="12294" width="12.88671875" style="312" bestFit="1" customWidth="1"/>
    <col min="12295" max="12295" width="14" style="312" customWidth="1"/>
    <col min="12296" max="12296" width="9.6640625" style="312" customWidth="1"/>
    <col min="12297" max="12297" width="11.5546875" style="312" customWidth="1"/>
    <col min="12298" max="12298" width="10.44140625" style="312" customWidth="1"/>
    <col min="12299" max="12299" width="9.44140625" style="312" bestFit="1" customWidth="1"/>
    <col min="12300" max="12300" width="18.44140625" style="312" customWidth="1"/>
    <col min="12301" max="12301" width="11.5546875" style="312"/>
    <col min="12302" max="12302" width="14.109375" style="312" bestFit="1" customWidth="1"/>
    <col min="12303" max="12544" width="11.5546875" style="312"/>
    <col min="12545" max="12545" width="1.6640625" style="312" customWidth="1"/>
    <col min="12546" max="12546" width="6" style="312" bestFit="1" customWidth="1"/>
    <col min="12547" max="12547" width="8.6640625" style="312" customWidth="1"/>
    <col min="12548" max="12548" width="48.44140625" style="312" customWidth="1"/>
    <col min="12549" max="12549" width="14.33203125" style="312" customWidth="1"/>
    <col min="12550" max="12550" width="12.88671875" style="312" bestFit="1" customWidth="1"/>
    <col min="12551" max="12551" width="14" style="312" customWidth="1"/>
    <col min="12552" max="12552" width="9.6640625" style="312" customWidth="1"/>
    <col min="12553" max="12553" width="11.5546875" style="312" customWidth="1"/>
    <col min="12554" max="12554" width="10.44140625" style="312" customWidth="1"/>
    <col min="12555" max="12555" width="9.44140625" style="312" bestFit="1" customWidth="1"/>
    <col min="12556" max="12556" width="18.44140625" style="312" customWidth="1"/>
    <col min="12557" max="12557" width="11.5546875" style="312"/>
    <col min="12558" max="12558" width="14.109375" style="312" bestFit="1" customWidth="1"/>
    <col min="12559" max="12800" width="11.5546875" style="312"/>
    <col min="12801" max="12801" width="1.6640625" style="312" customWidth="1"/>
    <col min="12802" max="12802" width="6" style="312" bestFit="1" customWidth="1"/>
    <col min="12803" max="12803" width="8.6640625" style="312" customWidth="1"/>
    <col min="12804" max="12804" width="48.44140625" style="312" customWidth="1"/>
    <col min="12805" max="12805" width="14.33203125" style="312" customWidth="1"/>
    <col min="12806" max="12806" width="12.88671875" style="312" bestFit="1" customWidth="1"/>
    <col min="12807" max="12807" width="14" style="312" customWidth="1"/>
    <col min="12808" max="12808" width="9.6640625" style="312" customWidth="1"/>
    <col min="12809" max="12809" width="11.5546875" style="312" customWidth="1"/>
    <col min="12810" max="12810" width="10.44140625" style="312" customWidth="1"/>
    <col min="12811" max="12811" width="9.44140625" style="312" bestFit="1" customWidth="1"/>
    <col min="12812" max="12812" width="18.44140625" style="312" customWidth="1"/>
    <col min="12813" max="12813" width="11.5546875" style="312"/>
    <col min="12814" max="12814" width="14.109375" style="312" bestFit="1" customWidth="1"/>
    <col min="12815" max="13056" width="11.5546875" style="312"/>
    <col min="13057" max="13057" width="1.6640625" style="312" customWidth="1"/>
    <col min="13058" max="13058" width="6" style="312" bestFit="1" customWidth="1"/>
    <col min="13059" max="13059" width="8.6640625" style="312" customWidth="1"/>
    <col min="13060" max="13060" width="48.44140625" style="312" customWidth="1"/>
    <col min="13061" max="13061" width="14.33203125" style="312" customWidth="1"/>
    <col min="13062" max="13062" width="12.88671875" style="312" bestFit="1" customWidth="1"/>
    <col min="13063" max="13063" width="14" style="312" customWidth="1"/>
    <col min="13064" max="13064" width="9.6640625" style="312" customWidth="1"/>
    <col min="13065" max="13065" width="11.5546875" style="312" customWidth="1"/>
    <col min="13066" max="13066" width="10.44140625" style="312" customWidth="1"/>
    <col min="13067" max="13067" width="9.44140625" style="312" bestFit="1" customWidth="1"/>
    <col min="13068" max="13068" width="18.44140625" style="312" customWidth="1"/>
    <col min="13069" max="13069" width="11.5546875" style="312"/>
    <col min="13070" max="13070" width="14.109375" style="312" bestFit="1" customWidth="1"/>
    <col min="13071" max="13312" width="11.5546875" style="312"/>
    <col min="13313" max="13313" width="1.6640625" style="312" customWidth="1"/>
    <col min="13314" max="13314" width="6" style="312" bestFit="1" customWidth="1"/>
    <col min="13315" max="13315" width="8.6640625" style="312" customWidth="1"/>
    <col min="13316" max="13316" width="48.44140625" style="312" customWidth="1"/>
    <col min="13317" max="13317" width="14.33203125" style="312" customWidth="1"/>
    <col min="13318" max="13318" width="12.88671875" style="312" bestFit="1" customWidth="1"/>
    <col min="13319" max="13319" width="14" style="312" customWidth="1"/>
    <col min="13320" max="13320" width="9.6640625" style="312" customWidth="1"/>
    <col min="13321" max="13321" width="11.5546875" style="312" customWidth="1"/>
    <col min="13322" max="13322" width="10.44140625" style="312" customWidth="1"/>
    <col min="13323" max="13323" width="9.44140625" style="312" bestFit="1" customWidth="1"/>
    <col min="13324" max="13324" width="18.44140625" style="312" customWidth="1"/>
    <col min="13325" max="13325" width="11.5546875" style="312"/>
    <col min="13326" max="13326" width="14.109375" style="312" bestFit="1" customWidth="1"/>
    <col min="13327" max="13568" width="11.5546875" style="312"/>
    <col min="13569" max="13569" width="1.6640625" style="312" customWidth="1"/>
    <col min="13570" max="13570" width="6" style="312" bestFit="1" customWidth="1"/>
    <col min="13571" max="13571" width="8.6640625" style="312" customWidth="1"/>
    <col min="13572" max="13572" width="48.44140625" style="312" customWidth="1"/>
    <col min="13573" max="13573" width="14.33203125" style="312" customWidth="1"/>
    <col min="13574" max="13574" width="12.88671875" style="312" bestFit="1" customWidth="1"/>
    <col min="13575" max="13575" width="14" style="312" customWidth="1"/>
    <col min="13576" max="13576" width="9.6640625" style="312" customWidth="1"/>
    <col min="13577" max="13577" width="11.5546875" style="312" customWidth="1"/>
    <col min="13578" max="13578" width="10.44140625" style="312" customWidth="1"/>
    <col min="13579" max="13579" width="9.44140625" style="312" bestFit="1" customWidth="1"/>
    <col min="13580" max="13580" width="18.44140625" style="312" customWidth="1"/>
    <col min="13581" max="13581" width="11.5546875" style="312"/>
    <col min="13582" max="13582" width="14.109375" style="312" bestFit="1" customWidth="1"/>
    <col min="13583" max="13824" width="11.5546875" style="312"/>
    <col min="13825" max="13825" width="1.6640625" style="312" customWidth="1"/>
    <col min="13826" max="13826" width="6" style="312" bestFit="1" customWidth="1"/>
    <col min="13827" max="13827" width="8.6640625" style="312" customWidth="1"/>
    <col min="13828" max="13828" width="48.44140625" style="312" customWidth="1"/>
    <col min="13829" max="13829" width="14.33203125" style="312" customWidth="1"/>
    <col min="13830" max="13830" width="12.88671875" style="312" bestFit="1" customWidth="1"/>
    <col min="13831" max="13831" width="14" style="312" customWidth="1"/>
    <col min="13832" max="13832" width="9.6640625" style="312" customWidth="1"/>
    <col min="13833" max="13833" width="11.5546875" style="312" customWidth="1"/>
    <col min="13834" max="13834" width="10.44140625" style="312" customWidth="1"/>
    <col min="13835" max="13835" width="9.44140625" style="312" bestFit="1" customWidth="1"/>
    <col min="13836" max="13836" width="18.44140625" style="312" customWidth="1"/>
    <col min="13837" max="13837" width="11.5546875" style="312"/>
    <col min="13838" max="13838" width="14.109375" style="312" bestFit="1" customWidth="1"/>
    <col min="13839" max="14080" width="11.5546875" style="312"/>
    <col min="14081" max="14081" width="1.6640625" style="312" customWidth="1"/>
    <col min="14082" max="14082" width="6" style="312" bestFit="1" customWidth="1"/>
    <col min="14083" max="14083" width="8.6640625" style="312" customWidth="1"/>
    <col min="14084" max="14084" width="48.44140625" style="312" customWidth="1"/>
    <col min="14085" max="14085" width="14.33203125" style="312" customWidth="1"/>
    <col min="14086" max="14086" width="12.88671875" style="312" bestFit="1" customWidth="1"/>
    <col min="14087" max="14087" width="14" style="312" customWidth="1"/>
    <col min="14088" max="14088" width="9.6640625" style="312" customWidth="1"/>
    <col min="14089" max="14089" width="11.5546875" style="312" customWidth="1"/>
    <col min="14090" max="14090" width="10.44140625" style="312" customWidth="1"/>
    <col min="14091" max="14091" width="9.44140625" style="312" bestFit="1" customWidth="1"/>
    <col min="14092" max="14092" width="18.44140625" style="312" customWidth="1"/>
    <col min="14093" max="14093" width="11.5546875" style="312"/>
    <col min="14094" max="14094" width="14.109375" style="312" bestFit="1" customWidth="1"/>
    <col min="14095" max="14336" width="11.5546875" style="312"/>
    <col min="14337" max="14337" width="1.6640625" style="312" customWidth="1"/>
    <col min="14338" max="14338" width="6" style="312" bestFit="1" customWidth="1"/>
    <col min="14339" max="14339" width="8.6640625" style="312" customWidth="1"/>
    <col min="14340" max="14340" width="48.44140625" style="312" customWidth="1"/>
    <col min="14341" max="14341" width="14.33203125" style="312" customWidth="1"/>
    <col min="14342" max="14342" width="12.88671875" style="312" bestFit="1" customWidth="1"/>
    <col min="14343" max="14343" width="14" style="312" customWidth="1"/>
    <col min="14344" max="14344" width="9.6640625" style="312" customWidth="1"/>
    <col min="14345" max="14345" width="11.5546875" style="312" customWidth="1"/>
    <col min="14346" max="14346" width="10.44140625" style="312" customWidth="1"/>
    <col min="14347" max="14347" width="9.44140625" style="312" bestFit="1" customWidth="1"/>
    <col min="14348" max="14348" width="18.44140625" style="312" customWidth="1"/>
    <col min="14349" max="14349" width="11.5546875" style="312"/>
    <col min="14350" max="14350" width="14.109375" style="312" bestFit="1" customWidth="1"/>
    <col min="14351" max="14592" width="11.5546875" style="312"/>
    <col min="14593" max="14593" width="1.6640625" style="312" customWidth="1"/>
    <col min="14594" max="14594" width="6" style="312" bestFit="1" customWidth="1"/>
    <col min="14595" max="14595" width="8.6640625" style="312" customWidth="1"/>
    <col min="14596" max="14596" width="48.44140625" style="312" customWidth="1"/>
    <col min="14597" max="14597" width="14.33203125" style="312" customWidth="1"/>
    <col min="14598" max="14598" width="12.88671875" style="312" bestFit="1" customWidth="1"/>
    <col min="14599" max="14599" width="14" style="312" customWidth="1"/>
    <col min="14600" max="14600" width="9.6640625" style="312" customWidth="1"/>
    <col min="14601" max="14601" width="11.5546875" style="312" customWidth="1"/>
    <col min="14602" max="14602" width="10.44140625" style="312" customWidth="1"/>
    <col min="14603" max="14603" width="9.44140625" style="312" bestFit="1" customWidth="1"/>
    <col min="14604" max="14604" width="18.44140625" style="312" customWidth="1"/>
    <col min="14605" max="14605" width="11.5546875" style="312"/>
    <col min="14606" max="14606" width="14.109375" style="312" bestFit="1" customWidth="1"/>
    <col min="14607" max="14848" width="11.5546875" style="312"/>
    <col min="14849" max="14849" width="1.6640625" style="312" customWidth="1"/>
    <col min="14850" max="14850" width="6" style="312" bestFit="1" customWidth="1"/>
    <col min="14851" max="14851" width="8.6640625" style="312" customWidth="1"/>
    <col min="14852" max="14852" width="48.44140625" style="312" customWidth="1"/>
    <col min="14853" max="14853" width="14.33203125" style="312" customWidth="1"/>
    <col min="14854" max="14854" width="12.88671875" style="312" bestFit="1" customWidth="1"/>
    <col min="14855" max="14855" width="14" style="312" customWidth="1"/>
    <col min="14856" max="14856" width="9.6640625" style="312" customWidth="1"/>
    <col min="14857" max="14857" width="11.5546875" style="312" customWidth="1"/>
    <col min="14858" max="14858" width="10.44140625" style="312" customWidth="1"/>
    <col min="14859" max="14859" width="9.44140625" style="312" bestFit="1" customWidth="1"/>
    <col min="14860" max="14860" width="18.44140625" style="312" customWidth="1"/>
    <col min="14861" max="14861" width="11.5546875" style="312"/>
    <col min="14862" max="14862" width="14.109375" style="312" bestFit="1" customWidth="1"/>
    <col min="14863" max="15104" width="11.5546875" style="312"/>
    <col min="15105" max="15105" width="1.6640625" style="312" customWidth="1"/>
    <col min="15106" max="15106" width="6" style="312" bestFit="1" customWidth="1"/>
    <col min="15107" max="15107" width="8.6640625" style="312" customWidth="1"/>
    <col min="15108" max="15108" width="48.44140625" style="312" customWidth="1"/>
    <col min="15109" max="15109" width="14.33203125" style="312" customWidth="1"/>
    <col min="15110" max="15110" width="12.88671875" style="312" bestFit="1" customWidth="1"/>
    <col min="15111" max="15111" width="14" style="312" customWidth="1"/>
    <col min="15112" max="15112" width="9.6640625" style="312" customWidth="1"/>
    <col min="15113" max="15113" width="11.5546875" style="312" customWidth="1"/>
    <col min="15114" max="15114" width="10.44140625" style="312" customWidth="1"/>
    <col min="15115" max="15115" width="9.44140625" style="312" bestFit="1" customWidth="1"/>
    <col min="15116" max="15116" width="18.44140625" style="312" customWidth="1"/>
    <col min="15117" max="15117" width="11.5546875" style="312"/>
    <col min="15118" max="15118" width="14.109375" style="312" bestFit="1" customWidth="1"/>
    <col min="15119" max="15360" width="11.5546875" style="312"/>
    <col min="15361" max="15361" width="1.6640625" style="312" customWidth="1"/>
    <col min="15362" max="15362" width="6" style="312" bestFit="1" customWidth="1"/>
    <col min="15363" max="15363" width="8.6640625" style="312" customWidth="1"/>
    <col min="15364" max="15364" width="48.44140625" style="312" customWidth="1"/>
    <col min="15365" max="15365" width="14.33203125" style="312" customWidth="1"/>
    <col min="15366" max="15366" width="12.88671875" style="312" bestFit="1" customWidth="1"/>
    <col min="15367" max="15367" width="14" style="312" customWidth="1"/>
    <col min="15368" max="15368" width="9.6640625" style="312" customWidth="1"/>
    <col min="15369" max="15369" width="11.5546875" style="312" customWidth="1"/>
    <col min="15370" max="15370" width="10.44140625" style="312" customWidth="1"/>
    <col min="15371" max="15371" width="9.44140625" style="312" bestFit="1" customWidth="1"/>
    <col min="15372" max="15372" width="18.44140625" style="312" customWidth="1"/>
    <col min="15373" max="15373" width="11.5546875" style="312"/>
    <col min="15374" max="15374" width="14.109375" style="312" bestFit="1" customWidth="1"/>
    <col min="15375" max="15616" width="11.5546875" style="312"/>
    <col min="15617" max="15617" width="1.6640625" style="312" customWidth="1"/>
    <col min="15618" max="15618" width="6" style="312" bestFit="1" customWidth="1"/>
    <col min="15619" max="15619" width="8.6640625" style="312" customWidth="1"/>
    <col min="15620" max="15620" width="48.44140625" style="312" customWidth="1"/>
    <col min="15621" max="15621" width="14.33203125" style="312" customWidth="1"/>
    <col min="15622" max="15622" width="12.88671875" style="312" bestFit="1" customWidth="1"/>
    <col min="15623" max="15623" width="14" style="312" customWidth="1"/>
    <col min="15624" max="15624" width="9.6640625" style="312" customWidth="1"/>
    <col min="15625" max="15625" width="11.5546875" style="312" customWidth="1"/>
    <col min="15626" max="15626" width="10.44140625" style="312" customWidth="1"/>
    <col min="15627" max="15627" width="9.44140625" style="312" bestFit="1" customWidth="1"/>
    <col min="15628" max="15628" width="18.44140625" style="312" customWidth="1"/>
    <col min="15629" max="15629" width="11.5546875" style="312"/>
    <col min="15630" max="15630" width="14.109375" style="312" bestFit="1" customWidth="1"/>
    <col min="15631" max="15872" width="11.5546875" style="312"/>
    <col min="15873" max="15873" width="1.6640625" style="312" customWidth="1"/>
    <col min="15874" max="15874" width="6" style="312" bestFit="1" customWidth="1"/>
    <col min="15875" max="15875" width="8.6640625" style="312" customWidth="1"/>
    <col min="15876" max="15876" width="48.44140625" style="312" customWidth="1"/>
    <col min="15877" max="15877" width="14.33203125" style="312" customWidth="1"/>
    <col min="15878" max="15878" width="12.88671875" style="312" bestFit="1" customWidth="1"/>
    <col min="15879" max="15879" width="14" style="312" customWidth="1"/>
    <col min="15880" max="15880" width="9.6640625" style="312" customWidth="1"/>
    <col min="15881" max="15881" width="11.5546875" style="312" customWidth="1"/>
    <col min="15882" max="15882" width="10.44140625" style="312" customWidth="1"/>
    <col min="15883" max="15883" width="9.44140625" style="312" bestFit="1" customWidth="1"/>
    <col min="15884" max="15884" width="18.44140625" style="312" customWidth="1"/>
    <col min="15885" max="15885" width="11.5546875" style="312"/>
    <col min="15886" max="15886" width="14.109375" style="312" bestFit="1" customWidth="1"/>
    <col min="15887" max="16128" width="11.5546875" style="312"/>
    <col min="16129" max="16129" width="1.6640625" style="312" customWidth="1"/>
    <col min="16130" max="16130" width="6" style="312" bestFit="1" customWidth="1"/>
    <col min="16131" max="16131" width="8.6640625" style="312" customWidth="1"/>
    <col min="16132" max="16132" width="48.44140625" style="312" customWidth="1"/>
    <col min="16133" max="16133" width="14.33203125" style="312" customWidth="1"/>
    <col min="16134" max="16134" width="12.88671875" style="312" bestFit="1" customWidth="1"/>
    <col min="16135" max="16135" width="14" style="312" customWidth="1"/>
    <col min="16136" max="16136" width="9.6640625" style="312" customWidth="1"/>
    <col min="16137" max="16137" width="11.5546875" style="312" customWidth="1"/>
    <col min="16138" max="16138" width="10.44140625" style="312" customWidth="1"/>
    <col min="16139" max="16139" width="9.44140625" style="312" bestFit="1" customWidth="1"/>
    <col min="16140" max="16140" width="18.44140625" style="312" customWidth="1"/>
    <col min="16141" max="16141" width="11.5546875" style="312"/>
    <col min="16142" max="16142" width="14.109375" style="312" bestFit="1" customWidth="1"/>
    <col min="16143" max="16384" width="11.5546875" style="312"/>
  </cols>
  <sheetData>
    <row r="2" spans="2:16" ht="14.4" thickBot="1" x14ac:dyDescent="0.3">
      <c r="C2" s="283"/>
      <c r="D2" s="284"/>
      <c r="E2" s="284"/>
      <c r="F2" s="284"/>
      <c r="G2" s="284"/>
      <c r="H2" s="284"/>
      <c r="I2" s="284"/>
      <c r="J2" s="284"/>
      <c r="K2" s="284"/>
      <c r="L2" s="284"/>
      <c r="M2" s="284"/>
      <c r="N2" s="284"/>
      <c r="O2" s="311"/>
      <c r="P2" s="311"/>
    </row>
    <row r="3" spans="2:16" x14ac:dyDescent="0.25">
      <c r="C3" s="1147" t="s">
        <v>5241</v>
      </c>
      <c r="D3" s="1148"/>
      <c r="E3" s="313" t="s">
        <v>5345</v>
      </c>
      <c r="F3" s="1148" t="s">
        <v>5243</v>
      </c>
      <c r="G3" s="1148"/>
      <c r="H3" s="313"/>
      <c r="I3" s="1148" t="s">
        <v>5244</v>
      </c>
      <c r="J3" s="1191"/>
      <c r="K3" s="1192"/>
      <c r="L3" s="1193"/>
      <c r="M3" s="314"/>
      <c r="N3" s="1172"/>
      <c r="O3" s="1172"/>
      <c r="P3" s="1172"/>
    </row>
    <row r="4" spans="2:16" x14ac:dyDescent="0.25">
      <c r="C4" s="1199"/>
      <c r="D4" s="1200"/>
      <c r="E4" s="315"/>
      <c r="F4" s="1200" t="s">
        <v>5346</v>
      </c>
      <c r="G4" s="1200"/>
      <c r="H4" s="315"/>
      <c r="I4" s="1200"/>
      <c r="J4" s="1201"/>
      <c r="K4" s="1194"/>
      <c r="L4" s="1195"/>
      <c r="M4" s="284"/>
      <c r="N4" s="1172"/>
      <c r="O4" s="1172"/>
      <c r="P4" s="1172"/>
    </row>
    <row r="5" spans="2:16" x14ac:dyDescent="0.25">
      <c r="C5" s="1150" t="s">
        <v>5340</v>
      </c>
      <c r="D5" s="1151"/>
      <c r="E5" s="1151"/>
      <c r="F5" s="1151"/>
      <c r="G5" s="1151"/>
      <c r="H5" s="1151"/>
      <c r="I5" s="1151"/>
      <c r="J5" s="1198"/>
      <c r="K5" s="1194"/>
      <c r="L5" s="1195"/>
      <c r="M5" s="314"/>
      <c r="N5" s="1172"/>
      <c r="O5" s="1172"/>
      <c r="P5" s="1172"/>
    </row>
    <row r="6" spans="2:16" x14ac:dyDescent="0.25">
      <c r="C6" s="1150" t="s">
        <v>12</v>
      </c>
      <c r="D6" s="1151"/>
      <c r="E6" s="1151"/>
      <c r="F6" s="1151"/>
      <c r="G6" s="1151"/>
      <c r="H6" s="1151"/>
      <c r="I6" s="1151"/>
      <c r="J6" s="1198"/>
      <c r="K6" s="1194"/>
      <c r="L6" s="1195"/>
      <c r="M6" s="314"/>
      <c r="N6" s="1172"/>
      <c r="O6" s="1172"/>
      <c r="P6" s="1172"/>
    </row>
    <row r="7" spans="2:16" x14ac:dyDescent="0.25">
      <c r="C7" s="1150" t="s">
        <v>5271</v>
      </c>
      <c r="D7" s="1151"/>
      <c r="E7" s="1151"/>
      <c r="F7" s="1151"/>
      <c r="G7" s="1151"/>
      <c r="H7" s="1151"/>
      <c r="I7" s="1151"/>
      <c r="J7" s="1198"/>
      <c r="K7" s="1196"/>
      <c r="L7" s="1197"/>
      <c r="M7" s="314"/>
      <c r="N7" s="1172"/>
      <c r="O7" s="1172"/>
      <c r="P7" s="1172"/>
    </row>
    <row r="8" spans="2:16" ht="14.4" thickBot="1" x14ac:dyDescent="0.3">
      <c r="C8" s="1174" t="s">
        <v>5272</v>
      </c>
      <c r="D8" s="1175"/>
      <c r="E8" s="1175"/>
      <c r="F8" s="1175"/>
      <c r="G8" s="1175"/>
      <c r="H8" s="1175"/>
      <c r="I8" s="1175"/>
      <c r="J8" s="1175"/>
      <c r="K8" s="1176" t="s">
        <v>12</v>
      </c>
      <c r="L8" s="1177"/>
      <c r="M8" s="314"/>
      <c r="N8" s="1172"/>
      <c r="O8" s="1172"/>
      <c r="P8" s="1172"/>
    </row>
    <row r="9" spans="2:16" ht="78" customHeight="1" thickBot="1" x14ac:dyDescent="0.3">
      <c r="C9" s="1141" t="s">
        <v>0</v>
      </c>
      <c r="D9" s="1178"/>
      <c r="E9" s="1179" t="str">
        <f>+'DATOS DEL PROCESO'!B6</f>
        <v>EJECUTAR POR EL SISTEMA DE PRECIOS UNITARIOS Y A MONTO AGOTABLE LAS ACTIVIDADES PARA LA CONSERVACION DE LA MALLA VIAL LOCAL E INTERMEDIA Y ESPACIO PÚBLICO EN LA LOCALIDAD DE SUBA EN LA CIUDAD DE BOGOTA D.C</v>
      </c>
      <c r="F9" s="1180"/>
      <c r="G9" s="1180"/>
      <c r="H9" s="1180"/>
      <c r="I9" s="1180"/>
      <c r="J9" s="1180"/>
      <c r="K9" s="1180"/>
      <c r="L9" s="1181"/>
      <c r="M9" s="316"/>
      <c r="N9" s="316"/>
      <c r="O9" s="316"/>
      <c r="P9" s="316"/>
    </row>
    <row r="10" spans="2:16" ht="14.4" x14ac:dyDescent="0.25">
      <c r="D10" s="317"/>
      <c r="E10" s="317"/>
      <c r="F10" s="317"/>
      <c r="G10" s="317"/>
      <c r="H10" s="1173" t="s">
        <v>5278</v>
      </c>
      <c r="I10" s="1173"/>
      <c r="J10" s="1173"/>
      <c r="K10" s="318">
        <v>11</v>
      </c>
      <c r="L10" s="319" t="s">
        <v>5</v>
      </c>
      <c r="M10" s="289"/>
      <c r="N10" s="289"/>
      <c r="O10" s="289"/>
      <c r="P10" s="289"/>
    </row>
    <row r="11" spans="2:16" ht="15.75" customHeight="1" x14ac:dyDescent="0.25">
      <c r="C11" s="1182" t="s">
        <v>5347</v>
      </c>
      <c r="D11" s="1183"/>
      <c r="E11" s="1183"/>
      <c r="F11" s="1183"/>
      <c r="G11" s="1183"/>
      <c r="H11" s="1183"/>
      <c r="I11" s="1183"/>
      <c r="J11" s="1183"/>
      <c r="K11" s="1183"/>
      <c r="L11" s="320"/>
    </row>
    <row r="12" spans="2:16" ht="20.399999999999999" x14ac:dyDescent="0.25">
      <c r="C12" s="1184" t="s">
        <v>5348</v>
      </c>
      <c r="D12" s="1184"/>
      <c r="E12" s="321" t="s">
        <v>5349</v>
      </c>
      <c r="F12" s="321" t="s">
        <v>5128</v>
      </c>
      <c r="G12" s="322" t="s">
        <v>5350</v>
      </c>
      <c r="H12" s="322" t="s">
        <v>5127</v>
      </c>
      <c r="I12" s="322" t="s">
        <v>5351</v>
      </c>
      <c r="J12" s="322" t="s">
        <v>5352</v>
      </c>
      <c r="K12" s="322" t="s">
        <v>5353</v>
      </c>
      <c r="L12" s="321" t="s">
        <v>5354</v>
      </c>
    </row>
    <row r="13" spans="2:16" ht="24.75" customHeight="1" x14ac:dyDescent="0.25">
      <c r="C13" s="1185" t="s">
        <v>5415</v>
      </c>
      <c r="D13" s="1186"/>
      <c r="E13" s="323"/>
      <c r="F13" s="324"/>
      <c r="G13" s="324"/>
      <c r="H13" s="324"/>
      <c r="I13" s="324"/>
      <c r="J13" s="324"/>
      <c r="K13" s="324"/>
      <c r="L13" s="325"/>
    </row>
    <row r="14" spans="2:16" x14ac:dyDescent="0.25">
      <c r="B14" s="310">
        <v>9113</v>
      </c>
      <c r="C14" s="326" t="s">
        <v>5355</v>
      </c>
      <c r="D14" s="327" t="s">
        <v>6730</v>
      </c>
      <c r="E14" s="326" t="str">
        <f>+_xlfn.XLOOKUP(B14,INSUMO_IDU[Código],INSUMO_IDU[UM],"",0)</f>
        <v>MES</v>
      </c>
      <c r="F14" s="219">
        <f>+_xlfn.XLOOKUP(B14,INSUMO_IDU[Código],INSUMO_IDU[Precio],"",0)</f>
        <v>5791000</v>
      </c>
      <c r="G14" s="328">
        <f>+VLOOKUP(B14,F.P!$B$7:$H$46,7,FALSE)</f>
        <v>1.4510000000000001</v>
      </c>
      <c r="H14" s="329">
        <v>1</v>
      </c>
      <c r="I14" s="330">
        <v>1</v>
      </c>
      <c r="J14" s="331">
        <f>$K$10</f>
        <v>11</v>
      </c>
      <c r="K14" s="331">
        <f>H14*I14*J14</f>
        <v>11</v>
      </c>
      <c r="L14" s="332">
        <f>ROUND((F14*G14*K14),0)</f>
        <v>92430151</v>
      </c>
      <c r="N14" s="312">
        <v>1.5669999999999999</v>
      </c>
    </row>
    <row r="15" spans="2:16" x14ac:dyDescent="0.25">
      <c r="B15" s="310">
        <v>9093</v>
      </c>
      <c r="C15" s="326" t="s">
        <v>5356</v>
      </c>
      <c r="D15" s="327" t="s">
        <v>5357</v>
      </c>
      <c r="E15" s="326" t="str">
        <f>+_xlfn.XLOOKUP(B15,INSUMO_IDU[Código],INSUMO_IDU[UM],"",0)</f>
        <v>MES</v>
      </c>
      <c r="F15" s="219">
        <f>+_xlfn.XLOOKUP(B15,INSUMO_IDU[Código],INSUMO_IDU[Precio],"",0)</f>
        <v>2718000</v>
      </c>
      <c r="G15" s="328">
        <f>+VLOOKUP(B15,F.P!$B$7:$H$46,7,FALSE)</f>
        <v>1.5669999999999999</v>
      </c>
      <c r="H15" s="329">
        <v>1</v>
      </c>
      <c r="I15" s="330">
        <v>1</v>
      </c>
      <c r="J15" s="331">
        <f>$K$10</f>
        <v>11</v>
      </c>
      <c r="K15" s="331">
        <f>H15*I15*J15</f>
        <v>11</v>
      </c>
      <c r="L15" s="332">
        <f>ROUND((F15*G15*K15),0)</f>
        <v>46850166</v>
      </c>
      <c r="M15" s="333"/>
      <c r="N15" s="312">
        <v>1.4510000000000001</v>
      </c>
    </row>
    <row r="16" spans="2:16" x14ac:dyDescent="0.25">
      <c r="C16" s="334"/>
      <c r="D16" s="335"/>
      <c r="E16" s="323"/>
      <c r="F16" s="336"/>
      <c r="G16" s="336"/>
      <c r="H16" s="336"/>
      <c r="I16" s="337"/>
      <c r="J16" s="337"/>
      <c r="K16" s="338" t="s">
        <v>5358</v>
      </c>
      <c r="L16" s="339">
        <f>SUM(L14:L15)</f>
        <v>139280317</v>
      </c>
    </row>
    <row r="17" spans="2:16" ht="4.5" customHeight="1" x14ac:dyDescent="0.25">
      <c r="C17" s="334"/>
      <c r="D17" s="340"/>
      <c r="E17" s="341"/>
      <c r="F17" s="342"/>
      <c r="G17" s="342"/>
      <c r="H17" s="342"/>
      <c r="I17" s="343"/>
      <c r="J17" s="343"/>
      <c r="K17" s="344"/>
      <c r="L17" s="345"/>
    </row>
    <row r="18" spans="2:16" ht="15" customHeight="1" x14ac:dyDescent="0.25">
      <c r="C18" s="1185" t="s">
        <v>5359</v>
      </c>
      <c r="D18" s="1187"/>
      <c r="E18" s="341"/>
      <c r="F18" s="346"/>
      <c r="G18" s="346"/>
      <c r="H18" s="346"/>
      <c r="I18" s="346"/>
      <c r="J18" s="346"/>
      <c r="K18" s="346"/>
      <c r="L18" s="347"/>
    </row>
    <row r="19" spans="2:16" x14ac:dyDescent="0.25">
      <c r="C19" s="1188" t="s">
        <v>5348</v>
      </c>
      <c r="D19" s="1188"/>
      <c r="E19" s="348" t="s">
        <v>5349</v>
      </c>
      <c r="F19" s="1189" t="s">
        <v>5128</v>
      </c>
      <c r="G19" s="1190"/>
      <c r="H19" s="349"/>
      <c r="I19" s="350"/>
      <c r="J19" s="350" t="s">
        <v>5360</v>
      </c>
      <c r="K19" s="350"/>
      <c r="L19" s="348" t="s">
        <v>5354</v>
      </c>
      <c r="O19" s="351"/>
      <c r="P19" s="351"/>
    </row>
    <row r="20" spans="2:16" x14ac:dyDescent="0.25">
      <c r="C20" s="352" t="s">
        <v>5361</v>
      </c>
      <c r="D20" s="353" t="s">
        <v>5362</v>
      </c>
    </row>
    <row r="21" spans="2:16" ht="40.200000000000003" customHeight="1" x14ac:dyDescent="0.25">
      <c r="B21" s="310">
        <v>5928</v>
      </c>
      <c r="C21" s="326" t="s">
        <v>5363</v>
      </c>
      <c r="D21" s="486" t="str">
        <f>+_xlfn.XLOOKUP(B21,APU_IDU[Código],APU_IDU[Nombre],"",0)</f>
        <v>CAMARA FOTOGRAFICA DIGITAL COMPACTA. ALQUILER. DE 16.2 MEGAPIXELES. MEMORIA DE 6 GB. VIDEO HD CON PAUSA Y ZOOM. INCLUYE TRANSPORTE, SOPORTE TECNICO.</v>
      </c>
      <c r="E21" s="528" t="str">
        <f>+_xlfn.XLOOKUP(B21,APU_IDU[Código],APU_IDU[UM],"",0)</f>
        <v>MES</v>
      </c>
      <c r="F21" s="1171">
        <f>+_xlfn.XLOOKUP(B21,APU_IDU[Código],APU_IDU[Valor],"",0)</f>
        <v>28694</v>
      </c>
      <c r="G21" s="1171"/>
      <c r="H21" s="490"/>
      <c r="I21" s="490"/>
      <c r="J21" s="330">
        <v>15</v>
      </c>
      <c r="K21" s="490"/>
      <c r="L21" s="487">
        <f>ROUND((F21*J21*K10),0)</f>
        <v>4734510</v>
      </c>
    </row>
    <row r="22" spans="2:16" ht="34.200000000000003" customHeight="1" x14ac:dyDescent="0.25">
      <c r="B22" s="310">
        <v>7870</v>
      </c>
      <c r="C22" s="326" t="s">
        <v>5417</v>
      </c>
      <c r="D22" s="326" t="str">
        <f>+_xlfn.XLOOKUP(B22,INSUMO_IDU[Código],INSUMO_IDU[Nombre],"",0)</f>
        <v>VÍDEO BEAM - ALQUILER POR DIA</v>
      </c>
      <c r="E22" s="486" t="str">
        <f>+_xlfn.XLOOKUP(B22,INSUMO_IDU[Código],INSUMO_IDU[UM],"",0)</f>
        <v>DIA</v>
      </c>
      <c r="F22" s="1171">
        <f>+_xlfn.XLOOKUP(B22,INSUMO_IDU[Código],INSUMO_IDU[Precio],"",0)</f>
        <v>100862</v>
      </c>
      <c r="G22" s="1171"/>
      <c r="H22" s="488"/>
      <c r="I22" s="489"/>
      <c r="J22" s="330">
        <v>60</v>
      </c>
      <c r="K22" s="489"/>
      <c r="L22" s="487">
        <f>ROUND((F22*J22),0)</f>
        <v>6051720</v>
      </c>
    </row>
    <row r="23" spans="2:16" x14ac:dyDescent="0.25">
      <c r="C23" s="334"/>
      <c r="D23" s="335"/>
      <c r="E23" s="323"/>
      <c r="F23" s="336"/>
      <c r="G23" s="336"/>
      <c r="H23" s="336"/>
      <c r="I23" s="337"/>
      <c r="J23" s="337"/>
      <c r="K23" s="338" t="s">
        <v>5364</v>
      </c>
      <c r="L23" s="339">
        <f>SUM(L21:L22)</f>
        <v>10786230</v>
      </c>
    </row>
    <row r="24" spans="2:16" x14ac:dyDescent="0.25">
      <c r="C24" s="357" t="s">
        <v>5365</v>
      </c>
      <c r="D24" s="358" t="s">
        <v>5366</v>
      </c>
      <c r="E24" s="359"/>
      <c r="F24" s="359"/>
      <c r="G24" s="359"/>
      <c r="H24" s="359"/>
      <c r="I24" s="359"/>
      <c r="J24" s="359"/>
      <c r="K24" s="359"/>
      <c r="L24" s="360"/>
    </row>
    <row r="25" spans="2:16" ht="24" customHeight="1" x14ac:dyDescent="0.25">
      <c r="B25" s="310">
        <v>7897</v>
      </c>
      <c r="C25" s="326" t="s">
        <v>5367</v>
      </c>
      <c r="D25" s="326" t="str">
        <f>+_xlfn.XLOOKUP(B25,INSUMO_IDU[Código],INSUMO_IDU[Nombre],"",0)</f>
        <v>AFICHE TAMAÑO MEDIO PLIEGO A 4X0 TINTAS EN PROPALCOTE DE 115 GR.</v>
      </c>
      <c r="E25" s="486" t="str">
        <f>+_xlfn.XLOOKUP(B25,INSUMO_IDU[Código],INSUMO_IDU[UM],"",0)</f>
        <v>UN</v>
      </c>
      <c r="F25" s="1171">
        <f>+_xlfn.XLOOKUP(B25,INSUMO_IDU[Código],INSUMO_IDU[Precio],"",0)</f>
        <v>1426</v>
      </c>
      <c r="G25" s="1171"/>
      <c r="H25" s="355"/>
      <c r="I25" s="356"/>
      <c r="J25" s="361">
        <v>1500</v>
      </c>
      <c r="K25" s="362"/>
      <c r="L25" s="332">
        <f t="shared" ref="L25:L30" si="0">ROUND((F25*J25),0)</f>
        <v>2139000</v>
      </c>
    </row>
    <row r="26" spans="2:16" ht="25.8" customHeight="1" x14ac:dyDescent="0.25">
      <c r="B26" s="310">
        <v>7898</v>
      </c>
      <c r="C26" s="326" t="s">
        <v>5368</v>
      </c>
      <c r="D26" s="326" t="str">
        <f>+_xlfn.XLOOKUP(B26,INSUMO_IDU[Código],INSUMO_IDU[Nombre],"",0)</f>
        <v>PLEGABLES DE SOSTENIBILIDAD EN TRES CUERPOS TAMAÑO CARTA A 4X4 TINTAS EN PROPALCOTE.</v>
      </c>
      <c r="E26" s="486" t="str">
        <f>+_xlfn.XLOOKUP(B26,INSUMO_IDU[Código],INSUMO_IDU[UM],"",0)</f>
        <v>UN</v>
      </c>
      <c r="F26" s="1171">
        <f>+_xlfn.XLOOKUP(B26,INSUMO_IDU[Código],INSUMO_IDU[Precio],"",0)</f>
        <v>762</v>
      </c>
      <c r="G26" s="1171"/>
      <c r="H26" s="355"/>
      <c r="I26" s="356"/>
      <c r="J26" s="361">
        <v>8000</v>
      </c>
      <c r="K26" s="362"/>
      <c r="L26" s="332">
        <f t="shared" si="0"/>
        <v>6096000</v>
      </c>
    </row>
    <row r="27" spans="2:16" ht="75" customHeight="1" x14ac:dyDescent="0.25">
      <c r="B27" s="310">
        <v>7773</v>
      </c>
      <c r="C27" s="326" t="s">
        <v>5369</v>
      </c>
      <c r="D27" s="486" t="str">
        <f>+_xlfn.XLOOKUP(B27,APU_IDU[Código],APU_IDU[Nombre],"",0)</f>
        <v>VALLA DE 3.00 M X 6.00 M CON ESTRUCTURA METÁLICA - ESTRUCTURA TIPO VALLA EN CERCHA + BANNER. INCLUYE SUMINISTRO E INSTALACIÓN. IMPRESIÓN 720 DPI; TINTAS PARA EXTERIORES.</v>
      </c>
      <c r="E27" s="528" t="str">
        <f>+_xlfn.XLOOKUP(B27,APU_IDU[Código],APU_IDU[UM],"",0)</f>
        <v>UN</v>
      </c>
      <c r="F27" s="1171">
        <f>+_xlfn.XLOOKUP(B27,APU_IDU[Código],APU_IDU[Valor],"",0)</f>
        <v>7500594</v>
      </c>
      <c r="G27" s="1171"/>
      <c r="H27" s="355"/>
      <c r="I27" s="356"/>
      <c r="J27" s="361">
        <v>13</v>
      </c>
      <c r="K27" s="362"/>
      <c r="L27" s="332">
        <f t="shared" si="0"/>
        <v>97507722</v>
      </c>
    </row>
    <row r="28" spans="2:16" ht="61.8" customHeight="1" x14ac:dyDescent="0.25">
      <c r="B28" s="310">
        <v>7774</v>
      </c>
      <c r="C28" s="326" t="s">
        <v>5418</v>
      </c>
      <c r="D28" s="486" t="str">
        <f>+_xlfn.XLOOKUP(B28,APU_IDU[Código],APU_IDU[Nombre],"",0)</f>
        <v>VALLA MÓVIL DE 1.20M X 1.20M EN LÁMINA GALVANIZADA CALIBRE 20, ÁNGULO EN HIERRO DE 2 X 1-1/8" IMPRESO EN VINILO ADHESIVO. INCLUYE SUMINISTRO E INSTALACIÓN. IMPRESIÓN 720 DPI; TINTAS PARA EXTERIORES.</v>
      </c>
      <c r="E28" s="528" t="str">
        <f>+_xlfn.XLOOKUP(B28,APU_IDU[Código],APU_IDU[UM],"",0)</f>
        <v>UN</v>
      </c>
      <c r="F28" s="1171">
        <f>+_xlfn.XLOOKUP(B28,APU_IDU[Código],APU_IDU[Valor],"",0)</f>
        <v>674690</v>
      </c>
      <c r="G28" s="1171"/>
      <c r="H28" s="355"/>
      <c r="I28" s="356"/>
      <c r="J28" s="361">
        <v>12</v>
      </c>
      <c r="K28" s="362"/>
      <c r="L28" s="332">
        <f t="shared" si="0"/>
        <v>8096280</v>
      </c>
    </row>
    <row r="29" spans="2:16" ht="64.8" customHeight="1" x14ac:dyDescent="0.25">
      <c r="B29" s="310">
        <v>7903</v>
      </c>
      <c r="C29" s="326" t="s">
        <v>5419</v>
      </c>
      <c r="D29" s="486" t="str">
        <f>+_xlfn.XLOOKUP(B29,APU_IDU[Código],APU_IDU[Nombre],"",0)</f>
        <v>PENDONES ELABORADOS EN BANNER, CON UNA DIMENSIÓN DE 1.00 M DE ANCHO POR 1.50 M DE LARGO. IMPRESIÓN A FULL COLOR SEGÚN DISEÑOS DE OJALETES.</v>
      </c>
      <c r="E29" s="528" t="str">
        <f>+_xlfn.XLOOKUP(B29,APU_IDU[Código],APU_IDU[UM],"",0)</f>
        <v>UN</v>
      </c>
      <c r="F29" s="1171">
        <f>+_xlfn.XLOOKUP(B29,APU_IDU[Código],APU_IDU[Valor],"",0)</f>
        <v>107244</v>
      </c>
      <c r="G29" s="1171"/>
      <c r="H29" s="355"/>
      <c r="I29" s="356"/>
      <c r="J29" s="361">
        <v>12</v>
      </c>
      <c r="K29" s="362"/>
      <c r="L29" s="332">
        <f t="shared" si="0"/>
        <v>1286928</v>
      </c>
    </row>
    <row r="30" spans="2:16" ht="31.5" customHeight="1" x14ac:dyDescent="0.25">
      <c r="B30" s="310">
        <v>7896</v>
      </c>
      <c r="C30" s="326" t="s">
        <v>5420</v>
      </c>
      <c r="D30" s="326" t="str">
        <f>+_xlfn.XLOOKUP(B30,INSUMO_IDU[Código],INSUMO_IDU[Nombre],"",0)</f>
        <v>IMPRESIÓN HOJA CARTA, A 1X0 TINTAS EN PAPEL BOND DE 75 GR.</v>
      </c>
      <c r="E30" s="486" t="str">
        <f>+_xlfn.XLOOKUP(B30,INSUMO_IDU[Código],INSUMO_IDU[UM],"",0)</f>
        <v>UN</v>
      </c>
      <c r="F30" s="1171">
        <f>+_xlfn.XLOOKUP(B30,INSUMO_IDU[Código],INSUMO_IDU[Precio],"",0)</f>
        <v>171</v>
      </c>
      <c r="G30" s="1171"/>
      <c r="H30" s="355"/>
      <c r="I30" s="356"/>
      <c r="J30" s="361">
        <v>20000</v>
      </c>
      <c r="K30" s="362"/>
      <c r="L30" s="332">
        <f t="shared" si="0"/>
        <v>3420000</v>
      </c>
    </row>
    <row r="31" spans="2:16" x14ac:dyDescent="0.25">
      <c r="C31" s="334"/>
      <c r="D31" s="335"/>
      <c r="E31" s="323"/>
      <c r="F31" s="336"/>
      <c r="G31" s="336"/>
      <c r="H31" s="336"/>
      <c r="I31" s="337"/>
      <c r="J31" s="337"/>
      <c r="K31" s="338" t="s">
        <v>5370</v>
      </c>
      <c r="L31" s="339">
        <f>SUM(L25:L30)</f>
        <v>118545930</v>
      </c>
    </row>
    <row r="32" spans="2:16" ht="4.5" customHeight="1" x14ac:dyDescent="0.25"/>
    <row r="33" spans="2:12" x14ac:dyDescent="0.25">
      <c r="C33" s="326" t="s">
        <v>5371</v>
      </c>
      <c r="D33" s="358" t="s">
        <v>5372</v>
      </c>
      <c r="E33" s="363"/>
      <c r="F33" s="335"/>
      <c r="G33" s="335"/>
      <c r="H33" s="335"/>
      <c r="I33" s="335"/>
      <c r="J33" s="335"/>
      <c r="K33" s="335"/>
      <c r="L33" s="335"/>
    </row>
    <row r="34" spans="2:12" x14ac:dyDescent="0.25">
      <c r="C34" s="1188" t="s">
        <v>5348</v>
      </c>
      <c r="D34" s="1188"/>
      <c r="E34" s="348" t="s">
        <v>5349</v>
      </c>
      <c r="F34" s="348" t="s">
        <v>5128</v>
      </c>
      <c r="G34" s="348" t="s">
        <v>5127</v>
      </c>
      <c r="H34" s="321"/>
      <c r="I34" s="322"/>
      <c r="J34" s="322" t="s">
        <v>5352</v>
      </c>
      <c r="K34" s="322"/>
      <c r="L34" s="348" t="s">
        <v>5354</v>
      </c>
    </row>
    <row r="35" spans="2:12" s="366" customFormat="1" ht="30" customHeight="1" x14ac:dyDescent="0.25">
      <c r="B35" s="364"/>
      <c r="C35" s="357" t="s">
        <v>5373</v>
      </c>
      <c r="D35" s="358" t="s">
        <v>5409</v>
      </c>
      <c r="E35" s="359"/>
      <c r="F35" s="359"/>
      <c r="G35" s="359"/>
      <c r="H35" s="359"/>
      <c r="I35" s="359"/>
      <c r="J35" s="359"/>
      <c r="K35" s="359"/>
      <c r="L35" s="365"/>
    </row>
    <row r="36" spans="2:12" ht="34.200000000000003" x14ac:dyDescent="0.25">
      <c r="B36" s="310">
        <v>9840</v>
      </c>
      <c r="C36" s="326" t="s">
        <v>5374</v>
      </c>
      <c r="D36" s="326" t="str">
        <f>+_xlfn.XLOOKUP(B36,INSUMO_IDU[Código],INSUMO_IDU[Nombre],"",0)</f>
        <v>TARIFA MES - EDICIÓN DE INFORME MENSUAL DE INTERVENTORÍA O CONSULTORÍA. Incluye 4 tapas plastificadas tamaño carta color blanco, con 6 tornillos, hojas de papel bond tamaño carta 75 gramos, 170 folios</v>
      </c>
      <c r="E36" s="486" t="str">
        <f>+_xlfn.XLOOKUP(B36,INSUMO_IDU[Código],INSUMO_IDU[UM],"",0)</f>
        <v>UN/MES</v>
      </c>
      <c r="F36" s="527">
        <f>+_xlfn.XLOOKUP(B36,INSUMO_IDU[Código],INSUMO_IDU[Precio],"",0)</f>
        <v>264000</v>
      </c>
      <c r="G36" s="367">
        <v>1</v>
      </c>
      <c r="H36" s="368"/>
      <c r="I36" s="369"/>
      <c r="J36" s="331">
        <f t="shared" ref="J36:J44" si="1">$K$10</f>
        <v>11</v>
      </c>
      <c r="K36" s="331"/>
      <c r="L36" s="370">
        <f>ROUND((F36*G36*J36),0)</f>
        <v>2904000</v>
      </c>
    </row>
    <row r="37" spans="2:12" ht="26.4" customHeight="1" x14ac:dyDescent="0.25">
      <c r="B37" s="310">
        <v>6170</v>
      </c>
      <c r="C37" s="326" t="s">
        <v>5375</v>
      </c>
      <c r="D37" s="486" t="str">
        <f>+_xlfn.XLOOKUP(B37,APU_IDU[Código],APU_IDU[Nombre],"",0)</f>
        <v>ALQUILER DE SILLA PARA ESCRITORIO PARA PUESTO DE TRABAJO</v>
      </c>
      <c r="E37" s="528" t="str">
        <f>+_xlfn.XLOOKUP(B37,APU_IDU[Código],APU_IDU[UM],"",0)</f>
        <v>UN/MES</v>
      </c>
      <c r="F37" s="529">
        <f>+_xlfn.XLOOKUP(B37,APU_IDU[Código],APU_IDU[Valor],"",0)</f>
        <v>10519</v>
      </c>
      <c r="G37" s="367">
        <v>10</v>
      </c>
      <c r="H37" s="368"/>
      <c r="I37" s="369"/>
      <c r="J37" s="331">
        <f t="shared" si="1"/>
        <v>11</v>
      </c>
      <c r="K37" s="331"/>
      <c r="L37" s="370">
        <f>ROUND((F37*G37*J37),0)</f>
        <v>1157090</v>
      </c>
    </row>
    <row r="38" spans="2:12" x14ac:dyDescent="0.25">
      <c r="B38" s="310">
        <v>6169</v>
      </c>
      <c r="C38" s="326" t="s">
        <v>5376</v>
      </c>
      <c r="D38" s="486" t="str">
        <f>+_xlfn.XLOOKUP(B38,APU_IDU[Código],APU_IDU[Nombre],"",0)</f>
        <v>ALQUILER DE PUESTO DE TRABAJO - ESCRITORIO 75X120X50CM</v>
      </c>
      <c r="E38" s="528" t="str">
        <f>+_xlfn.XLOOKUP(B38,APU_IDU[Código],APU_IDU[UM],"",0)</f>
        <v>UN/MES</v>
      </c>
      <c r="F38" s="529">
        <f>+_xlfn.XLOOKUP(B38,APU_IDU[Código],APU_IDU[Valor],"",0)</f>
        <v>11639</v>
      </c>
      <c r="G38" s="367">
        <v>4</v>
      </c>
      <c r="H38" s="368"/>
      <c r="I38" s="369"/>
      <c r="J38" s="331">
        <f t="shared" si="1"/>
        <v>11</v>
      </c>
      <c r="K38" s="331"/>
      <c r="L38" s="370">
        <f>ROUND((F38*G38*J38),0)</f>
        <v>512116</v>
      </c>
    </row>
    <row r="39" spans="2:12" ht="39" customHeight="1" x14ac:dyDescent="0.25">
      <c r="B39" s="310">
        <v>8765</v>
      </c>
      <c r="C39" s="326" t="s">
        <v>5377</v>
      </c>
      <c r="D39" s="486" t="str">
        <f>+_xlfn.XLOOKUP(B39,APU_IDU[Código],APU_IDU[Nombre],"",0)</f>
        <v>ALQUILER DE MESA PLÁSTICA DE 0.72m x 0.72m x 0.72m_(Según Apéndice Bioseguridad Covid 19)</v>
      </c>
      <c r="E39" s="528" t="str">
        <f>+_xlfn.XLOOKUP(B39,APU_IDU[Código],APU_IDU[UM],"",0)</f>
        <v>UN/MES</v>
      </c>
      <c r="F39" s="529">
        <f>+_xlfn.XLOOKUP(B39,APU_IDU[Código],APU_IDU[Valor],"",0)</f>
        <v>8093</v>
      </c>
      <c r="G39" s="367">
        <v>10</v>
      </c>
      <c r="H39" s="368"/>
      <c r="I39" s="369"/>
      <c r="J39" s="331">
        <f t="shared" si="1"/>
        <v>11</v>
      </c>
      <c r="K39" s="331"/>
      <c r="L39" s="370">
        <f>ROUND((F39*G39*J40),0)</f>
        <v>890230</v>
      </c>
    </row>
    <row r="40" spans="2:12" ht="56.4" customHeight="1" x14ac:dyDescent="0.25">
      <c r="B40" s="310">
        <v>9048</v>
      </c>
      <c r="C40" s="326" t="s">
        <v>5378</v>
      </c>
      <c r="D40" s="326" t="str">
        <f>+_xlfn.XLOOKUP(B40,INSUMO_IDU[Código],INSUMO_IDU[Nombre],"",0)</f>
        <v>CARTELERA CON MARCO EN ALUMINIO ANODIZADO, PAÑO COLOR GRIS CON CENEFA SUPERIOR, PUERTAS CORREDIZAS. Incl. transporte</v>
      </c>
      <c r="E40" s="486" t="str">
        <f>+_xlfn.XLOOKUP(B40,INSUMO_IDU[Código],INSUMO_IDU[UM],"",0)</f>
        <v>UN</v>
      </c>
      <c r="F40" s="527">
        <f>+_xlfn.XLOOKUP(B40,INSUMO_IDU[Código],INSUMO_IDU[Precio],"",0)</f>
        <v>568502</v>
      </c>
      <c r="G40" s="367">
        <v>11</v>
      </c>
      <c r="H40" s="368"/>
      <c r="I40" s="371"/>
      <c r="J40" s="331">
        <f t="shared" si="1"/>
        <v>11</v>
      </c>
      <c r="K40" s="331"/>
      <c r="L40" s="370">
        <f>ROUND((F40*G40),0)</f>
        <v>6253522</v>
      </c>
    </row>
    <row r="41" spans="2:12" ht="56.4" customHeight="1" x14ac:dyDescent="0.25">
      <c r="B41" s="310">
        <v>6172</v>
      </c>
      <c r="C41" s="326" t="s">
        <v>5379</v>
      </c>
      <c r="D41" s="486" t="str">
        <f>+_xlfn.XLOOKUP(B41,APU_IDU[Código],APU_IDU[Nombre],"",0)</f>
        <v>ALQUILER DE SILLA PLÁSTICA SIN BRAZOS</v>
      </c>
      <c r="E41" s="528" t="str">
        <f>+_xlfn.XLOOKUP(B41,APU_IDU[Código],APU_IDU[UM],"",0)</f>
        <v>UN/MES</v>
      </c>
      <c r="F41" s="529">
        <f>+_xlfn.XLOOKUP(B41,APU_IDU[Código],APU_IDU[Valor],"",0)</f>
        <v>3039</v>
      </c>
      <c r="G41" s="367">
        <v>10</v>
      </c>
      <c r="H41" s="368"/>
      <c r="I41" s="371"/>
      <c r="J41" s="331">
        <f t="shared" si="1"/>
        <v>11</v>
      </c>
      <c r="K41" s="331"/>
      <c r="L41" s="370">
        <f>ROUND((F41*G41),0)</f>
        <v>30390</v>
      </c>
    </row>
    <row r="42" spans="2:12" ht="56.4" customHeight="1" x14ac:dyDescent="0.25">
      <c r="B42" s="310">
        <v>11834</v>
      </c>
      <c r="C42" s="326" t="s">
        <v>5380</v>
      </c>
      <c r="D42" s="326" t="str">
        <f>+_xlfn.XLOOKUP(B42,INSUMO_IDU[Código],INSUMO_IDU[Nombre],"",0)</f>
        <v>AVISO PUNTO IDU 1.50m x 0.90m EN LÁMINA GALVANIZADA CAL. 24. INCLUYE SUMINISTRO E INSTALACIÓN</v>
      </c>
      <c r="E42" s="486" t="str">
        <f>+_xlfn.XLOOKUP(B42,INSUMO_IDU[Código],INSUMO_IDU[UM],"",0)</f>
        <v>UN</v>
      </c>
      <c r="F42" s="527">
        <f>+_xlfn.XLOOKUP(B42,INSUMO_IDU[Código],INSUMO_IDU[Precio],"",0)</f>
        <v>799680</v>
      </c>
      <c r="G42" s="367">
        <v>2</v>
      </c>
      <c r="H42" s="522"/>
      <c r="I42" s="523"/>
      <c r="J42" s="331">
        <f t="shared" si="1"/>
        <v>11</v>
      </c>
      <c r="K42" s="331"/>
      <c r="L42" s="370">
        <f>ROUND((F42*G42),0)</f>
        <v>1599360</v>
      </c>
    </row>
    <row r="43" spans="2:12" ht="108.6" customHeight="1" x14ac:dyDescent="0.25">
      <c r="B43" s="310">
        <v>6318</v>
      </c>
      <c r="C43" s="326" t="s">
        <v>5381</v>
      </c>
      <c r="D43" s="486" t="str">
        <f>+_xlfn.XLOOKUP(B43,APU_IDU[Código],APU_IDU[Nombre],"",0)</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43" s="528" t="str">
        <f>+_xlfn.XLOOKUP(B43,APU_IDU[Código],APU_IDU[UM],"",0)</f>
        <v>UN/MES</v>
      </c>
      <c r="F43" s="529">
        <f>+_xlfn.XLOOKUP(B43,APU_IDU[Código],APU_IDU[Valor],"",0)</f>
        <v>124818</v>
      </c>
      <c r="G43" s="367">
        <v>3</v>
      </c>
      <c r="H43" s="368"/>
      <c r="I43" s="369"/>
      <c r="J43" s="331">
        <f t="shared" si="1"/>
        <v>11</v>
      </c>
      <c r="K43" s="331"/>
      <c r="L43" s="370">
        <f>ROUND((F43*G43*J43),0)</f>
        <v>4118994</v>
      </c>
    </row>
    <row r="44" spans="2:12" ht="35.25" customHeight="1" x14ac:dyDescent="0.25">
      <c r="B44" s="310">
        <v>9835</v>
      </c>
      <c r="C44" s="326" t="s">
        <v>5421</v>
      </c>
      <c r="D44" s="326" t="str">
        <f>+_xlfn.XLOOKUP(B44,INSUMO_IDU[Código],INSUMO_IDU[Nombre],"",0)</f>
        <v>TARIFA MES - SERVICIO TELEFONIA LOCAL ILIMITADA E INTERNET ILIMITADO VELOCIDAD PROMEDIO (80-500 MB) ESTRATO 3</v>
      </c>
      <c r="E44" s="486" t="str">
        <f>+_xlfn.XLOOKUP(B44,INSUMO_IDU[Código],INSUMO_IDU[UM],"",0)</f>
        <v>MES</v>
      </c>
      <c r="F44" s="527">
        <f>+_xlfn.XLOOKUP(B44,INSUMO_IDU[Código],INSUMO_IDU[Precio],"",0)</f>
        <v>131990</v>
      </c>
      <c r="G44" s="367">
        <v>1</v>
      </c>
      <c r="H44" s="368"/>
      <c r="I44" s="369"/>
      <c r="J44" s="331">
        <f t="shared" si="1"/>
        <v>11</v>
      </c>
      <c r="K44" s="331"/>
      <c r="L44" s="370">
        <f>ROUND((F44*G44*J44),0)</f>
        <v>1451890</v>
      </c>
    </row>
    <row r="45" spans="2:12" ht="18.75" customHeight="1" x14ac:dyDescent="0.25">
      <c r="C45" s="334"/>
      <c r="D45" s="335"/>
      <c r="E45" s="323"/>
      <c r="F45" s="336"/>
      <c r="G45" s="336"/>
      <c r="H45" s="336"/>
      <c r="I45" s="337"/>
      <c r="J45" s="337"/>
      <c r="K45" s="338" t="s">
        <v>5382</v>
      </c>
      <c r="L45" s="339">
        <f>SUM(L36:L44)</f>
        <v>18917592</v>
      </c>
    </row>
    <row r="46" spans="2:12" ht="7.5" customHeight="1" x14ac:dyDescent="0.25">
      <c r="C46" s="372"/>
      <c r="D46" s="373"/>
      <c r="E46" s="374"/>
      <c r="F46" s="373"/>
      <c r="G46" s="373"/>
      <c r="H46" s="373"/>
      <c r="I46" s="375"/>
      <c r="J46" s="375"/>
      <c r="K46" s="372"/>
      <c r="L46" s="376"/>
    </row>
    <row r="47" spans="2:12" ht="15.75" customHeight="1" x14ac:dyDescent="0.25">
      <c r="C47" s="377"/>
      <c r="D47" s="1202" t="s">
        <v>5383</v>
      </c>
      <c r="E47" s="1203"/>
      <c r="F47" s="1203"/>
      <c r="G47" s="1203"/>
      <c r="H47" s="1203"/>
      <c r="I47" s="1203"/>
      <c r="J47" s="1203"/>
      <c r="K47" s="378"/>
      <c r="L47" s="339">
        <f>L16</f>
        <v>139280317</v>
      </c>
    </row>
    <row r="48" spans="2:12" ht="15.75" customHeight="1" x14ac:dyDescent="0.25">
      <c r="C48" s="377"/>
      <c r="D48" s="1202" t="s">
        <v>5384</v>
      </c>
      <c r="E48" s="1203"/>
      <c r="F48" s="1203"/>
      <c r="G48" s="1203"/>
      <c r="H48" s="1203"/>
      <c r="I48" s="1203"/>
      <c r="J48" s="1203"/>
      <c r="K48" s="378"/>
      <c r="L48" s="339">
        <f>L23+L31+L45</f>
        <v>148249752</v>
      </c>
    </row>
    <row r="49" spans="3:13" ht="9" customHeight="1" x14ac:dyDescent="0.25">
      <c r="C49" s="375"/>
      <c r="D49" s="379"/>
      <c r="E49" s="1204"/>
      <c r="F49" s="1204"/>
      <c r="G49" s="1204"/>
      <c r="H49" s="1204"/>
      <c r="I49" s="1204"/>
      <c r="J49" s="1204"/>
      <c r="K49" s="380"/>
      <c r="L49" s="376"/>
    </row>
    <row r="50" spans="3:13" x14ac:dyDescent="0.25">
      <c r="C50" s="375"/>
      <c r="D50" s="1202" t="s">
        <v>5385</v>
      </c>
      <c r="E50" s="1203"/>
      <c r="F50" s="1203"/>
      <c r="G50" s="1203"/>
      <c r="H50" s="1203"/>
      <c r="I50" s="1203"/>
      <c r="J50" s="1203"/>
      <c r="K50" s="378"/>
      <c r="L50" s="339">
        <f>L47+L48</f>
        <v>287530069</v>
      </c>
    </row>
    <row r="51" spans="3:13" ht="7.5" customHeight="1" x14ac:dyDescent="0.25">
      <c r="C51" s="377"/>
      <c r="D51" s="379"/>
      <c r="E51" s="1205"/>
      <c r="F51" s="1205"/>
      <c r="G51" s="1205"/>
      <c r="H51" s="1205"/>
      <c r="I51" s="1205"/>
      <c r="J51" s="1205"/>
      <c r="K51" s="377"/>
      <c r="L51" s="381"/>
    </row>
    <row r="52" spans="3:13" x14ac:dyDescent="0.25">
      <c r="C52" s="372"/>
      <c r="D52" s="1202" t="s">
        <v>5126</v>
      </c>
      <c r="E52" s="1203"/>
      <c r="F52" s="1203"/>
      <c r="G52" s="1203"/>
      <c r="H52" s="1203"/>
      <c r="I52" s="1203"/>
      <c r="J52" s="1203"/>
      <c r="K52" s="382">
        <f>+'AIU PGS'!L37</f>
        <v>0.15103740033533675</v>
      </c>
      <c r="L52" s="339">
        <f>ROUND((L50*K52),0)</f>
        <v>43427794</v>
      </c>
    </row>
    <row r="53" spans="3:13" x14ac:dyDescent="0.25">
      <c r="C53" s="372"/>
      <c r="D53" s="383"/>
      <c r="E53" s="372"/>
      <c r="F53" s="383"/>
      <c r="G53" s="383"/>
      <c r="H53" s="383"/>
      <c r="I53" s="383"/>
      <c r="J53" s="383"/>
      <c r="K53" s="384"/>
      <c r="L53" s="385"/>
    </row>
    <row r="54" spans="3:13" ht="21.75" customHeight="1" x14ac:dyDescent="0.25">
      <c r="C54" s="377"/>
      <c r="D54" s="1202" t="s">
        <v>5386</v>
      </c>
      <c r="E54" s="1203"/>
      <c r="F54" s="1203"/>
      <c r="G54" s="1203"/>
      <c r="H54" s="1203"/>
      <c r="I54" s="1203"/>
      <c r="J54" s="1203"/>
      <c r="K54" s="378"/>
      <c r="L54" s="386">
        <f>ROUND((L50+L52),0)</f>
        <v>330957863</v>
      </c>
    </row>
    <row r="55" spans="3:13" x14ac:dyDescent="0.25">
      <c r="D55" s="312" t="s">
        <v>5387</v>
      </c>
      <c r="K55" s="387" t="e">
        <f>+L55</f>
        <v>#REF!</v>
      </c>
      <c r="L55" s="485" t="e">
        <f>+L54/#REF!</f>
        <v>#REF!</v>
      </c>
      <c r="M55" s="388" t="e">
        <f>L55*100</f>
        <v>#REF!</v>
      </c>
    </row>
    <row r="56" spans="3:13" x14ac:dyDescent="0.25">
      <c r="L56" s="389"/>
    </row>
    <row r="57" spans="3:13" x14ac:dyDescent="0.25">
      <c r="L57" s="390"/>
    </row>
    <row r="58" spans="3:13" x14ac:dyDescent="0.25">
      <c r="L58" s="390"/>
    </row>
  </sheetData>
  <mergeCells count="38">
    <mergeCell ref="D54:J54"/>
    <mergeCell ref="F22:G22"/>
    <mergeCell ref="F25:G25"/>
    <mergeCell ref="F26:G26"/>
    <mergeCell ref="F30:G30"/>
    <mergeCell ref="C34:D34"/>
    <mergeCell ref="D47:J47"/>
    <mergeCell ref="D48:J48"/>
    <mergeCell ref="E49:J49"/>
    <mergeCell ref="D50:J50"/>
    <mergeCell ref="E51:J51"/>
    <mergeCell ref="D52:J52"/>
    <mergeCell ref="C3:D3"/>
    <mergeCell ref="F3:G3"/>
    <mergeCell ref="I3:J3"/>
    <mergeCell ref="K3:L7"/>
    <mergeCell ref="C7:J7"/>
    <mergeCell ref="C4:D4"/>
    <mergeCell ref="F4:G4"/>
    <mergeCell ref="I4:J4"/>
    <mergeCell ref="C5:J5"/>
    <mergeCell ref="C6:J6"/>
    <mergeCell ref="F21:G21"/>
    <mergeCell ref="F27:G27"/>
    <mergeCell ref="F28:G28"/>
    <mergeCell ref="F29:G29"/>
    <mergeCell ref="N3:P8"/>
    <mergeCell ref="H10:J10"/>
    <mergeCell ref="C8:J8"/>
    <mergeCell ref="K8:L8"/>
    <mergeCell ref="C9:D9"/>
    <mergeCell ref="E9:L9"/>
    <mergeCell ref="C11:K11"/>
    <mergeCell ref="C12:D12"/>
    <mergeCell ref="C13:D13"/>
    <mergeCell ref="C18:D18"/>
    <mergeCell ref="C19:D19"/>
    <mergeCell ref="F19:G19"/>
  </mergeCells>
  <phoneticPr fontId="18" type="noConversion"/>
  <pageMargins left="0.7" right="0.7" top="0.75" bottom="0.75" header="0.3" footer="0.3"/>
  <pageSetup scale="51" fitToHeight="0" orientation="landscape" r:id="rId1"/>
  <rowBreaks count="1" manualBreakCount="1">
    <brk id="32" min="2" max="11"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1B0A7-14AB-4F55-BEC2-C0A8C932034F}">
  <sheetPr>
    <tabColor theme="3" tint="0.59999389629810485"/>
    <pageSetUpPr fitToPage="1"/>
  </sheetPr>
  <dimension ref="A1:P41"/>
  <sheetViews>
    <sheetView view="pageBreakPreview" topLeftCell="A10" zoomScaleNormal="100" zoomScaleSheetLayoutView="100" workbookViewId="0">
      <selection activeCell="D6" sqref="D6:L6"/>
    </sheetView>
  </sheetViews>
  <sheetFormatPr baseColWidth="10" defaultRowHeight="13.2" x14ac:dyDescent="0.3"/>
  <cols>
    <col min="1" max="1" width="7.109375" style="283" bestFit="1" customWidth="1"/>
    <col min="2" max="2" width="5.33203125" style="283" bestFit="1" customWidth="1"/>
    <col min="3" max="3" width="43.6640625" style="284" customWidth="1"/>
    <col min="4" max="4" width="13.5546875" style="284" customWidth="1"/>
    <col min="5" max="5" width="10.109375" style="284" customWidth="1"/>
    <col min="6" max="6" width="10" style="284" customWidth="1"/>
    <col min="7" max="7" width="6.109375" style="284" bestFit="1" customWidth="1"/>
    <col min="8" max="8" width="5.5546875" style="284" customWidth="1"/>
    <col min="9" max="9" width="14.88671875" style="284" bestFit="1" customWidth="1"/>
    <col min="10" max="10" width="12.88671875" style="284" bestFit="1" customWidth="1"/>
    <col min="11" max="11" width="7.6640625" style="284" customWidth="1"/>
    <col min="12" max="12" width="18" style="284" customWidth="1"/>
    <col min="13" max="13" width="8.33203125" style="284" customWidth="1"/>
    <col min="14" max="14" width="16" style="284" customWidth="1"/>
    <col min="15" max="15" width="15.109375" style="284" bestFit="1" customWidth="1"/>
    <col min="16" max="16" width="14.109375" style="284" bestFit="1" customWidth="1"/>
    <col min="17" max="256" width="11.5546875" style="284"/>
    <col min="257" max="257" width="7.109375" style="284" bestFit="1" customWidth="1"/>
    <col min="258" max="258" width="5.33203125" style="284" bestFit="1" customWidth="1"/>
    <col min="259" max="259" width="43.6640625" style="284" customWidth="1"/>
    <col min="260" max="260" width="13.5546875" style="284" customWidth="1"/>
    <col min="261" max="261" width="10.109375" style="284" customWidth="1"/>
    <col min="262" max="262" width="10" style="284" customWidth="1"/>
    <col min="263" max="263" width="6.109375" style="284" bestFit="1" customWidth="1"/>
    <col min="264" max="264" width="4.6640625" style="284" customWidth="1"/>
    <col min="265" max="265" width="14.88671875" style="284" bestFit="1" customWidth="1"/>
    <col min="266" max="266" width="12.88671875" style="284" bestFit="1" customWidth="1"/>
    <col min="267" max="267" width="7.6640625" style="284" customWidth="1"/>
    <col min="268" max="268" width="18" style="284" customWidth="1"/>
    <col min="269" max="269" width="8.33203125" style="284" customWidth="1"/>
    <col min="270" max="270" width="16" style="284" customWidth="1"/>
    <col min="271" max="271" width="15.109375" style="284" bestFit="1" customWidth="1"/>
    <col min="272" max="272" width="14.109375" style="284" bestFit="1" customWidth="1"/>
    <col min="273" max="512" width="11.5546875" style="284"/>
    <col min="513" max="513" width="7.109375" style="284" bestFit="1" customWidth="1"/>
    <col min="514" max="514" width="5.33203125" style="284" bestFit="1" customWidth="1"/>
    <col min="515" max="515" width="43.6640625" style="284" customWidth="1"/>
    <col min="516" max="516" width="13.5546875" style="284" customWidth="1"/>
    <col min="517" max="517" width="10.109375" style="284" customWidth="1"/>
    <col min="518" max="518" width="10" style="284" customWidth="1"/>
    <col min="519" max="519" width="6.109375" style="284" bestFit="1" customWidth="1"/>
    <col min="520" max="520" width="4.6640625" style="284" customWidth="1"/>
    <col min="521" max="521" width="14.88671875" style="284" bestFit="1" customWidth="1"/>
    <col min="522" max="522" width="12.88671875" style="284" bestFit="1" customWidth="1"/>
    <col min="523" max="523" width="7.6640625" style="284" customWidth="1"/>
    <col min="524" max="524" width="18" style="284" customWidth="1"/>
    <col min="525" max="525" width="8.33203125" style="284" customWidth="1"/>
    <col min="526" max="526" width="16" style="284" customWidth="1"/>
    <col min="527" max="527" width="15.109375" style="284" bestFit="1" customWidth="1"/>
    <col min="528" max="528" width="14.109375" style="284" bestFit="1" customWidth="1"/>
    <col min="529" max="768" width="11.5546875" style="284"/>
    <col min="769" max="769" width="7.109375" style="284" bestFit="1" customWidth="1"/>
    <col min="770" max="770" width="5.33203125" style="284" bestFit="1" customWidth="1"/>
    <col min="771" max="771" width="43.6640625" style="284" customWidth="1"/>
    <col min="772" max="772" width="13.5546875" style="284" customWidth="1"/>
    <col min="773" max="773" width="10.109375" style="284" customWidth="1"/>
    <col min="774" max="774" width="10" style="284" customWidth="1"/>
    <col min="775" max="775" width="6.109375" style="284" bestFit="1" customWidth="1"/>
    <col min="776" max="776" width="4.6640625" style="284" customWidth="1"/>
    <col min="777" max="777" width="14.88671875" style="284" bestFit="1" customWidth="1"/>
    <col min="778" max="778" width="12.88671875" style="284" bestFit="1" customWidth="1"/>
    <col min="779" max="779" width="7.6640625" style="284" customWidth="1"/>
    <col min="780" max="780" width="18" style="284" customWidth="1"/>
    <col min="781" max="781" width="8.33203125" style="284" customWidth="1"/>
    <col min="782" max="782" width="16" style="284" customWidth="1"/>
    <col min="783" max="783" width="15.109375" style="284" bestFit="1" customWidth="1"/>
    <col min="784" max="784" width="14.109375" style="284" bestFit="1" customWidth="1"/>
    <col min="785" max="1024" width="11.5546875" style="284"/>
    <col min="1025" max="1025" width="7.109375" style="284" bestFit="1" customWidth="1"/>
    <col min="1026" max="1026" width="5.33203125" style="284" bestFit="1" customWidth="1"/>
    <col min="1027" max="1027" width="43.6640625" style="284" customWidth="1"/>
    <col min="1028" max="1028" width="13.5546875" style="284" customWidth="1"/>
    <col min="1029" max="1029" width="10.109375" style="284" customWidth="1"/>
    <col min="1030" max="1030" width="10" style="284" customWidth="1"/>
    <col min="1031" max="1031" width="6.109375" style="284" bestFit="1" customWidth="1"/>
    <col min="1032" max="1032" width="4.6640625" style="284" customWidth="1"/>
    <col min="1033" max="1033" width="14.88671875" style="284" bestFit="1" customWidth="1"/>
    <col min="1034" max="1034" width="12.88671875" style="284" bestFit="1" customWidth="1"/>
    <col min="1035" max="1035" width="7.6640625" style="284" customWidth="1"/>
    <col min="1036" max="1036" width="18" style="284" customWidth="1"/>
    <col min="1037" max="1037" width="8.33203125" style="284" customWidth="1"/>
    <col min="1038" max="1038" width="16" style="284" customWidth="1"/>
    <col min="1039" max="1039" width="15.109375" style="284" bestFit="1" customWidth="1"/>
    <col min="1040" max="1040" width="14.109375" style="284" bestFit="1" customWidth="1"/>
    <col min="1041" max="1280" width="11.5546875" style="284"/>
    <col min="1281" max="1281" width="7.109375" style="284" bestFit="1" customWidth="1"/>
    <col min="1282" max="1282" width="5.33203125" style="284" bestFit="1" customWidth="1"/>
    <col min="1283" max="1283" width="43.6640625" style="284" customWidth="1"/>
    <col min="1284" max="1284" width="13.5546875" style="284" customWidth="1"/>
    <col min="1285" max="1285" width="10.109375" style="284" customWidth="1"/>
    <col min="1286" max="1286" width="10" style="284" customWidth="1"/>
    <col min="1287" max="1287" width="6.109375" style="284" bestFit="1" customWidth="1"/>
    <col min="1288" max="1288" width="4.6640625" style="284" customWidth="1"/>
    <col min="1289" max="1289" width="14.88671875" style="284" bestFit="1" customWidth="1"/>
    <col min="1290" max="1290" width="12.88671875" style="284" bestFit="1" customWidth="1"/>
    <col min="1291" max="1291" width="7.6640625" style="284" customWidth="1"/>
    <col min="1292" max="1292" width="18" style="284" customWidth="1"/>
    <col min="1293" max="1293" width="8.33203125" style="284" customWidth="1"/>
    <col min="1294" max="1294" width="16" style="284" customWidth="1"/>
    <col min="1295" max="1295" width="15.109375" style="284" bestFit="1" customWidth="1"/>
    <col min="1296" max="1296" width="14.109375" style="284" bestFit="1" customWidth="1"/>
    <col min="1297" max="1536" width="11.5546875" style="284"/>
    <col min="1537" max="1537" width="7.109375" style="284" bestFit="1" customWidth="1"/>
    <col min="1538" max="1538" width="5.33203125" style="284" bestFit="1" customWidth="1"/>
    <col min="1539" max="1539" width="43.6640625" style="284" customWidth="1"/>
    <col min="1540" max="1540" width="13.5546875" style="284" customWidth="1"/>
    <col min="1541" max="1541" width="10.109375" style="284" customWidth="1"/>
    <col min="1542" max="1542" width="10" style="284" customWidth="1"/>
    <col min="1543" max="1543" width="6.109375" style="284" bestFit="1" customWidth="1"/>
    <col min="1544" max="1544" width="4.6640625" style="284" customWidth="1"/>
    <col min="1545" max="1545" width="14.88671875" style="284" bestFit="1" customWidth="1"/>
    <col min="1546" max="1546" width="12.88671875" style="284" bestFit="1" customWidth="1"/>
    <col min="1547" max="1547" width="7.6640625" style="284" customWidth="1"/>
    <col min="1548" max="1548" width="18" style="284" customWidth="1"/>
    <col min="1549" max="1549" width="8.33203125" style="284" customWidth="1"/>
    <col min="1550" max="1550" width="16" style="284" customWidth="1"/>
    <col min="1551" max="1551" width="15.109375" style="284" bestFit="1" customWidth="1"/>
    <col min="1552" max="1552" width="14.109375" style="284" bestFit="1" customWidth="1"/>
    <col min="1553" max="1792" width="11.5546875" style="284"/>
    <col min="1793" max="1793" width="7.109375" style="284" bestFit="1" customWidth="1"/>
    <col min="1794" max="1794" width="5.33203125" style="284" bestFit="1" customWidth="1"/>
    <col min="1795" max="1795" width="43.6640625" style="284" customWidth="1"/>
    <col min="1796" max="1796" width="13.5546875" style="284" customWidth="1"/>
    <col min="1797" max="1797" width="10.109375" style="284" customWidth="1"/>
    <col min="1798" max="1798" width="10" style="284" customWidth="1"/>
    <col min="1799" max="1799" width="6.109375" style="284" bestFit="1" customWidth="1"/>
    <col min="1800" max="1800" width="4.6640625" style="284" customWidth="1"/>
    <col min="1801" max="1801" width="14.88671875" style="284" bestFit="1" customWidth="1"/>
    <col min="1802" max="1802" width="12.88671875" style="284" bestFit="1" customWidth="1"/>
    <col min="1803" max="1803" width="7.6640625" style="284" customWidth="1"/>
    <col min="1804" max="1804" width="18" style="284" customWidth="1"/>
    <col min="1805" max="1805" width="8.33203125" style="284" customWidth="1"/>
    <col min="1806" max="1806" width="16" style="284" customWidth="1"/>
    <col min="1807" max="1807" width="15.109375" style="284" bestFit="1" customWidth="1"/>
    <col min="1808" max="1808" width="14.109375" style="284" bestFit="1" customWidth="1"/>
    <col min="1809" max="2048" width="11.5546875" style="284"/>
    <col min="2049" max="2049" width="7.109375" style="284" bestFit="1" customWidth="1"/>
    <col min="2050" max="2050" width="5.33203125" style="284" bestFit="1" customWidth="1"/>
    <col min="2051" max="2051" width="43.6640625" style="284" customWidth="1"/>
    <col min="2052" max="2052" width="13.5546875" style="284" customWidth="1"/>
    <col min="2053" max="2053" width="10.109375" style="284" customWidth="1"/>
    <col min="2054" max="2054" width="10" style="284" customWidth="1"/>
    <col min="2055" max="2055" width="6.109375" style="284" bestFit="1" customWidth="1"/>
    <col min="2056" max="2056" width="4.6640625" style="284" customWidth="1"/>
    <col min="2057" max="2057" width="14.88671875" style="284" bestFit="1" customWidth="1"/>
    <col min="2058" max="2058" width="12.88671875" style="284" bestFit="1" customWidth="1"/>
    <col min="2059" max="2059" width="7.6640625" style="284" customWidth="1"/>
    <col min="2060" max="2060" width="18" style="284" customWidth="1"/>
    <col min="2061" max="2061" width="8.33203125" style="284" customWidth="1"/>
    <col min="2062" max="2062" width="16" style="284" customWidth="1"/>
    <col min="2063" max="2063" width="15.109375" style="284" bestFit="1" customWidth="1"/>
    <col min="2064" max="2064" width="14.109375" style="284" bestFit="1" customWidth="1"/>
    <col min="2065" max="2304" width="11.5546875" style="284"/>
    <col min="2305" max="2305" width="7.109375" style="284" bestFit="1" customWidth="1"/>
    <col min="2306" max="2306" width="5.33203125" style="284" bestFit="1" customWidth="1"/>
    <col min="2307" max="2307" width="43.6640625" style="284" customWidth="1"/>
    <col min="2308" max="2308" width="13.5546875" style="284" customWidth="1"/>
    <col min="2309" max="2309" width="10.109375" style="284" customWidth="1"/>
    <col min="2310" max="2310" width="10" style="284" customWidth="1"/>
    <col min="2311" max="2311" width="6.109375" style="284" bestFit="1" customWidth="1"/>
    <col min="2312" max="2312" width="4.6640625" style="284" customWidth="1"/>
    <col min="2313" max="2313" width="14.88671875" style="284" bestFit="1" customWidth="1"/>
    <col min="2314" max="2314" width="12.88671875" style="284" bestFit="1" customWidth="1"/>
    <col min="2315" max="2315" width="7.6640625" style="284" customWidth="1"/>
    <col min="2316" max="2316" width="18" style="284" customWidth="1"/>
    <col min="2317" max="2317" width="8.33203125" style="284" customWidth="1"/>
    <col min="2318" max="2318" width="16" style="284" customWidth="1"/>
    <col min="2319" max="2319" width="15.109375" style="284" bestFit="1" customWidth="1"/>
    <col min="2320" max="2320" width="14.109375" style="284" bestFit="1" customWidth="1"/>
    <col min="2321" max="2560" width="11.5546875" style="284"/>
    <col min="2561" max="2561" width="7.109375" style="284" bestFit="1" customWidth="1"/>
    <col min="2562" max="2562" width="5.33203125" style="284" bestFit="1" customWidth="1"/>
    <col min="2563" max="2563" width="43.6640625" style="284" customWidth="1"/>
    <col min="2564" max="2564" width="13.5546875" style="284" customWidth="1"/>
    <col min="2565" max="2565" width="10.109375" style="284" customWidth="1"/>
    <col min="2566" max="2566" width="10" style="284" customWidth="1"/>
    <col min="2567" max="2567" width="6.109375" style="284" bestFit="1" customWidth="1"/>
    <col min="2568" max="2568" width="4.6640625" style="284" customWidth="1"/>
    <col min="2569" max="2569" width="14.88671875" style="284" bestFit="1" customWidth="1"/>
    <col min="2570" max="2570" width="12.88671875" style="284" bestFit="1" customWidth="1"/>
    <col min="2571" max="2571" width="7.6640625" style="284" customWidth="1"/>
    <col min="2572" max="2572" width="18" style="284" customWidth="1"/>
    <col min="2573" max="2573" width="8.33203125" style="284" customWidth="1"/>
    <col min="2574" max="2574" width="16" style="284" customWidth="1"/>
    <col min="2575" max="2575" width="15.109375" style="284" bestFit="1" customWidth="1"/>
    <col min="2576" max="2576" width="14.109375" style="284" bestFit="1" customWidth="1"/>
    <col min="2577" max="2816" width="11.5546875" style="284"/>
    <col min="2817" max="2817" width="7.109375" style="284" bestFit="1" customWidth="1"/>
    <col min="2818" max="2818" width="5.33203125" style="284" bestFit="1" customWidth="1"/>
    <col min="2819" max="2819" width="43.6640625" style="284" customWidth="1"/>
    <col min="2820" max="2820" width="13.5546875" style="284" customWidth="1"/>
    <col min="2821" max="2821" width="10.109375" style="284" customWidth="1"/>
    <col min="2822" max="2822" width="10" style="284" customWidth="1"/>
    <col min="2823" max="2823" width="6.109375" style="284" bestFit="1" customWidth="1"/>
    <col min="2824" max="2824" width="4.6640625" style="284" customWidth="1"/>
    <col min="2825" max="2825" width="14.88671875" style="284" bestFit="1" customWidth="1"/>
    <col min="2826" max="2826" width="12.88671875" style="284" bestFit="1" customWidth="1"/>
    <col min="2827" max="2827" width="7.6640625" style="284" customWidth="1"/>
    <col min="2828" max="2828" width="18" style="284" customWidth="1"/>
    <col min="2829" max="2829" width="8.33203125" style="284" customWidth="1"/>
    <col min="2830" max="2830" width="16" style="284" customWidth="1"/>
    <col min="2831" max="2831" width="15.109375" style="284" bestFit="1" customWidth="1"/>
    <col min="2832" max="2832" width="14.109375" style="284" bestFit="1" customWidth="1"/>
    <col min="2833" max="3072" width="11.5546875" style="284"/>
    <col min="3073" max="3073" width="7.109375" style="284" bestFit="1" customWidth="1"/>
    <col min="3074" max="3074" width="5.33203125" style="284" bestFit="1" customWidth="1"/>
    <col min="3075" max="3075" width="43.6640625" style="284" customWidth="1"/>
    <col min="3076" max="3076" width="13.5546875" style="284" customWidth="1"/>
    <col min="3077" max="3077" width="10.109375" style="284" customWidth="1"/>
    <col min="3078" max="3078" width="10" style="284" customWidth="1"/>
    <col min="3079" max="3079" width="6.109375" style="284" bestFit="1" customWidth="1"/>
    <col min="3080" max="3080" width="4.6640625" style="284" customWidth="1"/>
    <col min="3081" max="3081" width="14.88671875" style="284" bestFit="1" customWidth="1"/>
    <col min="3082" max="3082" width="12.88671875" style="284" bestFit="1" customWidth="1"/>
    <col min="3083" max="3083" width="7.6640625" style="284" customWidth="1"/>
    <col min="3084" max="3084" width="18" style="284" customWidth="1"/>
    <col min="3085" max="3085" width="8.33203125" style="284" customWidth="1"/>
    <col min="3086" max="3086" width="16" style="284" customWidth="1"/>
    <col min="3087" max="3087" width="15.109375" style="284" bestFit="1" customWidth="1"/>
    <col min="3088" max="3088" width="14.109375" style="284" bestFit="1" customWidth="1"/>
    <col min="3089" max="3328" width="11.5546875" style="284"/>
    <col min="3329" max="3329" width="7.109375" style="284" bestFit="1" customWidth="1"/>
    <col min="3330" max="3330" width="5.33203125" style="284" bestFit="1" customWidth="1"/>
    <col min="3331" max="3331" width="43.6640625" style="284" customWidth="1"/>
    <col min="3332" max="3332" width="13.5546875" style="284" customWidth="1"/>
    <col min="3333" max="3333" width="10.109375" style="284" customWidth="1"/>
    <col min="3334" max="3334" width="10" style="284" customWidth="1"/>
    <col min="3335" max="3335" width="6.109375" style="284" bestFit="1" customWidth="1"/>
    <col min="3336" max="3336" width="4.6640625" style="284" customWidth="1"/>
    <col min="3337" max="3337" width="14.88671875" style="284" bestFit="1" customWidth="1"/>
    <col min="3338" max="3338" width="12.88671875" style="284" bestFit="1" customWidth="1"/>
    <col min="3339" max="3339" width="7.6640625" style="284" customWidth="1"/>
    <col min="3340" max="3340" width="18" style="284" customWidth="1"/>
    <col min="3341" max="3341" width="8.33203125" style="284" customWidth="1"/>
    <col min="3342" max="3342" width="16" style="284" customWidth="1"/>
    <col min="3343" max="3343" width="15.109375" style="284" bestFit="1" customWidth="1"/>
    <col min="3344" max="3344" width="14.109375" style="284" bestFit="1" customWidth="1"/>
    <col min="3345" max="3584" width="11.5546875" style="284"/>
    <col min="3585" max="3585" width="7.109375" style="284" bestFit="1" customWidth="1"/>
    <col min="3586" max="3586" width="5.33203125" style="284" bestFit="1" customWidth="1"/>
    <col min="3587" max="3587" width="43.6640625" style="284" customWidth="1"/>
    <col min="3588" max="3588" width="13.5546875" style="284" customWidth="1"/>
    <col min="3589" max="3589" width="10.109375" style="284" customWidth="1"/>
    <col min="3590" max="3590" width="10" style="284" customWidth="1"/>
    <col min="3591" max="3591" width="6.109375" style="284" bestFit="1" customWidth="1"/>
    <col min="3592" max="3592" width="4.6640625" style="284" customWidth="1"/>
    <col min="3593" max="3593" width="14.88671875" style="284" bestFit="1" customWidth="1"/>
    <col min="3594" max="3594" width="12.88671875" style="284" bestFit="1" customWidth="1"/>
    <col min="3595" max="3595" width="7.6640625" style="284" customWidth="1"/>
    <col min="3596" max="3596" width="18" style="284" customWidth="1"/>
    <col min="3597" max="3597" width="8.33203125" style="284" customWidth="1"/>
    <col min="3598" max="3598" width="16" style="284" customWidth="1"/>
    <col min="3599" max="3599" width="15.109375" style="284" bestFit="1" customWidth="1"/>
    <col min="3600" max="3600" width="14.109375" style="284" bestFit="1" customWidth="1"/>
    <col min="3601" max="3840" width="11.5546875" style="284"/>
    <col min="3841" max="3841" width="7.109375" style="284" bestFit="1" customWidth="1"/>
    <col min="3842" max="3842" width="5.33203125" style="284" bestFit="1" customWidth="1"/>
    <col min="3843" max="3843" width="43.6640625" style="284" customWidth="1"/>
    <col min="3844" max="3844" width="13.5546875" style="284" customWidth="1"/>
    <col min="3845" max="3845" width="10.109375" style="284" customWidth="1"/>
    <col min="3846" max="3846" width="10" style="284" customWidth="1"/>
    <col min="3847" max="3847" width="6.109375" style="284" bestFit="1" customWidth="1"/>
    <col min="3848" max="3848" width="4.6640625" style="284" customWidth="1"/>
    <col min="3849" max="3849" width="14.88671875" style="284" bestFit="1" customWidth="1"/>
    <col min="3850" max="3850" width="12.88671875" style="284" bestFit="1" customWidth="1"/>
    <col min="3851" max="3851" width="7.6640625" style="284" customWidth="1"/>
    <col min="3852" max="3852" width="18" style="284" customWidth="1"/>
    <col min="3853" max="3853" width="8.33203125" style="284" customWidth="1"/>
    <col min="3854" max="3854" width="16" style="284" customWidth="1"/>
    <col min="3855" max="3855" width="15.109375" style="284" bestFit="1" customWidth="1"/>
    <col min="3856" max="3856" width="14.109375" style="284" bestFit="1" customWidth="1"/>
    <col min="3857" max="4096" width="11.5546875" style="284"/>
    <col min="4097" max="4097" width="7.109375" style="284" bestFit="1" customWidth="1"/>
    <col min="4098" max="4098" width="5.33203125" style="284" bestFit="1" customWidth="1"/>
    <col min="4099" max="4099" width="43.6640625" style="284" customWidth="1"/>
    <col min="4100" max="4100" width="13.5546875" style="284" customWidth="1"/>
    <col min="4101" max="4101" width="10.109375" style="284" customWidth="1"/>
    <col min="4102" max="4102" width="10" style="284" customWidth="1"/>
    <col min="4103" max="4103" width="6.109375" style="284" bestFit="1" customWidth="1"/>
    <col min="4104" max="4104" width="4.6640625" style="284" customWidth="1"/>
    <col min="4105" max="4105" width="14.88671875" style="284" bestFit="1" customWidth="1"/>
    <col min="4106" max="4106" width="12.88671875" style="284" bestFit="1" customWidth="1"/>
    <col min="4107" max="4107" width="7.6640625" style="284" customWidth="1"/>
    <col min="4108" max="4108" width="18" style="284" customWidth="1"/>
    <col min="4109" max="4109" width="8.33203125" style="284" customWidth="1"/>
    <col min="4110" max="4110" width="16" style="284" customWidth="1"/>
    <col min="4111" max="4111" width="15.109375" style="284" bestFit="1" customWidth="1"/>
    <col min="4112" max="4112" width="14.109375" style="284" bestFit="1" customWidth="1"/>
    <col min="4113" max="4352" width="11.5546875" style="284"/>
    <col min="4353" max="4353" width="7.109375" style="284" bestFit="1" customWidth="1"/>
    <col min="4354" max="4354" width="5.33203125" style="284" bestFit="1" customWidth="1"/>
    <col min="4355" max="4355" width="43.6640625" style="284" customWidth="1"/>
    <col min="4356" max="4356" width="13.5546875" style="284" customWidth="1"/>
    <col min="4357" max="4357" width="10.109375" style="284" customWidth="1"/>
    <col min="4358" max="4358" width="10" style="284" customWidth="1"/>
    <col min="4359" max="4359" width="6.109375" style="284" bestFit="1" customWidth="1"/>
    <col min="4360" max="4360" width="4.6640625" style="284" customWidth="1"/>
    <col min="4361" max="4361" width="14.88671875" style="284" bestFit="1" customWidth="1"/>
    <col min="4362" max="4362" width="12.88671875" style="284" bestFit="1" customWidth="1"/>
    <col min="4363" max="4363" width="7.6640625" style="284" customWidth="1"/>
    <col min="4364" max="4364" width="18" style="284" customWidth="1"/>
    <col min="4365" max="4365" width="8.33203125" style="284" customWidth="1"/>
    <col min="4366" max="4366" width="16" style="284" customWidth="1"/>
    <col min="4367" max="4367" width="15.109375" style="284" bestFit="1" customWidth="1"/>
    <col min="4368" max="4368" width="14.109375" style="284" bestFit="1" customWidth="1"/>
    <col min="4369" max="4608" width="11.5546875" style="284"/>
    <col min="4609" max="4609" width="7.109375" style="284" bestFit="1" customWidth="1"/>
    <col min="4610" max="4610" width="5.33203125" style="284" bestFit="1" customWidth="1"/>
    <col min="4611" max="4611" width="43.6640625" style="284" customWidth="1"/>
    <col min="4612" max="4612" width="13.5546875" style="284" customWidth="1"/>
    <col min="4613" max="4613" width="10.109375" style="284" customWidth="1"/>
    <col min="4614" max="4614" width="10" style="284" customWidth="1"/>
    <col min="4615" max="4615" width="6.109375" style="284" bestFit="1" customWidth="1"/>
    <col min="4616" max="4616" width="4.6640625" style="284" customWidth="1"/>
    <col min="4617" max="4617" width="14.88671875" style="284" bestFit="1" customWidth="1"/>
    <col min="4618" max="4618" width="12.88671875" style="284" bestFit="1" customWidth="1"/>
    <col min="4619" max="4619" width="7.6640625" style="284" customWidth="1"/>
    <col min="4620" max="4620" width="18" style="284" customWidth="1"/>
    <col min="4621" max="4621" width="8.33203125" style="284" customWidth="1"/>
    <col min="4622" max="4622" width="16" style="284" customWidth="1"/>
    <col min="4623" max="4623" width="15.109375" style="284" bestFit="1" customWidth="1"/>
    <col min="4624" max="4624" width="14.109375" style="284" bestFit="1" customWidth="1"/>
    <col min="4625" max="4864" width="11.5546875" style="284"/>
    <col min="4865" max="4865" width="7.109375" style="284" bestFit="1" customWidth="1"/>
    <col min="4866" max="4866" width="5.33203125" style="284" bestFit="1" customWidth="1"/>
    <col min="4867" max="4867" width="43.6640625" style="284" customWidth="1"/>
    <col min="4868" max="4868" width="13.5546875" style="284" customWidth="1"/>
    <col min="4869" max="4869" width="10.109375" style="284" customWidth="1"/>
    <col min="4870" max="4870" width="10" style="284" customWidth="1"/>
    <col min="4871" max="4871" width="6.109375" style="284" bestFit="1" customWidth="1"/>
    <col min="4872" max="4872" width="4.6640625" style="284" customWidth="1"/>
    <col min="4873" max="4873" width="14.88671875" style="284" bestFit="1" customWidth="1"/>
    <col min="4874" max="4874" width="12.88671875" style="284" bestFit="1" customWidth="1"/>
    <col min="4875" max="4875" width="7.6640625" style="284" customWidth="1"/>
    <col min="4876" max="4876" width="18" style="284" customWidth="1"/>
    <col min="4877" max="4877" width="8.33203125" style="284" customWidth="1"/>
    <col min="4878" max="4878" width="16" style="284" customWidth="1"/>
    <col min="4879" max="4879" width="15.109375" style="284" bestFit="1" customWidth="1"/>
    <col min="4880" max="4880" width="14.109375" style="284" bestFit="1" customWidth="1"/>
    <col min="4881" max="5120" width="11.5546875" style="284"/>
    <col min="5121" max="5121" width="7.109375" style="284" bestFit="1" customWidth="1"/>
    <col min="5122" max="5122" width="5.33203125" style="284" bestFit="1" customWidth="1"/>
    <col min="5123" max="5123" width="43.6640625" style="284" customWidth="1"/>
    <col min="5124" max="5124" width="13.5546875" style="284" customWidth="1"/>
    <col min="5125" max="5125" width="10.109375" style="284" customWidth="1"/>
    <col min="5126" max="5126" width="10" style="284" customWidth="1"/>
    <col min="5127" max="5127" width="6.109375" style="284" bestFit="1" customWidth="1"/>
    <col min="5128" max="5128" width="4.6640625" style="284" customWidth="1"/>
    <col min="5129" max="5129" width="14.88671875" style="284" bestFit="1" customWidth="1"/>
    <col min="5130" max="5130" width="12.88671875" style="284" bestFit="1" customWidth="1"/>
    <col min="5131" max="5131" width="7.6640625" style="284" customWidth="1"/>
    <col min="5132" max="5132" width="18" style="284" customWidth="1"/>
    <col min="5133" max="5133" width="8.33203125" style="284" customWidth="1"/>
    <col min="5134" max="5134" width="16" style="284" customWidth="1"/>
    <col min="5135" max="5135" width="15.109375" style="284" bestFit="1" customWidth="1"/>
    <col min="5136" max="5136" width="14.109375" style="284" bestFit="1" customWidth="1"/>
    <col min="5137" max="5376" width="11.5546875" style="284"/>
    <col min="5377" max="5377" width="7.109375" style="284" bestFit="1" customWidth="1"/>
    <col min="5378" max="5378" width="5.33203125" style="284" bestFit="1" customWidth="1"/>
    <col min="5379" max="5379" width="43.6640625" style="284" customWidth="1"/>
    <col min="5380" max="5380" width="13.5546875" style="284" customWidth="1"/>
    <col min="5381" max="5381" width="10.109375" style="284" customWidth="1"/>
    <col min="5382" max="5382" width="10" style="284" customWidth="1"/>
    <col min="5383" max="5383" width="6.109375" style="284" bestFit="1" customWidth="1"/>
    <col min="5384" max="5384" width="4.6640625" style="284" customWidth="1"/>
    <col min="5385" max="5385" width="14.88671875" style="284" bestFit="1" customWidth="1"/>
    <col min="5386" max="5386" width="12.88671875" style="284" bestFit="1" customWidth="1"/>
    <col min="5387" max="5387" width="7.6640625" style="284" customWidth="1"/>
    <col min="5388" max="5388" width="18" style="284" customWidth="1"/>
    <col min="5389" max="5389" width="8.33203125" style="284" customWidth="1"/>
    <col min="5390" max="5390" width="16" style="284" customWidth="1"/>
    <col min="5391" max="5391" width="15.109375" style="284" bestFit="1" customWidth="1"/>
    <col min="5392" max="5392" width="14.109375" style="284" bestFit="1" customWidth="1"/>
    <col min="5393" max="5632" width="11.5546875" style="284"/>
    <col min="5633" max="5633" width="7.109375" style="284" bestFit="1" customWidth="1"/>
    <col min="5634" max="5634" width="5.33203125" style="284" bestFit="1" customWidth="1"/>
    <col min="5635" max="5635" width="43.6640625" style="284" customWidth="1"/>
    <col min="5636" max="5636" width="13.5546875" style="284" customWidth="1"/>
    <col min="5637" max="5637" width="10.109375" style="284" customWidth="1"/>
    <col min="5638" max="5638" width="10" style="284" customWidth="1"/>
    <col min="5639" max="5639" width="6.109375" style="284" bestFit="1" customWidth="1"/>
    <col min="5640" max="5640" width="4.6640625" style="284" customWidth="1"/>
    <col min="5641" max="5641" width="14.88671875" style="284" bestFit="1" customWidth="1"/>
    <col min="5642" max="5642" width="12.88671875" style="284" bestFit="1" customWidth="1"/>
    <col min="5643" max="5643" width="7.6640625" style="284" customWidth="1"/>
    <col min="5644" max="5644" width="18" style="284" customWidth="1"/>
    <col min="5645" max="5645" width="8.33203125" style="284" customWidth="1"/>
    <col min="5646" max="5646" width="16" style="284" customWidth="1"/>
    <col min="5647" max="5647" width="15.109375" style="284" bestFit="1" customWidth="1"/>
    <col min="5648" max="5648" width="14.109375" style="284" bestFit="1" customWidth="1"/>
    <col min="5649" max="5888" width="11.5546875" style="284"/>
    <col min="5889" max="5889" width="7.109375" style="284" bestFit="1" customWidth="1"/>
    <col min="5890" max="5890" width="5.33203125" style="284" bestFit="1" customWidth="1"/>
    <col min="5891" max="5891" width="43.6640625" style="284" customWidth="1"/>
    <col min="5892" max="5892" width="13.5546875" style="284" customWidth="1"/>
    <col min="5893" max="5893" width="10.109375" style="284" customWidth="1"/>
    <col min="5894" max="5894" width="10" style="284" customWidth="1"/>
    <col min="5895" max="5895" width="6.109375" style="284" bestFit="1" customWidth="1"/>
    <col min="5896" max="5896" width="4.6640625" style="284" customWidth="1"/>
    <col min="5897" max="5897" width="14.88671875" style="284" bestFit="1" customWidth="1"/>
    <col min="5898" max="5898" width="12.88671875" style="284" bestFit="1" customWidth="1"/>
    <col min="5899" max="5899" width="7.6640625" style="284" customWidth="1"/>
    <col min="5900" max="5900" width="18" style="284" customWidth="1"/>
    <col min="5901" max="5901" width="8.33203125" style="284" customWidth="1"/>
    <col min="5902" max="5902" width="16" style="284" customWidth="1"/>
    <col min="5903" max="5903" width="15.109375" style="284" bestFit="1" customWidth="1"/>
    <col min="5904" max="5904" width="14.109375" style="284" bestFit="1" customWidth="1"/>
    <col min="5905" max="6144" width="11.5546875" style="284"/>
    <col min="6145" max="6145" width="7.109375" style="284" bestFit="1" customWidth="1"/>
    <col min="6146" max="6146" width="5.33203125" style="284" bestFit="1" customWidth="1"/>
    <col min="6147" max="6147" width="43.6640625" style="284" customWidth="1"/>
    <col min="6148" max="6148" width="13.5546875" style="284" customWidth="1"/>
    <col min="6149" max="6149" width="10.109375" style="284" customWidth="1"/>
    <col min="6150" max="6150" width="10" style="284" customWidth="1"/>
    <col min="6151" max="6151" width="6.109375" style="284" bestFit="1" customWidth="1"/>
    <col min="6152" max="6152" width="4.6640625" style="284" customWidth="1"/>
    <col min="6153" max="6153" width="14.88671875" style="284" bestFit="1" customWidth="1"/>
    <col min="6154" max="6154" width="12.88671875" style="284" bestFit="1" customWidth="1"/>
    <col min="6155" max="6155" width="7.6640625" style="284" customWidth="1"/>
    <col min="6156" max="6156" width="18" style="284" customWidth="1"/>
    <col min="6157" max="6157" width="8.33203125" style="284" customWidth="1"/>
    <col min="6158" max="6158" width="16" style="284" customWidth="1"/>
    <col min="6159" max="6159" width="15.109375" style="284" bestFit="1" customWidth="1"/>
    <col min="6160" max="6160" width="14.109375" style="284" bestFit="1" customWidth="1"/>
    <col min="6161" max="6400" width="11.5546875" style="284"/>
    <col min="6401" max="6401" width="7.109375" style="284" bestFit="1" customWidth="1"/>
    <col min="6402" max="6402" width="5.33203125" style="284" bestFit="1" customWidth="1"/>
    <col min="6403" max="6403" width="43.6640625" style="284" customWidth="1"/>
    <col min="6404" max="6404" width="13.5546875" style="284" customWidth="1"/>
    <col min="6405" max="6405" width="10.109375" style="284" customWidth="1"/>
    <col min="6406" max="6406" width="10" style="284" customWidth="1"/>
    <col min="6407" max="6407" width="6.109375" style="284" bestFit="1" customWidth="1"/>
    <col min="6408" max="6408" width="4.6640625" style="284" customWidth="1"/>
    <col min="6409" max="6409" width="14.88671875" style="284" bestFit="1" customWidth="1"/>
    <col min="6410" max="6410" width="12.88671875" style="284" bestFit="1" customWidth="1"/>
    <col min="6411" max="6411" width="7.6640625" style="284" customWidth="1"/>
    <col min="6412" max="6412" width="18" style="284" customWidth="1"/>
    <col min="6413" max="6413" width="8.33203125" style="284" customWidth="1"/>
    <col min="6414" max="6414" width="16" style="284" customWidth="1"/>
    <col min="6415" max="6415" width="15.109375" style="284" bestFit="1" customWidth="1"/>
    <col min="6416" max="6416" width="14.109375" style="284" bestFit="1" customWidth="1"/>
    <col min="6417" max="6656" width="11.5546875" style="284"/>
    <col min="6657" max="6657" width="7.109375" style="284" bestFit="1" customWidth="1"/>
    <col min="6658" max="6658" width="5.33203125" style="284" bestFit="1" customWidth="1"/>
    <col min="6659" max="6659" width="43.6640625" style="284" customWidth="1"/>
    <col min="6660" max="6660" width="13.5546875" style="284" customWidth="1"/>
    <col min="6661" max="6661" width="10.109375" style="284" customWidth="1"/>
    <col min="6662" max="6662" width="10" style="284" customWidth="1"/>
    <col min="6663" max="6663" width="6.109375" style="284" bestFit="1" customWidth="1"/>
    <col min="6664" max="6664" width="4.6640625" style="284" customWidth="1"/>
    <col min="6665" max="6665" width="14.88671875" style="284" bestFit="1" customWidth="1"/>
    <col min="6666" max="6666" width="12.88671875" style="284" bestFit="1" customWidth="1"/>
    <col min="6667" max="6667" width="7.6640625" style="284" customWidth="1"/>
    <col min="6668" max="6668" width="18" style="284" customWidth="1"/>
    <col min="6669" max="6669" width="8.33203125" style="284" customWidth="1"/>
    <col min="6670" max="6670" width="16" style="284" customWidth="1"/>
    <col min="6671" max="6671" width="15.109375" style="284" bestFit="1" customWidth="1"/>
    <col min="6672" max="6672" width="14.109375" style="284" bestFit="1" customWidth="1"/>
    <col min="6673" max="6912" width="11.5546875" style="284"/>
    <col min="6913" max="6913" width="7.109375" style="284" bestFit="1" customWidth="1"/>
    <col min="6914" max="6914" width="5.33203125" style="284" bestFit="1" customWidth="1"/>
    <col min="6915" max="6915" width="43.6640625" style="284" customWidth="1"/>
    <col min="6916" max="6916" width="13.5546875" style="284" customWidth="1"/>
    <col min="6917" max="6917" width="10.109375" style="284" customWidth="1"/>
    <col min="6918" max="6918" width="10" style="284" customWidth="1"/>
    <col min="6919" max="6919" width="6.109375" style="284" bestFit="1" customWidth="1"/>
    <col min="6920" max="6920" width="4.6640625" style="284" customWidth="1"/>
    <col min="6921" max="6921" width="14.88671875" style="284" bestFit="1" customWidth="1"/>
    <col min="6922" max="6922" width="12.88671875" style="284" bestFit="1" customWidth="1"/>
    <col min="6923" max="6923" width="7.6640625" style="284" customWidth="1"/>
    <col min="6924" max="6924" width="18" style="284" customWidth="1"/>
    <col min="6925" max="6925" width="8.33203125" style="284" customWidth="1"/>
    <col min="6926" max="6926" width="16" style="284" customWidth="1"/>
    <col min="6927" max="6927" width="15.109375" style="284" bestFit="1" customWidth="1"/>
    <col min="6928" max="6928" width="14.109375" style="284" bestFit="1" customWidth="1"/>
    <col min="6929" max="7168" width="11.5546875" style="284"/>
    <col min="7169" max="7169" width="7.109375" style="284" bestFit="1" customWidth="1"/>
    <col min="7170" max="7170" width="5.33203125" style="284" bestFit="1" customWidth="1"/>
    <col min="7171" max="7171" width="43.6640625" style="284" customWidth="1"/>
    <col min="7172" max="7172" width="13.5546875" style="284" customWidth="1"/>
    <col min="7173" max="7173" width="10.109375" style="284" customWidth="1"/>
    <col min="7174" max="7174" width="10" style="284" customWidth="1"/>
    <col min="7175" max="7175" width="6.109375" style="284" bestFit="1" customWidth="1"/>
    <col min="7176" max="7176" width="4.6640625" style="284" customWidth="1"/>
    <col min="7177" max="7177" width="14.88671875" style="284" bestFit="1" customWidth="1"/>
    <col min="7178" max="7178" width="12.88671875" style="284" bestFit="1" customWidth="1"/>
    <col min="7179" max="7179" width="7.6640625" style="284" customWidth="1"/>
    <col min="7180" max="7180" width="18" style="284" customWidth="1"/>
    <col min="7181" max="7181" width="8.33203125" style="284" customWidth="1"/>
    <col min="7182" max="7182" width="16" style="284" customWidth="1"/>
    <col min="7183" max="7183" width="15.109375" style="284" bestFit="1" customWidth="1"/>
    <col min="7184" max="7184" width="14.109375" style="284" bestFit="1" customWidth="1"/>
    <col min="7185" max="7424" width="11.5546875" style="284"/>
    <col min="7425" max="7425" width="7.109375" style="284" bestFit="1" customWidth="1"/>
    <col min="7426" max="7426" width="5.33203125" style="284" bestFit="1" customWidth="1"/>
    <col min="7427" max="7427" width="43.6640625" style="284" customWidth="1"/>
    <col min="7428" max="7428" width="13.5546875" style="284" customWidth="1"/>
    <col min="7429" max="7429" width="10.109375" style="284" customWidth="1"/>
    <col min="7430" max="7430" width="10" style="284" customWidth="1"/>
    <col min="7431" max="7431" width="6.109375" style="284" bestFit="1" customWidth="1"/>
    <col min="7432" max="7432" width="4.6640625" style="284" customWidth="1"/>
    <col min="7433" max="7433" width="14.88671875" style="284" bestFit="1" customWidth="1"/>
    <col min="7434" max="7434" width="12.88671875" style="284" bestFit="1" customWidth="1"/>
    <col min="7435" max="7435" width="7.6640625" style="284" customWidth="1"/>
    <col min="7436" max="7436" width="18" style="284" customWidth="1"/>
    <col min="7437" max="7437" width="8.33203125" style="284" customWidth="1"/>
    <col min="7438" max="7438" width="16" style="284" customWidth="1"/>
    <col min="7439" max="7439" width="15.109375" style="284" bestFit="1" customWidth="1"/>
    <col min="7440" max="7440" width="14.109375" style="284" bestFit="1" customWidth="1"/>
    <col min="7441" max="7680" width="11.5546875" style="284"/>
    <col min="7681" max="7681" width="7.109375" style="284" bestFit="1" customWidth="1"/>
    <col min="7682" max="7682" width="5.33203125" style="284" bestFit="1" customWidth="1"/>
    <col min="7683" max="7683" width="43.6640625" style="284" customWidth="1"/>
    <col min="7684" max="7684" width="13.5546875" style="284" customWidth="1"/>
    <col min="7685" max="7685" width="10.109375" style="284" customWidth="1"/>
    <col min="7686" max="7686" width="10" style="284" customWidth="1"/>
    <col min="7687" max="7687" width="6.109375" style="284" bestFit="1" customWidth="1"/>
    <col min="7688" max="7688" width="4.6640625" style="284" customWidth="1"/>
    <col min="7689" max="7689" width="14.88671875" style="284" bestFit="1" customWidth="1"/>
    <col min="7690" max="7690" width="12.88671875" style="284" bestFit="1" customWidth="1"/>
    <col min="7691" max="7691" width="7.6640625" style="284" customWidth="1"/>
    <col min="7692" max="7692" width="18" style="284" customWidth="1"/>
    <col min="7693" max="7693" width="8.33203125" style="284" customWidth="1"/>
    <col min="7694" max="7694" width="16" style="284" customWidth="1"/>
    <col min="7695" max="7695" width="15.109375" style="284" bestFit="1" customWidth="1"/>
    <col min="7696" max="7696" width="14.109375" style="284" bestFit="1" customWidth="1"/>
    <col min="7697" max="7936" width="11.5546875" style="284"/>
    <col min="7937" max="7937" width="7.109375" style="284" bestFit="1" customWidth="1"/>
    <col min="7938" max="7938" width="5.33203125" style="284" bestFit="1" customWidth="1"/>
    <col min="7939" max="7939" width="43.6640625" style="284" customWidth="1"/>
    <col min="7940" max="7940" width="13.5546875" style="284" customWidth="1"/>
    <col min="7941" max="7941" width="10.109375" style="284" customWidth="1"/>
    <col min="7942" max="7942" width="10" style="284" customWidth="1"/>
    <col min="7943" max="7943" width="6.109375" style="284" bestFit="1" customWidth="1"/>
    <col min="7944" max="7944" width="4.6640625" style="284" customWidth="1"/>
    <col min="7945" max="7945" width="14.88671875" style="284" bestFit="1" customWidth="1"/>
    <col min="7946" max="7946" width="12.88671875" style="284" bestFit="1" customWidth="1"/>
    <col min="7947" max="7947" width="7.6640625" style="284" customWidth="1"/>
    <col min="7948" max="7948" width="18" style="284" customWidth="1"/>
    <col min="7949" max="7949" width="8.33203125" style="284" customWidth="1"/>
    <col min="7950" max="7950" width="16" style="284" customWidth="1"/>
    <col min="7951" max="7951" width="15.109375" style="284" bestFit="1" customWidth="1"/>
    <col min="7952" max="7952" width="14.109375" style="284" bestFit="1" customWidth="1"/>
    <col min="7953" max="8192" width="11.5546875" style="284"/>
    <col min="8193" max="8193" width="7.109375" style="284" bestFit="1" customWidth="1"/>
    <col min="8194" max="8194" width="5.33203125" style="284" bestFit="1" customWidth="1"/>
    <col min="8195" max="8195" width="43.6640625" style="284" customWidth="1"/>
    <col min="8196" max="8196" width="13.5546875" style="284" customWidth="1"/>
    <col min="8197" max="8197" width="10.109375" style="284" customWidth="1"/>
    <col min="8198" max="8198" width="10" style="284" customWidth="1"/>
    <col min="8199" max="8199" width="6.109375" style="284" bestFit="1" customWidth="1"/>
    <col min="8200" max="8200" width="4.6640625" style="284" customWidth="1"/>
    <col min="8201" max="8201" width="14.88671875" style="284" bestFit="1" customWidth="1"/>
    <col min="8202" max="8202" width="12.88671875" style="284" bestFit="1" customWidth="1"/>
    <col min="8203" max="8203" width="7.6640625" style="284" customWidth="1"/>
    <col min="8204" max="8204" width="18" style="284" customWidth="1"/>
    <col min="8205" max="8205" width="8.33203125" style="284" customWidth="1"/>
    <col min="8206" max="8206" width="16" style="284" customWidth="1"/>
    <col min="8207" max="8207" width="15.109375" style="284" bestFit="1" customWidth="1"/>
    <col min="8208" max="8208" width="14.109375" style="284" bestFit="1" customWidth="1"/>
    <col min="8209" max="8448" width="11.5546875" style="284"/>
    <col min="8449" max="8449" width="7.109375" style="284" bestFit="1" customWidth="1"/>
    <col min="8450" max="8450" width="5.33203125" style="284" bestFit="1" customWidth="1"/>
    <col min="8451" max="8451" width="43.6640625" style="284" customWidth="1"/>
    <col min="8452" max="8452" width="13.5546875" style="284" customWidth="1"/>
    <col min="8453" max="8453" width="10.109375" style="284" customWidth="1"/>
    <col min="8454" max="8454" width="10" style="284" customWidth="1"/>
    <col min="8455" max="8455" width="6.109375" style="284" bestFit="1" customWidth="1"/>
    <col min="8456" max="8456" width="4.6640625" style="284" customWidth="1"/>
    <col min="8457" max="8457" width="14.88671875" style="284" bestFit="1" customWidth="1"/>
    <col min="8458" max="8458" width="12.88671875" style="284" bestFit="1" customWidth="1"/>
    <col min="8459" max="8459" width="7.6640625" style="284" customWidth="1"/>
    <col min="8460" max="8460" width="18" style="284" customWidth="1"/>
    <col min="8461" max="8461" width="8.33203125" style="284" customWidth="1"/>
    <col min="8462" max="8462" width="16" style="284" customWidth="1"/>
    <col min="8463" max="8463" width="15.109375" style="284" bestFit="1" customWidth="1"/>
    <col min="8464" max="8464" width="14.109375" style="284" bestFit="1" customWidth="1"/>
    <col min="8465" max="8704" width="11.5546875" style="284"/>
    <col min="8705" max="8705" width="7.109375" style="284" bestFit="1" customWidth="1"/>
    <col min="8706" max="8706" width="5.33203125" style="284" bestFit="1" customWidth="1"/>
    <col min="8707" max="8707" width="43.6640625" style="284" customWidth="1"/>
    <col min="8708" max="8708" width="13.5546875" style="284" customWidth="1"/>
    <col min="8709" max="8709" width="10.109375" style="284" customWidth="1"/>
    <col min="8710" max="8710" width="10" style="284" customWidth="1"/>
    <col min="8711" max="8711" width="6.109375" style="284" bestFit="1" customWidth="1"/>
    <col min="8712" max="8712" width="4.6640625" style="284" customWidth="1"/>
    <col min="8713" max="8713" width="14.88671875" style="284" bestFit="1" customWidth="1"/>
    <col min="8714" max="8714" width="12.88671875" style="284" bestFit="1" customWidth="1"/>
    <col min="8715" max="8715" width="7.6640625" style="284" customWidth="1"/>
    <col min="8716" max="8716" width="18" style="284" customWidth="1"/>
    <col min="8717" max="8717" width="8.33203125" style="284" customWidth="1"/>
    <col min="8718" max="8718" width="16" style="284" customWidth="1"/>
    <col min="8719" max="8719" width="15.109375" style="284" bestFit="1" customWidth="1"/>
    <col min="8720" max="8720" width="14.109375" style="284" bestFit="1" customWidth="1"/>
    <col min="8721" max="8960" width="11.5546875" style="284"/>
    <col min="8961" max="8961" width="7.109375" style="284" bestFit="1" customWidth="1"/>
    <col min="8962" max="8962" width="5.33203125" style="284" bestFit="1" customWidth="1"/>
    <col min="8963" max="8963" width="43.6640625" style="284" customWidth="1"/>
    <col min="8964" max="8964" width="13.5546875" style="284" customWidth="1"/>
    <col min="8965" max="8965" width="10.109375" style="284" customWidth="1"/>
    <col min="8966" max="8966" width="10" style="284" customWidth="1"/>
    <col min="8967" max="8967" width="6.109375" style="284" bestFit="1" customWidth="1"/>
    <col min="8968" max="8968" width="4.6640625" style="284" customWidth="1"/>
    <col min="8969" max="8969" width="14.88671875" style="284" bestFit="1" customWidth="1"/>
    <col min="8970" max="8970" width="12.88671875" style="284" bestFit="1" customWidth="1"/>
    <col min="8971" max="8971" width="7.6640625" style="284" customWidth="1"/>
    <col min="8972" max="8972" width="18" style="284" customWidth="1"/>
    <col min="8973" max="8973" width="8.33203125" style="284" customWidth="1"/>
    <col min="8974" max="8974" width="16" style="284" customWidth="1"/>
    <col min="8975" max="8975" width="15.109375" style="284" bestFit="1" customWidth="1"/>
    <col min="8976" max="8976" width="14.109375" style="284" bestFit="1" customWidth="1"/>
    <col min="8977" max="9216" width="11.5546875" style="284"/>
    <col min="9217" max="9217" width="7.109375" style="284" bestFit="1" customWidth="1"/>
    <col min="9218" max="9218" width="5.33203125" style="284" bestFit="1" customWidth="1"/>
    <col min="9219" max="9219" width="43.6640625" style="284" customWidth="1"/>
    <col min="9220" max="9220" width="13.5546875" style="284" customWidth="1"/>
    <col min="9221" max="9221" width="10.109375" style="284" customWidth="1"/>
    <col min="9222" max="9222" width="10" style="284" customWidth="1"/>
    <col min="9223" max="9223" width="6.109375" style="284" bestFit="1" customWidth="1"/>
    <col min="9224" max="9224" width="4.6640625" style="284" customWidth="1"/>
    <col min="9225" max="9225" width="14.88671875" style="284" bestFit="1" customWidth="1"/>
    <col min="9226" max="9226" width="12.88671875" style="284" bestFit="1" customWidth="1"/>
    <col min="9227" max="9227" width="7.6640625" style="284" customWidth="1"/>
    <col min="9228" max="9228" width="18" style="284" customWidth="1"/>
    <col min="9229" max="9229" width="8.33203125" style="284" customWidth="1"/>
    <col min="9230" max="9230" width="16" style="284" customWidth="1"/>
    <col min="9231" max="9231" width="15.109375" style="284" bestFit="1" customWidth="1"/>
    <col min="9232" max="9232" width="14.109375" style="284" bestFit="1" customWidth="1"/>
    <col min="9233" max="9472" width="11.5546875" style="284"/>
    <col min="9473" max="9473" width="7.109375" style="284" bestFit="1" customWidth="1"/>
    <col min="9474" max="9474" width="5.33203125" style="284" bestFit="1" customWidth="1"/>
    <col min="9475" max="9475" width="43.6640625" style="284" customWidth="1"/>
    <col min="9476" max="9476" width="13.5546875" style="284" customWidth="1"/>
    <col min="9477" max="9477" width="10.109375" style="284" customWidth="1"/>
    <col min="9478" max="9478" width="10" style="284" customWidth="1"/>
    <col min="9479" max="9479" width="6.109375" style="284" bestFit="1" customWidth="1"/>
    <col min="9480" max="9480" width="4.6640625" style="284" customWidth="1"/>
    <col min="9481" max="9481" width="14.88671875" style="284" bestFit="1" customWidth="1"/>
    <col min="9482" max="9482" width="12.88671875" style="284" bestFit="1" customWidth="1"/>
    <col min="9483" max="9483" width="7.6640625" style="284" customWidth="1"/>
    <col min="9484" max="9484" width="18" style="284" customWidth="1"/>
    <col min="9485" max="9485" width="8.33203125" style="284" customWidth="1"/>
    <col min="9486" max="9486" width="16" style="284" customWidth="1"/>
    <col min="9487" max="9487" width="15.109375" style="284" bestFit="1" customWidth="1"/>
    <col min="9488" max="9488" width="14.109375" style="284" bestFit="1" customWidth="1"/>
    <col min="9489" max="9728" width="11.5546875" style="284"/>
    <col min="9729" max="9729" width="7.109375" style="284" bestFit="1" customWidth="1"/>
    <col min="9730" max="9730" width="5.33203125" style="284" bestFit="1" customWidth="1"/>
    <col min="9731" max="9731" width="43.6640625" style="284" customWidth="1"/>
    <col min="9732" max="9732" width="13.5546875" style="284" customWidth="1"/>
    <col min="9733" max="9733" width="10.109375" style="284" customWidth="1"/>
    <col min="9734" max="9734" width="10" style="284" customWidth="1"/>
    <col min="9735" max="9735" width="6.109375" style="284" bestFit="1" customWidth="1"/>
    <col min="9736" max="9736" width="4.6640625" style="284" customWidth="1"/>
    <col min="9737" max="9737" width="14.88671875" style="284" bestFit="1" customWidth="1"/>
    <col min="9738" max="9738" width="12.88671875" style="284" bestFit="1" customWidth="1"/>
    <col min="9739" max="9739" width="7.6640625" style="284" customWidth="1"/>
    <col min="9740" max="9740" width="18" style="284" customWidth="1"/>
    <col min="9741" max="9741" width="8.33203125" style="284" customWidth="1"/>
    <col min="9742" max="9742" width="16" style="284" customWidth="1"/>
    <col min="9743" max="9743" width="15.109375" style="284" bestFit="1" customWidth="1"/>
    <col min="9744" max="9744" width="14.109375" style="284" bestFit="1" customWidth="1"/>
    <col min="9745" max="9984" width="11.5546875" style="284"/>
    <col min="9985" max="9985" width="7.109375" style="284" bestFit="1" customWidth="1"/>
    <col min="9986" max="9986" width="5.33203125" style="284" bestFit="1" customWidth="1"/>
    <col min="9987" max="9987" width="43.6640625" style="284" customWidth="1"/>
    <col min="9988" max="9988" width="13.5546875" style="284" customWidth="1"/>
    <col min="9989" max="9989" width="10.109375" style="284" customWidth="1"/>
    <col min="9990" max="9990" width="10" style="284" customWidth="1"/>
    <col min="9991" max="9991" width="6.109375" style="284" bestFit="1" customWidth="1"/>
    <col min="9992" max="9992" width="4.6640625" style="284" customWidth="1"/>
    <col min="9993" max="9993" width="14.88671875" style="284" bestFit="1" customWidth="1"/>
    <col min="9994" max="9994" width="12.88671875" style="284" bestFit="1" customWidth="1"/>
    <col min="9995" max="9995" width="7.6640625" style="284" customWidth="1"/>
    <col min="9996" max="9996" width="18" style="284" customWidth="1"/>
    <col min="9997" max="9997" width="8.33203125" style="284" customWidth="1"/>
    <col min="9998" max="9998" width="16" style="284" customWidth="1"/>
    <col min="9999" max="9999" width="15.109375" style="284" bestFit="1" customWidth="1"/>
    <col min="10000" max="10000" width="14.109375" style="284" bestFit="1" customWidth="1"/>
    <col min="10001" max="10240" width="11.5546875" style="284"/>
    <col min="10241" max="10241" width="7.109375" style="284" bestFit="1" customWidth="1"/>
    <col min="10242" max="10242" width="5.33203125" style="284" bestFit="1" customWidth="1"/>
    <col min="10243" max="10243" width="43.6640625" style="284" customWidth="1"/>
    <col min="10244" max="10244" width="13.5546875" style="284" customWidth="1"/>
    <col min="10245" max="10245" width="10.109375" style="284" customWidth="1"/>
    <col min="10246" max="10246" width="10" style="284" customWidth="1"/>
    <col min="10247" max="10247" width="6.109375" style="284" bestFit="1" customWidth="1"/>
    <col min="10248" max="10248" width="4.6640625" style="284" customWidth="1"/>
    <col min="10249" max="10249" width="14.88671875" style="284" bestFit="1" customWidth="1"/>
    <col min="10250" max="10250" width="12.88671875" style="284" bestFit="1" customWidth="1"/>
    <col min="10251" max="10251" width="7.6640625" style="284" customWidth="1"/>
    <col min="10252" max="10252" width="18" style="284" customWidth="1"/>
    <col min="10253" max="10253" width="8.33203125" style="284" customWidth="1"/>
    <col min="10254" max="10254" width="16" style="284" customWidth="1"/>
    <col min="10255" max="10255" width="15.109375" style="284" bestFit="1" customWidth="1"/>
    <col min="10256" max="10256" width="14.109375" style="284" bestFit="1" customWidth="1"/>
    <col min="10257" max="10496" width="11.5546875" style="284"/>
    <col min="10497" max="10497" width="7.109375" style="284" bestFit="1" customWidth="1"/>
    <col min="10498" max="10498" width="5.33203125" style="284" bestFit="1" customWidth="1"/>
    <col min="10499" max="10499" width="43.6640625" style="284" customWidth="1"/>
    <col min="10500" max="10500" width="13.5546875" style="284" customWidth="1"/>
    <col min="10501" max="10501" width="10.109375" style="284" customWidth="1"/>
    <col min="10502" max="10502" width="10" style="284" customWidth="1"/>
    <col min="10503" max="10503" width="6.109375" style="284" bestFit="1" customWidth="1"/>
    <col min="10504" max="10504" width="4.6640625" style="284" customWidth="1"/>
    <col min="10505" max="10505" width="14.88671875" style="284" bestFit="1" customWidth="1"/>
    <col min="10506" max="10506" width="12.88671875" style="284" bestFit="1" customWidth="1"/>
    <col min="10507" max="10507" width="7.6640625" style="284" customWidth="1"/>
    <col min="10508" max="10508" width="18" style="284" customWidth="1"/>
    <col min="10509" max="10509" width="8.33203125" style="284" customWidth="1"/>
    <col min="10510" max="10510" width="16" style="284" customWidth="1"/>
    <col min="10511" max="10511" width="15.109375" style="284" bestFit="1" customWidth="1"/>
    <col min="10512" max="10512" width="14.109375" style="284" bestFit="1" customWidth="1"/>
    <col min="10513" max="10752" width="11.5546875" style="284"/>
    <col min="10753" max="10753" width="7.109375" style="284" bestFit="1" customWidth="1"/>
    <col min="10754" max="10754" width="5.33203125" style="284" bestFit="1" customWidth="1"/>
    <col min="10755" max="10755" width="43.6640625" style="284" customWidth="1"/>
    <col min="10756" max="10756" width="13.5546875" style="284" customWidth="1"/>
    <col min="10757" max="10757" width="10.109375" style="284" customWidth="1"/>
    <col min="10758" max="10758" width="10" style="284" customWidth="1"/>
    <col min="10759" max="10759" width="6.109375" style="284" bestFit="1" customWidth="1"/>
    <col min="10760" max="10760" width="4.6640625" style="284" customWidth="1"/>
    <col min="10761" max="10761" width="14.88671875" style="284" bestFit="1" customWidth="1"/>
    <col min="10762" max="10762" width="12.88671875" style="284" bestFit="1" customWidth="1"/>
    <col min="10763" max="10763" width="7.6640625" style="284" customWidth="1"/>
    <col min="10764" max="10764" width="18" style="284" customWidth="1"/>
    <col min="10765" max="10765" width="8.33203125" style="284" customWidth="1"/>
    <col min="10766" max="10766" width="16" style="284" customWidth="1"/>
    <col min="10767" max="10767" width="15.109375" style="284" bestFit="1" customWidth="1"/>
    <col min="10768" max="10768" width="14.109375" style="284" bestFit="1" customWidth="1"/>
    <col min="10769" max="11008" width="11.5546875" style="284"/>
    <col min="11009" max="11009" width="7.109375" style="284" bestFit="1" customWidth="1"/>
    <col min="11010" max="11010" width="5.33203125" style="284" bestFit="1" customWidth="1"/>
    <col min="11011" max="11011" width="43.6640625" style="284" customWidth="1"/>
    <col min="11012" max="11012" width="13.5546875" style="284" customWidth="1"/>
    <col min="11013" max="11013" width="10.109375" style="284" customWidth="1"/>
    <col min="11014" max="11014" width="10" style="284" customWidth="1"/>
    <col min="11015" max="11015" width="6.109375" style="284" bestFit="1" customWidth="1"/>
    <col min="11016" max="11016" width="4.6640625" style="284" customWidth="1"/>
    <col min="11017" max="11017" width="14.88671875" style="284" bestFit="1" customWidth="1"/>
    <col min="11018" max="11018" width="12.88671875" style="284" bestFit="1" customWidth="1"/>
    <col min="11019" max="11019" width="7.6640625" style="284" customWidth="1"/>
    <col min="11020" max="11020" width="18" style="284" customWidth="1"/>
    <col min="11021" max="11021" width="8.33203125" style="284" customWidth="1"/>
    <col min="11022" max="11022" width="16" style="284" customWidth="1"/>
    <col min="11023" max="11023" width="15.109375" style="284" bestFit="1" customWidth="1"/>
    <col min="11024" max="11024" width="14.109375" style="284" bestFit="1" customWidth="1"/>
    <col min="11025" max="11264" width="11.5546875" style="284"/>
    <col min="11265" max="11265" width="7.109375" style="284" bestFit="1" customWidth="1"/>
    <col min="11266" max="11266" width="5.33203125" style="284" bestFit="1" customWidth="1"/>
    <col min="11267" max="11267" width="43.6640625" style="284" customWidth="1"/>
    <col min="11268" max="11268" width="13.5546875" style="284" customWidth="1"/>
    <col min="11269" max="11269" width="10.109375" style="284" customWidth="1"/>
    <col min="11270" max="11270" width="10" style="284" customWidth="1"/>
    <col min="11271" max="11271" width="6.109375" style="284" bestFit="1" customWidth="1"/>
    <col min="11272" max="11272" width="4.6640625" style="284" customWidth="1"/>
    <col min="11273" max="11273" width="14.88671875" style="284" bestFit="1" customWidth="1"/>
    <col min="11274" max="11274" width="12.88671875" style="284" bestFit="1" customWidth="1"/>
    <col min="11275" max="11275" width="7.6640625" style="284" customWidth="1"/>
    <col min="11276" max="11276" width="18" style="284" customWidth="1"/>
    <col min="11277" max="11277" width="8.33203125" style="284" customWidth="1"/>
    <col min="11278" max="11278" width="16" style="284" customWidth="1"/>
    <col min="11279" max="11279" width="15.109375" style="284" bestFit="1" customWidth="1"/>
    <col min="11280" max="11280" width="14.109375" style="284" bestFit="1" customWidth="1"/>
    <col min="11281" max="11520" width="11.5546875" style="284"/>
    <col min="11521" max="11521" width="7.109375" style="284" bestFit="1" customWidth="1"/>
    <col min="11522" max="11522" width="5.33203125" style="284" bestFit="1" customWidth="1"/>
    <col min="11523" max="11523" width="43.6640625" style="284" customWidth="1"/>
    <col min="11524" max="11524" width="13.5546875" style="284" customWidth="1"/>
    <col min="11525" max="11525" width="10.109375" style="284" customWidth="1"/>
    <col min="11526" max="11526" width="10" style="284" customWidth="1"/>
    <col min="11527" max="11527" width="6.109375" style="284" bestFit="1" customWidth="1"/>
    <col min="11528" max="11528" width="4.6640625" style="284" customWidth="1"/>
    <col min="11529" max="11529" width="14.88671875" style="284" bestFit="1" customWidth="1"/>
    <col min="11530" max="11530" width="12.88671875" style="284" bestFit="1" customWidth="1"/>
    <col min="11531" max="11531" width="7.6640625" style="284" customWidth="1"/>
    <col min="11532" max="11532" width="18" style="284" customWidth="1"/>
    <col min="11533" max="11533" width="8.33203125" style="284" customWidth="1"/>
    <col min="11534" max="11534" width="16" style="284" customWidth="1"/>
    <col min="11535" max="11535" width="15.109375" style="284" bestFit="1" customWidth="1"/>
    <col min="11536" max="11536" width="14.109375" style="284" bestFit="1" customWidth="1"/>
    <col min="11537" max="11776" width="11.5546875" style="284"/>
    <col min="11777" max="11777" width="7.109375" style="284" bestFit="1" customWidth="1"/>
    <col min="11778" max="11778" width="5.33203125" style="284" bestFit="1" customWidth="1"/>
    <col min="11779" max="11779" width="43.6640625" style="284" customWidth="1"/>
    <col min="11780" max="11780" width="13.5546875" style="284" customWidth="1"/>
    <col min="11781" max="11781" width="10.109375" style="284" customWidth="1"/>
    <col min="11782" max="11782" width="10" style="284" customWidth="1"/>
    <col min="11783" max="11783" width="6.109375" style="284" bestFit="1" customWidth="1"/>
    <col min="11784" max="11784" width="4.6640625" style="284" customWidth="1"/>
    <col min="11785" max="11785" width="14.88671875" style="284" bestFit="1" customWidth="1"/>
    <col min="11786" max="11786" width="12.88671875" style="284" bestFit="1" customWidth="1"/>
    <col min="11787" max="11787" width="7.6640625" style="284" customWidth="1"/>
    <col min="11788" max="11788" width="18" style="284" customWidth="1"/>
    <col min="11789" max="11789" width="8.33203125" style="284" customWidth="1"/>
    <col min="11790" max="11790" width="16" style="284" customWidth="1"/>
    <col min="11791" max="11791" width="15.109375" style="284" bestFit="1" customWidth="1"/>
    <col min="11792" max="11792" width="14.109375" style="284" bestFit="1" customWidth="1"/>
    <col min="11793" max="12032" width="11.5546875" style="284"/>
    <col min="12033" max="12033" width="7.109375" style="284" bestFit="1" customWidth="1"/>
    <col min="12034" max="12034" width="5.33203125" style="284" bestFit="1" customWidth="1"/>
    <col min="12035" max="12035" width="43.6640625" style="284" customWidth="1"/>
    <col min="12036" max="12036" width="13.5546875" style="284" customWidth="1"/>
    <col min="12037" max="12037" width="10.109375" style="284" customWidth="1"/>
    <col min="12038" max="12038" width="10" style="284" customWidth="1"/>
    <col min="12039" max="12039" width="6.109375" style="284" bestFit="1" customWidth="1"/>
    <col min="12040" max="12040" width="4.6640625" style="284" customWidth="1"/>
    <col min="12041" max="12041" width="14.88671875" style="284" bestFit="1" customWidth="1"/>
    <col min="12042" max="12042" width="12.88671875" style="284" bestFit="1" customWidth="1"/>
    <col min="12043" max="12043" width="7.6640625" style="284" customWidth="1"/>
    <col min="12044" max="12044" width="18" style="284" customWidth="1"/>
    <col min="12045" max="12045" width="8.33203125" style="284" customWidth="1"/>
    <col min="12046" max="12046" width="16" style="284" customWidth="1"/>
    <col min="12047" max="12047" width="15.109375" style="284" bestFit="1" customWidth="1"/>
    <col min="12048" max="12048" width="14.109375" style="284" bestFit="1" customWidth="1"/>
    <col min="12049" max="12288" width="11.5546875" style="284"/>
    <col min="12289" max="12289" width="7.109375" style="284" bestFit="1" customWidth="1"/>
    <col min="12290" max="12290" width="5.33203125" style="284" bestFit="1" customWidth="1"/>
    <col min="12291" max="12291" width="43.6640625" style="284" customWidth="1"/>
    <col min="12292" max="12292" width="13.5546875" style="284" customWidth="1"/>
    <col min="12293" max="12293" width="10.109375" style="284" customWidth="1"/>
    <col min="12294" max="12294" width="10" style="284" customWidth="1"/>
    <col min="12295" max="12295" width="6.109375" style="284" bestFit="1" customWidth="1"/>
    <col min="12296" max="12296" width="4.6640625" style="284" customWidth="1"/>
    <col min="12297" max="12297" width="14.88671875" style="284" bestFit="1" customWidth="1"/>
    <col min="12298" max="12298" width="12.88671875" style="284" bestFit="1" customWidth="1"/>
    <col min="12299" max="12299" width="7.6640625" style="284" customWidth="1"/>
    <col min="12300" max="12300" width="18" style="284" customWidth="1"/>
    <col min="12301" max="12301" width="8.33203125" style="284" customWidth="1"/>
    <col min="12302" max="12302" width="16" style="284" customWidth="1"/>
    <col min="12303" max="12303" width="15.109375" style="284" bestFit="1" customWidth="1"/>
    <col min="12304" max="12304" width="14.109375" style="284" bestFit="1" customWidth="1"/>
    <col min="12305" max="12544" width="11.5546875" style="284"/>
    <col min="12545" max="12545" width="7.109375" style="284" bestFit="1" customWidth="1"/>
    <col min="12546" max="12546" width="5.33203125" style="284" bestFit="1" customWidth="1"/>
    <col min="12547" max="12547" width="43.6640625" style="284" customWidth="1"/>
    <col min="12548" max="12548" width="13.5546875" style="284" customWidth="1"/>
    <col min="12549" max="12549" width="10.109375" style="284" customWidth="1"/>
    <col min="12550" max="12550" width="10" style="284" customWidth="1"/>
    <col min="12551" max="12551" width="6.109375" style="284" bestFit="1" customWidth="1"/>
    <col min="12552" max="12552" width="4.6640625" style="284" customWidth="1"/>
    <col min="12553" max="12553" width="14.88671875" style="284" bestFit="1" customWidth="1"/>
    <col min="12554" max="12554" width="12.88671875" style="284" bestFit="1" customWidth="1"/>
    <col min="12555" max="12555" width="7.6640625" style="284" customWidth="1"/>
    <col min="12556" max="12556" width="18" style="284" customWidth="1"/>
    <col min="12557" max="12557" width="8.33203125" style="284" customWidth="1"/>
    <col min="12558" max="12558" width="16" style="284" customWidth="1"/>
    <col min="12559" max="12559" width="15.109375" style="284" bestFit="1" customWidth="1"/>
    <col min="12560" max="12560" width="14.109375" style="284" bestFit="1" customWidth="1"/>
    <col min="12561" max="12800" width="11.5546875" style="284"/>
    <col min="12801" max="12801" width="7.109375" style="284" bestFit="1" customWidth="1"/>
    <col min="12802" max="12802" width="5.33203125" style="284" bestFit="1" customWidth="1"/>
    <col min="12803" max="12803" width="43.6640625" style="284" customWidth="1"/>
    <col min="12804" max="12804" width="13.5546875" style="284" customWidth="1"/>
    <col min="12805" max="12805" width="10.109375" style="284" customWidth="1"/>
    <col min="12806" max="12806" width="10" style="284" customWidth="1"/>
    <col min="12807" max="12807" width="6.109375" style="284" bestFit="1" customWidth="1"/>
    <col min="12808" max="12808" width="4.6640625" style="284" customWidth="1"/>
    <col min="12809" max="12809" width="14.88671875" style="284" bestFit="1" customWidth="1"/>
    <col min="12810" max="12810" width="12.88671875" style="284" bestFit="1" customWidth="1"/>
    <col min="12811" max="12811" width="7.6640625" style="284" customWidth="1"/>
    <col min="12812" max="12812" width="18" style="284" customWidth="1"/>
    <col min="12813" max="12813" width="8.33203125" style="284" customWidth="1"/>
    <col min="12814" max="12814" width="16" style="284" customWidth="1"/>
    <col min="12815" max="12815" width="15.109375" style="284" bestFit="1" customWidth="1"/>
    <col min="12816" max="12816" width="14.109375" style="284" bestFit="1" customWidth="1"/>
    <col min="12817" max="13056" width="11.5546875" style="284"/>
    <col min="13057" max="13057" width="7.109375" style="284" bestFit="1" customWidth="1"/>
    <col min="13058" max="13058" width="5.33203125" style="284" bestFit="1" customWidth="1"/>
    <col min="13059" max="13059" width="43.6640625" style="284" customWidth="1"/>
    <col min="13060" max="13060" width="13.5546875" style="284" customWidth="1"/>
    <col min="13061" max="13061" width="10.109375" style="284" customWidth="1"/>
    <col min="13062" max="13062" width="10" style="284" customWidth="1"/>
    <col min="13063" max="13063" width="6.109375" style="284" bestFit="1" customWidth="1"/>
    <col min="13064" max="13064" width="4.6640625" style="284" customWidth="1"/>
    <col min="13065" max="13065" width="14.88671875" style="284" bestFit="1" customWidth="1"/>
    <col min="13066" max="13066" width="12.88671875" style="284" bestFit="1" customWidth="1"/>
    <col min="13067" max="13067" width="7.6640625" style="284" customWidth="1"/>
    <col min="13068" max="13068" width="18" style="284" customWidth="1"/>
    <col min="13069" max="13069" width="8.33203125" style="284" customWidth="1"/>
    <col min="13070" max="13070" width="16" style="284" customWidth="1"/>
    <col min="13071" max="13071" width="15.109375" style="284" bestFit="1" customWidth="1"/>
    <col min="13072" max="13072" width="14.109375" style="284" bestFit="1" customWidth="1"/>
    <col min="13073" max="13312" width="11.5546875" style="284"/>
    <col min="13313" max="13313" width="7.109375" style="284" bestFit="1" customWidth="1"/>
    <col min="13314" max="13314" width="5.33203125" style="284" bestFit="1" customWidth="1"/>
    <col min="13315" max="13315" width="43.6640625" style="284" customWidth="1"/>
    <col min="13316" max="13316" width="13.5546875" style="284" customWidth="1"/>
    <col min="13317" max="13317" width="10.109375" style="284" customWidth="1"/>
    <col min="13318" max="13318" width="10" style="284" customWidth="1"/>
    <col min="13319" max="13319" width="6.109375" style="284" bestFit="1" customWidth="1"/>
    <col min="13320" max="13320" width="4.6640625" style="284" customWidth="1"/>
    <col min="13321" max="13321" width="14.88671875" style="284" bestFit="1" customWidth="1"/>
    <col min="13322" max="13322" width="12.88671875" style="284" bestFit="1" customWidth="1"/>
    <col min="13323" max="13323" width="7.6640625" style="284" customWidth="1"/>
    <col min="13324" max="13324" width="18" style="284" customWidth="1"/>
    <col min="13325" max="13325" width="8.33203125" style="284" customWidth="1"/>
    <col min="13326" max="13326" width="16" style="284" customWidth="1"/>
    <col min="13327" max="13327" width="15.109375" style="284" bestFit="1" customWidth="1"/>
    <col min="13328" max="13328" width="14.109375" style="284" bestFit="1" customWidth="1"/>
    <col min="13329" max="13568" width="11.5546875" style="284"/>
    <col min="13569" max="13569" width="7.109375" style="284" bestFit="1" customWidth="1"/>
    <col min="13570" max="13570" width="5.33203125" style="284" bestFit="1" customWidth="1"/>
    <col min="13571" max="13571" width="43.6640625" style="284" customWidth="1"/>
    <col min="13572" max="13572" width="13.5546875" style="284" customWidth="1"/>
    <col min="13573" max="13573" width="10.109375" style="284" customWidth="1"/>
    <col min="13574" max="13574" width="10" style="284" customWidth="1"/>
    <col min="13575" max="13575" width="6.109375" style="284" bestFit="1" customWidth="1"/>
    <col min="13576" max="13576" width="4.6640625" style="284" customWidth="1"/>
    <col min="13577" max="13577" width="14.88671875" style="284" bestFit="1" customWidth="1"/>
    <col min="13578" max="13578" width="12.88671875" style="284" bestFit="1" customWidth="1"/>
    <col min="13579" max="13579" width="7.6640625" style="284" customWidth="1"/>
    <col min="13580" max="13580" width="18" style="284" customWidth="1"/>
    <col min="13581" max="13581" width="8.33203125" style="284" customWidth="1"/>
    <col min="13582" max="13582" width="16" style="284" customWidth="1"/>
    <col min="13583" max="13583" width="15.109375" style="284" bestFit="1" customWidth="1"/>
    <col min="13584" max="13584" width="14.109375" style="284" bestFit="1" customWidth="1"/>
    <col min="13585" max="13824" width="11.5546875" style="284"/>
    <col min="13825" max="13825" width="7.109375" style="284" bestFit="1" customWidth="1"/>
    <col min="13826" max="13826" width="5.33203125" style="284" bestFit="1" customWidth="1"/>
    <col min="13827" max="13827" width="43.6640625" style="284" customWidth="1"/>
    <col min="13828" max="13828" width="13.5546875" style="284" customWidth="1"/>
    <col min="13829" max="13829" width="10.109375" style="284" customWidth="1"/>
    <col min="13830" max="13830" width="10" style="284" customWidth="1"/>
    <col min="13831" max="13831" width="6.109375" style="284" bestFit="1" customWidth="1"/>
    <col min="13832" max="13832" width="4.6640625" style="284" customWidth="1"/>
    <col min="13833" max="13833" width="14.88671875" style="284" bestFit="1" customWidth="1"/>
    <col min="13834" max="13834" width="12.88671875" style="284" bestFit="1" customWidth="1"/>
    <col min="13835" max="13835" width="7.6640625" style="284" customWidth="1"/>
    <col min="13836" max="13836" width="18" style="284" customWidth="1"/>
    <col min="13837" max="13837" width="8.33203125" style="284" customWidth="1"/>
    <col min="13838" max="13838" width="16" style="284" customWidth="1"/>
    <col min="13839" max="13839" width="15.109375" style="284" bestFit="1" customWidth="1"/>
    <col min="13840" max="13840" width="14.109375" style="284" bestFit="1" customWidth="1"/>
    <col min="13841" max="14080" width="11.5546875" style="284"/>
    <col min="14081" max="14081" width="7.109375" style="284" bestFit="1" customWidth="1"/>
    <col min="14082" max="14082" width="5.33203125" style="284" bestFit="1" customWidth="1"/>
    <col min="14083" max="14083" width="43.6640625" style="284" customWidth="1"/>
    <col min="14084" max="14084" width="13.5546875" style="284" customWidth="1"/>
    <col min="14085" max="14085" width="10.109375" style="284" customWidth="1"/>
    <col min="14086" max="14086" width="10" style="284" customWidth="1"/>
    <col min="14087" max="14087" width="6.109375" style="284" bestFit="1" customWidth="1"/>
    <col min="14088" max="14088" width="4.6640625" style="284" customWidth="1"/>
    <col min="14089" max="14089" width="14.88671875" style="284" bestFit="1" customWidth="1"/>
    <col min="14090" max="14090" width="12.88671875" style="284" bestFit="1" customWidth="1"/>
    <col min="14091" max="14091" width="7.6640625" style="284" customWidth="1"/>
    <col min="14092" max="14092" width="18" style="284" customWidth="1"/>
    <col min="14093" max="14093" width="8.33203125" style="284" customWidth="1"/>
    <col min="14094" max="14094" width="16" style="284" customWidth="1"/>
    <col min="14095" max="14095" width="15.109375" style="284" bestFit="1" customWidth="1"/>
    <col min="14096" max="14096" width="14.109375" style="284" bestFit="1" customWidth="1"/>
    <col min="14097" max="14336" width="11.5546875" style="284"/>
    <col min="14337" max="14337" width="7.109375" style="284" bestFit="1" customWidth="1"/>
    <col min="14338" max="14338" width="5.33203125" style="284" bestFit="1" customWidth="1"/>
    <col min="14339" max="14339" width="43.6640625" style="284" customWidth="1"/>
    <col min="14340" max="14340" width="13.5546875" style="284" customWidth="1"/>
    <col min="14341" max="14341" width="10.109375" style="284" customWidth="1"/>
    <col min="14342" max="14342" width="10" style="284" customWidth="1"/>
    <col min="14343" max="14343" width="6.109375" style="284" bestFit="1" customWidth="1"/>
    <col min="14344" max="14344" width="4.6640625" style="284" customWidth="1"/>
    <col min="14345" max="14345" width="14.88671875" style="284" bestFit="1" customWidth="1"/>
    <col min="14346" max="14346" width="12.88671875" style="284" bestFit="1" customWidth="1"/>
    <col min="14347" max="14347" width="7.6640625" style="284" customWidth="1"/>
    <col min="14348" max="14348" width="18" style="284" customWidth="1"/>
    <col min="14349" max="14349" width="8.33203125" style="284" customWidth="1"/>
    <col min="14350" max="14350" width="16" style="284" customWidth="1"/>
    <col min="14351" max="14351" width="15.109375" style="284" bestFit="1" customWidth="1"/>
    <col min="14352" max="14352" width="14.109375" style="284" bestFit="1" customWidth="1"/>
    <col min="14353" max="14592" width="11.5546875" style="284"/>
    <col min="14593" max="14593" width="7.109375" style="284" bestFit="1" customWidth="1"/>
    <col min="14594" max="14594" width="5.33203125" style="284" bestFit="1" customWidth="1"/>
    <col min="14595" max="14595" width="43.6640625" style="284" customWidth="1"/>
    <col min="14596" max="14596" width="13.5546875" style="284" customWidth="1"/>
    <col min="14597" max="14597" width="10.109375" style="284" customWidth="1"/>
    <col min="14598" max="14598" width="10" style="284" customWidth="1"/>
    <col min="14599" max="14599" width="6.109375" style="284" bestFit="1" customWidth="1"/>
    <col min="14600" max="14600" width="4.6640625" style="284" customWidth="1"/>
    <col min="14601" max="14601" width="14.88671875" style="284" bestFit="1" customWidth="1"/>
    <col min="14602" max="14602" width="12.88671875" style="284" bestFit="1" customWidth="1"/>
    <col min="14603" max="14603" width="7.6640625" style="284" customWidth="1"/>
    <col min="14604" max="14604" width="18" style="284" customWidth="1"/>
    <col min="14605" max="14605" width="8.33203125" style="284" customWidth="1"/>
    <col min="14606" max="14606" width="16" style="284" customWidth="1"/>
    <col min="14607" max="14607" width="15.109375" style="284" bestFit="1" customWidth="1"/>
    <col min="14608" max="14608" width="14.109375" style="284" bestFit="1" customWidth="1"/>
    <col min="14609" max="14848" width="11.5546875" style="284"/>
    <col min="14849" max="14849" width="7.109375" style="284" bestFit="1" customWidth="1"/>
    <col min="14850" max="14850" width="5.33203125" style="284" bestFit="1" customWidth="1"/>
    <col min="14851" max="14851" width="43.6640625" style="284" customWidth="1"/>
    <col min="14852" max="14852" width="13.5546875" style="284" customWidth="1"/>
    <col min="14853" max="14853" width="10.109375" style="284" customWidth="1"/>
    <col min="14854" max="14854" width="10" style="284" customWidth="1"/>
    <col min="14855" max="14855" width="6.109375" style="284" bestFit="1" customWidth="1"/>
    <col min="14856" max="14856" width="4.6640625" style="284" customWidth="1"/>
    <col min="14857" max="14857" width="14.88671875" style="284" bestFit="1" customWidth="1"/>
    <col min="14858" max="14858" width="12.88671875" style="284" bestFit="1" customWidth="1"/>
    <col min="14859" max="14859" width="7.6640625" style="284" customWidth="1"/>
    <col min="14860" max="14860" width="18" style="284" customWidth="1"/>
    <col min="14861" max="14861" width="8.33203125" style="284" customWidth="1"/>
    <col min="14862" max="14862" width="16" style="284" customWidth="1"/>
    <col min="14863" max="14863" width="15.109375" style="284" bestFit="1" customWidth="1"/>
    <col min="14864" max="14864" width="14.109375" style="284" bestFit="1" customWidth="1"/>
    <col min="14865" max="15104" width="11.5546875" style="284"/>
    <col min="15105" max="15105" width="7.109375" style="284" bestFit="1" customWidth="1"/>
    <col min="15106" max="15106" width="5.33203125" style="284" bestFit="1" customWidth="1"/>
    <col min="15107" max="15107" width="43.6640625" style="284" customWidth="1"/>
    <col min="15108" max="15108" width="13.5546875" style="284" customWidth="1"/>
    <col min="15109" max="15109" width="10.109375" style="284" customWidth="1"/>
    <col min="15110" max="15110" width="10" style="284" customWidth="1"/>
    <col min="15111" max="15111" width="6.109375" style="284" bestFit="1" customWidth="1"/>
    <col min="15112" max="15112" width="4.6640625" style="284" customWidth="1"/>
    <col min="15113" max="15113" width="14.88671875" style="284" bestFit="1" customWidth="1"/>
    <col min="15114" max="15114" width="12.88671875" style="284" bestFit="1" customWidth="1"/>
    <col min="15115" max="15115" width="7.6640625" style="284" customWidth="1"/>
    <col min="15116" max="15116" width="18" style="284" customWidth="1"/>
    <col min="15117" max="15117" width="8.33203125" style="284" customWidth="1"/>
    <col min="15118" max="15118" width="16" style="284" customWidth="1"/>
    <col min="15119" max="15119" width="15.109375" style="284" bestFit="1" customWidth="1"/>
    <col min="15120" max="15120" width="14.109375" style="284" bestFit="1" customWidth="1"/>
    <col min="15121" max="15360" width="11.5546875" style="284"/>
    <col min="15361" max="15361" width="7.109375" style="284" bestFit="1" customWidth="1"/>
    <col min="15362" max="15362" width="5.33203125" style="284" bestFit="1" customWidth="1"/>
    <col min="15363" max="15363" width="43.6640625" style="284" customWidth="1"/>
    <col min="15364" max="15364" width="13.5546875" style="284" customWidth="1"/>
    <col min="15365" max="15365" width="10.109375" style="284" customWidth="1"/>
    <col min="15366" max="15366" width="10" style="284" customWidth="1"/>
    <col min="15367" max="15367" width="6.109375" style="284" bestFit="1" customWidth="1"/>
    <col min="15368" max="15368" width="4.6640625" style="284" customWidth="1"/>
    <col min="15369" max="15369" width="14.88671875" style="284" bestFit="1" customWidth="1"/>
    <col min="15370" max="15370" width="12.88671875" style="284" bestFit="1" customWidth="1"/>
    <col min="15371" max="15371" width="7.6640625" style="284" customWidth="1"/>
    <col min="15372" max="15372" width="18" style="284" customWidth="1"/>
    <col min="15373" max="15373" width="8.33203125" style="284" customWidth="1"/>
    <col min="15374" max="15374" width="16" style="284" customWidth="1"/>
    <col min="15375" max="15375" width="15.109375" style="284" bestFit="1" customWidth="1"/>
    <col min="15376" max="15376" width="14.109375" style="284" bestFit="1" customWidth="1"/>
    <col min="15377" max="15616" width="11.5546875" style="284"/>
    <col min="15617" max="15617" width="7.109375" style="284" bestFit="1" customWidth="1"/>
    <col min="15618" max="15618" width="5.33203125" style="284" bestFit="1" customWidth="1"/>
    <col min="15619" max="15619" width="43.6640625" style="284" customWidth="1"/>
    <col min="15620" max="15620" width="13.5546875" style="284" customWidth="1"/>
    <col min="15621" max="15621" width="10.109375" style="284" customWidth="1"/>
    <col min="15622" max="15622" width="10" style="284" customWidth="1"/>
    <col min="15623" max="15623" width="6.109375" style="284" bestFit="1" customWidth="1"/>
    <col min="15624" max="15624" width="4.6640625" style="284" customWidth="1"/>
    <col min="15625" max="15625" width="14.88671875" style="284" bestFit="1" customWidth="1"/>
    <col min="15626" max="15626" width="12.88671875" style="284" bestFit="1" customWidth="1"/>
    <col min="15627" max="15627" width="7.6640625" style="284" customWidth="1"/>
    <col min="15628" max="15628" width="18" style="284" customWidth="1"/>
    <col min="15629" max="15629" width="8.33203125" style="284" customWidth="1"/>
    <col min="15630" max="15630" width="16" style="284" customWidth="1"/>
    <col min="15631" max="15631" width="15.109375" style="284" bestFit="1" customWidth="1"/>
    <col min="15632" max="15632" width="14.109375" style="284" bestFit="1" customWidth="1"/>
    <col min="15633" max="15872" width="11.5546875" style="284"/>
    <col min="15873" max="15873" width="7.109375" style="284" bestFit="1" customWidth="1"/>
    <col min="15874" max="15874" width="5.33203125" style="284" bestFit="1" customWidth="1"/>
    <col min="15875" max="15875" width="43.6640625" style="284" customWidth="1"/>
    <col min="15876" max="15876" width="13.5546875" style="284" customWidth="1"/>
    <col min="15877" max="15877" width="10.109375" style="284" customWidth="1"/>
    <col min="15878" max="15878" width="10" style="284" customWidth="1"/>
    <col min="15879" max="15879" width="6.109375" style="284" bestFit="1" customWidth="1"/>
    <col min="15880" max="15880" width="4.6640625" style="284" customWidth="1"/>
    <col min="15881" max="15881" width="14.88671875" style="284" bestFit="1" customWidth="1"/>
    <col min="15882" max="15882" width="12.88671875" style="284" bestFit="1" customWidth="1"/>
    <col min="15883" max="15883" width="7.6640625" style="284" customWidth="1"/>
    <col min="15884" max="15884" width="18" style="284" customWidth="1"/>
    <col min="15885" max="15885" width="8.33203125" style="284" customWidth="1"/>
    <col min="15886" max="15886" width="16" style="284" customWidth="1"/>
    <col min="15887" max="15887" width="15.109375" style="284" bestFit="1" customWidth="1"/>
    <col min="15888" max="15888" width="14.109375" style="284" bestFit="1" customWidth="1"/>
    <col min="15889" max="16128" width="11.5546875" style="284"/>
    <col min="16129" max="16129" width="7.109375" style="284" bestFit="1" customWidth="1"/>
    <col min="16130" max="16130" width="5.33203125" style="284" bestFit="1" customWidth="1"/>
    <col min="16131" max="16131" width="43.6640625" style="284" customWidth="1"/>
    <col min="16132" max="16132" width="13.5546875" style="284" customWidth="1"/>
    <col min="16133" max="16133" width="10.109375" style="284" customWidth="1"/>
    <col min="16134" max="16134" width="10" style="284" customWidth="1"/>
    <col min="16135" max="16135" width="6.109375" style="284" bestFit="1" customWidth="1"/>
    <col min="16136" max="16136" width="4.6640625" style="284" customWidth="1"/>
    <col min="16137" max="16137" width="14.88671875" style="284" bestFit="1" customWidth="1"/>
    <col min="16138" max="16138" width="12.88671875" style="284" bestFit="1" customWidth="1"/>
    <col min="16139" max="16139" width="7.6640625" style="284" customWidth="1"/>
    <col min="16140" max="16140" width="18" style="284" customWidth="1"/>
    <col min="16141" max="16141" width="8.33203125" style="284" customWidth="1"/>
    <col min="16142" max="16142" width="16" style="284" customWidth="1"/>
    <col min="16143" max="16143" width="15.109375" style="284" bestFit="1" customWidth="1"/>
    <col min="16144" max="16144" width="14.109375" style="284" bestFit="1" customWidth="1"/>
    <col min="16145" max="16384" width="11.5546875" style="284"/>
  </cols>
  <sheetData>
    <row r="1" spans="1:15" ht="7.5" customHeight="1" thickBot="1" x14ac:dyDescent="0.35"/>
    <row r="2" spans="1:15" x14ac:dyDescent="0.3">
      <c r="B2" s="1147" t="s">
        <v>5340</v>
      </c>
      <c r="C2" s="1148"/>
      <c r="D2" s="1148"/>
      <c r="E2" s="1148"/>
      <c r="F2" s="1148"/>
      <c r="G2" s="1148"/>
      <c r="H2" s="1148"/>
      <c r="I2" s="1149"/>
      <c r="J2" s="285"/>
      <c r="K2" s="285"/>
      <c r="L2" s="286"/>
    </row>
    <row r="3" spans="1:15" x14ac:dyDescent="0.3">
      <c r="B3" s="1150" t="s">
        <v>12</v>
      </c>
      <c r="C3" s="1151"/>
      <c r="D3" s="1151"/>
      <c r="E3" s="1151"/>
      <c r="F3" s="1151"/>
      <c r="G3" s="1151"/>
      <c r="H3" s="1151"/>
      <c r="I3" s="1152"/>
      <c r="J3" s="287"/>
      <c r="K3" s="287"/>
      <c r="L3" s="288"/>
    </row>
    <row r="4" spans="1:15" x14ac:dyDescent="0.3">
      <c r="B4" s="1150" t="s">
        <v>5271</v>
      </c>
      <c r="C4" s="1151"/>
      <c r="D4" s="1151"/>
      <c r="E4" s="1151"/>
      <c r="F4" s="1151"/>
      <c r="G4" s="1151"/>
      <c r="H4" s="1151"/>
      <c r="I4" s="1152"/>
      <c r="J4" s="287"/>
      <c r="K4" s="287"/>
      <c r="L4" s="288"/>
    </row>
    <row r="5" spans="1:15" ht="13.8" thickBot="1" x14ac:dyDescent="0.35">
      <c r="B5" s="1153" t="s">
        <v>5272</v>
      </c>
      <c r="C5" s="1154"/>
      <c r="D5" s="1154"/>
      <c r="E5" s="1154"/>
      <c r="F5" s="1154"/>
      <c r="G5" s="1154"/>
      <c r="H5" s="1154"/>
      <c r="I5" s="1155"/>
      <c r="J5" s="1156" t="s">
        <v>12</v>
      </c>
      <c r="K5" s="1157"/>
      <c r="L5" s="1158"/>
    </row>
    <row r="6" spans="1:15" ht="52.95" customHeight="1" thickBot="1" x14ac:dyDescent="0.35">
      <c r="B6" s="1141" t="s">
        <v>0</v>
      </c>
      <c r="C6" s="1142"/>
      <c r="D6" s="1143" t="str">
        <f>+'DATOS DEL PROCESO'!B6</f>
        <v>EJECUTAR POR EL SISTEMA DE PRECIOS UNITARIOS Y A MONTO AGOTABLE LAS ACTIVIDADES PARA LA CONSERVACION DE LA MALLA VIAL LOCAL E INTERMEDIA Y ESPACIO PÚBLICO EN LA LOCALIDAD DE SUBA EN LA CIUDAD DE BOGOTA D.C</v>
      </c>
      <c r="E6" s="1144"/>
      <c r="F6" s="1144"/>
      <c r="G6" s="1144"/>
      <c r="H6" s="1144"/>
      <c r="I6" s="1144"/>
      <c r="J6" s="1145"/>
      <c r="K6" s="1145"/>
      <c r="L6" s="1146"/>
    </row>
    <row r="7" spans="1:15" ht="13.8" thickBot="1" x14ac:dyDescent="0.35">
      <c r="A7" s="284"/>
      <c r="B7" s="289"/>
      <c r="C7" s="289"/>
      <c r="D7" s="289"/>
      <c r="E7" s="289"/>
      <c r="F7" s="289"/>
      <c r="G7" s="289"/>
      <c r="H7" s="289"/>
      <c r="I7" s="289"/>
      <c r="J7" s="289"/>
      <c r="K7" s="289"/>
      <c r="L7" s="290"/>
    </row>
    <row r="8" spans="1:15" ht="13.8" thickBot="1" x14ac:dyDescent="0.35">
      <c r="A8" s="284"/>
      <c r="B8" s="1159" t="s">
        <v>5341</v>
      </c>
      <c r="C8" s="1160"/>
      <c r="D8" s="1160"/>
      <c r="E8" s="1160"/>
      <c r="F8" s="1160"/>
      <c r="G8" s="1160"/>
      <c r="H8" s="1160"/>
      <c r="I8" s="1160"/>
      <c r="J8" s="1160"/>
      <c r="K8" s="1160"/>
      <c r="L8" s="1161"/>
    </row>
    <row r="9" spans="1:15" x14ac:dyDescent="0.3">
      <c r="B9" s="990" t="s">
        <v>5335</v>
      </c>
      <c r="C9" s="991"/>
      <c r="D9" s="991"/>
      <c r="E9" s="1162">
        <f>+PGS!L50</f>
        <v>287530069</v>
      </c>
      <c r="F9" s="1163"/>
      <c r="G9" s="1164"/>
      <c r="H9" s="291"/>
      <c r="I9" s="292" t="s">
        <v>5129</v>
      </c>
      <c r="J9" s="1165">
        <f ca="1">+TODAY()</f>
        <v>46293</v>
      </c>
      <c r="K9" s="1165"/>
      <c r="L9" s="1166"/>
    </row>
    <row r="10" spans="1:15" ht="13.8" thickBot="1" x14ac:dyDescent="0.35">
      <c r="B10" s="996" t="s">
        <v>5342</v>
      </c>
      <c r="C10" s="997"/>
      <c r="D10" s="997"/>
      <c r="E10" s="132">
        <v>11</v>
      </c>
      <c r="F10" s="997" t="s">
        <v>5</v>
      </c>
      <c r="G10" s="998"/>
      <c r="H10" s="293"/>
      <c r="I10" s="294" t="s">
        <v>5130</v>
      </c>
      <c r="J10" s="1167"/>
      <c r="K10" s="1167"/>
      <c r="L10" s="1168"/>
    </row>
    <row r="12" spans="1:15" s="27" customFormat="1" ht="12.75" customHeight="1" x14ac:dyDescent="0.3">
      <c r="A12" s="36"/>
      <c r="B12" s="966" t="s">
        <v>5343</v>
      </c>
      <c r="C12" s="966"/>
      <c r="D12" s="966"/>
      <c r="E12" s="966"/>
      <c r="F12" s="966"/>
      <c r="G12" s="966"/>
      <c r="H12" s="966"/>
      <c r="I12" s="966"/>
      <c r="J12" s="966"/>
      <c r="K12" s="966"/>
      <c r="L12" s="966"/>
    </row>
    <row r="13" spans="1:15" s="38" customFormat="1" ht="10.199999999999999" x14ac:dyDescent="0.3">
      <c r="A13" s="32"/>
      <c r="B13" s="46">
        <v>3.1</v>
      </c>
      <c r="C13" s="967" t="s">
        <v>5164</v>
      </c>
      <c r="D13" s="967"/>
      <c r="E13" s="967"/>
      <c r="F13" s="967"/>
      <c r="G13" s="967"/>
      <c r="H13" s="967"/>
      <c r="I13" s="967"/>
      <c r="J13" s="967"/>
      <c r="K13" s="967"/>
      <c r="L13" s="967"/>
    </row>
    <row r="14" spans="1:15" s="38" customFormat="1" ht="10.199999999999999" x14ac:dyDescent="0.3">
      <c r="A14" s="32"/>
      <c r="B14" s="47" t="s">
        <v>5132</v>
      </c>
      <c r="C14" s="939" t="s">
        <v>5165</v>
      </c>
      <c r="D14" s="940"/>
      <c r="E14" s="39"/>
      <c r="F14" s="40"/>
      <c r="G14" s="968"/>
      <c r="H14" s="968"/>
      <c r="I14" s="165"/>
      <c r="J14" s="939" t="s">
        <v>5166</v>
      </c>
      <c r="K14" s="941"/>
      <c r="L14" s="46" t="s">
        <v>5160</v>
      </c>
    </row>
    <row r="15" spans="1:15" s="27" customFormat="1" ht="10.199999999999999" x14ac:dyDescent="0.3">
      <c r="A15" s="32"/>
      <c r="B15" s="41">
        <f>B13+0.001</f>
        <v>3.101</v>
      </c>
      <c r="C15" s="295" t="s">
        <v>5167</v>
      </c>
      <c r="D15" s="296"/>
      <c r="E15" s="296"/>
      <c r="F15" s="296"/>
      <c r="G15" s="296"/>
      <c r="H15" s="296"/>
      <c r="I15" s="297"/>
      <c r="J15" s="949">
        <v>0.05</v>
      </c>
      <c r="K15" s="951"/>
      <c r="L15" s="43">
        <f>ROUND($E$9*J15,0)</f>
        <v>14376503</v>
      </c>
      <c r="O15" s="298"/>
    </row>
    <row r="16" spans="1:15" s="27" customFormat="1" ht="10.199999999999999" x14ac:dyDescent="0.3">
      <c r="A16" s="32"/>
      <c r="B16" s="41">
        <f>B15+0.001</f>
        <v>3.1019999999999999</v>
      </c>
      <c r="C16" s="295" t="s">
        <v>5168</v>
      </c>
      <c r="D16" s="296"/>
      <c r="E16" s="296"/>
      <c r="F16" s="296"/>
      <c r="G16" s="296"/>
      <c r="H16" s="296"/>
      <c r="I16" s="297"/>
      <c r="J16" s="949">
        <v>8.6599999999999993E-3</v>
      </c>
      <c r="K16" s="951"/>
      <c r="L16" s="43">
        <f>ROUND($E$9*J16,0)</f>
        <v>2490010</v>
      </c>
      <c r="O16" s="298"/>
    </row>
    <row r="17" spans="1:16" s="27" customFormat="1" ht="11.25" customHeight="1" x14ac:dyDescent="0.3">
      <c r="A17" s="32"/>
      <c r="B17" s="41">
        <f>B16+0.001</f>
        <v>3.1029999999999998</v>
      </c>
      <c r="C17" s="295" t="s">
        <v>5169</v>
      </c>
      <c r="D17" s="296"/>
      <c r="E17" s="296"/>
      <c r="F17" s="296"/>
      <c r="G17" s="296"/>
      <c r="H17" s="296"/>
      <c r="I17" s="297"/>
      <c r="J17" s="949">
        <v>0.02</v>
      </c>
      <c r="K17" s="951"/>
      <c r="L17" s="43">
        <f>ROUND($E$9*J17,0)</f>
        <v>5750601</v>
      </c>
      <c r="O17" s="298"/>
    </row>
    <row r="18" spans="1:16" s="27" customFormat="1" ht="10.199999999999999" x14ac:dyDescent="0.3">
      <c r="A18" s="32"/>
      <c r="B18" s="41">
        <f>B17+0.001</f>
        <v>3.1039999999999996</v>
      </c>
      <c r="C18" s="295" t="s">
        <v>5170</v>
      </c>
      <c r="D18" s="296"/>
      <c r="E18" s="296"/>
      <c r="F18" s="296"/>
      <c r="G18" s="296"/>
      <c r="H18" s="296"/>
      <c r="I18" s="297"/>
      <c r="J18" s="949">
        <v>5.0000000000000001E-3</v>
      </c>
      <c r="K18" s="951"/>
      <c r="L18" s="43">
        <f>ROUND($E$9*J18,0)</f>
        <v>1437650</v>
      </c>
      <c r="O18" s="298"/>
    </row>
    <row r="19" spans="1:16" s="27" customFormat="1" ht="10.199999999999999" x14ac:dyDescent="0.3">
      <c r="A19" s="32"/>
      <c r="B19" s="32"/>
      <c r="C19" s="952" t="s">
        <v>5171</v>
      </c>
      <c r="D19" s="953"/>
      <c r="E19" s="953"/>
      <c r="F19" s="953"/>
      <c r="G19" s="953"/>
      <c r="H19" s="953"/>
      <c r="I19" s="953"/>
      <c r="J19" s="953"/>
      <c r="K19" s="954"/>
      <c r="L19" s="33">
        <f>SUM(L15:L18)</f>
        <v>24054764</v>
      </c>
      <c r="O19" s="298"/>
    </row>
    <row r="20" spans="1:16" s="27" customFormat="1" ht="10.199999999999999" x14ac:dyDescent="0.3">
      <c r="A20" s="32"/>
      <c r="B20" s="32"/>
      <c r="C20" s="45"/>
      <c r="D20" s="45"/>
      <c r="E20" s="45"/>
      <c r="F20" s="45"/>
      <c r="G20" s="45"/>
      <c r="H20" s="45"/>
      <c r="I20" s="45"/>
      <c r="J20" s="45"/>
      <c r="K20" s="45"/>
      <c r="L20" s="45"/>
    </row>
    <row r="21" spans="1:16" s="27" customFormat="1" ht="10.199999999999999" x14ac:dyDescent="0.3">
      <c r="A21" s="32"/>
      <c r="B21" s="46">
        <f>B13+0.1</f>
        <v>3.2</v>
      </c>
      <c r="C21" s="958" t="s">
        <v>5267</v>
      </c>
      <c r="D21" s="958"/>
      <c r="E21" s="958"/>
      <c r="F21" s="958"/>
      <c r="G21" s="958"/>
      <c r="H21" s="958"/>
      <c r="I21" s="958"/>
      <c r="J21" s="958"/>
      <c r="K21" s="958"/>
      <c r="L21" s="958"/>
    </row>
    <row r="22" spans="1:16" s="48" customFormat="1" ht="20.399999999999999" x14ac:dyDescent="0.3">
      <c r="A22" s="32"/>
      <c r="B22" s="47" t="s">
        <v>5132</v>
      </c>
      <c r="C22" s="959" t="s">
        <v>5165</v>
      </c>
      <c r="D22" s="959"/>
      <c r="E22" s="960" t="s">
        <v>5172</v>
      </c>
      <c r="F22" s="961"/>
      <c r="G22" s="939" t="s">
        <v>5173</v>
      </c>
      <c r="H22" s="941"/>
      <c r="I22" s="47" t="s">
        <v>5174</v>
      </c>
      <c r="J22" s="939" t="s">
        <v>5175</v>
      </c>
      <c r="K22" s="941"/>
      <c r="L22" s="46" t="s">
        <v>5160</v>
      </c>
    </row>
    <row r="23" spans="1:16" s="27" customFormat="1" ht="12.75" customHeight="1" x14ac:dyDescent="0.3">
      <c r="A23" s="32"/>
      <c r="B23" s="41">
        <f>B21+0.001</f>
        <v>3.2010000000000001</v>
      </c>
      <c r="C23" s="49" t="s">
        <v>5176</v>
      </c>
      <c r="D23" s="1169" t="s">
        <v>5177</v>
      </c>
      <c r="E23" s="946">
        <f>+E9</f>
        <v>287530069</v>
      </c>
      <c r="F23" s="947"/>
      <c r="G23" s="1206">
        <v>0.2</v>
      </c>
      <c r="H23" s="1206"/>
      <c r="I23" s="50">
        <v>17</v>
      </c>
      <c r="J23" s="949">
        <v>2E-3</v>
      </c>
      <c r="K23" s="951"/>
      <c r="L23" s="43">
        <f>(((((E23*G23)*J23)/12)*I23)+2500)*1.19</f>
        <v>196866.10986233334</v>
      </c>
    </row>
    <row r="24" spans="1:16" s="27" customFormat="1" ht="12.75" customHeight="1" x14ac:dyDescent="0.25">
      <c r="A24" s="32"/>
      <c r="B24" s="41">
        <f>B23+0.001</f>
        <v>3.202</v>
      </c>
      <c r="C24" s="49" t="s">
        <v>5178</v>
      </c>
      <c r="D24" s="1170"/>
      <c r="E24" s="946">
        <f>+E23</f>
        <v>287530069</v>
      </c>
      <c r="F24" s="947"/>
      <c r="G24" s="1206">
        <v>0.1</v>
      </c>
      <c r="H24" s="1206"/>
      <c r="I24" s="50">
        <v>47</v>
      </c>
      <c r="J24" s="949">
        <v>2E-3</v>
      </c>
      <c r="K24" s="951"/>
      <c r="L24" s="43">
        <f>(((((E24*G24)*J24)/12)*I24)+2500)*1.19</f>
        <v>271000.94598616665</v>
      </c>
      <c r="O24" s="299"/>
      <c r="P24" s="299"/>
    </row>
    <row r="25" spans="1:16" s="27" customFormat="1" ht="12" x14ac:dyDescent="0.25">
      <c r="A25" s="32"/>
      <c r="B25" s="41">
        <f>B24+0.001</f>
        <v>3.2029999999999998</v>
      </c>
      <c r="C25" s="49" t="s">
        <v>5179</v>
      </c>
      <c r="D25" s="1170"/>
      <c r="E25" s="946">
        <f>+E23</f>
        <v>287530069</v>
      </c>
      <c r="F25" s="947"/>
      <c r="G25" s="1206">
        <v>0.3</v>
      </c>
      <c r="H25" s="1206"/>
      <c r="I25" s="50">
        <v>60</v>
      </c>
      <c r="J25" s="949">
        <v>3.0000000000000001E-3</v>
      </c>
      <c r="K25" s="951"/>
      <c r="L25" s="43">
        <f>(((((E25*G25)*J25)/12)*I25)+2500)*1.19</f>
        <v>1542698.5194950001</v>
      </c>
      <c r="N25" s="300"/>
      <c r="O25" s="301"/>
      <c r="P25" s="299"/>
    </row>
    <row r="26" spans="1:16" s="27" customFormat="1" ht="30.75" customHeight="1" x14ac:dyDescent="0.3">
      <c r="A26" s="32"/>
      <c r="B26" s="41">
        <f>B25+0.001</f>
        <v>3.2039999999999997</v>
      </c>
      <c r="C26" s="51" t="s">
        <v>5180</v>
      </c>
      <c r="D26" s="302" t="s">
        <v>5181</v>
      </c>
      <c r="E26" s="946">
        <v>32906142</v>
      </c>
      <c r="F26" s="947"/>
      <c r="G26" s="1206" t="s">
        <v>5425</v>
      </c>
      <c r="H26" s="1206"/>
      <c r="I26" s="50">
        <v>11</v>
      </c>
      <c r="J26" s="949">
        <v>3.0000000000000001E-3</v>
      </c>
      <c r="K26" s="951"/>
      <c r="L26" s="43">
        <f>((((E26*J26)/12)*I26)+2500)*1.19</f>
        <v>110660.34969499998</v>
      </c>
      <c r="N26" s="300"/>
      <c r="O26" s="300"/>
      <c r="P26" s="303"/>
    </row>
    <row r="28" spans="1:16" s="27" customFormat="1" ht="10.199999999999999" x14ac:dyDescent="0.3">
      <c r="A28" s="32"/>
      <c r="B28" s="32"/>
      <c r="C28" s="952" t="s">
        <v>5182</v>
      </c>
      <c r="D28" s="953"/>
      <c r="E28" s="953"/>
      <c r="F28" s="953"/>
      <c r="G28" s="953"/>
      <c r="H28" s="953"/>
      <c r="I28" s="953"/>
      <c r="J28" s="953"/>
      <c r="K28" s="954"/>
      <c r="L28" s="33">
        <f>ROUND((SUM(L23:L26)),0)</f>
        <v>2121226</v>
      </c>
    </row>
    <row r="29" spans="1:16" s="27" customFormat="1" ht="10.199999999999999" x14ac:dyDescent="0.3">
      <c r="A29" s="32"/>
      <c r="B29" s="32"/>
      <c r="C29" s="932"/>
      <c r="D29" s="932"/>
      <c r="E29" s="932"/>
      <c r="F29" s="932"/>
      <c r="G29" s="932"/>
      <c r="H29" s="932"/>
      <c r="I29" s="932"/>
      <c r="J29" s="932"/>
      <c r="K29" s="932"/>
      <c r="L29" s="932"/>
      <c r="N29" s="304"/>
    </row>
    <row r="30" spans="1:16" s="27" customFormat="1" ht="10.199999999999999" x14ac:dyDescent="0.3">
      <c r="A30" s="32"/>
      <c r="B30" s="32"/>
      <c r="C30" s="53" t="s">
        <v>5183</v>
      </c>
      <c r="D30" s="54"/>
      <c r="E30" s="54"/>
      <c r="F30" s="54"/>
      <c r="G30" s="54"/>
      <c r="H30" s="54"/>
      <c r="I30" s="54"/>
      <c r="J30" s="54"/>
      <c r="K30" s="55"/>
      <c r="L30" s="33">
        <f>L19+L28</f>
        <v>26175990</v>
      </c>
    </row>
    <row r="31" spans="1:16" s="27" customFormat="1" ht="10.199999999999999" x14ac:dyDescent="0.3">
      <c r="A31" s="32"/>
      <c r="B31" s="32"/>
      <c r="C31" s="53" t="s">
        <v>5184</v>
      </c>
      <c r="D31" s="54"/>
      <c r="E31" s="54"/>
      <c r="F31" s="54"/>
      <c r="G31" s="54"/>
      <c r="H31" s="54"/>
      <c r="I31" s="54"/>
      <c r="J31" s="54"/>
      <c r="K31" s="55"/>
      <c r="L31" s="508">
        <f>L30/E9</f>
        <v>9.1037400335336749E-2</v>
      </c>
    </row>
    <row r="32" spans="1:16" s="27" customFormat="1" ht="10.199999999999999" x14ac:dyDescent="0.3">
      <c r="A32" s="32"/>
      <c r="B32" s="32"/>
      <c r="C32" s="932"/>
      <c r="D32" s="932"/>
      <c r="E32" s="932"/>
      <c r="F32" s="932"/>
      <c r="G32" s="932"/>
      <c r="H32" s="932"/>
      <c r="I32" s="932"/>
      <c r="J32" s="932"/>
      <c r="K32" s="932"/>
      <c r="L32" s="932"/>
    </row>
    <row r="33" spans="1:16" s="27" customFormat="1" ht="10.199999999999999" x14ac:dyDescent="0.3">
      <c r="A33" s="32"/>
      <c r="B33" s="32"/>
      <c r="C33" s="53" t="s">
        <v>5344</v>
      </c>
      <c r="D33" s="54"/>
      <c r="E33" s="54"/>
      <c r="F33" s="54"/>
      <c r="G33" s="54"/>
      <c r="H33" s="54"/>
      <c r="I33" s="54"/>
      <c r="J33" s="54"/>
      <c r="K33" s="55"/>
      <c r="L33" s="306">
        <f>L31</f>
        <v>9.1037400335336749E-2</v>
      </c>
    </row>
    <row r="34" spans="1:16" s="48" customFormat="1" ht="10.199999999999999" x14ac:dyDescent="0.3">
      <c r="A34" s="38"/>
      <c r="B34" s="38"/>
      <c r="C34" s="53" t="s">
        <v>5185</v>
      </c>
      <c r="D34" s="54"/>
      <c r="E34" s="54"/>
      <c r="F34" s="54"/>
      <c r="G34" s="54"/>
      <c r="H34" s="54"/>
      <c r="I34" s="54"/>
      <c r="J34" s="54"/>
      <c r="K34" s="55"/>
      <c r="L34" s="306">
        <v>0.01</v>
      </c>
      <c r="O34" s="307"/>
      <c r="P34" s="170"/>
    </row>
    <row r="35" spans="1:16" s="48" customFormat="1" ht="10.199999999999999" x14ac:dyDescent="0.3">
      <c r="A35" s="38"/>
      <c r="B35" s="38"/>
      <c r="C35" s="53" t="s">
        <v>5186</v>
      </c>
      <c r="D35" s="54"/>
      <c r="E35" s="54"/>
      <c r="F35" s="54"/>
      <c r="G35" s="54"/>
      <c r="H35" s="54"/>
      <c r="I35" s="54"/>
      <c r="J35" s="54"/>
      <c r="K35" s="55"/>
      <c r="L35" s="306">
        <v>0.05</v>
      </c>
    </row>
    <row r="36" spans="1:16" s="27" customFormat="1" ht="10.199999999999999" x14ac:dyDescent="0.3">
      <c r="A36" s="32"/>
      <c r="B36" s="32"/>
      <c r="C36" s="932"/>
      <c r="D36" s="932"/>
      <c r="E36" s="932"/>
      <c r="F36" s="932"/>
      <c r="G36" s="932"/>
      <c r="H36" s="932"/>
      <c r="I36" s="932"/>
      <c r="J36" s="932"/>
      <c r="K36" s="932"/>
      <c r="L36" s="932"/>
      <c r="M36" s="171"/>
    </row>
    <row r="37" spans="1:16" s="27" customFormat="1" ht="11.4" x14ac:dyDescent="0.3">
      <c r="A37" s="32"/>
      <c r="B37" s="32"/>
      <c r="C37" s="53" t="s">
        <v>5187</v>
      </c>
      <c r="D37" s="54"/>
      <c r="E37" s="54"/>
      <c r="F37" s="54"/>
      <c r="G37" s="54"/>
      <c r="H37" s="54"/>
      <c r="I37" s="54"/>
      <c r="J37" s="54"/>
      <c r="K37" s="55"/>
      <c r="L37" s="306">
        <f>SUM(L33:L35)</f>
        <v>0.15103740033533675</v>
      </c>
      <c r="M37" s="309"/>
    </row>
    <row r="38" spans="1:16" s="27" customFormat="1" x14ac:dyDescent="0.3">
      <c r="A38" s="32"/>
      <c r="B38" s="32"/>
      <c r="C38" s="174"/>
      <c r="D38" s="174"/>
      <c r="E38" s="174"/>
      <c r="F38" s="174"/>
      <c r="G38" s="175"/>
      <c r="H38" s="175"/>
      <c r="I38" s="175"/>
      <c r="J38" s="175"/>
      <c r="K38" s="175"/>
      <c r="L38" s="176"/>
    </row>
    <row r="39" spans="1:16" s="27" customFormat="1" ht="10.199999999999999" x14ac:dyDescent="0.3">
      <c r="A39" s="32"/>
      <c r="B39" s="32"/>
      <c r="C39" s="177"/>
      <c r="D39" s="933"/>
      <c r="E39" s="933"/>
      <c r="F39" s="933"/>
      <c r="G39" s="933"/>
      <c r="H39" s="933"/>
      <c r="I39" s="933"/>
      <c r="J39" s="933"/>
      <c r="K39" s="933"/>
      <c r="L39" s="934"/>
    </row>
    <row r="40" spans="1:16" s="27" customFormat="1" ht="10.199999999999999" x14ac:dyDescent="0.3">
      <c r="A40" s="32"/>
      <c r="B40" s="32"/>
      <c r="C40" s="179" t="s">
        <v>5269</v>
      </c>
      <c r="D40" s="935" t="s">
        <v>5270</v>
      </c>
      <c r="E40" s="935"/>
      <c r="F40" s="935"/>
      <c r="G40" s="935"/>
      <c r="H40" s="935"/>
      <c r="I40" s="935"/>
      <c r="J40" s="935"/>
      <c r="K40" s="935"/>
      <c r="L40" s="936"/>
    </row>
    <row r="41" spans="1:16" s="27" customFormat="1" ht="10.199999999999999" x14ac:dyDescent="0.3">
      <c r="A41" s="32"/>
      <c r="B41" s="32"/>
      <c r="C41" s="180"/>
      <c r="D41" s="937"/>
      <c r="E41" s="937"/>
      <c r="F41" s="937"/>
      <c r="G41" s="937"/>
      <c r="H41" s="937"/>
      <c r="I41" s="937"/>
      <c r="J41" s="937"/>
      <c r="K41" s="937"/>
      <c r="L41" s="938"/>
    </row>
  </sheetData>
  <mergeCells count="49">
    <mergeCell ref="E26:F26"/>
    <mergeCell ref="G26:H26"/>
    <mergeCell ref="J26:K26"/>
    <mergeCell ref="D41:L41"/>
    <mergeCell ref="C28:K28"/>
    <mergeCell ref="C29:L29"/>
    <mergeCell ref="C32:L32"/>
    <mergeCell ref="C36:L36"/>
    <mergeCell ref="D39:L39"/>
    <mergeCell ref="D40:L40"/>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2:L12"/>
    <mergeCell ref="C13:L13"/>
    <mergeCell ref="C14:D14"/>
    <mergeCell ref="G14:H14"/>
    <mergeCell ref="J14:K14"/>
    <mergeCell ref="J15:K15"/>
    <mergeCell ref="J16:K16"/>
    <mergeCell ref="J17:K17"/>
    <mergeCell ref="J18:K18"/>
    <mergeCell ref="C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75"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2C25E-4563-48A0-A5DF-81D018ABD537}">
  <sheetPr>
    <tabColor theme="2" tint="-0.249977111117893"/>
    <pageSetUpPr fitToPage="1"/>
  </sheetPr>
  <dimension ref="B1:Z40"/>
  <sheetViews>
    <sheetView view="pageBreakPreview" topLeftCell="B6" zoomScale="70" zoomScaleNormal="70" zoomScaleSheetLayoutView="70" workbookViewId="0">
      <selection activeCell="P35" sqref="P35"/>
    </sheetView>
  </sheetViews>
  <sheetFormatPr baseColWidth="10" defaultRowHeight="13.8" x14ac:dyDescent="0.25"/>
  <cols>
    <col min="1" max="1" width="1.5546875" style="312" customWidth="1"/>
    <col min="2" max="2" width="6.88671875" style="391" bestFit="1" customWidth="1"/>
    <col min="3" max="3" width="6.109375" style="312" customWidth="1"/>
    <col min="4" max="4" width="65.88671875" style="312" customWidth="1"/>
    <col min="5" max="5" width="11.6640625" style="312" customWidth="1"/>
    <col min="6" max="6" width="6.109375" style="312" customWidth="1"/>
    <col min="7" max="7" width="6.6640625" style="312" customWidth="1"/>
    <col min="8" max="8" width="18.44140625" style="312" customWidth="1"/>
    <col min="9" max="9" width="9.5546875" style="312" customWidth="1"/>
    <col min="10" max="10" width="11.5546875" style="312" bestFit="1" customWidth="1"/>
    <col min="11" max="20" width="11.5546875" style="312" customWidth="1"/>
    <col min="21" max="21" width="20.5546875" style="312" customWidth="1"/>
    <col min="22" max="22" width="23.6640625" style="312" customWidth="1"/>
    <col min="23" max="23" width="38.88671875" style="333" customWidth="1"/>
    <col min="24" max="24" width="30.33203125" style="312" bestFit="1" customWidth="1"/>
    <col min="25" max="255" width="11.5546875" style="312"/>
    <col min="256" max="256" width="1.5546875" style="312" customWidth="1"/>
    <col min="257" max="257" width="6.33203125" style="312" bestFit="1" customWidth="1"/>
    <col min="258" max="258" width="6.109375" style="312" customWidth="1"/>
    <col min="259" max="259" width="58.44140625" style="312" customWidth="1"/>
    <col min="260" max="260" width="8.33203125" style="312" bestFit="1" customWidth="1"/>
    <col min="261" max="261" width="6.109375" style="312" customWidth="1"/>
    <col min="262" max="262" width="6.6640625" style="312" customWidth="1"/>
    <col min="263" max="263" width="12.5546875" style="312" customWidth="1"/>
    <col min="264" max="264" width="9.5546875" style="312" customWidth="1"/>
    <col min="265" max="276" width="5.6640625" style="312" customWidth="1"/>
    <col min="277" max="277" width="9" style="312" customWidth="1"/>
    <col min="278" max="278" width="21.44140625" style="312" customWidth="1"/>
    <col min="279" max="511" width="11.5546875" style="312"/>
    <col min="512" max="512" width="1.5546875" style="312" customWidth="1"/>
    <col min="513" max="513" width="6.33203125" style="312" bestFit="1" customWidth="1"/>
    <col min="514" max="514" width="6.109375" style="312" customWidth="1"/>
    <col min="515" max="515" width="58.44140625" style="312" customWidth="1"/>
    <col min="516" max="516" width="8.33203125" style="312" bestFit="1" customWidth="1"/>
    <col min="517" max="517" width="6.109375" style="312" customWidth="1"/>
    <col min="518" max="518" width="6.6640625" style="312" customWidth="1"/>
    <col min="519" max="519" width="12.5546875" style="312" customWidth="1"/>
    <col min="520" max="520" width="9.5546875" style="312" customWidth="1"/>
    <col min="521" max="532" width="5.6640625" style="312" customWidth="1"/>
    <col min="533" max="533" width="9" style="312" customWidth="1"/>
    <col min="534" max="534" width="21.44140625" style="312" customWidth="1"/>
    <col min="535" max="767" width="11.5546875" style="312"/>
    <col min="768" max="768" width="1.5546875" style="312" customWidth="1"/>
    <col min="769" max="769" width="6.33203125" style="312" bestFit="1" customWidth="1"/>
    <col min="770" max="770" width="6.109375" style="312" customWidth="1"/>
    <col min="771" max="771" width="58.44140625" style="312" customWidth="1"/>
    <col min="772" max="772" width="8.33203125" style="312" bestFit="1" customWidth="1"/>
    <col min="773" max="773" width="6.109375" style="312" customWidth="1"/>
    <col min="774" max="774" width="6.6640625" style="312" customWidth="1"/>
    <col min="775" max="775" width="12.5546875" style="312" customWidth="1"/>
    <col min="776" max="776" width="9.5546875" style="312" customWidth="1"/>
    <col min="777" max="788" width="5.6640625" style="312" customWidth="1"/>
    <col min="789" max="789" width="9" style="312" customWidth="1"/>
    <col min="790" max="790" width="21.44140625" style="312" customWidth="1"/>
    <col min="791" max="1023" width="11.5546875" style="312"/>
    <col min="1024" max="1024" width="1.5546875" style="312" customWidth="1"/>
    <col min="1025" max="1025" width="6.33203125" style="312" bestFit="1" customWidth="1"/>
    <col min="1026" max="1026" width="6.109375" style="312" customWidth="1"/>
    <col min="1027" max="1027" width="58.44140625" style="312" customWidth="1"/>
    <col min="1028" max="1028" width="8.33203125" style="312" bestFit="1" customWidth="1"/>
    <col min="1029" max="1029" width="6.109375" style="312" customWidth="1"/>
    <col min="1030" max="1030" width="6.6640625" style="312" customWidth="1"/>
    <col min="1031" max="1031" width="12.5546875" style="312" customWidth="1"/>
    <col min="1032" max="1032" width="9.5546875" style="312" customWidth="1"/>
    <col min="1033" max="1044" width="5.6640625" style="312" customWidth="1"/>
    <col min="1045" max="1045" width="9" style="312" customWidth="1"/>
    <col min="1046" max="1046" width="21.44140625" style="312" customWidth="1"/>
    <col min="1047" max="1279" width="11.5546875" style="312"/>
    <col min="1280" max="1280" width="1.5546875" style="312" customWidth="1"/>
    <col min="1281" max="1281" width="6.33203125" style="312" bestFit="1" customWidth="1"/>
    <col min="1282" max="1282" width="6.109375" style="312" customWidth="1"/>
    <col min="1283" max="1283" width="58.44140625" style="312" customWidth="1"/>
    <col min="1284" max="1284" width="8.33203125" style="312" bestFit="1" customWidth="1"/>
    <col min="1285" max="1285" width="6.109375" style="312" customWidth="1"/>
    <col min="1286" max="1286" width="6.6640625" style="312" customWidth="1"/>
    <col min="1287" max="1287" width="12.5546875" style="312" customWidth="1"/>
    <col min="1288" max="1288" width="9.5546875" style="312" customWidth="1"/>
    <col min="1289" max="1300" width="5.6640625" style="312" customWidth="1"/>
    <col min="1301" max="1301" width="9" style="312" customWidth="1"/>
    <col min="1302" max="1302" width="21.44140625" style="312" customWidth="1"/>
    <col min="1303" max="1535" width="11.5546875" style="312"/>
    <col min="1536" max="1536" width="1.5546875" style="312" customWidth="1"/>
    <col min="1537" max="1537" width="6.33203125" style="312" bestFit="1" customWidth="1"/>
    <col min="1538" max="1538" width="6.109375" style="312" customWidth="1"/>
    <col min="1539" max="1539" width="58.44140625" style="312" customWidth="1"/>
    <col min="1540" max="1540" width="8.33203125" style="312" bestFit="1" customWidth="1"/>
    <col min="1541" max="1541" width="6.109375" style="312" customWidth="1"/>
    <col min="1542" max="1542" width="6.6640625" style="312" customWidth="1"/>
    <col min="1543" max="1543" width="12.5546875" style="312" customWidth="1"/>
    <col min="1544" max="1544" width="9.5546875" style="312" customWidth="1"/>
    <col min="1545" max="1556" width="5.6640625" style="312" customWidth="1"/>
    <col min="1557" max="1557" width="9" style="312" customWidth="1"/>
    <col min="1558" max="1558" width="21.44140625" style="312" customWidth="1"/>
    <col min="1559" max="1791" width="11.5546875" style="312"/>
    <col min="1792" max="1792" width="1.5546875" style="312" customWidth="1"/>
    <col min="1793" max="1793" width="6.33203125" style="312" bestFit="1" customWidth="1"/>
    <col min="1794" max="1794" width="6.109375" style="312" customWidth="1"/>
    <col min="1795" max="1795" width="58.44140625" style="312" customWidth="1"/>
    <col min="1796" max="1796" width="8.33203125" style="312" bestFit="1" customWidth="1"/>
    <col min="1797" max="1797" width="6.109375" style="312" customWidth="1"/>
    <col min="1798" max="1798" width="6.6640625" style="312" customWidth="1"/>
    <col min="1799" max="1799" width="12.5546875" style="312" customWidth="1"/>
    <col min="1800" max="1800" width="9.5546875" style="312" customWidth="1"/>
    <col min="1801" max="1812" width="5.6640625" style="312" customWidth="1"/>
    <col min="1813" max="1813" width="9" style="312" customWidth="1"/>
    <col min="1814" max="1814" width="21.44140625" style="312" customWidth="1"/>
    <col min="1815" max="2047" width="11.5546875" style="312"/>
    <col min="2048" max="2048" width="1.5546875" style="312" customWidth="1"/>
    <col min="2049" max="2049" width="6.33203125" style="312" bestFit="1" customWidth="1"/>
    <col min="2050" max="2050" width="6.109375" style="312" customWidth="1"/>
    <col min="2051" max="2051" width="58.44140625" style="312" customWidth="1"/>
    <col min="2052" max="2052" width="8.33203125" style="312" bestFit="1" customWidth="1"/>
    <col min="2053" max="2053" width="6.109375" style="312" customWidth="1"/>
    <col min="2054" max="2054" width="6.6640625" style="312" customWidth="1"/>
    <col min="2055" max="2055" width="12.5546875" style="312" customWidth="1"/>
    <col min="2056" max="2056" width="9.5546875" style="312" customWidth="1"/>
    <col min="2057" max="2068" width="5.6640625" style="312" customWidth="1"/>
    <col min="2069" max="2069" width="9" style="312" customWidth="1"/>
    <col min="2070" max="2070" width="21.44140625" style="312" customWidth="1"/>
    <col min="2071" max="2303" width="11.5546875" style="312"/>
    <col min="2304" max="2304" width="1.5546875" style="312" customWidth="1"/>
    <col min="2305" max="2305" width="6.33203125" style="312" bestFit="1" customWidth="1"/>
    <col min="2306" max="2306" width="6.109375" style="312" customWidth="1"/>
    <col min="2307" max="2307" width="58.44140625" style="312" customWidth="1"/>
    <col min="2308" max="2308" width="8.33203125" style="312" bestFit="1" customWidth="1"/>
    <col min="2309" max="2309" width="6.109375" style="312" customWidth="1"/>
    <col min="2310" max="2310" width="6.6640625" style="312" customWidth="1"/>
    <col min="2311" max="2311" width="12.5546875" style="312" customWidth="1"/>
    <col min="2312" max="2312" width="9.5546875" style="312" customWidth="1"/>
    <col min="2313" max="2324" width="5.6640625" style="312" customWidth="1"/>
    <col min="2325" max="2325" width="9" style="312" customWidth="1"/>
    <col min="2326" max="2326" width="21.44140625" style="312" customWidth="1"/>
    <col min="2327" max="2559" width="11.5546875" style="312"/>
    <col min="2560" max="2560" width="1.5546875" style="312" customWidth="1"/>
    <col min="2561" max="2561" width="6.33203125" style="312" bestFit="1" customWidth="1"/>
    <col min="2562" max="2562" width="6.109375" style="312" customWidth="1"/>
    <col min="2563" max="2563" width="58.44140625" style="312" customWidth="1"/>
    <col min="2564" max="2564" width="8.33203125" style="312" bestFit="1" customWidth="1"/>
    <col min="2565" max="2565" width="6.109375" style="312" customWidth="1"/>
    <col min="2566" max="2566" width="6.6640625" style="312" customWidth="1"/>
    <col min="2567" max="2567" width="12.5546875" style="312" customWidth="1"/>
    <col min="2568" max="2568" width="9.5546875" style="312" customWidth="1"/>
    <col min="2569" max="2580" width="5.6640625" style="312" customWidth="1"/>
    <col min="2581" max="2581" width="9" style="312" customWidth="1"/>
    <col min="2582" max="2582" width="21.44140625" style="312" customWidth="1"/>
    <col min="2583" max="2815" width="11.5546875" style="312"/>
    <col min="2816" max="2816" width="1.5546875" style="312" customWidth="1"/>
    <col min="2817" max="2817" width="6.33203125" style="312" bestFit="1" customWidth="1"/>
    <col min="2818" max="2818" width="6.109375" style="312" customWidth="1"/>
    <col min="2819" max="2819" width="58.44140625" style="312" customWidth="1"/>
    <col min="2820" max="2820" width="8.33203125" style="312" bestFit="1" customWidth="1"/>
    <col min="2821" max="2821" width="6.109375" style="312" customWidth="1"/>
    <col min="2822" max="2822" width="6.6640625" style="312" customWidth="1"/>
    <col min="2823" max="2823" width="12.5546875" style="312" customWidth="1"/>
    <col min="2824" max="2824" width="9.5546875" style="312" customWidth="1"/>
    <col min="2825" max="2836" width="5.6640625" style="312" customWidth="1"/>
    <col min="2837" max="2837" width="9" style="312" customWidth="1"/>
    <col min="2838" max="2838" width="21.44140625" style="312" customWidth="1"/>
    <col min="2839" max="3071" width="11.5546875" style="312"/>
    <col min="3072" max="3072" width="1.5546875" style="312" customWidth="1"/>
    <col min="3073" max="3073" width="6.33203125" style="312" bestFit="1" customWidth="1"/>
    <col min="3074" max="3074" width="6.109375" style="312" customWidth="1"/>
    <col min="3075" max="3075" width="58.44140625" style="312" customWidth="1"/>
    <col min="3076" max="3076" width="8.33203125" style="312" bestFit="1" customWidth="1"/>
    <col min="3077" max="3077" width="6.109375" style="312" customWidth="1"/>
    <col min="3078" max="3078" width="6.6640625" style="312" customWidth="1"/>
    <col min="3079" max="3079" width="12.5546875" style="312" customWidth="1"/>
    <col min="3080" max="3080" width="9.5546875" style="312" customWidth="1"/>
    <col min="3081" max="3092" width="5.6640625" style="312" customWidth="1"/>
    <col min="3093" max="3093" width="9" style="312" customWidth="1"/>
    <col min="3094" max="3094" width="21.44140625" style="312" customWidth="1"/>
    <col min="3095" max="3327" width="11.5546875" style="312"/>
    <col min="3328" max="3328" width="1.5546875" style="312" customWidth="1"/>
    <col min="3329" max="3329" width="6.33203125" style="312" bestFit="1" customWidth="1"/>
    <col min="3330" max="3330" width="6.109375" style="312" customWidth="1"/>
    <col min="3331" max="3331" width="58.44140625" style="312" customWidth="1"/>
    <col min="3332" max="3332" width="8.33203125" style="312" bestFit="1" customWidth="1"/>
    <col min="3333" max="3333" width="6.109375" style="312" customWidth="1"/>
    <col min="3334" max="3334" width="6.6640625" style="312" customWidth="1"/>
    <col min="3335" max="3335" width="12.5546875" style="312" customWidth="1"/>
    <col min="3336" max="3336" width="9.5546875" style="312" customWidth="1"/>
    <col min="3337" max="3348" width="5.6640625" style="312" customWidth="1"/>
    <col min="3349" max="3349" width="9" style="312" customWidth="1"/>
    <col min="3350" max="3350" width="21.44140625" style="312" customWidth="1"/>
    <col min="3351" max="3583" width="11.5546875" style="312"/>
    <col min="3584" max="3584" width="1.5546875" style="312" customWidth="1"/>
    <col min="3585" max="3585" width="6.33203125" style="312" bestFit="1" customWidth="1"/>
    <col min="3586" max="3586" width="6.109375" style="312" customWidth="1"/>
    <col min="3587" max="3587" width="58.44140625" style="312" customWidth="1"/>
    <col min="3588" max="3588" width="8.33203125" style="312" bestFit="1" customWidth="1"/>
    <col min="3589" max="3589" width="6.109375" style="312" customWidth="1"/>
    <col min="3590" max="3590" width="6.6640625" style="312" customWidth="1"/>
    <col min="3591" max="3591" width="12.5546875" style="312" customWidth="1"/>
    <col min="3592" max="3592" width="9.5546875" style="312" customWidth="1"/>
    <col min="3593" max="3604" width="5.6640625" style="312" customWidth="1"/>
    <col min="3605" max="3605" width="9" style="312" customWidth="1"/>
    <col min="3606" max="3606" width="21.44140625" style="312" customWidth="1"/>
    <col min="3607" max="3839" width="11.5546875" style="312"/>
    <col min="3840" max="3840" width="1.5546875" style="312" customWidth="1"/>
    <col min="3841" max="3841" width="6.33203125" style="312" bestFit="1" customWidth="1"/>
    <col min="3842" max="3842" width="6.109375" style="312" customWidth="1"/>
    <col min="3843" max="3843" width="58.44140625" style="312" customWidth="1"/>
    <col min="3844" max="3844" width="8.33203125" style="312" bestFit="1" customWidth="1"/>
    <col min="3845" max="3845" width="6.109375" style="312" customWidth="1"/>
    <col min="3846" max="3846" width="6.6640625" style="312" customWidth="1"/>
    <col min="3847" max="3847" width="12.5546875" style="312" customWidth="1"/>
    <col min="3848" max="3848" width="9.5546875" style="312" customWidth="1"/>
    <col min="3849" max="3860" width="5.6640625" style="312" customWidth="1"/>
    <col min="3861" max="3861" width="9" style="312" customWidth="1"/>
    <col min="3862" max="3862" width="21.44140625" style="312" customWidth="1"/>
    <col min="3863" max="4095" width="11.5546875" style="312"/>
    <col min="4096" max="4096" width="1.5546875" style="312" customWidth="1"/>
    <col min="4097" max="4097" width="6.33203125" style="312" bestFit="1" customWidth="1"/>
    <col min="4098" max="4098" width="6.109375" style="312" customWidth="1"/>
    <col min="4099" max="4099" width="58.44140625" style="312" customWidth="1"/>
    <col min="4100" max="4100" width="8.33203125" style="312" bestFit="1" customWidth="1"/>
    <col min="4101" max="4101" width="6.109375" style="312" customWidth="1"/>
    <col min="4102" max="4102" width="6.6640625" style="312" customWidth="1"/>
    <col min="4103" max="4103" width="12.5546875" style="312" customWidth="1"/>
    <col min="4104" max="4104" width="9.5546875" style="312" customWidth="1"/>
    <col min="4105" max="4116" width="5.6640625" style="312" customWidth="1"/>
    <col min="4117" max="4117" width="9" style="312" customWidth="1"/>
    <col min="4118" max="4118" width="21.44140625" style="312" customWidth="1"/>
    <col min="4119" max="4351" width="11.5546875" style="312"/>
    <col min="4352" max="4352" width="1.5546875" style="312" customWidth="1"/>
    <col min="4353" max="4353" width="6.33203125" style="312" bestFit="1" customWidth="1"/>
    <col min="4354" max="4354" width="6.109375" style="312" customWidth="1"/>
    <col min="4355" max="4355" width="58.44140625" style="312" customWidth="1"/>
    <col min="4356" max="4356" width="8.33203125" style="312" bestFit="1" customWidth="1"/>
    <col min="4357" max="4357" width="6.109375" style="312" customWidth="1"/>
    <col min="4358" max="4358" width="6.6640625" style="312" customWidth="1"/>
    <col min="4359" max="4359" width="12.5546875" style="312" customWidth="1"/>
    <col min="4360" max="4360" width="9.5546875" style="312" customWidth="1"/>
    <col min="4361" max="4372" width="5.6640625" style="312" customWidth="1"/>
    <col min="4373" max="4373" width="9" style="312" customWidth="1"/>
    <col min="4374" max="4374" width="21.44140625" style="312" customWidth="1"/>
    <col min="4375" max="4607" width="11.5546875" style="312"/>
    <col min="4608" max="4608" width="1.5546875" style="312" customWidth="1"/>
    <col min="4609" max="4609" width="6.33203125" style="312" bestFit="1" customWidth="1"/>
    <col min="4610" max="4610" width="6.109375" style="312" customWidth="1"/>
    <col min="4611" max="4611" width="58.44140625" style="312" customWidth="1"/>
    <col min="4612" max="4612" width="8.33203125" style="312" bestFit="1" customWidth="1"/>
    <col min="4613" max="4613" width="6.109375" style="312" customWidth="1"/>
    <col min="4614" max="4614" width="6.6640625" style="312" customWidth="1"/>
    <col min="4615" max="4615" width="12.5546875" style="312" customWidth="1"/>
    <col min="4616" max="4616" width="9.5546875" style="312" customWidth="1"/>
    <col min="4617" max="4628" width="5.6640625" style="312" customWidth="1"/>
    <col min="4629" max="4629" width="9" style="312" customWidth="1"/>
    <col min="4630" max="4630" width="21.44140625" style="312" customWidth="1"/>
    <col min="4631" max="4863" width="11.5546875" style="312"/>
    <col min="4864" max="4864" width="1.5546875" style="312" customWidth="1"/>
    <col min="4865" max="4865" width="6.33203125" style="312" bestFit="1" customWidth="1"/>
    <col min="4866" max="4866" width="6.109375" style="312" customWidth="1"/>
    <col min="4867" max="4867" width="58.44140625" style="312" customWidth="1"/>
    <col min="4868" max="4868" width="8.33203125" style="312" bestFit="1" customWidth="1"/>
    <col min="4869" max="4869" width="6.109375" style="312" customWidth="1"/>
    <col min="4870" max="4870" width="6.6640625" style="312" customWidth="1"/>
    <col min="4871" max="4871" width="12.5546875" style="312" customWidth="1"/>
    <col min="4872" max="4872" width="9.5546875" style="312" customWidth="1"/>
    <col min="4873" max="4884" width="5.6640625" style="312" customWidth="1"/>
    <col min="4885" max="4885" width="9" style="312" customWidth="1"/>
    <col min="4886" max="4886" width="21.44140625" style="312" customWidth="1"/>
    <col min="4887" max="5119" width="11.5546875" style="312"/>
    <col min="5120" max="5120" width="1.5546875" style="312" customWidth="1"/>
    <col min="5121" max="5121" width="6.33203125" style="312" bestFit="1" customWidth="1"/>
    <col min="5122" max="5122" width="6.109375" style="312" customWidth="1"/>
    <col min="5123" max="5123" width="58.44140625" style="312" customWidth="1"/>
    <col min="5124" max="5124" width="8.33203125" style="312" bestFit="1" customWidth="1"/>
    <col min="5125" max="5125" width="6.109375" style="312" customWidth="1"/>
    <col min="5126" max="5126" width="6.6640625" style="312" customWidth="1"/>
    <col min="5127" max="5127" width="12.5546875" style="312" customWidth="1"/>
    <col min="5128" max="5128" width="9.5546875" style="312" customWidth="1"/>
    <col min="5129" max="5140" width="5.6640625" style="312" customWidth="1"/>
    <col min="5141" max="5141" width="9" style="312" customWidth="1"/>
    <col min="5142" max="5142" width="21.44140625" style="312" customWidth="1"/>
    <col min="5143" max="5375" width="11.5546875" style="312"/>
    <col min="5376" max="5376" width="1.5546875" style="312" customWidth="1"/>
    <col min="5377" max="5377" width="6.33203125" style="312" bestFit="1" customWidth="1"/>
    <col min="5378" max="5378" width="6.109375" style="312" customWidth="1"/>
    <col min="5379" max="5379" width="58.44140625" style="312" customWidth="1"/>
    <col min="5380" max="5380" width="8.33203125" style="312" bestFit="1" customWidth="1"/>
    <col min="5381" max="5381" width="6.109375" style="312" customWidth="1"/>
    <col min="5382" max="5382" width="6.6640625" style="312" customWidth="1"/>
    <col min="5383" max="5383" width="12.5546875" style="312" customWidth="1"/>
    <col min="5384" max="5384" width="9.5546875" style="312" customWidth="1"/>
    <col min="5385" max="5396" width="5.6640625" style="312" customWidth="1"/>
    <col min="5397" max="5397" width="9" style="312" customWidth="1"/>
    <col min="5398" max="5398" width="21.44140625" style="312" customWidth="1"/>
    <col min="5399" max="5631" width="11.5546875" style="312"/>
    <col min="5632" max="5632" width="1.5546875" style="312" customWidth="1"/>
    <col min="5633" max="5633" width="6.33203125" style="312" bestFit="1" customWidth="1"/>
    <col min="5634" max="5634" width="6.109375" style="312" customWidth="1"/>
    <col min="5635" max="5635" width="58.44140625" style="312" customWidth="1"/>
    <col min="5636" max="5636" width="8.33203125" style="312" bestFit="1" customWidth="1"/>
    <col min="5637" max="5637" width="6.109375" style="312" customWidth="1"/>
    <col min="5638" max="5638" width="6.6640625" style="312" customWidth="1"/>
    <col min="5639" max="5639" width="12.5546875" style="312" customWidth="1"/>
    <col min="5640" max="5640" width="9.5546875" style="312" customWidth="1"/>
    <col min="5641" max="5652" width="5.6640625" style="312" customWidth="1"/>
    <col min="5653" max="5653" width="9" style="312" customWidth="1"/>
    <col min="5654" max="5654" width="21.44140625" style="312" customWidth="1"/>
    <col min="5655" max="5887" width="11.5546875" style="312"/>
    <col min="5888" max="5888" width="1.5546875" style="312" customWidth="1"/>
    <col min="5889" max="5889" width="6.33203125" style="312" bestFit="1" customWidth="1"/>
    <col min="5890" max="5890" width="6.109375" style="312" customWidth="1"/>
    <col min="5891" max="5891" width="58.44140625" style="312" customWidth="1"/>
    <col min="5892" max="5892" width="8.33203125" style="312" bestFit="1" customWidth="1"/>
    <col min="5893" max="5893" width="6.109375" style="312" customWidth="1"/>
    <col min="5894" max="5894" width="6.6640625" style="312" customWidth="1"/>
    <col min="5895" max="5895" width="12.5546875" style="312" customWidth="1"/>
    <col min="5896" max="5896" width="9.5546875" style="312" customWidth="1"/>
    <col min="5897" max="5908" width="5.6640625" style="312" customWidth="1"/>
    <col min="5909" max="5909" width="9" style="312" customWidth="1"/>
    <col min="5910" max="5910" width="21.44140625" style="312" customWidth="1"/>
    <col min="5911" max="6143" width="11.5546875" style="312"/>
    <col min="6144" max="6144" width="1.5546875" style="312" customWidth="1"/>
    <col min="6145" max="6145" width="6.33203125" style="312" bestFit="1" customWidth="1"/>
    <col min="6146" max="6146" width="6.109375" style="312" customWidth="1"/>
    <col min="6147" max="6147" width="58.44140625" style="312" customWidth="1"/>
    <col min="6148" max="6148" width="8.33203125" style="312" bestFit="1" customWidth="1"/>
    <col min="6149" max="6149" width="6.109375" style="312" customWidth="1"/>
    <col min="6150" max="6150" width="6.6640625" style="312" customWidth="1"/>
    <col min="6151" max="6151" width="12.5546875" style="312" customWidth="1"/>
    <col min="6152" max="6152" width="9.5546875" style="312" customWidth="1"/>
    <col min="6153" max="6164" width="5.6640625" style="312" customWidth="1"/>
    <col min="6165" max="6165" width="9" style="312" customWidth="1"/>
    <col min="6166" max="6166" width="21.44140625" style="312" customWidth="1"/>
    <col min="6167" max="6399" width="11.5546875" style="312"/>
    <col min="6400" max="6400" width="1.5546875" style="312" customWidth="1"/>
    <col min="6401" max="6401" width="6.33203125" style="312" bestFit="1" customWidth="1"/>
    <col min="6402" max="6402" width="6.109375" style="312" customWidth="1"/>
    <col min="6403" max="6403" width="58.44140625" style="312" customWidth="1"/>
    <col min="6404" max="6404" width="8.33203125" style="312" bestFit="1" customWidth="1"/>
    <col min="6405" max="6405" width="6.109375" style="312" customWidth="1"/>
    <col min="6406" max="6406" width="6.6640625" style="312" customWidth="1"/>
    <col min="6407" max="6407" width="12.5546875" style="312" customWidth="1"/>
    <col min="6408" max="6408" width="9.5546875" style="312" customWidth="1"/>
    <col min="6409" max="6420" width="5.6640625" style="312" customWidth="1"/>
    <col min="6421" max="6421" width="9" style="312" customWidth="1"/>
    <col min="6422" max="6422" width="21.44140625" style="312" customWidth="1"/>
    <col min="6423" max="6655" width="11.5546875" style="312"/>
    <col min="6656" max="6656" width="1.5546875" style="312" customWidth="1"/>
    <col min="6657" max="6657" width="6.33203125" style="312" bestFit="1" customWidth="1"/>
    <col min="6658" max="6658" width="6.109375" style="312" customWidth="1"/>
    <col min="6659" max="6659" width="58.44140625" style="312" customWidth="1"/>
    <col min="6660" max="6660" width="8.33203125" style="312" bestFit="1" customWidth="1"/>
    <col min="6661" max="6661" width="6.109375" style="312" customWidth="1"/>
    <col min="6662" max="6662" width="6.6640625" style="312" customWidth="1"/>
    <col min="6663" max="6663" width="12.5546875" style="312" customWidth="1"/>
    <col min="6664" max="6664" width="9.5546875" style="312" customWidth="1"/>
    <col min="6665" max="6676" width="5.6640625" style="312" customWidth="1"/>
    <col min="6677" max="6677" width="9" style="312" customWidth="1"/>
    <col min="6678" max="6678" width="21.44140625" style="312" customWidth="1"/>
    <col min="6679" max="6911" width="11.5546875" style="312"/>
    <col min="6912" max="6912" width="1.5546875" style="312" customWidth="1"/>
    <col min="6913" max="6913" width="6.33203125" style="312" bestFit="1" customWidth="1"/>
    <col min="6914" max="6914" width="6.109375" style="312" customWidth="1"/>
    <col min="6915" max="6915" width="58.44140625" style="312" customWidth="1"/>
    <col min="6916" max="6916" width="8.33203125" style="312" bestFit="1" customWidth="1"/>
    <col min="6917" max="6917" width="6.109375" style="312" customWidth="1"/>
    <col min="6918" max="6918" width="6.6640625" style="312" customWidth="1"/>
    <col min="6919" max="6919" width="12.5546875" style="312" customWidth="1"/>
    <col min="6920" max="6920" width="9.5546875" style="312" customWidth="1"/>
    <col min="6921" max="6932" width="5.6640625" style="312" customWidth="1"/>
    <col min="6933" max="6933" width="9" style="312" customWidth="1"/>
    <col min="6934" max="6934" width="21.44140625" style="312" customWidth="1"/>
    <col min="6935" max="7167" width="11.5546875" style="312"/>
    <col min="7168" max="7168" width="1.5546875" style="312" customWidth="1"/>
    <col min="7169" max="7169" width="6.33203125" style="312" bestFit="1" customWidth="1"/>
    <col min="7170" max="7170" width="6.109375" style="312" customWidth="1"/>
    <col min="7171" max="7171" width="58.44140625" style="312" customWidth="1"/>
    <col min="7172" max="7172" width="8.33203125" style="312" bestFit="1" customWidth="1"/>
    <col min="7173" max="7173" width="6.109375" style="312" customWidth="1"/>
    <col min="7174" max="7174" width="6.6640625" style="312" customWidth="1"/>
    <col min="7175" max="7175" width="12.5546875" style="312" customWidth="1"/>
    <col min="7176" max="7176" width="9.5546875" style="312" customWidth="1"/>
    <col min="7177" max="7188" width="5.6640625" style="312" customWidth="1"/>
    <col min="7189" max="7189" width="9" style="312" customWidth="1"/>
    <col min="7190" max="7190" width="21.44140625" style="312" customWidth="1"/>
    <col min="7191" max="7423" width="11.5546875" style="312"/>
    <col min="7424" max="7424" width="1.5546875" style="312" customWidth="1"/>
    <col min="7425" max="7425" width="6.33203125" style="312" bestFit="1" customWidth="1"/>
    <col min="7426" max="7426" width="6.109375" style="312" customWidth="1"/>
    <col min="7427" max="7427" width="58.44140625" style="312" customWidth="1"/>
    <col min="7428" max="7428" width="8.33203125" style="312" bestFit="1" customWidth="1"/>
    <col min="7429" max="7429" width="6.109375" style="312" customWidth="1"/>
    <col min="7430" max="7430" width="6.6640625" style="312" customWidth="1"/>
    <col min="7431" max="7431" width="12.5546875" style="312" customWidth="1"/>
    <col min="7432" max="7432" width="9.5546875" style="312" customWidth="1"/>
    <col min="7433" max="7444" width="5.6640625" style="312" customWidth="1"/>
    <col min="7445" max="7445" width="9" style="312" customWidth="1"/>
    <col min="7446" max="7446" width="21.44140625" style="312" customWidth="1"/>
    <col min="7447" max="7679" width="11.5546875" style="312"/>
    <col min="7680" max="7680" width="1.5546875" style="312" customWidth="1"/>
    <col min="7681" max="7681" width="6.33203125" style="312" bestFit="1" customWidth="1"/>
    <col min="7682" max="7682" width="6.109375" style="312" customWidth="1"/>
    <col min="7683" max="7683" width="58.44140625" style="312" customWidth="1"/>
    <col min="7684" max="7684" width="8.33203125" style="312" bestFit="1" customWidth="1"/>
    <col min="7685" max="7685" width="6.109375" style="312" customWidth="1"/>
    <col min="7686" max="7686" width="6.6640625" style="312" customWidth="1"/>
    <col min="7687" max="7687" width="12.5546875" style="312" customWidth="1"/>
    <col min="7688" max="7688" width="9.5546875" style="312" customWidth="1"/>
    <col min="7689" max="7700" width="5.6640625" style="312" customWidth="1"/>
    <col min="7701" max="7701" width="9" style="312" customWidth="1"/>
    <col min="7702" max="7702" width="21.44140625" style="312" customWidth="1"/>
    <col min="7703" max="7935" width="11.5546875" style="312"/>
    <col min="7936" max="7936" width="1.5546875" style="312" customWidth="1"/>
    <col min="7937" max="7937" width="6.33203125" style="312" bestFit="1" customWidth="1"/>
    <col min="7938" max="7938" width="6.109375" style="312" customWidth="1"/>
    <col min="7939" max="7939" width="58.44140625" style="312" customWidth="1"/>
    <col min="7940" max="7940" width="8.33203125" style="312" bestFit="1" customWidth="1"/>
    <col min="7941" max="7941" width="6.109375" style="312" customWidth="1"/>
    <col min="7942" max="7942" width="6.6640625" style="312" customWidth="1"/>
    <col min="7943" max="7943" width="12.5546875" style="312" customWidth="1"/>
    <col min="7944" max="7944" width="9.5546875" style="312" customWidth="1"/>
    <col min="7945" max="7956" width="5.6640625" style="312" customWidth="1"/>
    <col min="7957" max="7957" width="9" style="312" customWidth="1"/>
    <col min="7958" max="7958" width="21.44140625" style="312" customWidth="1"/>
    <col min="7959" max="8191" width="11.5546875" style="312"/>
    <col min="8192" max="8192" width="1.5546875" style="312" customWidth="1"/>
    <col min="8193" max="8193" width="6.33203125" style="312" bestFit="1" customWidth="1"/>
    <col min="8194" max="8194" width="6.109375" style="312" customWidth="1"/>
    <col min="8195" max="8195" width="58.44140625" style="312" customWidth="1"/>
    <col min="8196" max="8196" width="8.33203125" style="312" bestFit="1" customWidth="1"/>
    <col min="8197" max="8197" width="6.109375" style="312" customWidth="1"/>
    <col min="8198" max="8198" width="6.6640625" style="312" customWidth="1"/>
    <col min="8199" max="8199" width="12.5546875" style="312" customWidth="1"/>
    <col min="8200" max="8200" width="9.5546875" style="312" customWidth="1"/>
    <col min="8201" max="8212" width="5.6640625" style="312" customWidth="1"/>
    <col min="8213" max="8213" width="9" style="312" customWidth="1"/>
    <col min="8214" max="8214" width="21.44140625" style="312" customWidth="1"/>
    <col min="8215" max="8447" width="11.5546875" style="312"/>
    <col min="8448" max="8448" width="1.5546875" style="312" customWidth="1"/>
    <col min="8449" max="8449" width="6.33203125" style="312" bestFit="1" customWidth="1"/>
    <col min="8450" max="8450" width="6.109375" style="312" customWidth="1"/>
    <col min="8451" max="8451" width="58.44140625" style="312" customWidth="1"/>
    <col min="8452" max="8452" width="8.33203125" style="312" bestFit="1" customWidth="1"/>
    <col min="8453" max="8453" width="6.109375" style="312" customWidth="1"/>
    <col min="8454" max="8454" width="6.6640625" style="312" customWidth="1"/>
    <col min="8455" max="8455" width="12.5546875" style="312" customWidth="1"/>
    <col min="8456" max="8456" width="9.5546875" style="312" customWidth="1"/>
    <col min="8457" max="8468" width="5.6640625" style="312" customWidth="1"/>
    <col min="8469" max="8469" width="9" style="312" customWidth="1"/>
    <col min="8470" max="8470" width="21.44140625" style="312" customWidth="1"/>
    <col min="8471" max="8703" width="11.5546875" style="312"/>
    <col min="8704" max="8704" width="1.5546875" style="312" customWidth="1"/>
    <col min="8705" max="8705" width="6.33203125" style="312" bestFit="1" customWidth="1"/>
    <col min="8706" max="8706" width="6.109375" style="312" customWidth="1"/>
    <col min="8707" max="8707" width="58.44140625" style="312" customWidth="1"/>
    <col min="8708" max="8708" width="8.33203125" style="312" bestFit="1" customWidth="1"/>
    <col min="8709" max="8709" width="6.109375" style="312" customWidth="1"/>
    <col min="8710" max="8710" width="6.6640625" style="312" customWidth="1"/>
    <col min="8711" max="8711" width="12.5546875" style="312" customWidth="1"/>
    <col min="8712" max="8712" width="9.5546875" style="312" customWidth="1"/>
    <col min="8713" max="8724" width="5.6640625" style="312" customWidth="1"/>
    <col min="8725" max="8725" width="9" style="312" customWidth="1"/>
    <col min="8726" max="8726" width="21.44140625" style="312" customWidth="1"/>
    <col min="8727" max="8959" width="11.5546875" style="312"/>
    <col min="8960" max="8960" width="1.5546875" style="312" customWidth="1"/>
    <col min="8961" max="8961" width="6.33203125" style="312" bestFit="1" customWidth="1"/>
    <col min="8962" max="8962" width="6.109375" style="312" customWidth="1"/>
    <col min="8963" max="8963" width="58.44140625" style="312" customWidth="1"/>
    <col min="8964" max="8964" width="8.33203125" style="312" bestFit="1" customWidth="1"/>
    <col min="8965" max="8965" width="6.109375" style="312" customWidth="1"/>
    <col min="8966" max="8966" width="6.6640625" style="312" customWidth="1"/>
    <col min="8967" max="8967" width="12.5546875" style="312" customWidth="1"/>
    <col min="8968" max="8968" width="9.5546875" style="312" customWidth="1"/>
    <col min="8969" max="8980" width="5.6640625" style="312" customWidth="1"/>
    <col min="8981" max="8981" width="9" style="312" customWidth="1"/>
    <col min="8982" max="8982" width="21.44140625" style="312" customWidth="1"/>
    <col min="8983" max="9215" width="11.5546875" style="312"/>
    <col min="9216" max="9216" width="1.5546875" style="312" customWidth="1"/>
    <col min="9217" max="9217" width="6.33203125" style="312" bestFit="1" customWidth="1"/>
    <col min="9218" max="9218" width="6.109375" style="312" customWidth="1"/>
    <col min="9219" max="9219" width="58.44140625" style="312" customWidth="1"/>
    <col min="9220" max="9220" width="8.33203125" style="312" bestFit="1" customWidth="1"/>
    <col min="9221" max="9221" width="6.109375" style="312" customWidth="1"/>
    <col min="9222" max="9222" width="6.6640625" style="312" customWidth="1"/>
    <col min="9223" max="9223" width="12.5546875" style="312" customWidth="1"/>
    <col min="9224" max="9224" width="9.5546875" style="312" customWidth="1"/>
    <col min="9225" max="9236" width="5.6640625" style="312" customWidth="1"/>
    <col min="9237" max="9237" width="9" style="312" customWidth="1"/>
    <col min="9238" max="9238" width="21.44140625" style="312" customWidth="1"/>
    <col min="9239" max="9471" width="11.5546875" style="312"/>
    <col min="9472" max="9472" width="1.5546875" style="312" customWidth="1"/>
    <col min="9473" max="9473" width="6.33203125" style="312" bestFit="1" customWidth="1"/>
    <col min="9474" max="9474" width="6.109375" style="312" customWidth="1"/>
    <col min="9475" max="9475" width="58.44140625" style="312" customWidth="1"/>
    <col min="9476" max="9476" width="8.33203125" style="312" bestFit="1" customWidth="1"/>
    <col min="9477" max="9477" width="6.109375" style="312" customWidth="1"/>
    <col min="9478" max="9478" width="6.6640625" style="312" customWidth="1"/>
    <col min="9479" max="9479" width="12.5546875" style="312" customWidth="1"/>
    <col min="9480" max="9480" width="9.5546875" style="312" customWidth="1"/>
    <col min="9481" max="9492" width="5.6640625" style="312" customWidth="1"/>
    <col min="9493" max="9493" width="9" style="312" customWidth="1"/>
    <col min="9494" max="9494" width="21.44140625" style="312" customWidth="1"/>
    <col min="9495" max="9727" width="11.5546875" style="312"/>
    <col min="9728" max="9728" width="1.5546875" style="312" customWidth="1"/>
    <col min="9729" max="9729" width="6.33203125" style="312" bestFit="1" customWidth="1"/>
    <col min="9730" max="9730" width="6.109375" style="312" customWidth="1"/>
    <col min="9731" max="9731" width="58.44140625" style="312" customWidth="1"/>
    <col min="9732" max="9732" width="8.33203125" style="312" bestFit="1" customWidth="1"/>
    <col min="9733" max="9733" width="6.109375" style="312" customWidth="1"/>
    <col min="9734" max="9734" width="6.6640625" style="312" customWidth="1"/>
    <col min="9735" max="9735" width="12.5546875" style="312" customWidth="1"/>
    <col min="9736" max="9736" width="9.5546875" style="312" customWidth="1"/>
    <col min="9737" max="9748" width="5.6640625" style="312" customWidth="1"/>
    <col min="9749" max="9749" width="9" style="312" customWidth="1"/>
    <col min="9750" max="9750" width="21.44140625" style="312" customWidth="1"/>
    <col min="9751" max="9983" width="11.5546875" style="312"/>
    <col min="9984" max="9984" width="1.5546875" style="312" customWidth="1"/>
    <col min="9985" max="9985" width="6.33203125" style="312" bestFit="1" customWidth="1"/>
    <col min="9986" max="9986" width="6.109375" style="312" customWidth="1"/>
    <col min="9987" max="9987" width="58.44140625" style="312" customWidth="1"/>
    <col min="9988" max="9988" width="8.33203125" style="312" bestFit="1" customWidth="1"/>
    <col min="9989" max="9989" width="6.109375" style="312" customWidth="1"/>
    <col min="9990" max="9990" width="6.6640625" style="312" customWidth="1"/>
    <col min="9991" max="9991" width="12.5546875" style="312" customWidth="1"/>
    <col min="9992" max="9992" width="9.5546875" style="312" customWidth="1"/>
    <col min="9993" max="10004" width="5.6640625" style="312" customWidth="1"/>
    <col min="10005" max="10005" width="9" style="312" customWidth="1"/>
    <col min="10006" max="10006" width="21.44140625" style="312" customWidth="1"/>
    <col min="10007" max="10239" width="11.5546875" style="312"/>
    <col min="10240" max="10240" width="1.5546875" style="312" customWidth="1"/>
    <col min="10241" max="10241" width="6.33203125" style="312" bestFit="1" customWidth="1"/>
    <col min="10242" max="10242" width="6.109375" style="312" customWidth="1"/>
    <col min="10243" max="10243" width="58.44140625" style="312" customWidth="1"/>
    <col min="10244" max="10244" width="8.33203125" style="312" bestFit="1" customWidth="1"/>
    <col min="10245" max="10245" width="6.109375" style="312" customWidth="1"/>
    <col min="10246" max="10246" width="6.6640625" style="312" customWidth="1"/>
    <col min="10247" max="10247" width="12.5546875" style="312" customWidth="1"/>
    <col min="10248" max="10248" width="9.5546875" style="312" customWidth="1"/>
    <col min="10249" max="10260" width="5.6640625" style="312" customWidth="1"/>
    <col min="10261" max="10261" width="9" style="312" customWidth="1"/>
    <col min="10262" max="10262" width="21.44140625" style="312" customWidth="1"/>
    <col min="10263" max="10495" width="11.5546875" style="312"/>
    <col min="10496" max="10496" width="1.5546875" style="312" customWidth="1"/>
    <col min="10497" max="10497" width="6.33203125" style="312" bestFit="1" customWidth="1"/>
    <col min="10498" max="10498" width="6.109375" style="312" customWidth="1"/>
    <col min="10499" max="10499" width="58.44140625" style="312" customWidth="1"/>
    <col min="10500" max="10500" width="8.33203125" style="312" bestFit="1" customWidth="1"/>
    <col min="10501" max="10501" width="6.109375" style="312" customWidth="1"/>
    <col min="10502" max="10502" width="6.6640625" style="312" customWidth="1"/>
    <col min="10503" max="10503" width="12.5546875" style="312" customWidth="1"/>
    <col min="10504" max="10504" width="9.5546875" style="312" customWidth="1"/>
    <col min="10505" max="10516" width="5.6640625" style="312" customWidth="1"/>
    <col min="10517" max="10517" width="9" style="312" customWidth="1"/>
    <col min="10518" max="10518" width="21.44140625" style="312" customWidth="1"/>
    <col min="10519" max="10751" width="11.5546875" style="312"/>
    <col min="10752" max="10752" width="1.5546875" style="312" customWidth="1"/>
    <col min="10753" max="10753" width="6.33203125" style="312" bestFit="1" customWidth="1"/>
    <col min="10754" max="10754" width="6.109375" style="312" customWidth="1"/>
    <col min="10755" max="10755" width="58.44140625" style="312" customWidth="1"/>
    <col min="10756" max="10756" width="8.33203125" style="312" bestFit="1" customWidth="1"/>
    <col min="10757" max="10757" width="6.109375" style="312" customWidth="1"/>
    <col min="10758" max="10758" width="6.6640625" style="312" customWidth="1"/>
    <col min="10759" max="10759" width="12.5546875" style="312" customWidth="1"/>
    <col min="10760" max="10760" width="9.5546875" style="312" customWidth="1"/>
    <col min="10761" max="10772" width="5.6640625" style="312" customWidth="1"/>
    <col min="10773" max="10773" width="9" style="312" customWidth="1"/>
    <col min="10774" max="10774" width="21.44140625" style="312" customWidth="1"/>
    <col min="10775" max="11007" width="11.5546875" style="312"/>
    <col min="11008" max="11008" width="1.5546875" style="312" customWidth="1"/>
    <col min="11009" max="11009" width="6.33203125" style="312" bestFit="1" customWidth="1"/>
    <col min="11010" max="11010" width="6.109375" style="312" customWidth="1"/>
    <col min="11011" max="11011" width="58.44140625" style="312" customWidth="1"/>
    <col min="11012" max="11012" width="8.33203125" style="312" bestFit="1" customWidth="1"/>
    <col min="11013" max="11013" width="6.109375" style="312" customWidth="1"/>
    <col min="11014" max="11014" width="6.6640625" style="312" customWidth="1"/>
    <col min="11015" max="11015" width="12.5546875" style="312" customWidth="1"/>
    <col min="11016" max="11016" width="9.5546875" style="312" customWidth="1"/>
    <col min="11017" max="11028" width="5.6640625" style="312" customWidth="1"/>
    <col min="11029" max="11029" width="9" style="312" customWidth="1"/>
    <col min="11030" max="11030" width="21.44140625" style="312" customWidth="1"/>
    <col min="11031" max="11263" width="11.5546875" style="312"/>
    <col min="11264" max="11264" width="1.5546875" style="312" customWidth="1"/>
    <col min="11265" max="11265" width="6.33203125" style="312" bestFit="1" customWidth="1"/>
    <col min="11266" max="11266" width="6.109375" style="312" customWidth="1"/>
    <col min="11267" max="11267" width="58.44140625" style="312" customWidth="1"/>
    <col min="11268" max="11268" width="8.33203125" style="312" bestFit="1" customWidth="1"/>
    <col min="11269" max="11269" width="6.109375" style="312" customWidth="1"/>
    <col min="11270" max="11270" width="6.6640625" style="312" customWidth="1"/>
    <col min="11271" max="11271" width="12.5546875" style="312" customWidth="1"/>
    <col min="11272" max="11272" width="9.5546875" style="312" customWidth="1"/>
    <col min="11273" max="11284" width="5.6640625" style="312" customWidth="1"/>
    <col min="11285" max="11285" width="9" style="312" customWidth="1"/>
    <col min="11286" max="11286" width="21.44140625" style="312" customWidth="1"/>
    <col min="11287" max="11519" width="11.5546875" style="312"/>
    <col min="11520" max="11520" width="1.5546875" style="312" customWidth="1"/>
    <col min="11521" max="11521" width="6.33203125" style="312" bestFit="1" customWidth="1"/>
    <col min="11522" max="11522" width="6.109375" style="312" customWidth="1"/>
    <col min="11523" max="11523" width="58.44140625" style="312" customWidth="1"/>
    <col min="11524" max="11524" width="8.33203125" style="312" bestFit="1" customWidth="1"/>
    <col min="11525" max="11525" width="6.109375" style="312" customWidth="1"/>
    <col min="11526" max="11526" width="6.6640625" style="312" customWidth="1"/>
    <col min="11527" max="11527" width="12.5546875" style="312" customWidth="1"/>
    <col min="11528" max="11528" width="9.5546875" style="312" customWidth="1"/>
    <col min="11529" max="11540" width="5.6640625" style="312" customWidth="1"/>
    <col min="11541" max="11541" width="9" style="312" customWidth="1"/>
    <col min="11542" max="11542" width="21.44140625" style="312" customWidth="1"/>
    <col min="11543" max="11775" width="11.5546875" style="312"/>
    <col min="11776" max="11776" width="1.5546875" style="312" customWidth="1"/>
    <col min="11777" max="11777" width="6.33203125" style="312" bestFit="1" customWidth="1"/>
    <col min="11778" max="11778" width="6.109375" style="312" customWidth="1"/>
    <col min="11779" max="11779" width="58.44140625" style="312" customWidth="1"/>
    <col min="11780" max="11780" width="8.33203125" style="312" bestFit="1" customWidth="1"/>
    <col min="11781" max="11781" width="6.109375" style="312" customWidth="1"/>
    <col min="11782" max="11782" width="6.6640625" style="312" customWidth="1"/>
    <col min="11783" max="11783" width="12.5546875" style="312" customWidth="1"/>
    <col min="11784" max="11784" width="9.5546875" style="312" customWidth="1"/>
    <col min="11785" max="11796" width="5.6640625" style="312" customWidth="1"/>
    <col min="11797" max="11797" width="9" style="312" customWidth="1"/>
    <col min="11798" max="11798" width="21.44140625" style="312" customWidth="1"/>
    <col min="11799" max="12031" width="11.5546875" style="312"/>
    <col min="12032" max="12032" width="1.5546875" style="312" customWidth="1"/>
    <col min="12033" max="12033" width="6.33203125" style="312" bestFit="1" customWidth="1"/>
    <col min="12034" max="12034" width="6.109375" style="312" customWidth="1"/>
    <col min="12035" max="12035" width="58.44140625" style="312" customWidth="1"/>
    <col min="12036" max="12036" width="8.33203125" style="312" bestFit="1" customWidth="1"/>
    <col min="12037" max="12037" width="6.109375" style="312" customWidth="1"/>
    <col min="12038" max="12038" width="6.6640625" style="312" customWidth="1"/>
    <col min="12039" max="12039" width="12.5546875" style="312" customWidth="1"/>
    <col min="12040" max="12040" width="9.5546875" style="312" customWidth="1"/>
    <col min="12041" max="12052" width="5.6640625" style="312" customWidth="1"/>
    <col min="12053" max="12053" width="9" style="312" customWidth="1"/>
    <col min="12054" max="12054" width="21.44140625" style="312" customWidth="1"/>
    <col min="12055" max="12287" width="11.5546875" style="312"/>
    <col min="12288" max="12288" width="1.5546875" style="312" customWidth="1"/>
    <col min="12289" max="12289" width="6.33203125" style="312" bestFit="1" customWidth="1"/>
    <col min="12290" max="12290" width="6.109375" style="312" customWidth="1"/>
    <col min="12291" max="12291" width="58.44140625" style="312" customWidth="1"/>
    <col min="12292" max="12292" width="8.33203125" style="312" bestFit="1" customWidth="1"/>
    <col min="12293" max="12293" width="6.109375" style="312" customWidth="1"/>
    <col min="12294" max="12294" width="6.6640625" style="312" customWidth="1"/>
    <col min="12295" max="12295" width="12.5546875" style="312" customWidth="1"/>
    <col min="12296" max="12296" width="9.5546875" style="312" customWidth="1"/>
    <col min="12297" max="12308" width="5.6640625" style="312" customWidth="1"/>
    <col min="12309" max="12309" width="9" style="312" customWidth="1"/>
    <col min="12310" max="12310" width="21.44140625" style="312" customWidth="1"/>
    <col min="12311" max="12543" width="11.5546875" style="312"/>
    <col min="12544" max="12544" width="1.5546875" style="312" customWidth="1"/>
    <col min="12545" max="12545" width="6.33203125" style="312" bestFit="1" customWidth="1"/>
    <col min="12546" max="12546" width="6.109375" style="312" customWidth="1"/>
    <col min="12547" max="12547" width="58.44140625" style="312" customWidth="1"/>
    <col min="12548" max="12548" width="8.33203125" style="312" bestFit="1" customWidth="1"/>
    <col min="12549" max="12549" width="6.109375" style="312" customWidth="1"/>
    <col min="12550" max="12550" width="6.6640625" style="312" customWidth="1"/>
    <col min="12551" max="12551" width="12.5546875" style="312" customWidth="1"/>
    <col min="12552" max="12552" width="9.5546875" style="312" customWidth="1"/>
    <col min="12553" max="12564" width="5.6640625" style="312" customWidth="1"/>
    <col min="12565" max="12565" width="9" style="312" customWidth="1"/>
    <col min="12566" max="12566" width="21.44140625" style="312" customWidth="1"/>
    <col min="12567" max="12799" width="11.5546875" style="312"/>
    <col min="12800" max="12800" width="1.5546875" style="312" customWidth="1"/>
    <col min="12801" max="12801" width="6.33203125" style="312" bestFit="1" customWidth="1"/>
    <col min="12802" max="12802" width="6.109375" style="312" customWidth="1"/>
    <col min="12803" max="12803" width="58.44140625" style="312" customWidth="1"/>
    <col min="12804" max="12804" width="8.33203125" style="312" bestFit="1" customWidth="1"/>
    <col min="12805" max="12805" width="6.109375" style="312" customWidth="1"/>
    <col min="12806" max="12806" width="6.6640625" style="312" customWidth="1"/>
    <col min="12807" max="12807" width="12.5546875" style="312" customWidth="1"/>
    <col min="12808" max="12808" width="9.5546875" style="312" customWidth="1"/>
    <col min="12809" max="12820" width="5.6640625" style="312" customWidth="1"/>
    <col min="12821" max="12821" width="9" style="312" customWidth="1"/>
    <col min="12822" max="12822" width="21.44140625" style="312" customWidth="1"/>
    <col min="12823" max="13055" width="11.5546875" style="312"/>
    <col min="13056" max="13056" width="1.5546875" style="312" customWidth="1"/>
    <col min="13057" max="13057" width="6.33203125" style="312" bestFit="1" customWidth="1"/>
    <col min="13058" max="13058" width="6.109375" style="312" customWidth="1"/>
    <col min="13059" max="13059" width="58.44140625" style="312" customWidth="1"/>
    <col min="13060" max="13060" width="8.33203125" style="312" bestFit="1" customWidth="1"/>
    <col min="13061" max="13061" width="6.109375" style="312" customWidth="1"/>
    <col min="13062" max="13062" width="6.6640625" style="312" customWidth="1"/>
    <col min="13063" max="13063" width="12.5546875" style="312" customWidth="1"/>
    <col min="13064" max="13064" width="9.5546875" style="312" customWidth="1"/>
    <col min="13065" max="13076" width="5.6640625" style="312" customWidth="1"/>
    <col min="13077" max="13077" width="9" style="312" customWidth="1"/>
    <col min="13078" max="13078" width="21.44140625" style="312" customWidth="1"/>
    <col min="13079" max="13311" width="11.5546875" style="312"/>
    <col min="13312" max="13312" width="1.5546875" style="312" customWidth="1"/>
    <col min="13313" max="13313" width="6.33203125" style="312" bestFit="1" customWidth="1"/>
    <col min="13314" max="13314" width="6.109375" style="312" customWidth="1"/>
    <col min="13315" max="13315" width="58.44140625" style="312" customWidth="1"/>
    <col min="13316" max="13316" width="8.33203125" style="312" bestFit="1" customWidth="1"/>
    <col min="13317" max="13317" width="6.109375" style="312" customWidth="1"/>
    <col min="13318" max="13318" width="6.6640625" style="312" customWidth="1"/>
    <col min="13319" max="13319" width="12.5546875" style="312" customWidth="1"/>
    <col min="13320" max="13320" width="9.5546875" style="312" customWidth="1"/>
    <col min="13321" max="13332" width="5.6640625" style="312" customWidth="1"/>
    <col min="13333" max="13333" width="9" style="312" customWidth="1"/>
    <col min="13334" max="13334" width="21.44140625" style="312" customWidth="1"/>
    <col min="13335" max="13567" width="11.5546875" style="312"/>
    <col min="13568" max="13568" width="1.5546875" style="312" customWidth="1"/>
    <col min="13569" max="13569" width="6.33203125" style="312" bestFit="1" customWidth="1"/>
    <col min="13570" max="13570" width="6.109375" style="312" customWidth="1"/>
    <col min="13571" max="13571" width="58.44140625" style="312" customWidth="1"/>
    <col min="13572" max="13572" width="8.33203125" style="312" bestFit="1" customWidth="1"/>
    <col min="13573" max="13573" width="6.109375" style="312" customWidth="1"/>
    <col min="13574" max="13574" width="6.6640625" style="312" customWidth="1"/>
    <col min="13575" max="13575" width="12.5546875" style="312" customWidth="1"/>
    <col min="13576" max="13576" width="9.5546875" style="312" customWidth="1"/>
    <col min="13577" max="13588" width="5.6640625" style="312" customWidth="1"/>
    <col min="13589" max="13589" width="9" style="312" customWidth="1"/>
    <col min="13590" max="13590" width="21.44140625" style="312" customWidth="1"/>
    <col min="13591" max="13823" width="11.5546875" style="312"/>
    <col min="13824" max="13824" width="1.5546875" style="312" customWidth="1"/>
    <col min="13825" max="13825" width="6.33203125" style="312" bestFit="1" customWidth="1"/>
    <col min="13826" max="13826" width="6.109375" style="312" customWidth="1"/>
    <col min="13827" max="13827" width="58.44140625" style="312" customWidth="1"/>
    <col min="13828" max="13828" width="8.33203125" style="312" bestFit="1" customWidth="1"/>
    <col min="13829" max="13829" width="6.109375" style="312" customWidth="1"/>
    <col min="13830" max="13830" width="6.6640625" style="312" customWidth="1"/>
    <col min="13831" max="13831" width="12.5546875" style="312" customWidth="1"/>
    <col min="13832" max="13832" width="9.5546875" style="312" customWidth="1"/>
    <col min="13833" max="13844" width="5.6640625" style="312" customWidth="1"/>
    <col min="13845" max="13845" width="9" style="312" customWidth="1"/>
    <col min="13846" max="13846" width="21.44140625" style="312" customWidth="1"/>
    <col min="13847" max="14079" width="11.5546875" style="312"/>
    <col min="14080" max="14080" width="1.5546875" style="312" customWidth="1"/>
    <col min="14081" max="14081" width="6.33203125" style="312" bestFit="1" customWidth="1"/>
    <col min="14082" max="14082" width="6.109375" style="312" customWidth="1"/>
    <col min="14083" max="14083" width="58.44140625" style="312" customWidth="1"/>
    <col min="14084" max="14084" width="8.33203125" style="312" bestFit="1" customWidth="1"/>
    <col min="14085" max="14085" width="6.109375" style="312" customWidth="1"/>
    <col min="14086" max="14086" width="6.6640625" style="312" customWidth="1"/>
    <col min="14087" max="14087" width="12.5546875" style="312" customWidth="1"/>
    <col min="14088" max="14088" width="9.5546875" style="312" customWidth="1"/>
    <col min="14089" max="14100" width="5.6640625" style="312" customWidth="1"/>
    <col min="14101" max="14101" width="9" style="312" customWidth="1"/>
    <col min="14102" max="14102" width="21.44140625" style="312" customWidth="1"/>
    <col min="14103" max="14335" width="11.5546875" style="312"/>
    <col min="14336" max="14336" width="1.5546875" style="312" customWidth="1"/>
    <col min="14337" max="14337" width="6.33203125" style="312" bestFit="1" customWidth="1"/>
    <col min="14338" max="14338" width="6.109375" style="312" customWidth="1"/>
    <col min="14339" max="14339" width="58.44140625" style="312" customWidth="1"/>
    <col min="14340" max="14340" width="8.33203125" style="312" bestFit="1" customWidth="1"/>
    <col min="14341" max="14341" width="6.109375" style="312" customWidth="1"/>
    <col min="14342" max="14342" width="6.6640625" style="312" customWidth="1"/>
    <col min="14343" max="14343" width="12.5546875" style="312" customWidth="1"/>
    <col min="14344" max="14344" width="9.5546875" style="312" customWidth="1"/>
    <col min="14345" max="14356" width="5.6640625" style="312" customWidth="1"/>
    <col min="14357" max="14357" width="9" style="312" customWidth="1"/>
    <col min="14358" max="14358" width="21.44140625" style="312" customWidth="1"/>
    <col min="14359" max="14591" width="11.5546875" style="312"/>
    <col min="14592" max="14592" width="1.5546875" style="312" customWidth="1"/>
    <col min="14593" max="14593" width="6.33203125" style="312" bestFit="1" customWidth="1"/>
    <col min="14594" max="14594" width="6.109375" style="312" customWidth="1"/>
    <col min="14595" max="14595" width="58.44140625" style="312" customWidth="1"/>
    <col min="14596" max="14596" width="8.33203125" style="312" bestFit="1" customWidth="1"/>
    <col min="14597" max="14597" width="6.109375" style="312" customWidth="1"/>
    <col min="14598" max="14598" width="6.6640625" style="312" customWidth="1"/>
    <col min="14599" max="14599" width="12.5546875" style="312" customWidth="1"/>
    <col min="14600" max="14600" width="9.5546875" style="312" customWidth="1"/>
    <col min="14601" max="14612" width="5.6640625" style="312" customWidth="1"/>
    <col min="14613" max="14613" width="9" style="312" customWidth="1"/>
    <col min="14614" max="14614" width="21.44140625" style="312" customWidth="1"/>
    <col min="14615" max="14847" width="11.5546875" style="312"/>
    <col min="14848" max="14848" width="1.5546875" style="312" customWidth="1"/>
    <col min="14849" max="14849" width="6.33203125" style="312" bestFit="1" customWidth="1"/>
    <col min="14850" max="14850" width="6.109375" style="312" customWidth="1"/>
    <col min="14851" max="14851" width="58.44140625" style="312" customWidth="1"/>
    <col min="14852" max="14852" width="8.33203125" style="312" bestFit="1" customWidth="1"/>
    <col min="14853" max="14853" width="6.109375" style="312" customWidth="1"/>
    <col min="14854" max="14854" width="6.6640625" style="312" customWidth="1"/>
    <col min="14855" max="14855" width="12.5546875" style="312" customWidth="1"/>
    <col min="14856" max="14856" width="9.5546875" style="312" customWidth="1"/>
    <col min="14857" max="14868" width="5.6640625" style="312" customWidth="1"/>
    <col min="14869" max="14869" width="9" style="312" customWidth="1"/>
    <col min="14870" max="14870" width="21.44140625" style="312" customWidth="1"/>
    <col min="14871" max="15103" width="11.5546875" style="312"/>
    <col min="15104" max="15104" width="1.5546875" style="312" customWidth="1"/>
    <col min="15105" max="15105" width="6.33203125" style="312" bestFit="1" customWidth="1"/>
    <col min="15106" max="15106" width="6.109375" style="312" customWidth="1"/>
    <col min="15107" max="15107" width="58.44140625" style="312" customWidth="1"/>
    <col min="15108" max="15108" width="8.33203125" style="312" bestFit="1" customWidth="1"/>
    <col min="15109" max="15109" width="6.109375" style="312" customWidth="1"/>
    <col min="15110" max="15110" width="6.6640625" style="312" customWidth="1"/>
    <col min="15111" max="15111" width="12.5546875" style="312" customWidth="1"/>
    <col min="15112" max="15112" width="9.5546875" style="312" customWidth="1"/>
    <col min="15113" max="15124" width="5.6640625" style="312" customWidth="1"/>
    <col min="15125" max="15125" width="9" style="312" customWidth="1"/>
    <col min="15126" max="15126" width="21.44140625" style="312" customWidth="1"/>
    <col min="15127" max="15359" width="11.5546875" style="312"/>
    <col min="15360" max="15360" width="1.5546875" style="312" customWidth="1"/>
    <col min="15361" max="15361" width="6.33203125" style="312" bestFit="1" customWidth="1"/>
    <col min="15362" max="15362" width="6.109375" style="312" customWidth="1"/>
    <col min="15363" max="15363" width="58.44140625" style="312" customWidth="1"/>
    <col min="15364" max="15364" width="8.33203125" style="312" bestFit="1" customWidth="1"/>
    <col min="15365" max="15365" width="6.109375" style="312" customWidth="1"/>
    <col min="15366" max="15366" width="6.6640625" style="312" customWidth="1"/>
    <col min="15367" max="15367" width="12.5546875" style="312" customWidth="1"/>
    <col min="15368" max="15368" width="9.5546875" style="312" customWidth="1"/>
    <col min="15369" max="15380" width="5.6640625" style="312" customWidth="1"/>
    <col min="15381" max="15381" width="9" style="312" customWidth="1"/>
    <col min="15382" max="15382" width="21.44140625" style="312" customWidth="1"/>
    <col min="15383" max="15615" width="11.5546875" style="312"/>
    <col min="15616" max="15616" width="1.5546875" style="312" customWidth="1"/>
    <col min="15617" max="15617" width="6.33203125" style="312" bestFit="1" customWidth="1"/>
    <col min="15618" max="15618" width="6.109375" style="312" customWidth="1"/>
    <col min="15619" max="15619" width="58.44140625" style="312" customWidth="1"/>
    <col min="15620" max="15620" width="8.33203125" style="312" bestFit="1" customWidth="1"/>
    <col min="15621" max="15621" width="6.109375" style="312" customWidth="1"/>
    <col min="15622" max="15622" width="6.6640625" style="312" customWidth="1"/>
    <col min="15623" max="15623" width="12.5546875" style="312" customWidth="1"/>
    <col min="15624" max="15624" width="9.5546875" style="312" customWidth="1"/>
    <col min="15625" max="15636" width="5.6640625" style="312" customWidth="1"/>
    <col min="15637" max="15637" width="9" style="312" customWidth="1"/>
    <col min="15638" max="15638" width="21.44140625" style="312" customWidth="1"/>
    <col min="15639" max="15871" width="11.5546875" style="312"/>
    <col min="15872" max="15872" width="1.5546875" style="312" customWidth="1"/>
    <col min="15873" max="15873" width="6.33203125" style="312" bestFit="1" customWidth="1"/>
    <col min="15874" max="15874" width="6.109375" style="312" customWidth="1"/>
    <col min="15875" max="15875" width="58.44140625" style="312" customWidth="1"/>
    <col min="15876" max="15876" width="8.33203125" style="312" bestFit="1" customWidth="1"/>
    <col min="15877" max="15877" width="6.109375" style="312" customWidth="1"/>
    <col min="15878" max="15878" width="6.6640625" style="312" customWidth="1"/>
    <col min="15879" max="15879" width="12.5546875" style="312" customWidth="1"/>
    <col min="15880" max="15880" width="9.5546875" style="312" customWidth="1"/>
    <col min="15881" max="15892" width="5.6640625" style="312" customWidth="1"/>
    <col min="15893" max="15893" width="9" style="312" customWidth="1"/>
    <col min="15894" max="15894" width="21.44140625" style="312" customWidth="1"/>
    <col min="15895" max="16127" width="11.5546875" style="312"/>
    <col min="16128" max="16128" width="1.5546875" style="312" customWidth="1"/>
    <col min="16129" max="16129" width="6.33203125" style="312" bestFit="1" customWidth="1"/>
    <col min="16130" max="16130" width="6.109375" style="312" customWidth="1"/>
    <col min="16131" max="16131" width="58.44140625" style="312" customWidth="1"/>
    <col min="16132" max="16132" width="8.33203125" style="312" bestFit="1" customWidth="1"/>
    <col min="16133" max="16133" width="6.109375" style="312" customWidth="1"/>
    <col min="16134" max="16134" width="6.6640625" style="312" customWidth="1"/>
    <col min="16135" max="16135" width="12.5546875" style="312" customWidth="1"/>
    <col min="16136" max="16136" width="9.5546875" style="312" customWidth="1"/>
    <col min="16137" max="16148" width="5.6640625" style="312" customWidth="1"/>
    <col min="16149" max="16149" width="9" style="312" customWidth="1"/>
    <col min="16150" max="16150" width="21.44140625" style="312" customWidth="1"/>
    <col min="16151" max="16384" width="11.5546875" style="312"/>
  </cols>
  <sheetData>
    <row r="1" spans="2:24" ht="7.5" customHeight="1" thickBot="1" x14ac:dyDescent="0.3"/>
    <row r="2" spans="2:24" x14ac:dyDescent="0.25">
      <c r="C2" s="1207" t="s">
        <v>5340</v>
      </c>
      <c r="D2" s="1208"/>
      <c r="E2" s="1208"/>
      <c r="F2" s="1208"/>
      <c r="G2" s="1208"/>
      <c r="H2" s="1208"/>
      <c r="I2" s="1208"/>
      <c r="J2" s="1208"/>
      <c r="K2" s="1208"/>
      <c r="L2" s="1208"/>
      <c r="M2" s="1208"/>
      <c r="N2" s="1208"/>
      <c r="O2" s="1208"/>
      <c r="P2" s="1208"/>
      <c r="Q2" s="1208"/>
      <c r="R2" s="1208"/>
      <c r="S2" s="1208"/>
      <c r="T2" s="1208"/>
      <c r="U2" s="1209"/>
      <c r="V2" s="1210"/>
    </row>
    <row r="3" spans="2:24" x14ac:dyDescent="0.25">
      <c r="C3" s="1213" t="s">
        <v>12</v>
      </c>
      <c r="D3" s="1214"/>
      <c r="E3" s="1214"/>
      <c r="F3" s="1214"/>
      <c r="G3" s="1214"/>
      <c r="H3" s="1214"/>
      <c r="I3" s="1214"/>
      <c r="J3" s="1214"/>
      <c r="K3" s="1214"/>
      <c r="L3" s="1214"/>
      <c r="M3" s="1214"/>
      <c r="N3" s="1214"/>
      <c r="O3" s="1214"/>
      <c r="P3" s="1214"/>
      <c r="Q3" s="1214"/>
      <c r="R3" s="1214"/>
      <c r="S3" s="1214"/>
      <c r="T3" s="1214"/>
      <c r="U3" s="1211"/>
      <c r="V3" s="1212"/>
    </row>
    <row r="4" spans="2:24" x14ac:dyDescent="0.25">
      <c r="C4" s="1213" t="s">
        <v>5271</v>
      </c>
      <c r="D4" s="1214"/>
      <c r="E4" s="1214"/>
      <c r="F4" s="1214"/>
      <c r="G4" s="1214"/>
      <c r="H4" s="1214"/>
      <c r="I4" s="1214"/>
      <c r="J4" s="1214"/>
      <c r="K4" s="1214"/>
      <c r="L4" s="1214"/>
      <c r="M4" s="1214"/>
      <c r="N4" s="1214"/>
      <c r="O4" s="1214"/>
      <c r="P4" s="1214"/>
      <c r="Q4" s="1214"/>
      <c r="R4" s="1214"/>
      <c r="S4" s="1214"/>
      <c r="T4" s="1214"/>
      <c r="U4" s="1211"/>
      <c r="V4" s="1212"/>
    </row>
    <row r="5" spans="2:24" ht="14.4" thickBot="1" x14ac:dyDescent="0.3">
      <c r="C5" s="1153" t="s">
        <v>5416</v>
      </c>
      <c r="D5" s="1154"/>
      <c r="E5" s="1154"/>
      <c r="F5" s="1154"/>
      <c r="G5" s="1154"/>
      <c r="H5" s="1154"/>
      <c r="I5" s="1154"/>
      <c r="J5" s="1154"/>
      <c r="K5" s="1154"/>
      <c r="L5" s="1154"/>
      <c r="M5" s="1154"/>
      <c r="N5" s="1154"/>
      <c r="O5" s="1154"/>
      <c r="P5" s="1154"/>
      <c r="Q5" s="1154"/>
      <c r="R5" s="1154"/>
      <c r="S5" s="1154"/>
      <c r="T5" s="1154"/>
      <c r="U5" s="1215" t="s">
        <v>12</v>
      </c>
      <c r="V5" s="1216"/>
    </row>
    <row r="6" spans="2:24" ht="66" customHeight="1" thickBot="1" x14ac:dyDescent="0.3">
      <c r="C6" s="1217" t="s">
        <v>0</v>
      </c>
      <c r="D6" s="1218"/>
      <c r="E6" s="1219" t="str">
        <f>+'DATOS DEL PROCESO'!B6</f>
        <v>EJECUTAR POR EL SISTEMA DE PRECIOS UNITARIOS Y A MONTO AGOTABLE LAS ACTIVIDADES PARA LA CONSERVACION DE LA MALLA VIAL LOCAL E INTERMEDIA Y ESPACIO PÚBLICO EN LA LOCALIDAD DE SUBA EN LA CIUDAD DE BOGOTA D.C</v>
      </c>
      <c r="F6" s="1220"/>
      <c r="G6" s="1220"/>
      <c r="H6" s="1220"/>
      <c r="I6" s="1220"/>
      <c r="J6" s="1220"/>
      <c r="K6" s="1220"/>
      <c r="L6" s="1220"/>
      <c r="M6" s="1220"/>
      <c r="N6" s="1220"/>
      <c r="O6" s="1220"/>
      <c r="P6" s="1220"/>
      <c r="Q6" s="1220"/>
      <c r="R6" s="1220"/>
      <c r="S6" s="1220"/>
      <c r="T6" s="1220"/>
      <c r="U6" s="1220"/>
      <c r="V6" s="1221"/>
    </row>
    <row r="7" spans="2:24" x14ac:dyDescent="0.25">
      <c r="D7" s="392"/>
      <c r="E7" s="392"/>
      <c r="F7" s="392"/>
      <c r="G7" s="392"/>
      <c r="H7" s="392"/>
      <c r="I7" s="392"/>
      <c r="J7" s="392"/>
      <c r="K7" s="392"/>
      <c r="L7" s="392"/>
      <c r="M7" s="392"/>
      <c r="N7" s="392"/>
      <c r="O7" s="392"/>
      <c r="P7" s="392"/>
      <c r="Q7" s="392"/>
      <c r="R7" s="392"/>
      <c r="S7" s="392"/>
      <c r="T7" s="392"/>
      <c r="U7" s="392"/>
      <c r="V7" s="393"/>
    </row>
    <row r="8" spans="2:24" ht="15" customHeight="1" x14ac:dyDescent="0.25">
      <c r="C8" s="1182" t="s">
        <v>5388</v>
      </c>
      <c r="D8" s="1183"/>
      <c r="E8" s="1183"/>
      <c r="F8" s="1183"/>
      <c r="G8" s="1183"/>
      <c r="H8" s="1183"/>
      <c r="I8" s="1183"/>
      <c r="J8" s="1183"/>
      <c r="K8" s="1183"/>
      <c r="L8" s="1183"/>
      <c r="M8" s="1183"/>
      <c r="N8" s="1183"/>
      <c r="O8" s="1183"/>
      <c r="P8" s="1183"/>
      <c r="Q8" s="1183"/>
      <c r="R8" s="1183"/>
      <c r="S8" s="1183"/>
      <c r="T8" s="1183"/>
      <c r="U8" s="1183"/>
      <c r="V8" s="1222"/>
    </row>
    <row r="9" spans="2:24" x14ac:dyDescent="0.25">
      <c r="C9" s="394"/>
      <c r="D9" s="394"/>
      <c r="E9" s="394"/>
      <c r="F9" s="394"/>
      <c r="G9" s="394"/>
      <c r="H9" s="394"/>
      <c r="I9" s="394"/>
      <c r="J9" s="394"/>
      <c r="K9" s="394"/>
      <c r="L9" s="394"/>
      <c r="M9" s="394"/>
      <c r="N9" s="394"/>
      <c r="O9" s="394"/>
      <c r="P9" s="394"/>
      <c r="Q9" s="394"/>
      <c r="R9" s="394"/>
      <c r="S9" s="394"/>
      <c r="T9" s="394"/>
      <c r="U9" s="394"/>
      <c r="V9" s="394"/>
    </row>
    <row r="10" spans="2:24" x14ac:dyDescent="0.25">
      <c r="C10" s="395"/>
      <c r="D10" s="396"/>
      <c r="E10" s="1223" t="s">
        <v>5389</v>
      </c>
      <c r="F10" s="1223"/>
      <c r="G10" s="397">
        <v>11</v>
      </c>
      <c r="H10" s="1224" t="s">
        <v>5</v>
      </c>
      <c r="I10" s="1225"/>
      <c r="J10" s="398"/>
      <c r="K10" s="399"/>
      <c r="L10" s="399"/>
      <c r="M10" s="399"/>
      <c r="N10" s="399"/>
      <c r="O10" s="399"/>
      <c r="P10" s="399"/>
      <c r="Q10" s="399"/>
      <c r="R10" s="399"/>
      <c r="S10" s="399"/>
      <c r="T10" s="399"/>
      <c r="U10" s="1226"/>
      <c r="V10" s="1226"/>
    </row>
    <row r="11" spans="2:24" ht="14.4" thickBot="1" x14ac:dyDescent="0.3">
      <c r="C11" s="395"/>
      <c r="D11" s="395"/>
      <c r="E11" s="395"/>
      <c r="F11" s="395"/>
      <c r="G11" s="395"/>
      <c r="H11" s="395"/>
      <c r="I11" s="395"/>
      <c r="J11" s="395"/>
      <c r="K11" s="395"/>
      <c r="L11" s="395"/>
      <c r="M11" s="395"/>
      <c r="N11" s="395"/>
      <c r="O11" s="395"/>
      <c r="P11" s="395"/>
      <c r="Q11" s="395"/>
      <c r="R11" s="395"/>
      <c r="S11" s="395"/>
      <c r="T11" s="395"/>
      <c r="U11" s="395"/>
      <c r="V11" s="395"/>
      <c r="X11" s="312">
        <v>1.5669999999999999</v>
      </c>
    </row>
    <row r="12" spans="2:24" ht="20.100000000000001" customHeight="1" thickBot="1" x14ac:dyDescent="0.3">
      <c r="C12" s="1227" t="s">
        <v>5390</v>
      </c>
      <c r="D12" s="1229" t="s">
        <v>5165</v>
      </c>
      <c r="E12" s="1229" t="s">
        <v>5391</v>
      </c>
      <c r="F12" s="1229"/>
      <c r="G12" s="1229" t="s">
        <v>6909</v>
      </c>
      <c r="H12" s="1231" t="s">
        <v>5392</v>
      </c>
      <c r="I12" s="1240" t="s">
        <v>5393</v>
      </c>
      <c r="J12" s="495" t="s">
        <v>5422</v>
      </c>
      <c r="K12" s="1241" t="s">
        <v>5423</v>
      </c>
      <c r="L12" s="1242"/>
      <c r="M12" s="1242"/>
      <c r="N12" s="1242"/>
      <c r="O12" s="1242"/>
      <c r="P12" s="1242"/>
      <c r="Q12" s="1242"/>
      <c r="R12" s="1242"/>
      <c r="S12" s="1242"/>
      <c r="T12" s="1243"/>
      <c r="U12" s="1234" t="s">
        <v>5394</v>
      </c>
      <c r="V12" s="1236" t="s">
        <v>5395</v>
      </c>
      <c r="X12" s="312">
        <v>1.4510000000000001</v>
      </c>
    </row>
    <row r="13" spans="2:24" ht="20.100000000000001" customHeight="1" thickBot="1" x14ac:dyDescent="0.3">
      <c r="C13" s="1228"/>
      <c r="D13" s="1230"/>
      <c r="E13" s="400" t="s">
        <v>5396</v>
      </c>
      <c r="F13" s="401" t="s">
        <v>5397</v>
      </c>
      <c r="G13" s="1230"/>
      <c r="H13" s="1230"/>
      <c r="I13" s="1235"/>
      <c r="J13" s="494">
        <v>1</v>
      </c>
      <c r="K13" s="494">
        <v>2</v>
      </c>
      <c r="L13" s="494">
        <v>3</v>
      </c>
      <c r="M13" s="494">
        <v>4</v>
      </c>
      <c r="N13" s="494">
        <v>5</v>
      </c>
      <c r="O13" s="494">
        <v>6</v>
      </c>
      <c r="P13" s="494">
        <v>7</v>
      </c>
      <c r="Q13" s="494">
        <v>8</v>
      </c>
      <c r="R13" s="494">
        <v>9</v>
      </c>
      <c r="S13" s="494">
        <v>10</v>
      </c>
      <c r="T13" s="494">
        <v>11</v>
      </c>
      <c r="U13" s="1235"/>
      <c r="V13" s="1237"/>
    </row>
    <row r="14" spans="2:24" x14ac:dyDescent="0.25">
      <c r="C14" s="402">
        <v>1</v>
      </c>
      <c r="D14" s="403" t="s">
        <v>5398</v>
      </c>
      <c r="E14" s="404"/>
      <c r="F14" s="404"/>
      <c r="G14" s="405"/>
      <c r="H14" s="406"/>
      <c r="I14" s="406"/>
      <c r="J14" s="406"/>
      <c r="K14" s="406"/>
      <c r="L14" s="406"/>
      <c r="M14" s="406"/>
      <c r="N14" s="406"/>
      <c r="O14" s="406"/>
      <c r="P14" s="406"/>
      <c r="Q14" s="406"/>
      <c r="R14" s="406"/>
      <c r="S14" s="406"/>
      <c r="T14" s="406"/>
      <c r="U14" s="406"/>
      <c r="V14" s="407"/>
    </row>
    <row r="15" spans="2:24" ht="28.8" x14ac:dyDescent="0.25">
      <c r="B15" s="391">
        <v>9113</v>
      </c>
      <c r="C15" s="624">
        <v>1.2</v>
      </c>
      <c r="D15" s="491" t="s">
        <v>6731</v>
      </c>
      <c r="E15" s="409" t="str">
        <f>+_xlfn.XLOOKUP(B15,INSUMO_IDU[Código],INSUMO_IDU[UM],"",0)</f>
        <v>MES</v>
      </c>
      <c r="F15" s="367">
        <v>1</v>
      </c>
      <c r="G15" s="424">
        <v>7</v>
      </c>
      <c r="H15" s="492">
        <f>+_xlfn.XLOOKUP(B15,INSUMO_IDU[Código],INSUMO_IDU[Precio],"",0)</f>
        <v>5791000</v>
      </c>
      <c r="I15" s="328">
        <f>+VLOOKUP(B15,F.P!$B$7:$H$46,7,FALSE)</f>
        <v>1.4510000000000001</v>
      </c>
      <c r="J15" s="411">
        <v>0.22432960957194323</v>
      </c>
      <c r="K15" s="411">
        <v>0.5</v>
      </c>
      <c r="L15" s="411">
        <v>0.5</v>
      </c>
      <c r="M15" s="411">
        <v>0.5</v>
      </c>
      <c r="N15" s="411">
        <v>0.5</v>
      </c>
      <c r="O15" s="411">
        <v>0.5</v>
      </c>
      <c r="P15" s="411">
        <v>0.5</v>
      </c>
      <c r="Q15" s="411">
        <v>0.5</v>
      </c>
      <c r="R15" s="411">
        <v>0.5</v>
      </c>
      <c r="S15" s="411">
        <v>0.5</v>
      </c>
      <c r="T15" s="411">
        <v>0.5</v>
      </c>
      <c r="U15" s="413">
        <f>(SUM(J15:T15))*F15</f>
        <v>5.2243296095719431</v>
      </c>
      <c r="V15" s="414">
        <f>ROUND((H15*I15*U15),0)</f>
        <v>43898689</v>
      </c>
    </row>
    <row r="16" spans="2:24" x14ac:dyDescent="0.25">
      <c r="B16" s="415"/>
      <c r="C16" s="416"/>
      <c r="D16" s="417" t="s">
        <v>5399</v>
      </c>
      <c r="E16" s="418"/>
      <c r="F16" s="419"/>
      <c r="G16" s="419"/>
      <c r="H16" s="420"/>
      <c r="J16" s="420"/>
      <c r="K16" s="420"/>
      <c r="L16" s="420"/>
      <c r="M16" s="420"/>
      <c r="N16" s="420"/>
      <c r="O16" s="420"/>
      <c r="P16" s="420"/>
      <c r="Q16" s="420"/>
      <c r="R16" s="420"/>
      <c r="S16" s="420"/>
      <c r="T16" s="420"/>
      <c r="U16" s="421"/>
      <c r="V16" s="422"/>
    </row>
    <row r="17" spans="2:26" ht="28.8" x14ac:dyDescent="0.25">
      <c r="B17" s="415">
        <v>9455</v>
      </c>
      <c r="C17" s="423">
        <v>1.3</v>
      </c>
      <c r="D17" s="491" t="str">
        <f>+_xlfn.XLOOKUP(B17,INSUMO_IDU[Código],INSUMO_IDU[Nombre],"",0)</f>
        <v>TARIFA MES - PERSONAL DE OBRA - AYUDANTE (NO INCLUYE FACTOR DE PRESTACIONES)</v>
      </c>
      <c r="E17" s="409" t="str">
        <f>+_xlfn.XLOOKUP(B17,INSUMO_IDU[Código],INSUMO_IDU[UM],"",0)</f>
        <v>MES</v>
      </c>
      <c r="F17" s="367">
        <v>2</v>
      </c>
      <c r="G17" s="424"/>
      <c r="H17" s="492">
        <f>+_xlfn.XLOOKUP(B17,INSUMO_IDU[Código],INSUMO_IDU[Precio],"",0)</f>
        <v>1750905</v>
      </c>
      <c r="I17" s="328">
        <f>+VLOOKUP(B17,F.P!$B$7:$H$46,7,FALSE)</f>
        <v>1.5669999999999999</v>
      </c>
      <c r="J17" s="411">
        <v>0.4</v>
      </c>
      <c r="K17" s="411">
        <v>0.4</v>
      </c>
      <c r="L17" s="411">
        <v>0.4</v>
      </c>
      <c r="M17" s="411">
        <v>0.4</v>
      </c>
      <c r="N17" s="411">
        <v>0.4</v>
      </c>
      <c r="O17" s="411">
        <v>0.4</v>
      </c>
      <c r="P17" s="411">
        <v>0.4</v>
      </c>
      <c r="Q17" s="411">
        <v>0.4</v>
      </c>
      <c r="R17" s="411">
        <v>0.4</v>
      </c>
      <c r="S17" s="411">
        <v>0.4</v>
      </c>
      <c r="T17" s="411">
        <v>0.4</v>
      </c>
      <c r="U17" s="413">
        <f>(SUM(J17:T17))*F17</f>
        <v>8.7999999999999989</v>
      </c>
      <c r="V17" s="414">
        <f>ROUND((H17*I17*U17),0)</f>
        <v>24144280</v>
      </c>
    </row>
    <row r="18" spans="2:26" x14ac:dyDescent="0.25">
      <c r="B18" s="415"/>
      <c r="C18" s="423"/>
      <c r="D18" s="425" t="s">
        <v>5400</v>
      </c>
      <c r="E18" s="426"/>
      <c r="F18" s="427"/>
      <c r="G18" s="424"/>
      <c r="H18" s="493"/>
      <c r="I18" s="410"/>
      <c r="J18" s="428"/>
      <c r="K18" s="428"/>
      <c r="L18" s="428"/>
      <c r="M18" s="428"/>
      <c r="N18" s="428"/>
      <c r="O18" s="428"/>
      <c r="P18" s="428"/>
      <c r="Q18" s="428"/>
      <c r="R18" s="428"/>
      <c r="S18" s="428"/>
      <c r="T18" s="428"/>
      <c r="U18" s="429"/>
      <c r="V18" s="430"/>
    </row>
    <row r="19" spans="2:26" ht="28.8" x14ac:dyDescent="0.25">
      <c r="B19" s="415">
        <v>9455</v>
      </c>
      <c r="C19" s="423">
        <v>1.4</v>
      </c>
      <c r="D19" s="491" t="str">
        <f>+_xlfn.XLOOKUP(B19,INSUMO_IDU[Código],INSUMO_IDU[Nombre],"",0)</f>
        <v>TARIFA MES - PERSONAL DE OBRA - AYUDANTE (NO INCLUYE FACTOR DE PRESTACIONES)</v>
      </c>
      <c r="E19" s="409" t="str">
        <f>+_xlfn.XLOOKUP(B19,INSUMO_IDU[Código],INSUMO_IDU[UM],"",0)</f>
        <v>MES</v>
      </c>
      <c r="F19" s="367">
        <v>4</v>
      </c>
      <c r="G19" s="424"/>
      <c r="H19" s="492">
        <f>+_xlfn.XLOOKUP(B19,INSUMO_IDU[Código],INSUMO_IDU[Precio],"",0)</f>
        <v>1750905</v>
      </c>
      <c r="I19" s="328">
        <f>+VLOOKUP(B19,F.P!$B$7:$H$46,7,FALSE)</f>
        <v>1.5669999999999999</v>
      </c>
      <c r="J19" s="411">
        <v>0</v>
      </c>
      <c r="K19" s="411">
        <v>0.5</v>
      </c>
      <c r="L19" s="411">
        <v>0.5</v>
      </c>
      <c r="M19" s="412">
        <v>0.5</v>
      </c>
      <c r="N19" s="412">
        <v>0.5</v>
      </c>
      <c r="O19" s="412">
        <v>0.5</v>
      </c>
      <c r="P19" s="412">
        <v>0.5</v>
      </c>
      <c r="Q19" s="412">
        <v>0.5</v>
      </c>
      <c r="R19" s="412">
        <v>0.5</v>
      </c>
      <c r="S19" s="412">
        <v>0.5</v>
      </c>
      <c r="T19" s="412">
        <v>0.5</v>
      </c>
      <c r="U19" s="413">
        <f>(SUM(J19:T19))*F19</f>
        <v>20</v>
      </c>
      <c r="V19" s="414">
        <f>ROUND((H19*I19*U19),0)</f>
        <v>54873363</v>
      </c>
    </row>
    <row r="20" spans="2:26" ht="15" customHeight="1" x14ac:dyDescent="0.25">
      <c r="C20" s="431"/>
      <c r="D20" s="432"/>
      <c r="E20" s="433"/>
      <c r="F20" s="434"/>
      <c r="G20" s="435"/>
      <c r="H20" s="436"/>
      <c r="I20" s="436"/>
      <c r="J20" s="436"/>
      <c r="K20" s="436"/>
      <c r="L20" s="436"/>
      <c r="M20" s="436"/>
      <c r="N20" s="436"/>
      <c r="O20" s="436"/>
      <c r="P20" s="436"/>
      <c r="Q20" s="436"/>
      <c r="R20" s="436"/>
      <c r="S20" s="436"/>
      <c r="T20" s="436"/>
      <c r="U20" s="437" t="s">
        <v>5401</v>
      </c>
      <c r="V20" s="438">
        <f>SUM(V15:V19)</f>
        <v>122916332</v>
      </c>
    </row>
    <row r="21" spans="2:26" x14ac:dyDescent="0.25">
      <c r="C21" s="408">
        <v>2</v>
      </c>
      <c r="D21" s="439" t="s">
        <v>5402</v>
      </c>
      <c r="E21" s="440"/>
      <c r="F21" s="440"/>
      <c r="G21" s="441"/>
      <c r="H21" s="442"/>
      <c r="I21" s="442"/>
      <c r="J21" s="442"/>
      <c r="K21" s="442"/>
      <c r="L21" s="442"/>
      <c r="M21" s="442"/>
      <c r="N21" s="442"/>
      <c r="O21" s="442"/>
      <c r="P21" s="442"/>
      <c r="Q21" s="442"/>
      <c r="R21" s="442"/>
      <c r="S21" s="442"/>
      <c r="T21" s="442"/>
      <c r="U21" s="443"/>
      <c r="V21" s="444"/>
    </row>
    <row r="22" spans="2:26" ht="57.75" customHeight="1" x14ac:dyDescent="0.25">
      <c r="B22" s="391">
        <v>9840</v>
      </c>
      <c r="C22" s="445">
        <v>2.1</v>
      </c>
      <c r="D22" s="491" t="str">
        <f>+_xlfn.XLOOKUP(B22,INSUMO_IDU[Código],INSUMO_IDU[Nombre],"",0)</f>
        <v>TARIFA MES - EDICIÓN DE INFORME MENSUAL DE INTERVENTORÍA O CONSULTORÍA. Incluye 4 tapas plastificadas tamaño carta color blanco, con 6 tornillos, hojas de papel bond tamaño carta 75 gramos, 170 folios</v>
      </c>
      <c r="E22" s="409" t="str">
        <f>+_xlfn.XLOOKUP(B22,INSUMO_IDU[Código],INSUMO_IDU[UM],"",0)</f>
        <v>UN/MES</v>
      </c>
      <c r="F22" s="447">
        <v>1</v>
      </c>
      <c r="G22" s="446"/>
      <c r="H22" s="492">
        <f>+_xlfn.XLOOKUP(B22,INSUMO_IDU[Código],INSUMO_IDU[Precio],"",0)</f>
        <v>264000</v>
      </c>
      <c r="I22" s="448"/>
      <c r="J22" s="449">
        <v>1</v>
      </c>
      <c r="K22" s="449">
        <v>1</v>
      </c>
      <c r="L22" s="449">
        <v>1</v>
      </c>
      <c r="M22" s="449">
        <v>1</v>
      </c>
      <c r="N22" s="449">
        <v>1</v>
      </c>
      <c r="O22" s="449">
        <v>1</v>
      </c>
      <c r="P22" s="449">
        <v>1</v>
      </c>
      <c r="Q22" s="449">
        <v>1</v>
      </c>
      <c r="R22" s="449">
        <v>1</v>
      </c>
      <c r="S22" s="449">
        <v>1</v>
      </c>
      <c r="T22" s="449">
        <v>1</v>
      </c>
      <c r="U22" s="413">
        <f>(SUM(J22:T22))*F22</f>
        <v>11</v>
      </c>
      <c r="V22" s="450">
        <f>ROUND((U22*H22*F22),0)</f>
        <v>2904000</v>
      </c>
    </row>
    <row r="23" spans="2:26" ht="97.2" customHeight="1" x14ac:dyDescent="0.25">
      <c r="B23" s="391">
        <v>6318</v>
      </c>
      <c r="C23" s="445">
        <v>2.2000000000000002</v>
      </c>
      <c r="D23" s="491" t="str">
        <f>+_xlfn.XLOOKUP(B23,APU_IDU[Código],APU_IDU[Nombre],"",0)</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23" s="409" t="str">
        <f>+_xlfn.XLOOKUP(B23,APU_IDU[Código],APU_IDU[UM],"",0)</f>
        <v>UN/MES</v>
      </c>
      <c r="F23" s="447">
        <v>1</v>
      </c>
      <c r="G23" s="446"/>
      <c r="H23" s="492">
        <f>+_xlfn.XLOOKUP(B23,APU_IDU[Código],APU_IDU[Valor],"",0)</f>
        <v>124818</v>
      </c>
      <c r="I23" s="448"/>
      <c r="J23" s="449">
        <v>1</v>
      </c>
      <c r="K23" s="449">
        <v>1</v>
      </c>
      <c r="L23" s="449">
        <v>1</v>
      </c>
      <c r="M23" s="449">
        <v>1</v>
      </c>
      <c r="N23" s="449">
        <v>1</v>
      </c>
      <c r="O23" s="449">
        <v>1</v>
      </c>
      <c r="P23" s="449">
        <v>1</v>
      </c>
      <c r="Q23" s="449">
        <v>1</v>
      </c>
      <c r="R23" s="449">
        <v>1</v>
      </c>
      <c r="S23" s="449">
        <v>1</v>
      </c>
      <c r="T23" s="449">
        <v>1</v>
      </c>
      <c r="U23" s="413">
        <f>(SUM(J23:T23))*F23</f>
        <v>11</v>
      </c>
      <c r="V23" s="450">
        <f>ROUND((U23*H23*F23),0)</f>
        <v>1372998</v>
      </c>
    </row>
    <row r="24" spans="2:26" x14ac:dyDescent="0.25">
      <c r="C24" s="445"/>
      <c r="D24" s="439" t="s">
        <v>5403</v>
      </c>
      <c r="E24" s="440"/>
      <c r="F24" s="440"/>
      <c r="G24" s="441"/>
      <c r="H24" s="442"/>
      <c r="I24" s="442"/>
      <c r="J24" s="442"/>
      <c r="K24" s="442"/>
      <c r="L24" s="442"/>
      <c r="M24" s="442"/>
      <c r="N24" s="442"/>
      <c r="O24" s="442"/>
      <c r="P24" s="442"/>
      <c r="Q24" s="442"/>
      <c r="R24" s="442"/>
      <c r="S24" s="442"/>
      <c r="T24" s="442"/>
      <c r="U24" s="443"/>
      <c r="V24" s="451"/>
      <c r="Y24" s="351"/>
      <c r="Z24" s="351"/>
    </row>
    <row r="25" spans="2:26" ht="63.75" customHeight="1" x14ac:dyDescent="0.25">
      <c r="B25" s="415">
        <v>4928</v>
      </c>
      <c r="C25" s="423">
        <v>2.2999999999999998</v>
      </c>
      <c r="D25" s="491" t="str">
        <f>+_xlfn.XLOOKUP(B25,APU_IDU[Código],APU_IDU[Nombre],"",0)</f>
        <v>CANALIZACIÓN DE TRÁFICO (INSTALACIÓN, MANTENIMIENTO Y DESINSTALACIÓN MENSUAL) CON SEÑALIZADORES TUBULARES COLOMBINA PLÁSTICA Y TRIPLE CINTA DE SEÑALIZACIÓN (INCLUYE ALQUILER DE SEÑALIZADORES TUBULARES). LONGITUD 3 METROS.</v>
      </c>
      <c r="E25" s="409" t="str">
        <f>+_xlfn.XLOOKUP(B25,APU_IDU[Código],APU_IDU[UM],"",0)</f>
        <v>UN/MES</v>
      </c>
      <c r="F25" s="452">
        <v>100</v>
      </c>
      <c r="G25" s="426"/>
      <c r="H25" s="492">
        <f>+_xlfn.XLOOKUP(B25,APU_IDU[Código],APU_IDU[Valor],"",0)</f>
        <v>9617</v>
      </c>
      <c r="I25" s="448"/>
      <c r="J25" s="411"/>
      <c r="K25" s="411">
        <v>1</v>
      </c>
      <c r="L25" s="411">
        <v>1</v>
      </c>
      <c r="M25" s="411">
        <v>1</v>
      </c>
      <c r="N25" s="412">
        <v>1</v>
      </c>
      <c r="O25" s="412">
        <v>1</v>
      </c>
      <c r="P25" s="412">
        <v>1</v>
      </c>
      <c r="Q25" s="412">
        <v>1</v>
      </c>
      <c r="R25" s="412">
        <v>1</v>
      </c>
      <c r="S25" s="412">
        <v>1</v>
      </c>
      <c r="T25" s="412">
        <v>1</v>
      </c>
      <c r="U25" s="413">
        <f>(SUM(J25:T25))*F25</f>
        <v>1000</v>
      </c>
      <c r="V25" s="450">
        <f>ROUND((U25*H25),0)</f>
        <v>9617000</v>
      </c>
      <c r="Y25" s="453"/>
      <c r="Z25" s="453"/>
    </row>
    <row r="26" spans="2:26" ht="28.8" x14ac:dyDescent="0.25">
      <c r="B26" s="415">
        <v>6178</v>
      </c>
      <c r="C26" s="423">
        <v>2.4</v>
      </c>
      <c r="D26" s="491" t="str">
        <f>+_xlfn.XLOOKUP(B26,APU_IDU[Código],APU_IDU[Nombre],"",0)</f>
        <v>ALQUILER SEÑAL VERTICAL GRUPO I (75X75CM) (INCLUYE SUMINISTRO E INSTALACIÓN)</v>
      </c>
      <c r="E26" s="409" t="str">
        <f>+_xlfn.XLOOKUP(B26,APU_IDU[Código],APU_IDU[UM],"",0)</f>
        <v>UN/MES</v>
      </c>
      <c r="F26" s="452">
        <v>100</v>
      </c>
      <c r="G26" s="426"/>
      <c r="H26" s="492">
        <f>+_xlfn.XLOOKUP(B26,APU_IDU[Código],APU_IDU[Valor],"",0)</f>
        <v>24980</v>
      </c>
      <c r="I26" s="448"/>
      <c r="J26" s="411"/>
      <c r="K26" s="411">
        <v>1</v>
      </c>
      <c r="L26" s="411">
        <v>1</v>
      </c>
      <c r="M26" s="411">
        <v>1</v>
      </c>
      <c r="N26" s="412">
        <v>1</v>
      </c>
      <c r="O26" s="412">
        <v>1</v>
      </c>
      <c r="P26" s="412">
        <v>1</v>
      </c>
      <c r="Q26" s="412">
        <v>1</v>
      </c>
      <c r="R26" s="412">
        <v>1</v>
      </c>
      <c r="S26" s="412">
        <v>1</v>
      </c>
      <c r="T26" s="412">
        <v>1</v>
      </c>
      <c r="U26" s="413">
        <f>(SUM(J26:T26))*F26</f>
        <v>1000</v>
      </c>
      <c r="V26" s="450">
        <f>ROUND((U26*H26),0)</f>
        <v>24980000</v>
      </c>
      <c r="Y26" s="453"/>
      <c r="Z26" s="453"/>
    </row>
    <row r="27" spans="2:26" ht="14.4" x14ac:dyDescent="0.25">
      <c r="B27" s="415">
        <v>6186</v>
      </c>
      <c r="C27" s="423">
        <v>2.5</v>
      </c>
      <c r="D27" s="491" t="str">
        <f>+_xlfn.XLOOKUP(B27,APU_IDU[Código],APU_IDU[Nombre],"",0)</f>
        <v>ALQUILER BARRERA RELLENABLE (2.00X0.55X1.00M)</v>
      </c>
      <c r="E27" s="409" t="str">
        <f>+_xlfn.XLOOKUP(B27,APU_IDU[Código],APU_IDU[UM],"",0)</f>
        <v>UN/MES</v>
      </c>
      <c r="F27" s="452">
        <v>8</v>
      </c>
      <c r="G27" s="426"/>
      <c r="H27" s="492">
        <f>+_xlfn.XLOOKUP(B27,APU_IDU[Código],APU_IDU[Valor],"",0)</f>
        <v>20609</v>
      </c>
      <c r="I27" s="448"/>
      <c r="J27" s="411"/>
      <c r="K27" s="411">
        <v>1</v>
      </c>
      <c r="L27" s="411">
        <v>1</v>
      </c>
      <c r="M27" s="411">
        <v>1</v>
      </c>
      <c r="N27" s="412">
        <v>1</v>
      </c>
      <c r="O27" s="412">
        <v>1</v>
      </c>
      <c r="P27" s="412">
        <v>1</v>
      </c>
      <c r="Q27" s="412">
        <v>1</v>
      </c>
      <c r="R27" s="412">
        <v>1</v>
      </c>
      <c r="S27" s="412">
        <v>1</v>
      </c>
      <c r="T27" s="412">
        <v>1</v>
      </c>
      <c r="U27" s="413">
        <f>(SUM(J27:T27))*F27</f>
        <v>80</v>
      </c>
      <c r="V27" s="414">
        <f>ROUND(U27*H27,0)</f>
        <v>1648720</v>
      </c>
      <c r="Y27" s="453"/>
      <c r="Z27" s="453"/>
    </row>
    <row r="28" spans="2:26" s="455" customFormat="1" ht="39" customHeight="1" x14ac:dyDescent="0.25">
      <c r="B28" s="351">
        <v>6187</v>
      </c>
      <c r="C28" s="423">
        <v>2.6</v>
      </c>
      <c r="D28" s="491" t="str">
        <f>+_xlfn.XLOOKUP(B28,APU_IDU[Código],APU_IDU[Nombre],"",0)</f>
        <v>ALQUILER DE SEÑAL LUMINOSA BIDIRECCIONAL 1.50M X 0.50M (INCLUYE INSTALACIÓN, MANTENIMIENTO Y DESINSTALACIÓN).</v>
      </c>
      <c r="E28" s="409" t="str">
        <f>+_xlfn.XLOOKUP(B28,APU_IDU[Código],APU_IDU[UM],"",0)</f>
        <v>UN/MES</v>
      </c>
      <c r="F28" s="452">
        <v>1</v>
      </c>
      <c r="G28" s="426"/>
      <c r="H28" s="492">
        <f>+_xlfn.XLOOKUP(B28,APU_IDU[Código],APU_IDU[Valor],"",0)</f>
        <v>246254</v>
      </c>
      <c r="I28" s="448"/>
      <c r="J28" s="411"/>
      <c r="K28" s="411">
        <v>1</v>
      </c>
      <c r="L28" s="411">
        <v>1</v>
      </c>
      <c r="M28" s="411">
        <v>1</v>
      </c>
      <c r="N28" s="412">
        <v>1</v>
      </c>
      <c r="O28" s="412">
        <v>1</v>
      </c>
      <c r="P28" s="412">
        <v>1</v>
      </c>
      <c r="Q28" s="412">
        <v>1</v>
      </c>
      <c r="R28" s="412">
        <v>1</v>
      </c>
      <c r="S28" s="412">
        <v>1</v>
      </c>
      <c r="T28" s="412">
        <v>1</v>
      </c>
      <c r="U28" s="413">
        <f>(SUM(J28:T28))*F28</f>
        <v>10</v>
      </c>
      <c r="V28" s="414">
        <f>ROUND(U28*H28,0)</f>
        <v>2462540</v>
      </c>
      <c r="W28" s="454"/>
      <c r="Y28" s="453"/>
      <c r="Z28" s="453"/>
    </row>
    <row r="29" spans="2:26" ht="43.2" x14ac:dyDescent="0.25">
      <c r="B29" s="415">
        <v>10348</v>
      </c>
      <c r="C29" s="423">
        <v>2.7</v>
      </c>
      <c r="D29" s="491" t="str">
        <f>+_xlfn.XLOOKUP(B29,APU_IDU[Código],APU_IDU[Nombre],"",0)</f>
        <v>PASACALLE EN BANNER 13 ONZAS MATE, DE 7.00m x 1.00m, INCLUYE UN PALO DE 1,20m DE LARGO EN CADA EXTREMO. INCLUYE SUMINISTRO E INSTALACION.</v>
      </c>
      <c r="E29" s="409" t="str">
        <f>+_xlfn.XLOOKUP(B29,APU_IDU[Código],APU_IDU[UM],"",0)</f>
        <v>UN</v>
      </c>
      <c r="F29" s="452">
        <v>10</v>
      </c>
      <c r="G29" s="426"/>
      <c r="H29" s="492">
        <f>+_xlfn.XLOOKUP(B29,APU_IDU[Código],APU_IDU[Valor],"",0)</f>
        <v>410726</v>
      </c>
      <c r="I29" s="448"/>
      <c r="J29" s="428"/>
      <c r="K29" s="428"/>
      <c r="L29" s="428"/>
      <c r="M29" s="428"/>
      <c r="N29" s="428"/>
      <c r="O29" s="428"/>
      <c r="P29" s="428"/>
      <c r="Q29" s="428"/>
      <c r="R29" s="428"/>
      <c r="S29" s="428"/>
      <c r="T29" s="428"/>
      <c r="U29" s="413">
        <f>+F29</f>
        <v>10</v>
      </c>
      <c r="V29" s="414">
        <f>ROUND(U29*H29,0)</f>
        <v>4107260</v>
      </c>
      <c r="Y29" s="453"/>
      <c r="Z29" s="453"/>
    </row>
    <row r="30" spans="2:26" ht="14.4" x14ac:dyDescent="0.25">
      <c r="B30" s="415">
        <v>7555</v>
      </c>
      <c r="C30" s="423">
        <v>2.8</v>
      </c>
      <c r="D30" s="491" t="str">
        <f>+_xlfn.XLOOKUP(B30,INSUMO_IDU[Código],INSUMO_IDU[Nombre],"",0)</f>
        <v>CINTA DE SEÑALIZACION CAL 4 (ROLLO 500mx0.10m)</v>
      </c>
      <c r="E30" s="409" t="str">
        <f>+_xlfn.XLOOKUP(B30,INSUMO_IDU[Código],INSUMO_IDU[UM],"",0)</f>
        <v>UN</v>
      </c>
      <c r="F30" s="452">
        <v>28</v>
      </c>
      <c r="G30" s="426"/>
      <c r="H30" s="492">
        <f>+_xlfn.XLOOKUP(B30,INSUMO_IDU[Código],INSUMO_IDU[Precio],"",0)</f>
        <v>42090</v>
      </c>
      <c r="I30" s="448"/>
      <c r="J30" s="428"/>
      <c r="K30" s="428"/>
      <c r="L30" s="428"/>
      <c r="M30" s="428"/>
      <c r="N30" s="428"/>
      <c r="O30" s="428"/>
      <c r="P30" s="428"/>
      <c r="Q30" s="428"/>
      <c r="R30" s="428"/>
      <c r="S30" s="428"/>
      <c r="T30" s="428"/>
      <c r="U30" s="413">
        <f>F30</f>
        <v>28</v>
      </c>
      <c r="V30" s="414">
        <f>ROUND(U30*H30,0)</f>
        <v>1178520</v>
      </c>
      <c r="Y30" s="453"/>
      <c r="Z30" s="453"/>
    </row>
    <row r="31" spans="2:26" ht="14.4" x14ac:dyDescent="0.25">
      <c r="B31" s="415">
        <v>6181</v>
      </c>
      <c r="C31" s="423">
        <v>2.9</v>
      </c>
      <c r="D31" s="491" t="str">
        <f>+_xlfn.XLOOKUP(B31,APU_IDU[Código],APU_IDU[Nombre],"",0)</f>
        <v>ALQUILER DE PALETA PARE-SIGA EN POLIETILENO.</v>
      </c>
      <c r="E31" s="409" t="str">
        <f>+_xlfn.XLOOKUP(B31,APU_IDU[Código],APU_IDU[UM],"",0)</f>
        <v>UN/MES</v>
      </c>
      <c r="F31" s="452">
        <v>20</v>
      </c>
      <c r="G31" s="426"/>
      <c r="H31" s="492">
        <f>+_xlfn.XLOOKUP(B31,APU_IDU[Código],APU_IDU[Valor],"",0)</f>
        <v>2824</v>
      </c>
      <c r="I31" s="448"/>
      <c r="J31" s="411"/>
      <c r="K31" s="411">
        <v>1</v>
      </c>
      <c r="L31" s="411">
        <v>1</v>
      </c>
      <c r="M31" s="411">
        <v>1</v>
      </c>
      <c r="N31" s="412">
        <v>1</v>
      </c>
      <c r="O31" s="412">
        <v>1</v>
      </c>
      <c r="P31" s="412">
        <v>1</v>
      </c>
      <c r="Q31" s="412">
        <v>1</v>
      </c>
      <c r="R31" s="412">
        <v>1</v>
      </c>
      <c r="S31" s="412">
        <v>1</v>
      </c>
      <c r="T31" s="412">
        <v>1</v>
      </c>
      <c r="U31" s="413">
        <f>(SUM(J31:T31))*F31</f>
        <v>200</v>
      </c>
      <c r="V31" s="414">
        <f>ROUND(U31*H31,0)</f>
        <v>564800</v>
      </c>
      <c r="Y31" s="453"/>
      <c r="Z31" s="453"/>
    </row>
    <row r="32" spans="2:26" ht="14.4" thickBot="1" x14ac:dyDescent="0.3">
      <c r="C32" s="456"/>
      <c r="D32" s="457"/>
      <c r="E32" s="458"/>
      <c r="F32" s="459"/>
      <c r="G32" s="460"/>
      <c r="H32" s="461"/>
      <c r="I32" s="461"/>
      <c r="J32" s="461"/>
      <c r="K32" s="461"/>
      <c r="L32" s="461"/>
      <c r="M32" s="461"/>
      <c r="N32" s="461"/>
      <c r="O32" s="461"/>
      <c r="P32" s="461"/>
      <c r="Q32" s="461"/>
      <c r="R32" s="461"/>
      <c r="S32" s="461"/>
      <c r="T32" s="461"/>
      <c r="U32" s="457" t="s">
        <v>5404</v>
      </c>
      <c r="V32" s="462">
        <f>SUM(V22:V31)</f>
        <v>48835838</v>
      </c>
    </row>
    <row r="33" spans="3:24" x14ac:dyDescent="0.25">
      <c r="C33" s="463"/>
      <c r="D33" s="464"/>
      <c r="E33" s="465"/>
      <c r="F33" s="465"/>
      <c r="G33" s="466"/>
      <c r="H33" s="467"/>
      <c r="I33" s="467"/>
      <c r="J33" s="467"/>
      <c r="K33" s="467"/>
      <c r="L33" s="467"/>
      <c r="M33" s="467"/>
      <c r="N33" s="467"/>
      <c r="O33" s="467"/>
      <c r="P33" s="467"/>
      <c r="Q33" s="467"/>
      <c r="R33" s="467"/>
      <c r="S33" s="467"/>
      <c r="T33" s="467"/>
      <c r="U33" s="467"/>
      <c r="V33" s="468"/>
    </row>
    <row r="34" spans="3:24" x14ac:dyDescent="0.25">
      <c r="C34" s="463"/>
      <c r="D34" s="464"/>
      <c r="E34" s="465"/>
      <c r="F34" s="465"/>
      <c r="G34" s="466"/>
      <c r="H34" s="1232" t="s">
        <v>5405</v>
      </c>
      <c r="I34" s="1233"/>
      <c r="J34" s="469"/>
      <c r="K34" s="469"/>
      <c r="L34" s="469"/>
      <c r="M34" s="469"/>
      <c r="N34" s="469"/>
      <c r="O34" s="469"/>
      <c r="P34" s="469"/>
      <c r="Q34" s="469"/>
      <c r="R34" s="469"/>
      <c r="S34" s="469"/>
      <c r="T34" s="469"/>
      <c r="U34" s="470"/>
      <c r="V34" s="471">
        <f>V20+V32</f>
        <v>171752170</v>
      </c>
      <c r="W34" s="472"/>
    </row>
    <row r="35" spans="3:24" x14ac:dyDescent="0.25">
      <c r="C35" s="463"/>
      <c r="D35" s="464"/>
      <c r="E35" s="465"/>
      <c r="F35" s="465"/>
      <c r="G35" s="466"/>
      <c r="H35" s="1238" t="s">
        <v>5406</v>
      </c>
      <c r="I35" s="1239"/>
      <c r="J35" s="473"/>
      <c r="K35" s="473"/>
      <c r="L35" s="473"/>
      <c r="M35" s="473"/>
      <c r="N35" s="473"/>
      <c r="O35" s="473"/>
      <c r="P35" s="473"/>
      <c r="Q35" s="473"/>
      <c r="R35" s="473"/>
      <c r="S35" s="473"/>
      <c r="T35" s="473"/>
      <c r="U35" s="474">
        <f>+'AIU PMT'!L37</f>
        <v>0.15100271047521552</v>
      </c>
      <c r="V35" s="471">
        <f>ROUND((V34*U35),0)</f>
        <v>25935043</v>
      </c>
    </row>
    <row r="36" spans="3:24" ht="15.6" x14ac:dyDescent="0.25">
      <c r="C36" s="475"/>
      <c r="D36" s="395"/>
      <c r="E36" s="475"/>
      <c r="F36" s="475"/>
      <c r="G36" s="475"/>
      <c r="H36" s="1232" t="s">
        <v>5295</v>
      </c>
      <c r="I36" s="1233"/>
      <c r="J36" s="469"/>
      <c r="K36" s="469"/>
      <c r="L36" s="469"/>
      <c r="M36" s="469"/>
      <c r="N36" s="469"/>
      <c r="O36" s="469"/>
      <c r="P36" s="469"/>
      <c r="Q36" s="469"/>
      <c r="R36" s="469"/>
      <c r="S36" s="469"/>
      <c r="T36" s="469"/>
      <c r="U36" s="470"/>
      <c r="V36" s="476">
        <f>V34+V35</f>
        <v>197687213</v>
      </c>
      <c r="W36" s="477"/>
      <c r="X36" s="472"/>
    </row>
    <row r="37" spans="3:24" x14ac:dyDescent="0.25">
      <c r="H37" s="478" t="s">
        <v>5407</v>
      </c>
      <c r="U37" s="387" t="e">
        <f>+V36/#REF!</f>
        <v>#REF!</v>
      </c>
      <c r="V37" s="479"/>
      <c r="W37" s="454"/>
    </row>
    <row r="38" spans="3:24" x14ac:dyDescent="0.25">
      <c r="V38" s="389"/>
    </row>
    <row r="40" spans="3:24" x14ac:dyDescent="0.25">
      <c r="V40" s="480"/>
    </row>
  </sheetData>
  <mergeCells count="24">
    <mergeCell ref="H36:I36"/>
    <mergeCell ref="U12:U13"/>
    <mergeCell ref="V12:V13"/>
    <mergeCell ref="H34:I34"/>
    <mergeCell ref="H35:I35"/>
    <mergeCell ref="I12:I13"/>
    <mergeCell ref="K12:T12"/>
    <mergeCell ref="C12:C13"/>
    <mergeCell ref="D12:D13"/>
    <mergeCell ref="E12:F12"/>
    <mergeCell ref="G12:G13"/>
    <mergeCell ref="H12:H13"/>
    <mergeCell ref="C6:D6"/>
    <mergeCell ref="E6:V6"/>
    <mergeCell ref="C8:V8"/>
    <mergeCell ref="E10:F10"/>
    <mergeCell ref="H10:I10"/>
    <mergeCell ref="U10:V10"/>
    <mergeCell ref="C2:T2"/>
    <mergeCell ref="U2:V4"/>
    <mergeCell ref="C3:T3"/>
    <mergeCell ref="C4:T4"/>
    <mergeCell ref="C5:T5"/>
    <mergeCell ref="U5:V5"/>
  </mergeCells>
  <pageMargins left="0.7" right="0.7" top="0.75" bottom="0.75" header="0.3" footer="0.3"/>
  <pageSetup scale="31"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6B1D2-5E5D-4700-8C4F-A1981AE4389B}">
  <sheetPr>
    <tabColor theme="2" tint="-0.249977111117893"/>
    <pageSetUpPr fitToPage="1"/>
  </sheetPr>
  <dimension ref="A1:P42"/>
  <sheetViews>
    <sheetView view="pageBreakPreview" topLeftCell="B17" zoomScaleNormal="100" zoomScaleSheetLayoutView="100" workbookViewId="0">
      <selection activeCell="J9" sqref="J9:L9"/>
    </sheetView>
  </sheetViews>
  <sheetFormatPr baseColWidth="10" defaultRowHeight="13.2" x14ac:dyDescent="0.3"/>
  <cols>
    <col min="1" max="1" width="7.109375" style="283" bestFit="1" customWidth="1"/>
    <col min="2" max="2" width="5.33203125" style="283" bestFit="1" customWidth="1"/>
    <col min="3" max="3" width="43.6640625" style="284" customWidth="1"/>
    <col min="4" max="4" width="13.5546875" style="284" customWidth="1"/>
    <col min="5" max="5" width="10.109375" style="284" customWidth="1"/>
    <col min="6" max="6" width="10" style="284" customWidth="1"/>
    <col min="7" max="7" width="6.109375" style="284" bestFit="1" customWidth="1"/>
    <col min="8" max="8" width="4.6640625" style="284" customWidth="1"/>
    <col min="9" max="9" width="14.88671875" style="284" bestFit="1" customWidth="1"/>
    <col min="10" max="10" width="12.88671875" style="284" bestFit="1" customWidth="1"/>
    <col min="11" max="11" width="7.6640625" style="284" customWidth="1"/>
    <col min="12" max="12" width="18" style="284" customWidth="1"/>
    <col min="13" max="13" width="8.33203125" style="284" customWidth="1"/>
    <col min="14" max="14" width="16" style="284" customWidth="1"/>
    <col min="15" max="15" width="15.109375" style="284" bestFit="1" customWidth="1"/>
    <col min="16" max="16" width="14.109375" style="284" bestFit="1" customWidth="1"/>
    <col min="17" max="256" width="11.5546875" style="284"/>
    <col min="257" max="257" width="7.109375" style="284" bestFit="1" customWidth="1"/>
    <col min="258" max="258" width="5.33203125" style="284" bestFit="1" customWidth="1"/>
    <col min="259" max="259" width="43.6640625" style="284" customWidth="1"/>
    <col min="260" max="260" width="13.5546875" style="284" customWidth="1"/>
    <col min="261" max="261" width="10.109375" style="284" customWidth="1"/>
    <col min="262" max="262" width="10" style="284" customWidth="1"/>
    <col min="263" max="263" width="6.109375" style="284" bestFit="1" customWidth="1"/>
    <col min="264" max="264" width="4.6640625" style="284" customWidth="1"/>
    <col min="265" max="265" width="14.88671875" style="284" bestFit="1" customWidth="1"/>
    <col min="266" max="266" width="12.88671875" style="284" bestFit="1" customWidth="1"/>
    <col min="267" max="267" width="7.6640625" style="284" customWidth="1"/>
    <col min="268" max="268" width="18" style="284" customWidth="1"/>
    <col min="269" max="269" width="8.33203125" style="284" customWidth="1"/>
    <col min="270" max="270" width="16" style="284" customWidth="1"/>
    <col min="271" max="271" width="15.109375" style="284" bestFit="1" customWidth="1"/>
    <col min="272" max="272" width="14.109375" style="284" bestFit="1" customWidth="1"/>
    <col min="273" max="512" width="11.5546875" style="284"/>
    <col min="513" max="513" width="7.109375" style="284" bestFit="1" customWidth="1"/>
    <col min="514" max="514" width="5.33203125" style="284" bestFit="1" customWidth="1"/>
    <col min="515" max="515" width="43.6640625" style="284" customWidth="1"/>
    <col min="516" max="516" width="13.5546875" style="284" customWidth="1"/>
    <col min="517" max="517" width="10.109375" style="284" customWidth="1"/>
    <col min="518" max="518" width="10" style="284" customWidth="1"/>
    <col min="519" max="519" width="6.109375" style="284" bestFit="1" customWidth="1"/>
    <col min="520" max="520" width="4.6640625" style="284" customWidth="1"/>
    <col min="521" max="521" width="14.88671875" style="284" bestFit="1" customWidth="1"/>
    <col min="522" max="522" width="12.88671875" style="284" bestFit="1" customWidth="1"/>
    <col min="523" max="523" width="7.6640625" style="284" customWidth="1"/>
    <col min="524" max="524" width="18" style="284" customWidth="1"/>
    <col min="525" max="525" width="8.33203125" style="284" customWidth="1"/>
    <col min="526" max="526" width="16" style="284" customWidth="1"/>
    <col min="527" max="527" width="15.109375" style="284" bestFit="1" customWidth="1"/>
    <col min="528" max="528" width="14.109375" style="284" bestFit="1" customWidth="1"/>
    <col min="529" max="768" width="11.5546875" style="284"/>
    <col min="769" max="769" width="7.109375" style="284" bestFit="1" customWidth="1"/>
    <col min="770" max="770" width="5.33203125" style="284" bestFit="1" customWidth="1"/>
    <col min="771" max="771" width="43.6640625" style="284" customWidth="1"/>
    <col min="772" max="772" width="13.5546875" style="284" customWidth="1"/>
    <col min="773" max="773" width="10.109375" style="284" customWidth="1"/>
    <col min="774" max="774" width="10" style="284" customWidth="1"/>
    <col min="775" max="775" width="6.109375" style="284" bestFit="1" customWidth="1"/>
    <col min="776" max="776" width="4.6640625" style="284" customWidth="1"/>
    <col min="777" max="777" width="14.88671875" style="284" bestFit="1" customWidth="1"/>
    <col min="778" max="778" width="12.88671875" style="284" bestFit="1" customWidth="1"/>
    <col min="779" max="779" width="7.6640625" style="284" customWidth="1"/>
    <col min="780" max="780" width="18" style="284" customWidth="1"/>
    <col min="781" max="781" width="8.33203125" style="284" customWidth="1"/>
    <col min="782" max="782" width="16" style="284" customWidth="1"/>
    <col min="783" max="783" width="15.109375" style="284" bestFit="1" customWidth="1"/>
    <col min="784" max="784" width="14.109375" style="284" bestFit="1" customWidth="1"/>
    <col min="785" max="1024" width="11.5546875" style="284"/>
    <col min="1025" max="1025" width="7.109375" style="284" bestFit="1" customWidth="1"/>
    <col min="1026" max="1026" width="5.33203125" style="284" bestFit="1" customWidth="1"/>
    <col min="1027" max="1027" width="43.6640625" style="284" customWidth="1"/>
    <col min="1028" max="1028" width="13.5546875" style="284" customWidth="1"/>
    <col min="1029" max="1029" width="10.109375" style="284" customWidth="1"/>
    <col min="1030" max="1030" width="10" style="284" customWidth="1"/>
    <col min="1031" max="1031" width="6.109375" style="284" bestFit="1" customWidth="1"/>
    <col min="1032" max="1032" width="4.6640625" style="284" customWidth="1"/>
    <col min="1033" max="1033" width="14.88671875" style="284" bestFit="1" customWidth="1"/>
    <col min="1034" max="1034" width="12.88671875" style="284" bestFit="1" customWidth="1"/>
    <col min="1035" max="1035" width="7.6640625" style="284" customWidth="1"/>
    <col min="1036" max="1036" width="18" style="284" customWidth="1"/>
    <col min="1037" max="1037" width="8.33203125" style="284" customWidth="1"/>
    <col min="1038" max="1038" width="16" style="284" customWidth="1"/>
    <col min="1039" max="1039" width="15.109375" style="284" bestFit="1" customWidth="1"/>
    <col min="1040" max="1040" width="14.109375" style="284" bestFit="1" customWidth="1"/>
    <col min="1041" max="1280" width="11.5546875" style="284"/>
    <col min="1281" max="1281" width="7.109375" style="284" bestFit="1" customWidth="1"/>
    <col min="1282" max="1282" width="5.33203125" style="284" bestFit="1" customWidth="1"/>
    <col min="1283" max="1283" width="43.6640625" style="284" customWidth="1"/>
    <col min="1284" max="1284" width="13.5546875" style="284" customWidth="1"/>
    <col min="1285" max="1285" width="10.109375" style="284" customWidth="1"/>
    <col min="1286" max="1286" width="10" style="284" customWidth="1"/>
    <col min="1287" max="1287" width="6.109375" style="284" bestFit="1" customWidth="1"/>
    <col min="1288" max="1288" width="4.6640625" style="284" customWidth="1"/>
    <col min="1289" max="1289" width="14.88671875" style="284" bestFit="1" customWidth="1"/>
    <col min="1290" max="1290" width="12.88671875" style="284" bestFit="1" customWidth="1"/>
    <col min="1291" max="1291" width="7.6640625" style="284" customWidth="1"/>
    <col min="1292" max="1292" width="18" style="284" customWidth="1"/>
    <col min="1293" max="1293" width="8.33203125" style="284" customWidth="1"/>
    <col min="1294" max="1294" width="16" style="284" customWidth="1"/>
    <col min="1295" max="1295" width="15.109375" style="284" bestFit="1" customWidth="1"/>
    <col min="1296" max="1296" width="14.109375" style="284" bestFit="1" customWidth="1"/>
    <col min="1297" max="1536" width="11.5546875" style="284"/>
    <col min="1537" max="1537" width="7.109375" style="284" bestFit="1" customWidth="1"/>
    <col min="1538" max="1538" width="5.33203125" style="284" bestFit="1" customWidth="1"/>
    <col min="1539" max="1539" width="43.6640625" style="284" customWidth="1"/>
    <col min="1540" max="1540" width="13.5546875" style="284" customWidth="1"/>
    <col min="1541" max="1541" width="10.109375" style="284" customWidth="1"/>
    <col min="1542" max="1542" width="10" style="284" customWidth="1"/>
    <col min="1543" max="1543" width="6.109375" style="284" bestFit="1" customWidth="1"/>
    <col min="1544" max="1544" width="4.6640625" style="284" customWidth="1"/>
    <col min="1545" max="1545" width="14.88671875" style="284" bestFit="1" customWidth="1"/>
    <col min="1546" max="1546" width="12.88671875" style="284" bestFit="1" customWidth="1"/>
    <col min="1547" max="1547" width="7.6640625" style="284" customWidth="1"/>
    <col min="1548" max="1548" width="18" style="284" customWidth="1"/>
    <col min="1549" max="1549" width="8.33203125" style="284" customWidth="1"/>
    <col min="1550" max="1550" width="16" style="284" customWidth="1"/>
    <col min="1551" max="1551" width="15.109375" style="284" bestFit="1" customWidth="1"/>
    <col min="1552" max="1552" width="14.109375" style="284" bestFit="1" customWidth="1"/>
    <col min="1553" max="1792" width="11.5546875" style="284"/>
    <col min="1793" max="1793" width="7.109375" style="284" bestFit="1" customWidth="1"/>
    <col min="1794" max="1794" width="5.33203125" style="284" bestFit="1" customWidth="1"/>
    <col min="1795" max="1795" width="43.6640625" style="284" customWidth="1"/>
    <col min="1796" max="1796" width="13.5546875" style="284" customWidth="1"/>
    <col min="1797" max="1797" width="10.109375" style="284" customWidth="1"/>
    <col min="1798" max="1798" width="10" style="284" customWidth="1"/>
    <col min="1799" max="1799" width="6.109375" style="284" bestFit="1" customWidth="1"/>
    <col min="1800" max="1800" width="4.6640625" style="284" customWidth="1"/>
    <col min="1801" max="1801" width="14.88671875" style="284" bestFit="1" customWidth="1"/>
    <col min="1802" max="1802" width="12.88671875" style="284" bestFit="1" customWidth="1"/>
    <col min="1803" max="1803" width="7.6640625" style="284" customWidth="1"/>
    <col min="1804" max="1804" width="18" style="284" customWidth="1"/>
    <col min="1805" max="1805" width="8.33203125" style="284" customWidth="1"/>
    <col min="1806" max="1806" width="16" style="284" customWidth="1"/>
    <col min="1807" max="1807" width="15.109375" style="284" bestFit="1" customWidth="1"/>
    <col min="1808" max="1808" width="14.109375" style="284" bestFit="1" customWidth="1"/>
    <col min="1809" max="2048" width="11.5546875" style="284"/>
    <col min="2049" max="2049" width="7.109375" style="284" bestFit="1" customWidth="1"/>
    <col min="2050" max="2050" width="5.33203125" style="284" bestFit="1" customWidth="1"/>
    <col min="2051" max="2051" width="43.6640625" style="284" customWidth="1"/>
    <col min="2052" max="2052" width="13.5546875" style="284" customWidth="1"/>
    <col min="2053" max="2053" width="10.109375" style="284" customWidth="1"/>
    <col min="2054" max="2054" width="10" style="284" customWidth="1"/>
    <col min="2055" max="2055" width="6.109375" style="284" bestFit="1" customWidth="1"/>
    <col min="2056" max="2056" width="4.6640625" style="284" customWidth="1"/>
    <col min="2057" max="2057" width="14.88671875" style="284" bestFit="1" customWidth="1"/>
    <col min="2058" max="2058" width="12.88671875" style="284" bestFit="1" customWidth="1"/>
    <col min="2059" max="2059" width="7.6640625" style="284" customWidth="1"/>
    <col min="2060" max="2060" width="18" style="284" customWidth="1"/>
    <col min="2061" max="2061" width="8.33203125" style="284" customWidth="1"/>
    <col min="2062" max="2062" width="16" style="284" customWidth="1"/>
    <col min="2063" max="2063" width="15.109375" style="284" bestFit="1" customWidth="1"/>
    <col min="2064" max="2064" width="14.109375" style="284" bestFit="1" customWidth="1"/>
    <col min="2065" max="2304" width="11.5546875" style="284"/>
    <col min="2305" max="2305" width="7.109375" style="284" bestFit="1" customWidth="1"/>
    <col min="2306" max="2306" width="5.33203125" style="284" bestFit="1" customWidth="1"/>
    <col min="2307" max="2307" width="43.6640625" style="284" customWidth="1"/>
    <col min="2308" max="2308" width="13.5546875" style="284" customWidth="1"/>
    <col min="2309" max="2309" width="10.109375" style="284" customWidth="1"/>
    <col min="2310" max="2310" width="10" style="284" customWidth="1"/>
    <col min="2311" max="2311" width="6.109375" style="284" bestFit="1" customWidth="1"/>
    <col min="2312" max="2312" width="4.6640625" style="284" customWidth="1"/>
    <col min="2313" max="2313" width="14.88671875" style="284" bestFit="1" customWidth="1"/>
    <col min="2314" max="2314" width="12.88671875" style="284" bestFit="1" customWidth="1"/>
    <col min="2315" max="2315" width="7.6640625" style="284" customWidth="1"/>
    <col min="2316" max="2316" width="18" style="284" customWidth="1"/>
    <col min="2317" max="2317" width="8.33203125" style="284" customWidth="1"/>
    <col min="2318" max="2318" width="16" style="284" customWidth="1"/>
    <col min="2319" max="2319" width="15.109375" style="284" bestFit="1" customWidth="1"/>
    <col min="2320" max="2320" width="14.109375" style="284" bestFit="1" customWidth="1"/>
    <col min="2321" max="2560" width="11.5546875" style="284"/>
    <col min="2561" max="2561" width="7.109375" style="284" bestFit="1" customWidth="1"/>
    <col min="2562" max="2562" width="5.33203125" style="284" bestFit="1" customWidth="1"/>
    <col min="2563" max="2563" width="43.6640625" style="284" customWidth="1"/>
    <col min="2564" max="2564" width="13.5546875" style="284" customWidth="1"/>
    <col min="2565" max="2565" width="10.109375" style="284" customWidth="1"/>
    <col min="2566" max="2566" width="10" style="284" customWidth="1"/>
    <col min="2567" max="2567" width="6.109375" style="284" bestFit="1" customWidth="1"/>
    <col min="2568" max="2568" width="4.6640625" style="284" customWidth="1"/>
    <col min="2569" max="2569" width="14.88671875" style="284" bestFit="1" customWidth="1"/>
    <col min="2570" max="2570" width="12.88671875" style="284" bestFit="1" customWidth="1"/>
    <col min="2571" max="2571" width="7.6640625" style="284" customWidth="1"/>
    <col min="2572" max="2572" width="18" style="284" customWidth="1"/>
    <col min="2573" max="2573" width="8.33203125" style="284" customWidth="1"/>
    <col min="2574" max="2574" width="16" style="284" customWidth="1"/>
    <col min="2575" max="2575" width="15.109375" style="284" bestFit="1" customWidth="1"/>
    <col min="2576" max="2576" width="14.109375" style="284" bestFit="1" customWidth="1"/>
    <col min="2577" max="2816" width="11.5546875" style="284"/>
    <col min="2817" max="2817" width="7.109375" style="284" bestFit="1" customWidth="1"/>
    <col min="2818" max="2818" width="5.33203125" style="284" bestFit="1" customWidth="1"/>
    <col min="2819" max="2819" width="43.6640625" style="284" customWidth="1"/>
    <col min="2820" max="2820" width="13.5546875" style="284" customWidth="1"/>
    <col min="2821" max="2821" width="10.109375" style="284" customWidth="1"/>
    <col min="2822" max="2822" width="10" style="284" customWidth="1"/>
    <col min="2823" max="2823" width="6.109375" style="284" bestFit="1" customWidth="1"/>
    <col min="2824" max="2824" width="4.6640625" style="284" customWidth="1"/>
    <col min="2825" max="2825" width="14.88671875" style="284" bestFit="1" customWidth="1"/>
    <col min="2826" max="2826" width="12.88671875" style="284" bestFit="1" customWidth="1"/>
    <col min="2827" max="2827" width="7.6640625" style="284" customWidth="1"/>
    <col min="2828" max="2828" width="18" style="284" customWidth="1"/>
    <col min="2829" max="2829" width="8.33203125" style="284" customWidth="1"/>
    <col min="2830" max="2830" width="16" style="284" customWidth="1"/>
    <col min="2831" max="2831" width="15.109375" style="284" bestFit="1" customWidth="1"/>
    <col min="2832" max="2832" width="14.109375" style="284" bestFit="1" customWidth="1"/>
    <col min="2833" max="3072" width="11.5546875" style="284"/>
    <col min="3073" max="3073" width="7.109375" style="284" bestFit="1" customWidth="1"/>
    <col min="3074" max="3074" width="5.33203125" style="284" bestFit="1" customWidth="1"/>
    <col min="3075" max="3075" width="43.6640625" style="284" customWidth="1"/>
    <col min="3076" max="3076" width="13.5546875" style="284" customWidth="1"/>
    <col min="3077" max="3077" width="10.109375" style="284" customWidth="1"/>
    <col min="3078" max="3078" width="10" style="284" customWidth="1"/>
    <col min="3079" max="3079" width="6.109375" style="284" bestFit="1" customWidth="1"/>
    <col min="3080" max="3080" width="4.6640625" style="284" customWidth="1"/>
    <col min="3081" max="3081" width="14.88671875" style="284" bestFit="1" customWidth="1"/>
    <col min="3082" max="3082" width="12.88671875" style="284" bestFit="1" customWidth="1"/>
    <col min="3083" max="3083" width="7.6640625" style="284" customWidth="1"/>
    <col min="3084" max="3084" width="18" style="284" customWidth="1"/>
    <col min="3085" max="3085" width="8.33203125" style="284" customWidth="1"/>
    <col min="3086" max="3086" width="16" style="284" customWidth="1"/>
    <col min="3087" max="3087" width="15.109375" style="284" bestFit="1" customWidth="1"/>
    <col min="3088" max="3088" width="14.109375" style="284" bestFit="1" customWidth="1"/>
    <col min="3089" max="3328" width="11.5546875" style="284"/>
    <col min="3329" max="3329" width="7.109375" style="284" bestFit="1" customWidth="1"/>
    <col min="3330" max="3330" width="5.33203125" style="284" bestFit="1" customWidth="1"/>
    <col min="3331" max="3331" width="43.6640625" style="284" customWidth="1"/>
    <col min="3332" max="3332" width="13.5546875" style="284" customWidth="1"/>
    <col min="3333" max="3333" width="10.109375" style="284" customWidth="1"/>
    <col min="3334" max="3334" width="10" style="284" customWidth="1"/>
    <col min="3335" max="3335" width="6.109375" style="284" bestFit="1" customWidth="1"/>
    <col min="3336" max="3336" width="4.6640625" style="284" customWidth="1"/>
    <col min="3337" max="3337" width="14.88671875" style="284" bestFit="1" customWidth="1"/>
    <col min="3338" max="3338" width="12.88671875" style="284" bestFit="1" customWidth="1"/>
    <col min="3339" max="3339" width="7.6640625" style="284" customWidth="1"/>
    <col min="3340" max="3340" width="18" style="284" customWidth="1"/>
    <col min="3341" max="3341" width="8.33203125" style="284" customWidth="1"/>
    <col min="3342" max="3342" width="16" style="284" customWidth="1"/>
    <col min="3343" max="3343" width="15.109375" style="284" bestFit="1" customWidth="1"/>
    <col min="3344" max="3344" width="14.109375" style="284" bestFit="1" customWidth="1"/>
    <col min="3345" max="3584" width="11.5546875" style="284"/>
    <col min="3585" max="3585" width="7.109375" style="284" bestFit="1" customWidth="1"/>
    <col min="3586" max="3586" width="5.33203125" style="284" bestFit="1" customWidth="1"/>
    <col min="3587" max="3587" width="43.6640625" style="284" customWidth="1"/>
    <col min="3588" max="3588" width="13.5546875" style="284" customWidth="1"/>
    <col min="3589" max="3589" width="10.109375" style="284" customWidth="1"/>
    <col min="3590" max="3590" width="10" style="284" customWidth="1"/>
    <col min="3591" max="3591" width="6.109375" style="284" bestFit="1" customWidth="1"/>
    <col min="3592" max="3592" width="4.6640625" style="284" customWidth="1"/>
    <col min="3593" max="3593" width="14.88671875" style="284" bestFit="1" customWidth="1"/>
    <col min="3594" max="3594" width="12.88671875" style="284" bestFit="1" customWidth="1"/>
    <col min="3595" max="3595" width="7.6640625" style="284" customWidth="1"/>
    <col min="3596" max="3596" width="18" style="284" customWidth="1"/>
    <col min="3597" max="3597" width="8.33203125" style="284" customWidth="1"/>
    <col min="3598" max="3598" width="16" style="284" customWidth="1"/>
    <col min="3599" max="3599" width="15.109375" style="284" bestFit="1" customWidth="1"/>
    <col min="3600" max="3600" width="14.109375" style="284" bestFit="1" customWidth="1"/>
    <col min="3601" max="3840" width="11.5546875" style="284"/>
    <col min="3841" max="3841" width="7.109375" style="284" bestFit="1" customWidth="1"/>
    <col min="3842" max="3842" width="5.33203125" style="284" bestFit="1" customWidth="1"/>
    <col min="3843" max="3843" width="43.6640625" style="284" customWidth="1"/>
    <col min="3844" max="3844" width="13.5546875" style="284" customWidth="1"/>
    <col min="3845" max="3845" width="10.109375" style="284" customWidth="1"/>
    <col min="3846" max="3846" width="10" style="284" customWidth="1"/>
    <col min="3847" max="3847" width="6.109375" style="284" bestFit="1" customWidth="1"/>
    <col min="3848" max="3848" width="4.6640625" style="284" customWidth="1"/>
    <col min="3849" max="3849" width="14.88671875" style="284" bestFit="1" customWidth="1"/>
    <col min="3850" max="3850" width="12.88671875" style="284" bestFit="1" customWidth="1"/>
    <col min="3851" max="3851" width="7.6640625" style="284" customWidth="1"/>
    <col min="3852" max="3852" width="18" style="284" customWidth="1"/>
    <col min="3853" max="3853" width="8.33203125" style="284" customWidth="1"/>
    <col min="3854" max="3854" width="16" style="284" customWidth="1"/>
    <col min="3855" max="3855" width="15.109375" style="284" bestFit="1" customWidth="1"/>
    <col min="3856" max="3856" width="14.109375" style="284" bestFit="1" customWidth="1"/>
    <col min="3857" max="4096" width="11.5546875" style="284"/>
    <col min="4097" max="4097" width="7.109375" style="284" bestFit="1" customWidth="1"/>
    <col min="4098" max="4098" width="5.33203125" style="284" bestFit="1" customWidth="1"/>
    <col min="4099" max="4099" width="43.6640625" style="284" customWidth="1"/>
    <col min="4100" max="4100" width="13.5546875" style="284" customWidth="1"/>
    <col min="4101" max="4101" width="10.109375" style="284" customWidth="1"/>
    <col min="4102" max="4102" width="10" style="284" customWidth="1"/>
    <col min="4103" max="4103" width="6.109375" style="284" bestFit="1" customWidth="1"/>
    <col min="4104" max="4104" width="4.6640625" style="284" customWidth="1"/>
    <col min="4105" max="4105" width="14.88671875" style="284" bestFit="1" customWidth="1"/>
    <col min="4106" max="4106" width="12.88671875" style="284" bestFit="1" customWidth="1"/>
    <col min="4107" max="4107" width="7.6640625" style="284" customWidth="1"/>
    <col min="4108" max="4108" width="18" style="284" customWidth="1"/>
    <col min="4109" max="4109" width="8.33203125" style="284" customWidth="1"/>
    <col min="4110" max="4110" width="16" style="284" customWidth="1"/>
    <col min="4111" max="4111" width="15.109375" style="284" bestFit="1" customWidth="1"/>
    <col min="4112" max="4112" width="14.109375" style="284" bestFit="1" customWidth="1"/>
    <col min="4113" max="4352" width="11.5546875" style="284"/>
    <col min="4353" max="4353" width="7.109375" style="284" bestFit="1" customWidth="1"/>
    <col min="4354" max="4354" width="5.33203125" style="284" bestFit="1" customWidth="1"/>
    <col min="4355" max="4355" width="43.6640625" style="284" customWidth="1"/>
    <col min="4356" max="4356" width="13.5546875" style="284" customWidth="1"/>
    <col min="4357" max="4357" width="10.109375" style="284" customWidth="1"/>
    <col min="4358" max="4358" width="10" style="284" customWidth="1"/>
    <col min="4359" max="4359" width="6.109375" style="284" bestFit="1" customWidth="1"/>
    <col min="4360" max="4360" width="4.6640625" style="284" customWidth="1"/>
    <col min="4361" max="4361" width="14.88671875" style="284" bestFit="1" customWidth="1"/>
    <col min="4362" max="4362" width="12.88671875" style="284" bestFit="1" customWidth="1"/>
    <col min="4363" max="4363" width="7.6640625" style="284" customWidth="1"/>
    <col min="4364" max="4364" width="18" style="284" customWidth="1"/>
    <col min="4365" max="4365" width="8.33203125" style="284" customWidth="1"/>
    <col min="4366" max="4366" width="16" style="284" customWidth="1"/>
    <col min="4367" max="4367" width="15.109375" style="284" bestFit="1" customWidth="1"/>
    <col min="4368" max="4368" width="14.109375" style="284" bestFit="1" customWidth="1"/>
    <col min="4369" max="4608" width="11.5546875" style="284"/>
    <col min="4609" max="4609" width="7.109375" style="284" bestFit="1" customWidth="1"/>
    <col min="4610" max="4610" width="5.33203125" style="284" bestFit="1" customWidth="1"/>
    <col min="4611" max="4611" width="43.6640625" style="284" customWidth="1"/>
    <col min="4612" max="4612" width="13.5546875" style="284" customWidth="1"/>
    <col min="4613" max="4613" width="10.109375" style="284" customWidth="1"/>
    <col min="4614" max="4614" width="10" style="284" customWidth="1"/>
    <col min="4615" max="4615" width="6.109375" style="284" bestFit="1" customWidth="1"/>
    <col min="4616" max="4616" width="4.6640625" style="284" customWidth="1"/>
    <col min="4617" max="4617" width="14.88671875" style="284" bestFit="1" customWidth="1"/>
    <col min="4618" max="4618" width="12.88671875" style="284" bestFit="1" customWidth="1"/>
    <col min="4619" max="4619" width="7.6640625" style="284" customWidth="1"/>
    <col min="4620" max="4620" width="18" style="284" customWidth="1"/>
    <col min="4621" max="4621" width="8.33203125" style="284" customWidth="1"/>
    <col min="4622" max="4622" width="16" style="284" customWidth="1"/>
    <col min="4623" max="4623" width="15.109375" style="284" bestFit="1" customWidth="1"/>
    <col min="4624" max="4624" width="14.109375" style="284" bestFit="1" customWidth="1"/>
    <col min="4625" max="4864" width="11.5546875" style="284"/>
    <col min="4865" max="4865" width="7.109375" style="284" bestFit="1" customWidth="1"/>
    <col min="4866" max="4866" width="5.33203125" style="284" bestFit="1" customWidth="1"/>
    <col min="4867" max="4867" width="43.6640625" style="284" customWidth="1"/>
    <col min="4868" max="4868" width="13.5546875" style="284" customWidth="1"/>
    <col min="4869" max="4869" width="10.109375" style="284" customWidth="1"/>
    <col min="4870" max="4870" width="10" style="284" customWidth="1"/>
    <col min="4871" max="4871" width="6.109375" style="284" bestFit="1" customWidth="1"/>
    <col min="4872" max="4872" width="4.6640625" style="284" customWidth="1"/>
    <col min="4873" max="4873" width="14.88671875" style="284" bestFit="1" customWidth="1"/>
    <col min="4874" max="4874" width="12.88671875" style="284" bestFit="1" customWidth="1"/>
    <col min="4875" max="4875" width="7.6640625" style="284" customWidth="1"/>
    <col min="4876" max="4876" width="18" style="284" customWidth="1"/>
    <col min="4877" max="4877" width="8.33203125" style="284" customWidth="1"/>
    <col min="4878" max="4878" width="16" style="284" customWidth="1"/>
    <col min="4879" max="4879" width="15.109375" style="284" bestFit="1" customWidth="1"/>
    <col min="4880" max="4880" width="14.109375" style="284" bestFit="1" customWidth="1"/>
    <col min="4881" max="5120" width="11.5546875" style="284"/>
    <col min="5121" max="5121" width="7.109375" style="284" bestFit="1" customWidth="1"/>
    <col min="5122" max="5122" width="5.33203125" style="284" bestFit="1" customWidth="1"/>
    <col min="5123" max="5123" width="43.6640625" style="284" customWidth="1"/>
    <col min="5124" max="5124" width="13.5546875" style="284" customWidth="1"/>
    <col min="5125" max="5125" width="10.109375" style="284" customWidth="1"/>
    <col min="5126" max="5126" width="10" style="284" customWidth="1"/>
    <col min="5127" max="5127" width="6.109375" style="284" bestFit="1" customWidth="1"/>
    <col min="5128" max="5128" width="4.6640625" style="284" customWidth="1"/>
    <col min="5129" max="5129" width="14.88671875" style="284" bestFit="1" customWidth="1"/>
    <col min="5130" max="5130" width="12.88671875" style="284" bestFit="1" customWidth="1"/>
    <col min="5131" max="5131" width="7.6640625" style="284" customWidth="1"/>
    <col min="5132" max="5132" width="18" style="284" customWidth="1"/>
    <col min="5133" max="5133" width="8.33203125" style="284" customWidth="1"/>
    <col min="5134" max="5134" width="16" style="284" customWidth="1"/>
    <col min="5135" max="5135" width="15.109375" style="284" bestFit="1" customWidth="1"/>
    <col min="5136" max="5136" width="14.109375" style="284" bestFit="1" customWidth="1"/>
    <col min="5137" max="5376" width="11.5546875" style="284"/>
    <col min="5377" max="5377" width="7.109375" style="284" bestFit="1" customWidth="1"/>
    <col min="5378" max="5378" width="5.33203125" style="284" bestFit="1" customWidth="1"/>
    <col min="5379" max="5379" width="43.6640625" style="284" customWidth="1"/>
    <col min="5380" max="5380" width="13.5546875" style="284" customWidth="1"/>
    <col min="5381" max="5381" width="10.109375" style="284" customWidth="1"/>
    <col min="5382" max="5382" width="10" style="284" customWidth="1"/>
    <col min="5383" max="5383" width="6.109375" style="284" bestFit="1" customWidth="1"/>
    <col min="5384" max="5384" width="4.6640625" style="284" customWidth="1"/>
    <col min="5385" max="5385" width="14.88671875" style="284" bestFit="1" customWidth="1"/>
    <col min="5386" max="5386" width="12.88671875" style="284" bestFit="1" customWidth="1"/>
    <col min="5387" max="5387" width="7.6640625" style="284" customWidth="1"/>
    <col min="5388" max="5388" width="18" style="284" customWidth="1"/>
    <col min="5389" max="5389" width="8.33203125" style="284" customWidth="1"/>
    <col min="5390" max="5390" width="16" style="284" customWidth="1"/>
    <col min="5391" max="5391" width="15.109375" style="284" bestFit="1" customWidth="1"/>
    <col min="5392" max="5392" width="14.109375" style="284" bestFit="1" customWidth="1"/>
    <col min="5393" max="5632" width="11.5546875" style="284"/>
    <col min="5633" max="5633" width="7.109375" style="284" bestFit="1" customWidth="1"/>
    <col min="5634" max="5634" width="5.33203125" style="284" bestFit="1" customWidth="1"/>
    <col min="5635" max="5635" width="43.6640625" style="284" customWidth="1"/>
    <col min="5636" max="5636" width="13.5546875" style="284" customWidth="1"/>
    <col min="5637" max="5637" width="10.109375" style="284" customWidth="1"/>
    <col min="5638" max="5638" width="10" style="284" customWidth="1"/>
    <col min="5639" max="5639" width="6.109375" style="284" bestFit="1" customWidth="1"/>
    <col min="5640" max="5640" width="4.6640625" style="284" customWidth="1"/>
    <col min="5641" max="5641" width="14.88671875" style="284" bestFit="1" customWidth="1"/>
    <col min="5642" max="5642" width="12.88671875" style="284" bestFit="1" customWidth="1"/>
    <col min="5643" max="5643" width="7.6640625" style="284" customWidth="1"/>
    <col min="5644" max="5644" width="18" style="284" customWidth="1"/>
    <col min="5645" max="5645" width="8.33203125" style="284" customWidth="1"/>
    <col min="5646" max="5646" width="16" style="284" customWidth="1"/>
    <col min="5647" max="5647" width="15.109375" style="284" bestFit="1" customWidth="1"/>
    <col min="5648" max="5648" width="14.109375" style="284" bestFit="1" customWidth="1"/>
    <col min="5649" max="5888" width="11.5546875" style="284"/>
    <col min="5889" max="5889" width="7.109375" style="284" bestFit="1" customWidth="1"/>
    <col min="5890" max="5890" width="5.33203125" style="284" bestFit="1" customWidth="1"/>
    <col min="5891" max="5891" width="43.6640625" style="284" customWidth="1"/>
    <col min="5892" max="5892" width="13.5546875" style="284" customWidth="1"/>
    <col min="5893" max="5893" width="10.109375" style="284" customWidth="1"/>
    <col min="5894" max="5894" width="10" style="284" customWidth="1"/>
    <col min="5895" max="5895" width="6.109375" style="284" bestFit="1" customWidth="1"/>
    <col min="5896" max="5896" width="4.6640625" style="284" customWidth="1"/>
    <col min="5897" max="5897" width="14.88671875" style="284" bestFit="1" customWidth="1"/>
    <col min="5898" max="5898" width="12.88671875" style="284" bestFit="1" customWidth="1"/>
    <col min="5899" max="5899" width="7.6640625" style="284" customWidth="1"/>
    <col min="5900" max="5900" width="18" style="284" customWidth="1"/>
    <col min="5901" max="5901" width="8.33203125" style="284" customWidth="1"/>
    <col min="5902" max="5902" width="16" style="284" customWidth="1"/>
    <col min="5903" max="5903" width="15.109375" style="284" bestFit="1" customWidth="1"/>
    <col min="5904" max="5904" width="14.109375" style="284" bestFit="1" customWidth="1"/>
    <col min="5905" max="6144" width="11.5546875" style="284"/>
    <col min="6145" max="6145" width="7.109375" style="284" bestFit="1" customWidth="1"/>
    <col min="6146" max="6146" width="5.33203125" style="284" bestFit="1" customWidth="1"/>
    <col min="6147" max="6147" width="43.6640625" style="284" customWidth="1"/>
    <col min="6148" max="6148" width="13.5546875" style="284" customWidth="1"/>
    <col min="6149" max="6149" width="10.109375" style="284" customWidth="1"/>
    <col min="6150" max="6150" width="10" style="284" customWidth="1"/>
    <col min="6151" max="6151" width="6.109375" style="284" bestFit="1" customWidth="1"/>
    <col min="6152" max="6152" width="4.6640625" style="284" customWidth="1"/>
    <col min="6153" max="6153" width="14.88671875" style="284" bestFit="1" customWidth="1"/>
    <col min="6154" max="6154" width="12.88671875" style="284" bestFit="1" customWidth="1"/>
    <col min="6155" max="6155" width="7.6640625" style="284" customWidth="1"/>
    <col min="6156" max="6156" width="18" style="284" customWidth="1"/>
    <col min="6157" max="6157" width="8.33203125" style="284" customWidth="1"/>
    <col min="6158" max="6158" width="16" style="284" customWidth="1"/>
    <col min="6159" max="6159" width="15.109375" style="284" bestFit="1" customWidth="1"/>
    <col min="6160" max="6160" width="14.109375" style="284" bestFit="1" customWidth="1"/>
    <col min="6161" max="6400" width="11.5546875" style="284"/>
    <col min="6401" max="6401" width="7.109375" style="284" bestFit="1" customWidth="1"/>
    <col min="6402" max="6402" width="5.33203125" style="284" bestFit="1" customWidth="1"/>
    <col min="6403" max="6403" width="43.6640625" style="284" customWidth="1"/>
    <col min="6404" max="6404" width="13.5546875" style="284" customWidth="1"/>
    <col min="6405" max="6405" width="10.109375" style="284" customWidth="1"/>
    <col min="6406" max="6406" width="10" style="284" customWidth="1"/>
    <col min="6407" max="6407" width="6.109375" style="284" bestFit="1" customWidth="1"/>
    <col min="6408" max="6408" width="4.6640625" style="284" customWidth="1"/>
    <col min="6409" max="6409" width="14.88671875" style="284" bestFit="1" customWidth="1"/>
    <col min="6410" max="6410" width="12.88671875" style="284" bestFit="1" customWidth="1"/>
    <col min="6411" max="6411" width="7.6640625" style="284" customWidth="1"/>
    <col min="6412" max="6412" width="18" style="284" customWidth="1"/>
    <col min="6413" max="6413" width="8.33203125" style="284" customWidth="1"/>
    <col min="6414" max="6414" width="16" style="284" customWidth="1"/>
    <col min="6415" max="6415" width="15.109375" style="284" bestFit="1" customWidth="1"/>
    <col min="6416" max="6416" width="14.109375" style="284" bestFit="1" customWidth="1"/>
    <col min="6417" max="6656" width="11.5546875" style="284"/>
    <col min="6657" max="6657" width="7.109375" style="284" bestFit="1" customWidth="1"/>
    <col min="6658" max="6658" width="5.33203125" style="284" bestFit="1" customWidth="1"/>
    <col min="6659" max="6659" width="43.6640625" style="284" customWidth="1"/>
    <col min="6660" max="6660" width="13.5546875" style="284" customWidth="1"/>
    <col min="6661" max="6661" width="10.109375" style="284" customWidth="1"/>
    <col min="6662" max="6662" width="10" style="284" customWidth="1"/>
    <col min="6663" max="6663" width="6.109375" style="284" bestFit="1" customWidth="1"/>
    <col min="6664" max="6664" width="4.6640625" style="284" customWidth="1"/>
    <col min="6665" max="6665" width="14.88671875" style="284" bestFit="1" customWidth="1"/>
    <col min="6666" max="6666" width="12.88671875" style="284" bestFit="1" customWidth="1"/>
    <col min="6667" max="6667" width="7.6640625" style="284" customWidth="1"/>
    <col min="6668" max="6668" width="18" style="284" customWidth="1"/>
    <col min="6669" max="6669" width="8.33203125" style="284" customWidth="1"/>
    <col min="6670" max="6670" width="16" style="284" customWidth="1"/>
    <col min="6671" max="6671" width="15.109375" style="284" bestFit="1" customWidth="1"/>
    <col min="6672" max="6672" width="14.109375" style="284" bestFit="1" customWidth="1"/>
    <col min="6673" max="6912" width="11.5546875" style="284"/>
    <col min="6913" max="6913" width="7.109375" style="284" bestFit="1" customWidth="1"/>
    <col min="6914" max="6914" width="5.33203125" style="284" bestFit="1" customWidth="1"/>
    <col min="6915" max="6915" width="43.6640625" style="284" customWidth="1"/>
    <col min="6916" max="6916" width="13.5546875" style="284" customWidth="1"/>
    <col min="6917" max="6917" width="10.109375" style="284" customWidth="1"/>
    <col min="6918" max="6918" width="10" style="284" customWidth="1"/>
    <col min="6919" max="6919" width="6.109375" style="284" bestFit="1" customWidth="1"/>
    <col min="6920" max="6920" width="4.6640625" style="284" customWidth="1"/>
    <col min="6921" max="6921" width="14.88671875" style="284" bestFit="1" customWidth="1"/>
    <col min="6922" max="6922" width="12.88671875" style="284" bestFit="1" customWidth="1"/>
    <col min="6923" max="6923" width="7.6640625" style="284" customWidth="1"/>
    <col min="6924" max="6924" width="18" style="284" customWidth="1"/>
    <col min="6925" max="6925" width="8.33203125" style="284" customWidth="1"/>
    <col min="6926" max="6926" width="16" style="284" customWidth="1"/>
    <col min="6927" max="6927" width="15.109375" style="284" bestFit="1" customWidth="1"/>
    <col min="6928" max="6928" width="14.109375" style="284" bestFit="1" customWidth="1"/>
    <col min="6929" max="7168" width="11.5546875" style="284"/>
    <col min="7169" max="7169" width="7.109375" style="284" bestFit="1" customWidth="1"/>
    <col min="7170" max="7170" width="5.33203125" style="284" bestFit="1" customWidth="1"/>
    <col min="7171" max="7171" width="43.6640625" style="284" customWidth="1"/>
    <col min="7172" max="7172" width="13.5546875" style="284" customWidth="1"/>
    <col min="7173" max="7173" width="10.109375" style="284" customWidth="1"/>
    <col min="7174" max="7174" width="10" style="284" customWidth="1"/>
    <col min="7175" max="7175" width="6.109375" style="284" bestFit="1" customWidth="1"/>
    <col min="7176" max="7176" width="4.6640625" style="284" customWidth="1"/>
    <col min="7177" max="7177" width="14.88671875" style="284" bestFit="1" customWidth="1"/>
    <col min="7178" max="7178" width="12.88671875" style="284" bestFit="1" customWidth="1"/>
    <col min="7179" max="7179" width="7.6640625" style="284" customWidth="1"/>
    <col min="7180" max="7180" width="18" style="284" customWidth="1"/>
    <col min="7181" max="7181" width="8.33203125" style="284" customWidth="1"/>
    <col min="7182" max="7182" width="16" style="284" customWidth="1"/>
    <col min="7183" max="7183" width="15.109375" style="284" bestFit="1" customWidth="1"/>
    <col min="7184" max="7184" width="14.109375" style="284" bestFit="1" customWidth="1"/>
    <col min="7185" max="7424" width="11.5546875" style="284"/>
    <col min="7425" max="7425" width="7.109375" style="284" bestFit="1" customWidth="1"/>
    <col min="7426" max="7426" width="5.33203125" style="284" bestFit="1" customWidth="1"/>
    <col min="7427" max="7427" width="43.6640625" style="284" customWidth="1"/>
    <col min="7428" max="7428" width="13.5546875" style="284" customWidth="1"/>
    <col min="7429" max="7429" width="10.109375" style="284" customWidth="1"/>
    <col min="7430" max="7430" width="10" style="284" customWidth="1"/>
    <col min="7431" max="7431" width="6.109375" style="284" bestFit="1" customWidth="1"/>
    <col min="7432" max="7432" width="4.6640625" style="284" customWidth="1"/>
    <col min="7433" max="7433" width="14.88671875" style="284" bestFit="1" customWidth="1"/>
    <col min="7434" max="7434" width="12.88671875" style="284" bestFit="1" customWidth="1"/>
    <col min="7435" max="7435" width="7.6640625" style="284" customWidth="1"/>
    <col min="7436" max="7436" width="18" style="284" customWidth="1"/>
    <col min="7437" max="7437" width="8.33203125" style="284" customWidth="1"/>
    <col min="7438" max="7438" width="16" style="284" customWidth="1"/>
    <col min="7439" max="7439" width="15.109375" style="284" bestFit="1" customWidth="1"/>
    <col min="7440" max="7440" width="14.109375" style="284" bestFit="1" customWidth="1"/>
    <col min="7441" max="7680" width="11.5546875" style="284"/>
    <col min="7681" max="7681" width="7.109375" style="284" bestFit="1" customWidth="1"/>
    <col min="7682" max="7682" width="5.33203125" style="284" bestFit="1" customWidth="1"/>
    <col min="7683" max="7683" width="43.6640625" style="284" customWidth="1"/>
    <col min="7684" max="7684" width="13.5546875" style="284" customWidth="1"/>
    <col min="7685" max="7685" width="10.109375" style="284" customWidth="1"/>
    <col min="7686" max="7686" width="10" style="284" customWidth="1"/>
    <col min="7687" max="7687" width="6.109375" style="284" bestFit="1" customWidth="1"/>
    <col min="7688" max="7688" width="4.6640625" style="284" customWidth="1"/>
    <col min="7689" max="7689" width="14.88671875" style="284" bestFit="1" customWidth="1"/>
    <col min="7690" max="7690" width="12.88671875" style="284" bestFit="1" customWidth="1"/>
    <col min="7691" max="7691" width="7.6640625" style="284" customWidth="1"/>
    <col min="7692" max="7692" width="18" style="284" customWidth="1"/>
    <col min="7693" max="7693" width="8.33203125" style="284" customWidth="1"/>
    <col min="7694" max="7694" width="16" style="284" customWidth="1"/>
    <col min="7695" max="7695" width="15.109375" style="284" bestFit="1" customWidth="1"/>
    <col min="7696" max="7696" width="14.109375" style="284" bestFit="1" customWidth="1"/>
    <col min="7697" max="7936" width="11.5546875" style="284"/>
    <col min="7937" max="7937" width="7.109375" style="284" bestFit="1" customWidth="1"/>
    <col min="7938" max="7938" width="5.33203125" style="284" bestFit="1" customWidth="1"/>
    <col min="7939" max="7939" width="43.6640625" style="284" customWidth="1"/>
    <col min="7940" max="7940" width="13.5546875" style="284" customWidth="1"/>
    <col min="7941" max="7941" width="10.109375" style="284" customWidth="1"/>
    <col min="7942" max="7942" width="10" style="284" customWidth="1"/>
    <col min="7943" max="7943" width="6.109375" style="284" bestFit="1" customWidth="1"/>
    <col min="7944" max="7944" width="4.6640625" style="284" customWidth="1"/>
    <col min="7945" max="7945" width="14.88671875" style="284" bestFit="1" customWidth="1"/>
    <col min="7946" max="7946" width="12.88671875" style="284" bestFit="1" customWidth="1"/>
    <col min="7947" max="7947" width="7.6640625" style="284" customWidth="1"/>
    <col min="7948" max="7948" width="18" style="284" customWidth="1"/>
    <col min="7949" max="7949" width="8.33203125" style="284" customWidth="1"/>
    <col min="7950" max="7950" width="16" style="284" customWidth="1"/>
    <col min="7951" max="7951" width="15.109375" style="284" bestFit="1" customWidth="1"/>
    <col min="7952" max="7952" width="14.109375" style="284" bestFit="1" customWidth="1"/>
    <col min="7953" max="8192" width="11.5546875" style="284"/>
    <col min="8193" max="8193" width="7.109375" style="284" bestFit="1" customWidth="1"/>
    <col min="8194" max="8194" width="5.33203125" style="284" bestFit="1" customWidth="1"/>
    <col min="8195" max="8195" width="43.6640625" style="284" customWidth="1"/>
    <col min="8196" max="8196" width="13.5546875" style="284" customWidth="1"/>
    <col min="8197" max="8197" width="10.109375" style="284" customWidth="1"/>
    <col min="8198" max="8198" width="10" style="284" customWidth="1"/>
    <col min="8199" max="8199" width="6.109375" style="284" bestFit="1" customWidth="1"/>
    <col min="8200" max="8200" width="4.6640625" style="284" customWidth="1"/>
    <col min="8201" max="8201" width="14.88671875" style="284" bestFit="1" customWidth="1"/>
    <col min="8202" max="8202" width="12.88671875" style="284" bestFit="1" customWidth="1"/>
    <col min="8203" max="8203" width="7.6640625" style="284" customWidth="1"/>
    <col min="8204" max="8204" width="18" style="284" customWidth="1"/>
    <col min="8205" max="8205" width="8.33203125" style="284" customWidth="1"/>
    <col min="8206" max="8206" width="16" style="284" customWidth="1"/>
    <col min="8207" max="8207" width="15.109375" style="284" bestFit="1" customWidth="1"/>
    <col min="8208" max="8208" width="14.109375" style="284" bestFit="1" customWidth="1"/>
    <col min="8209" max="8448" width="11.5546875" style="284"/>
    <col min="8449" max="8449" width="7.109375" style="284" bestFit="1" customWidth="1"/>
    <col min="8450" max="8450" width="5.33203125" style="284" bestFit="1" customWidth="1"/>
    <col min="8451" max="8451" width="43.6640625" style="284" customWidth="1"/>
    <col min="8452" max="8452" width="13.5546875" style="284" customWidth="1"/>
    <col min="8453" max="8453" width="10.109375" style="284" customWidth="1"/>
    <col min="8454" max="8454" width="10" style="284" customWidth="1"/>
    <col min="8455" max="8455" width="6.109375" style="284" bestFit="1" customWidth="1"/>
    <col min="8456" max="8456" width="4.6640625" style="284" customWidth="1"/>
    <col min="8457" max="8457" width="14.88671875" style="284" bestFit="1" customWidth="1"/>
    <col min="8458" max="8458" width="12.88671875" style="284" bestFit="1" customWidth="1"/>
    <col min="8459" max="8459" width="7.6640625" style="284" customWidth="1"/>
    <col min="8460" max="8460" width="18" style="284" customWidth="1"/>
    <col min="8461" max="8461" width="8.33203125" style="284" customWidth="1"/>
    <col min="8462" max="8462" width="16" style="284" customWidth="1"/>
    <col min="8463" max="8463" width="15.109375" style="284" bestFit="1" customWidth="1"/>
    <col min="8464" max="8464" width="14.109375" style="284" bestFit="1" customWidth="1"/>
    <col min="8465" max="8704" width="11.5546875" style="284"/>
    <col min="8705" max="8705" width="7.109375" style="284" bestFit="1" customWidth="1"/>
    <col min="8706" max="8706" width="5.33203125" style="284" bestFit="1" customWidth="1"/>
    <col min="8707" max="8707" width="43.6640625" style="284" customWidth="1"/>
    <col min="8708" max="8708" width="13.5546875" style="284" customWidth="1"/>
    <col min="8709" max="8709" width="10.109375" style="284" customWidth="1"/>
    <col min="8710" max="8710" width="10" style="284" customWidth="1"/>
    <col min="8711" max="8711" width="6.109375" style="284" bestFit="1" customWidth="1"/>
    <col min="8712" max="8712" width="4.6640625" style="284" customWidth="1"/>
    <col min="8713" max="8713" width="14.88671875" style="284" bestFit="1" customWidth="1"/>
    <col min="8714" max="8714" width="12.88671875" style="284" bestFit="1" customWidth="1"/>
    <col min="8715" max="8715" width="7.6640625" style="284" customWidth="1"/>
    <col min="8716" max="8716" width="18" style="284" customWidth="1"/>
    <col min="8717" max="8717" width="8.33203125" style="284" customWidth="1"/>
    <col min="8718" max="8718" width="16" style="284" customWidth="1"/>
    <col min="8719" max="8719" width="15.109375" style="284" bestFit="1" customWidth="1"/>
    <col min="8720" max="8720" width="14.109375" style="284" bestFit="1" customWidth="1"/>
    <col min="8721" max="8960" width="11.5546875" style="284"/>
    <col min="8961" max="8961" width="7.109375" style="284" bestFit="1" customWidth="1"/>
    <col min="8962" max="8962" width="5.33203125" style="284" bestFit="1" customWidth="1"/>
    <col min="8963" max="8963" width="43.6640625" style="284" customWidth="1"/>
    <col min="8964" max="8964" width="13.5546875" style="284" customWidth="1"/>
    <col min="8965" max="8965" width="10.109375" style="284" customWidth="1"/>
    <col min="8966" max="8966" width="10" style="284" customWidth="1"/>
    <col min="8967" max="8967" width="6.109375" style="284" bestFit="1" customWidth="1"/>
    <col min="8968" max="8968" width="4.6640625" style="284" customWidth="1"/>
    <col min="8969" max="8969" width="14.88671875" style="284" bestFit="1" customWidth="1"/>
    <col min="8970" max="8970" width="12.88671875" style="284" bestFit="1" customWidth="1"/>
    <col min="8971" max="8971" width="7.6640625" style="284" customWidth="1"/>
    <col min="8972" max="8972" width="18" style="284" customWidth="1"/>
    <col min="8973" max="8973" width="8.33203125" style="284" customWidth="1"/>
    <col min="8974" max="8974" width="16" style="284" customWidth="1"/>
    <col min="8975" max="8975" width="15.109375" style="284" bestFit="1" customWidth="1"/>
    <col min="8976" max="8976" width="14.109375" style="284" bestFit="1" customWidth="1"/>
    <col min="8977" max="9216" width="11.5546875" style="284"/>
    <col min="9217" max="9217" width="7.109375" style="284" bestFit="1" customWidth="1"/>
    <col min="9218" max="9218" width="5.33203125" style="284" bestFit="1" customWidth="1"/>
    <col min="9219" max="9219" width="43.6640625" style="284" customWidth="1"/>
    <col min="9220" max="9220" width="13.5546875" style="284" customWidth="1"/>
    <col min="9221" max="9221" width="10.109375" style="284" customWidth="1"/>
    <col min="9222" max="9222" width="10" style="284" customWidth="1"/>
    <col min="9223" max="9223" width="6.109375" style="284" bestFit="1" customWidth="1"/>
    <col min="9224" max="9224" width="4.6640625" style="284" customWidth="1"/>
    <col min="9225" max="9225" width="14.88671875" style="284" bestFit="1" customWidth="1"/>
    <col min="9226" max="9226" width="12.88671875" style="284" bestFit="1" customWidth="1"/>
    <col min="9227" max="9227" width="7.6640625" style="284" customWidth="1"/>
    <col min="9228" max="9228" width="18" style="284" customWidth="1"/>
    <col min="9229" max="9229" width="8.33203125" style="284" customWidth="1"/>
    <col min="9230" max="9230" width="16" style="284" customWidth="1"/>
    <col min="9231" max="9231" width="15.109375" style="284" bestFit="1" customWidth="1"/>
    <col min="9232" max="9232" width="14.109375" style="284" bestFit="1" customWidth="1"/>
    <col min="9233" max="9472" width="11.5546875" style="284"/>
    <col min="9473" max="9473" width="7.109375" style="284" bestFit="1" customWidth="1"/>
    <col min="9474" max="9474" width="5.33203125" style="284" bestFit="1" customWidth="1"/>
    <col min="9475" max="9475" width="43.6640625" style="284" customWidth="1"/>
    <col min="9476" max="9476" width="13.5546875" style="284" customWidth="1"/>
    <col min="9477" max="9477" width="10.109375" style="284" customWidth="1"/>
    <col min="9478" max="9478" width="10" style="284" customWidth="1"/>
    <col min="9479" max="9479" width="6.109375" style="284" bestFit="1" customWidth="1"/>
    <col min="9480" max="9480" width="4.6640625" style="284" customWidth="1"/>
    <col min="9481" max="9481" width="14.88671875" style="284" bestFit="1" customWidth="1"/>
    <col min="9482" max="9482" width="12.88671875" style="284" bestFit="1" customWidth="1"/>
    <col min="9483" max="9483" width="7.6640625" style="284" customWidth="1"/>
    <col min="9484" max="9484" width="18" style="284" customWidth="1"/>
    <col min="9485" max="9485" width="8.33203125" style="284" customWidth="1"/>
    <col min="9486" max="9486" width="16" style="284" customWidth="1"/>
    <col min="9487" max="9487" width="15.109375" style="284" bestFit="1" customWidth="1"/>
    <col min="9488" max="9488" width="14.109375" style="284" bestFit="1" customWidth="1"/>
    <col min="9489" max="9728" width="11.5546875" style="284"/>
    <col min="9729" max="9729" width="7.109375" style="284" bestFit="1" customWidth="1"/>
    <col min="9730" max="9730" width="5.33203125" style="284" bestFit="1" customWidth="1"/>
    <col min="9731" max="9731" width="43.6640625" style="284" customWidth="1"/>
    <col min="9732" max="9732" width="13.5546875" style="284" customWidth="1"/>
    <col min="9733" max="9733" width="10.109375" style="284" customWidth="1"/>
    <col min="9734" max="9734" width="10" style="284" customWidth="1"/>
    <col min="9735" max="9735" width="6.109375" style="284" bestFit="1" customWidth="1"/>
    <col min="9736" max="9736" width="4.6640625" style="284" customWidth="1"/>
    <col min="9737" max="9737" width="14.88671875" style="284" bestFit="1" customWidth="1"/>
    <col min="9738" max="9738" width="12.88671875" style="284" bestFit="1" customWidth="1"/>
    <col min="9739" max="9739" width="7.6640625" style="284" customWidth="1"/>
    <col min="9740" max="9740" width="18" style="284" customWidth="1"/>
    <col min="9741" max="9741" width="8.33203125" style="284" customWidth="1"/>
    <col min="9742" max="9742" width="16" style="284" customWidth="1"/>
    <col min="9743" max="9743" width="15.109375" style="284" bestFit="1" customWidth="1"/>
    <col min="9744" max="9744" width="14.109375" style="284" bestFit="1" customWidth="1"/>
    <col min="9745" max="9984" width="11.5546875" style="284"/>
    <col min="9985" max="9985" width="7.109375" style="284" bestFit="1" customWidth="1"/>
    <col min="9986" max="9986" width="5.33203125" style="284" bestFit="1" customWidth="1"/>
    <col min="9987" max="9987" width="43.6640625" style="284" customWidth="1"/>
    <col min="9988" max="9988" width="13.5546875" style="284" customWidth="1"/>
    <col min="9989" max="9989" width="10.109375" style="284" customWidth="1"/>
    <col min="9990" max="9990" width="10" style="284" customWidth="1"/>
    <col min="9991" max="9991" width="6.109375" style="284" bestFit="1" customWidth="1"/>
    <col min="9992" max="9992" width="4.6640625" style="284" customWidth="1"/>
    <col min="9993" max="9993" width="14.88671875" style="284" bestFit="1" customWidth="1"/>
    <col min="9994" max="9994" width="12.88671875" style="284" bestFit="1" customWidth="1"/>
    <col min="9995" max="9995" width="7.6640625" style="284" customWidth="1"/>
    <col min="9996" max="9996" width="18" style="284" customWidth="1"/>
    <col min="9997" max="9997" width="8.33203125" style="284" customWidth="1"/>
    <col min="9998" max="9998" width="16" style="284" customWidth="1"/>
    <col min="9999" max="9999" width="15.109375" style="284" bestFit="1" customWidth="1"/>
    <col min="10000" max="10000" width="14.109375" style="284" bestFit="1" customWidth="1"/>
    <col min="10001" max="10240" width="11.5546875" style="284"/>
    <col min="10241" max="10241" width="7.109375" style="284" bestFit="1" customWidth="1"/>
    <col min="10242" max="10242" width="5.33203125" style="284" bestFit="1" customWidth="1"/>
    <col min="10243" max="10243" width="43.6640625" style="284" customWidth="1"/>
    <col min="10244" max="10244" width="13.5546875" style="284" customWidth="1"/>
    <col min="10245" max="10245" width="10.109375" style="284" customWidth="1"/>
    <col min="10246" max="10246" width="10" style="284" customWidth="1"/>
    <col min="10247" max="10247" width="6.109375" style="284" bestFit="1" customWidth="1"/>
    <col min="10248" max="10248" width="4.6640625" style="284" customWidth="1"/>
    <col min="10249" max="10249" width="14.88671875" style="284" bestFit="1" customWidth="1"/>
    <col min="10250" max="10250" width="12.88671875" style="284" bestFit="1" customWidth="1"/>
    <col min="10251" max="10251" width="7.6640625" style="284" customWidth="1"/>
    <col min="10252" max="10252" width="18" style="284" customWidth="1"/>
    <col min="10253" max="10253" width="8.33203125" style="284" customWidth="1"/>
    <col min="10254" max="10254" width="16" style="284" customWidth="1"/>
    <col min="10255" max="10255" width="15.109375" style="284" bestFit="1" customWidth="1"/>
    <col min="10256" max="10256" width="14.109375" style="284" bestFit="1" customWidth="1"/>
    <col min="10257" max="10496" width="11.5546875" style="284"/>
    <col min="10497" max="10497" width="7.109375" style="284" bestFit="1" customWidth="1"/>
    <col min="10498" max="10498" width="5.33203125" style="284" bestFit="1" customWidth="1"/>
    <col min="10499" max="10499" width="43.6640625" style="284" customWidth="1"/>
    <col min="10500" max="10500" width="13.5546875" style="284" customWidth="1"/>
    <col min="10501" max="10501" width="10.109375" style="284" customWidth="1"/>
    <col min="10502" max="10502" width="10" style="284" customWidth="1"/>
    <col min="10503" max="10503" width="6.109375" style="284" bestFit="1" customWidth="1"/>
    <col min="10504" max="10504" width="4.6640625" style="284" customWidth="1"/>
    <col min="10505" max="10505" width="14.88671875" style="284" bestFit="1" customWidth="1"/>
    <col min="10506" max="10506" width="12.88671875" style="284" bestFit="1" customWidth="1"/>
    <col min="10507" max="10507" width="7.6640625" style="284" customWidth="1"/>
    <col min="10508" max="10508" width="18" style="284" customWidth="1"/>
    <col min="10509" max="10509" width="8.33203125" style="284" customWidth="1"/>
    <col min="10510" max="10510" width="16" style="284" customWidth="1"/>
    <col min="10511" max="10511" width="15.109375" style="284" bestFit="1" customWidth="1"/>
    <col min="10512" max="10512" width="14.109375" style="284" bestFit="1" customWidth="1"/>
    <col min="10513" max="10752" width="11.5546875" style="284"/>
    <col min="10753" max="10753" width="7.109375" style="284" bestFit="1" customWidth="1"/>
    <col min="10754" max="10754" width="5.33203125" style="284" bestFit="1" customWidth="1"/>
    <col min="10755" max="10755" width="43.6640625" style="284" customWidth="1"/>
    <col min="10756" max="10756" width="13.5546875" style="284" customWidth="1"/>
    <col min="10757" max="10757" width="10.109375" style="284" customWidth="1"/>
    <col min="10758" max="10758" width="10" style="284" customWidth="1"/>
    <col min="10759" max="10759" width="6.109375" style="284" bestFit="1" customWidth="1"/>
    <col min="10760" max="10760" width="4.6640625" style="284" customWidth="1"/>
    <col min="10761" max="10761" width="14.88671875" style="284" bestFit="1" customWidth="1"/>
    <col min="10762" max="10762" width="12.88671875" style="284" bestFit="1" customWidth="1"/>
    <col min="10763" max="10763" width="7.6640625" style="284" customWidth="1"/>
    <col min="10764" max="10764" width="18" style="284" customWidth="1"/>
    <col min="10765" max="10765" width="8.33203125" style="284" customWidth="1"/>
    <col min="10766" max="10766" width="16" style="284" customWidth="1"/>
    <col min="10767" max="10767" width="15.109375" style="284" bestFit="1" customWidth="1"/>
    <col min="10768" max="10768" width="14.109375" style="284" bestFit="1" customWidth="1"/>
    <col min="10769" max="11008" width="11.5546875" style="284"/>
    <col min="11009" max="11009" width="7.109375" style="284" bestFit="1" customWidth="1"/>
    <col min="11010" max="11010" width="5.33203125" style="284" bestFit="1" customWidth="1"/>
    <col min="11011" max="11011" width="43.6640625" style="284" customWidth="1"/>
    <col min="11012" max="11012" width="13.5546875" style="284" customWidth="1"/>
    <col min="11013" max="11013" width="10.109375" style="284" customWidth="1"/>
    <col min="11014" max="11014" width="10" style="284" customWidth="1"/>
    <col min="11015" max="11015" width="6.109375" style="284" bestFit="1" customWidth="1"/>
    <col min="11016" max="11016" width="4.6640625" style="284" customWidth="1"/>
    <col min="11017" max="11017" width="14.88671875" style="284" bestFit="1" customWidth="1"/>
    <col min="11018" max="11018" width="12.88671875" style="284" bestFit="1" customWidth="1"/>
    <col min="11019" max="11019" width="7.6640625" style="284" customWidth="1"/>
    <col min="11020" max="11020" width="18" style="284" customWidth="1"/>
    <col min="11021" max="11021" width="8.33203125" style="284" customWidth="1"/>
    <col min="11022" max="11022" width="16" style="284" customWidth="1"/>
    <col min="11023" max="11023" width="15.109375" style="284" bestFit="1" customWidth="1"/>
    <col min="11024" max="11024" width="14.109375" style="284" bestFit="1" customWidth="1"/>
    <col min="11025" max="11264" width="11.5546875" style="284"/>
    <col min="11265" max="11265" width="7.109375" style="284" bestFit="1" customWidth="1"/>
    <col min="11266" max="11266" width="5.33203125" style="284" bestFit="1" customWidth="1"/>
    <col min="11267" max="11267" width="43.6640625" style="284" customWidth="1"/>
    <col min="11268" max="11268" width="13.5546875" style="284" customWidth="1"/>
    <col min="11269" max="11269" width="10.109375" style="284" customWidth="1"/>
    <col min="11270" max="11270" width="10" style="284" customWidth="1"/>
    <col min="11271" max="11271" width="6.109375" style="284" bestFit="1" customWidth="1"/>
    <col min="11272" max="11272" width="4.6640625" style="284" customWidth="1"/>
    <col min="11273" max="11273" width="14.88671875" style="284" bestFit="1" customWidth="1"/>
    <col min="11274" max="11274" width="12.88671875" style="284" bestFit="1" customWidth="1"/>
    <col min="11275" max="11275" width="7.6640625" style="284" customWidth="1"/>
    <col min="11276" max="11276" width="18" style="284" customWidth="1"/>
    <col min="11277" max="11277" width="8.33203125" style="284" customWidth="1"/>
    <col min="11278" max="11278" width="16" style="284" customWidth="1"/>
    <col min="11279" max="11279" width="15.109375" style="284" bestFit="1" customWidth="1"/>
    <col min="11280" max="11280" width="14.109375" style="284" bestFit="1" customWidth="1"/>
    <col min="11281" max="11520" width="11.5546875" style="284"/>
    <col min="11521" max="11521" width="7.109375" style="284" bestFit="1" customWidth="1"/>
    <col min="11522" max="11522" width="5.33203125" style="284" bestFit="1" customWidth="1"/>
    <col min="11523" max="11523" width="43.6640625" style="284" customWidth="1"/>
    <col min="11524" max="11524" width="13.5546875" style="284" customWidth="1"/>
    <col min="11525" max="11525" width="10.109375" style="284" customWidth="1"/>
    <col min="11526" max="11526" width="10" style="284" customWidth="1"/>
    <col min="11527" max="11527" width="6.109375" style="284" bestFit="1" customWidth="1"/>
    <col min="11528" max="11528" width="4.6640625" style="284" customWidth="1"/>
    <col min="11529" max="11529" width="14.88671875" style="284" bestFit="1" customWidth="1"/>
    <col min="11530" max="11530" width="12.88671875" style="284" bestFit="1" customWidth="1"/>
    <col min="11531" max="11531" width="7.6640625" style="284" customWidth="1"/>
    <col min="11532" max="11532" width="18" style="284" customWidth="1"/>
    <col min="11533" max="11533" width="8.33203125" style="284" customWidth="1"/>
    <col min="11534" max="11534" width="16" style="284" customWidth="1"/>
    <col min="11535" max="11535" width="15.109375" style="284" bestFit="1" customWidth="1"/>
    <col min="11536" max="11536" width="14.109375" style="284" bestFit="1" customWidth="1"/>
    <col min="11537" max="11776" width="11.5546875" style="284"/>
    <col min="11777" max="11777" width="7.109375" style="284" bestFit="1" customWidth="1"/>
    <col min="11778" max="11778" width="5.33203125" style="284" bestFit="1" customWidth="1"/>
    <col min="11779" max="11779" width="43.6640625" style="284" customWidth="1"/>
    <col min="11780" max="11780" width="13.5546875" style="284" customWidth="1"/>
    <col min="11781" max="11781" width="10.109375" style="284" customWidth="1"/>
    <col min="11782" max="11782" width="10" style="284" customWidth="1"/>
    <col min="11783" max="11783" width="6.109375" style="284" bestFit="1" customWidth="1"/>
    <col min="11784" max="11784" width="4.6640625" style="284" customWidth="1"/>
    <col min="11785" max="11785" width="14.88671875" style="284" bestFit="1" customWidth="1"/>
    <col min="11786" max="11786" width="12.88671875" style="284" bestFit="1" customWidth="1"/>
    <col min="11787" max="11787" width="7.6640625" style="284" customWidth="1"/>
    <col min="11788" max="11788" width="18" style="284" customWidth="1"/>
    <col min="11789" max="11789" width="8.33203125" style="284" customWidth="1"/>
    <col min="11790" max="11790" width="16" style="284" customWidth="1"/>
    <col min="11791" max="11791" width="15.109375" style="284" bestFit="1" customWidth="1"/>
    <col min="11792" max="11792" width="14.109375" style="284" bestFit="1" customWidth="1"/>
    <col min="11793" max="12032" width="11.5546875" style="284"/>
    <col min="12033" max="12033" width="7.109375" style="284" bestFit="1" customWidth="1"/>
    <col min="12034" max="12034" width="5.33203125" style="284" bestFit="1" customWidth="1"/>
    <col min="12035" max="12035" width="43.6640625" style="284" customWidth="1"/>
    <col min="12036" max="12036" width="13.5546875" style="284" customWidth="1"/>
    <col min="12037" max="12037" width="10.109375" style="284" customWidth="1"/>
    <col min="12038" max="12038" width="10" style="284" customWidth="1"/>
    <col min="12039" max="12039" width="6.109375" style="284" bestFit="1" customWidth="1"/>
    <col min="12040" max="12040" width="4.6640625" style="284" customWidth="1"/>
    <col min="12041" max="12041" width="14.88671875" style="284" bestFit="1" customWidth="1"/>
    <col min="12042" max="12042" width="12.88671875" style="284" bestFit="1" customWidth="1"/>
    <col min="12043" max="12043" width="7.6640625" style="284" customWidth="1"/>
    <col min="12044" max="12044" width="18" style="284" customWidth="1"/>
    <col min="12045" max="12045" width="8.33203125" style="284" customWidth="1"/>
    <col min="12046" max="12046" width="16" style="284" customWidth="1"/>
    <col min="12047" max="12047" width="15.109375" style="284" bestFit="1" customWidth="1"/>
    <col min="12048" max="12048" width="14.109375" style="284" bestFit="1" customWidth="1"/>
    <col min="12049" max="12288" width="11.5546875" style="284"/>
    <col min="12289" max="12289" width="7.109375" style="284" bestFit="1" customWidth="1"/>
    <col min="12290" max="12290" width="5.33203125" style="284" bestFit="1" customWidth="1"/>
    <col min="12291" max="12291" width="43.6640625" style="284" customWidth="1"/>
    <col min="12292" max="12292" width="13.5546875" style="284" customWidth="1"/>
    <col min="12293" max="12293" width="10.109375" style="284" customWidth="1"/>
    <col min="12294" max="12294" width="10" style="284" customWidth="1"/>
    <col min="12295" max="12295" width="6.109375" style="284" bestFit="1" customWidth="1"/>
    <col min="12296" max="12296" width="4.6640625" style="284" customWidth="1"/>
    <col min="12297" max="12297" width="14.88671875" style="284" bestFit="1" customWidth="1"/>
    <col min="12298" max="12298" width="12.88671875" style="284" bestFit="1" customWidth="1"/>
    <col min="12299" max="12299" width="7.6640625" style="284" customWidth="1"/>
    <col min="12300" max="12300" width="18" style="284" customWidth="1"/>
    <col min="12301" max="12301" width="8.33203125" style="284" customWidth="1"/>
    <col min="12302" max="12302" width="16" style="284" customWidth="1"/>
    <col min="12303" max="12303" width="15.109375" style="284" bestFit="1" customWidth="1"/>
    <col min="12304" max="12304" width="14.109375" style="284" bestFit="1" customWidth="1"/>
    <col min="12305" max="12544" width="11.5546875" style="284"/>
    <col min="12545" max="12545" width="7.109375" style="284" bestFit="1" customWidth="1"/>
    <col min="12546" max="12546" width="5.33203125" style="284" bestFit="1" customWidth="1"/>
    <col min="12547" max="12547" width="43.6640625" style="284" customWidth="1"/>
    <col min="12548" max="12548" width="13.5546875" style="284" customWidth="1"/>
    <col min="12549" max="12549" width="10.109375" style="284" customWidth="1"/>
    <col min="12550" max="12550" width="10" style="284" customWidth="1"/>
    <col min="12551" max="12551" width="6.109375" style="284" bestFit="1" customWidth="1"/>
    <col min="12552" max="12552" width="4.6640625" style="284" customWidth="1"/>
    <col min="12553" max="12553" width="14.88671875" style="284" bestFit="1" customWidth="1"/>
    <col min="12554" max="12554" width="12.88671875" style="284" bestFit="1" customWidth="1"/>
    <col min="12555" max="12555" width="7.6640625" style="284" customWidth="1"/>
    <col min="12556" max="12556" width="18" style="284" customWidth="1"/>
    <col min="12557" max="12557" width="8.33203125" style="284" customWidth="1"/>
    <col min="12558" max="12558" width="16" style="284" customWidth="1"/>
    <col min="12559" max="12559" width="15.109375" style="284" bestFit="1" customWidth="1"/>
    <col min="12560" max="12560" width="14.109375" style="284" bestFit="1" customWidth="1"/>
    <col min="12561" max="12800" width="11.5546875" style="284"/>
    <col min="12801" max="12801" width="7.109375" style="284" bestFit="1" customWidth="1"/>
    <col min="12802" max="12802" width="5.33203125" style="284" bestFit="1" customWidth="1"/>
    <col min="12803" max="12803" width="43.6640625" style="284" customWidth="1"/>
    <col min="12804" max="12804" width="13.5546875" style="284" customWidth="1"/>
    <col min="12805" max="12805" width="10.109375" style="284" customWidth="1"/>
    <col min="12806" max="12806" width="10" style="284" customWidth="1"/>
    <col min="12807" max="12807" width="6.109375" style="284" bestFit="1" customWidth="1"/>
    <col min="12808" max="12808" width="4.6640625" style="284" customWidth="1"/>
    <col min="12809" max="12809" width="14.88671875" style="284" bestFit="1" customWidth="1"/>
    <col min="12810" max="12810" width="12.88671875" style="284" bestFit="1" customWidth="1"/>
    <col min="12811" max="12811" width="7.6640625" style="284" customWidth="1"/>
    <col min="12812" max="12812" width="18" style="284" customWidth="1"/>
    <col min="12813" max="12813" width="8.33203125" style="284" customWidth="1"/>
    <col min="12814" max="12814" width="16" style="284" customWidth="1"/>
    <col min="12815" max="12815" width="15.109375" style="284" bestFit="1" customWidth="1"/>
    <col min="12816" max="12816" width="14.109375" style="284" bestFit="1" customWidth="1"/>
    <col min="12817" max="13056" width="11.5546875" style="284"/>
    <col min="13057" max="13057" width="7.109375" style="284" bestFit="1" customWidth="1"/>
    <col min="13058" max="13058" width="5.33203125" style="284" bestFit="1" customWidth="1"/>
    <col min="13059" max="13059" width="43.6640625" style="284" customWidth="1"/>
    <col min="13060" max="13060" width="13.5546875" style="284" customWidth="1"/>
    <col min="13061" max="13061" width="10.109375" style="284" customWidth="1"/>
    <col min="13062" max="13062" width="10" style="284" customWidth="1"/>
    <col min="13063" max="13063" width="6.109375" style="284" bestFit="1" customWidth="1"/>
    <col min="13064" max="13064" width="4.6640625" style="284" customWidth="1"/>
    <col min="13065" max="13065" width="14.88671875" style="284" bestFit="1" customWidth="1"/>
    <col min="13066" max="13066" width="12.88671875" style="284" bestFit="1" customWidth="1"/>
    <col min="13067" max="13067" width="7.6640625" style="284" customWidth="1"/>
    <col min="13068" max="13068" width="18" style="284" customWidth="1"/>
    <col min="13069" max="13069" width="8.33203125" style="284" customWidth="1"/>
    <col min="13070" max="13070" width="16" style="284" customWidth="1"/>
    <col min="13071" max="13071" width="15.109375" style="284" bestFit="1" customWidth="1"/>
    <col min="13072" max="13072" width="14.109375" style="284" bestFit="1" customWidth="1"/>
    <col min="13073" max="13312" width="11.5546875" style="284"/>
    <col min="13313" max="13313" width="7.109375" style="284" bestFit="1" customWidth="1"/>
    <col min="13314" max="13314" width="5.33203125" style="284" bestFit="1" customWidth="1"/>
    <col min="13315" max="13315" width="43.6640625" style="284" customWidth="1"/>
    <col min="13316" max="13316" width="13.5546875" style="284" customWidth="1"/>
    <col min="13317" max="13317" width="10.109375" style="284" customWidth="1"/>
    <col min="13318" max="13318" width="10" style="284" customWidth="1"/>
    <col min="13319" max="13319" width="6.109375" style="284" bestFit="1" customWidth="1"/>
    <col min="13320" max="13320" width="4.6640625" style="284" customWidth="1"/>
    <col min="13321" max="13321" width="14.88671875" style="284" bestFit="1" customWidth="1"/>
    <col min="13322" max="13322" width="12.88671875" style="284" bestFit="1" customWidth="1"/>
    <col min="13323" max="13323" width="7.6640625" style="284" customWidth="1"/>
    <col min="13324" max="13324" width="18" style="284" customWidth="1"/>
    <col min="13325" max="13325" width="8.33203125" style="284" customWidth="1"/>
    <col min="13326" max="13326" width="16" style="284" customWidth="1"/>
    <col min="13327" max="13327" width="15.109375" style="284" bestFit="1" customWidth="1"/>
    <col min="13328" max="13328" width="14.109375" style="284" bestFit="1" customWidth="1"/>
    <col min="13329" max="13568" width="11.5546875" style="284"/>
    <col min="13569" max="13569" width="7.109375" style="284" bestFit="1" customWidth="1"/>
    <col min="13570" max="13570" width="5.33203125" style="284" bestFit="1" customWidth="1"/>
    <col min="13571" max="13571" width="43.6640625" style="284" customWidth="1"/>
    <col min="13572" max="13572" width="13.5546875" style="284" customWidth="1"/>
    <col min="13573" max="13573" width="10.109375" style="284" customWidth="1"/>
    <col min="13574" max="13574" width="10" style="284" customWidth="1"/>
    <col min="13575" max="13575" width="6.109375" style="284" bestFit="1" customWidth="1"/>
    <col min="13576" max="13576" width="4.6640625" style="284" customWidth="1"/>
    <col min="13577" max="13577" width="14.88671875" style="284" bestFit="1" customWidth="1"/>
    <col min="13578" max="13578" width="12.88671875" style="284" bestFit="1" customWidth="1"/>
    <col min="13579" max="13579" width="7.6640625" style="284" customWidth="1"/>
    <col min="13580" max="13580" width="18" style="284" customWidth="1"/>
    <col min="13581" max="13581" width="8.33203125" style="284" customWidth="1"/>
    <col min="13582" max="13582" width="16" style="284" customWidth="1"/>
    <col min="13583" max="13583" width="15.109375" style="284" bestFit="1" customWidth="1"/>
    <col min="13584" max="13584" width="14.109375" style="284" bestFit="1" customWidth="1"/>
    <col min="13585" max="13824" width="11.5546875" style="284"/>
    <col min="13825" max="13825" width="7.109375" style="284" bestFit="1" customWidth="1"/>
    <col min="13826" max="13826" width="5.33203125" style="284" bestFit="1" customWidth="1"/>
    <col min="13827" max="13827" width="43.6640625" style="284" customWidth="1"/>
    <col min="13828" max="13828" width="13.5546875" style="284" customWidth="1"/>
    <col min="13829" max="13829" width="10.109375" style="284" customWidth="1"/>
    <col min="13830" max="13830" width="10" style="284" customWidth="1"/>
    <col min="13831" max="13831" width="6.109375" style="284" bestFit="1" customWidth="1"/>
    <col min="13832" max="13832" width="4.6640625" style="284" customWidth="1"/>
    <col min="13833" max="13833" width="14.88671875" style="284" bestFit="1" customWidth="1"/>
    <col min="13834" max="13834" width="12.88671875" style="284" bestFit="1" customWidth="1"/>
    <col min="13835" max="13835" width="7.6640625" style="284" customWidth="1"/>
    <col min="13836" max="13836" width="18" style="284" customWidth="1"/>
    <col min="13837" max="13837" width="8.33203125" style="284" customWidth="1"/>
    <col min="13838" max="13838" width="16" style="284" customWidth="1"/>
    <col min="13839" max="13839" width="15.109375" style="284" bestFit="1" customWidth="1"/>
    <col min="13840" max="13840" width="14.109375" style="284" bestFit="1" customWidth="1"/>
    <col min="13841" max="14080" width="11.5546875" style="284"/>
    <col min="14081" max="14081" width="7.109375" style="284" bestFit="1" customWidth="1"/>
    <col min="14082" max="14082" width="5.33203125" style="284" bestFit="1" customWidth="1"/>
    <col min="14083" max="14083" width="43.6640625" style="284" customWidth="1"/>
    <col min="14084" max="14084" width="13.5546875" style="284" customWidth="1"/>
    <col min="14085" max="14085" width="10.109375" style="284" customWidth="1"/>
    <col min="14086" max="14086" width="10" style="284" customWidth="1"/>
    <col min="14087" max="14087" width="6.109375" style="284" bestFit="1" customWidth="1"/>
    <col min="14088" max="14088" width="4.6640625" style="284" customWidth="1"/>
    <col min="14089" max="14089" width="14.88671875" style="284" bestFit="1" customWidth="1"/>
    <col min="14090" max="14090" width="12.88671875" style="284" bestFit="1" customWidth="1"/>
    <col min="14091" max="14091" width="7.6640625" style="284" customWidth="1"/>
    <col min="14092" max="14092" width="18" style="284" customWidth="1"/>
    <col min="14093" max="14093" width="8.33203125" style="284" customWidth="1"/>
    <col min="14094" max="14094" width="16" style="284" customWidth="1"/>
    <col min="14095" max="14095" width="15.109375" style="284" bestFit="1" customWidth="1"/>
    <col min="14096" max="14096" width="14.109375" style="284" bestFit="1" customWidth="1"/>
    <col min="14097" max="14336" width="11.5546875" style="284"/>
    <col min="14337" max="14337" width="7.109375" style="284" bestFit="1" customWidth="1"/>
    <col min="14338" max="14338" width="5.33203125" style="284" bestFit="1" customWidth="1"/>
    <col min="14339" max="14339" width="43.6640625" style="284" customWidth="1"/>
    <col min="14340" max="14340" width="13.5546875" style="284" customWidth="1"/>
    <col min="14341" max="14341" width="10.109375" style="284" customWidth="1"/>
    <col min="14342" max="14342" width="10" style="284" customWidth="1"/>
    <col min="14343" max="14343" width="6.109375" style="284" bestFit="1" customWidth="1"/>
    <col min="14344" max="14344" width="4.6640625" style="284" customWidth="1"/>
    <col min="14345" max="14345" width="14.88671875" style="284" bestFit="1" customWidth="1"/>
    <col min="14346" max="14346" width="12.88671875" style="284" bestFit="1" customWidth="1"/>
    <col min="14347" max="14347" width="7.6640625" style="284" customWidth="1"/>
    <col min="14348" max="14348" width="18" style="284" customWidth="1"/>
    <col min="14349" max="14349" width="8.33203125" style="284" customWidth="1"/>
    <col min="14350" max="14350" width="16" style="284" customWidth="1"/>
    <col min="14351" max="14351" width="15.109375" style="284" bestFit="1" customWidth="1"/>
    <col min="14352" max="14352" width="14.109375" style="284" bestFit="1" customWidth="1"/>
    <col min="14353" max="14592" width="11.5546875" style="284"/>
    <col min="14593" max="14593" width="7.109375" style="284" bestFit="1" customWidth="1"/>
    <col min="14594" max="14594" width="5.33203125" style="284" bestFit="1" customWidth="1"/>
    <col min="14595" max="14595" width="43.6640625" style="284" customWidth="1"/>
    <col min="14596" max="14596" width="13.5546875" style="284" customWidth="1"/>
    <col min="14597" max="14597" width="10.109375" style="284" customWidth="1"/>
    <col min="14598" max="14598" width="10" style="284" customWidth="1"/>
    <col min="14599" max="14599" width="6.109375" style="284" bestFit="1" customWidth="1"/>
    <col min="14600" max="14600" width="4.6640625" style="284" customWidth="1"/>
    <col min="14601" max="14601" width="14.88671875" style="284" bestFit="1" customWidth="1"/>
    <col min="14602" max="14602" width="12.88671875" style="284" bestFit="1" customWidth="1"/>
    <col min="14603" max="14603" width="7.6640625" style="284" customWidth="1"/>
    <col min="14604" max="14604" width="18" style="284" customWidth="1"/>
    <col min="14605" max="14605" width="8.33203125" style="284" customWidth="1"/>
    <col min="14606" max="14606" width="16" style="284" customWidth="1"/>
    <col min="14607" max="14607" width="15.109375" style="284" bestFit="1" customWidth="1"/>
    <col min="14608" max="14608" width="14.109375" style="284" bestFit="1" customWidth="1"/>
    <col min="14609" max="14848" width="11.5546875" style="284"/>
    <col min="14849" max="14849" width="7.109375" style="284" bestFit="1" customWidth="1"/>
    <col min="14850" max="14850" width="5.33203125" style="284" bestFit="1" customWidth="1"/>
    <col min="14851" max="14851" width="43.6640625" style="284" customWidth="1"/>
    <col min="14852" max="14852" width="13.5546875" style="284" customWidth="1"/>
    <col min="14853" max="14853" width="10.109375" style="284" customWidth="1"/>
    <col min="14854" max="14854" width="10" style="284" customWidth="1"/>
    <col min="14855" max="14855" width="6.109375" style="284" bestFit="1" customWidth="1"/>
    <col min="14856" max="14856" width="4.6640625" style="284" customWidth="1"/>
    <col min="14857" max="14857" width="14.88671875" style="284" bestFit="1" customWidth="1"/>
    <col min="14858" max="14858" width="12.88671875" style="284" bestFit="1" customWidth="1"/>
    <col min="14859" max="14859" width="7.6640625" style="284" customWidth="1"/>
    <col min="14860" max="14860" width="18" style="284" customWidth="1"/>
    <col min="14861" max="14861" width="8.33203125" style="284" customWidth="1"/>
    <col min="14862" max="14862" width="16" style="284" customWidth="1"/>
    <col min="14863" max="14863" width="15.109375" style="284" bestFit="1" customWidth="1"/>
    <col min="14864" max="14864" width="14.109375" style="284" bestFit="1" customWidth="1"/>
    <col min="14865" max="15104" width="11.5546875" style="284"/>
    <col min="15105" max="15105" width="7.109375" style="284" bestFit="1" customWidth="1"/>
    <col min="15106" max="15106" width="5.33203125" style="284" bestFit="1" customWidth="1"/>
    <col min="15107" max="15107" width="43.6640625" style="284" customWidth="1"/>
    <col min="15108" max="15108" width="13.5546875" style="284" customWidth="1"/>
    <col min="15109" max="15109" width="10.109375" style="284" customWidth="1"/>
    <col min="15110" max="15110" width="10" style="284" customWidth="1"/>
    <col min="15111" max="15111" width="6.109375" style="284" bestFit="1" customWidth="1"/>
    <col min="15112" max="15112" width="4.6640625" style="284" customWidth="1"/>
    <col min="15113" max="15113" width="14.88671875" style="284" bestFit="1" customWidth="1"/>
    <col min="15114" max="15114" width="12.88671875" style="284" bestFit="1" customWidth="1"/>
    <col min="15115" max="15115" width="7.6640625" style="284" customWidth="1"/>
    <col min="15116" max="15116" width="18" style="284" customWidth="1"/>
    <col min="15117" max="15117" width="8.33203125" style="284" customWidth="1"/>
    <col min="15118" max="15118" width="16" style="284" customWidth="1"/>
    <col min="15119" max="15119" width="15.109375" style="284" bestFit="1" customWidth="1"/>
    <col min="15120" max="15120" width="14.109375" style="284" bestFit="1" customWidth="1"/>
    <col min="15121" max="15360" width="11.5546875" style="284"/>
    <col min="15361" max="15361" width="7.109375" style="284" bestFit="1" customWidth="1"/>
    <col min="15362" max="15362" width="5.33203125" style="284" bestFit="1" customWidth="1"/>
    <col min="15363" max="15363" width="43.6640625" style="284" customWidth="1"/>
    <col min="15364" max="15364" width="13.5546875" style="284" customWidth="1"/>
    <col min="15365" max="15365" width="10.109375" style="284" customWidth="1"/>
    <col min="15366" max="15366" width="10" style="284" customWidth="1"/>
    <col min="15367" max="15367" width="6.109375" style="284" bestFit="1" customWidth="1"/>
    <col min="15368" max="15368" width="4.6640625" style="284" customWidth="1"/>
    <col min="15369" max="15369" width="14.88671875" style="284" bestFit="1" customWidth="1"/>
    <col min="15370" max="15370" width="12.88671875" style="284" bestFit="1" customWidth="1"/>
    <col min="15371" max="15371" width="7.6640625" style="284" customWidth="1"/>
    <col min="15372" max="15372" width="18" style="284" customWidth="1"/>
    <col min="15373" max="15373" width="8.33203125" style="284" customWidth="1"/>
    <col min="15374" max="15374" width="16" style="284" customWidth="1"/>
    <col min="15375" max="15375" width="15.109375" style="284" bestFit="1" customWidth="1"/>
    <col min="15376" max="15376" width="14.109375" style="284" bestFit="1" customWidth="1"/>
    <col min="15377" max="15616" width="11.5546875" style="284"/>
    <col min="15617" max="15617" width="7.109375" style="284" bestFit="1" customWidth="1"/>
    <col min="15618" max="15618" width="5.33203125" style="284" bestFit="1" customWidth="1"/>
    <col min="15619" max="15619" width="43.6640625" style="284" customWidth="1"/>
    <col min="15620" max="15620" width="13.5546875" style="284" customWidth="1"/>
    <col min="15621" max="15621" width="10.109375" style="284" customWidth="1"/>
    <col min="15622" max="15622" width="10" style="284" customWidth="1"/>
    <col min="15623" max="15623" width="6.109375" style="284" bestFit="1" customWidth="1"/>
    <col min="15624" max="15624" width="4.6640625" style="284" customWidth="1"/>
    <col min="15625" max="15625" width="14.88671875" style="284" bestFit="1" customWidth="1"/>
    <col min="15626" max="15626" width="12.88671875" style="284" bestFit="1" customWidth="1"/>
    <col min="15627" max="15627" width="7.6640625" style="284" customWidth="1"/>
    <col min="15628" max="15628" width="18" style="284" customWidth="1"/>
    <col min="15629" max="15629" width="8.33203125" style="284" customWidth="1"/>
    <col min="15630" max="15630" width="16" style="284" customWidth="1"/>
    <col min="15631" max="15631" width="15.109375" style="284" bestFit="1" customWidth="1"/>
    <col min="15632" max="15632" width="14.109375" style="284" bestFit="1" customWidth="1"/>
    <col min="15633" max="15872" width="11.5546875" style="284"/>
    <col min="15873" max="15873" width="7.109375" style="284" bestFit="1" customWidth="1"/>
    <col min="15874" max="15874" width="5.33203125" style="284" bestFit="1" customWidth="1"/>
    <col min="15875" max="15875" width="43.6640625" style="284" customWidth="1"/>
    <col min="15876" max="15876" width="13.5546875" style="284" customWidth="1"/>
    <col min="15877" max="15877" width="10.109375" style="284" customWidth="1"/>
    <col min="15878" max="15878" width="10" style="284" customWidth="1"/>
    <col min="15879" max="15879" width="6.109375" style="284" bestFit="1" customWidth="1"/>
    <col min="15880" max="15880" width="4.6640625" style="284" customWidth="1"/>
    <col min="15881" max="15881" width="14.88671875" style="284" bestFit="1" customWidth="1"/>
    <col min="15882" max="15882" width="12.88671875" style="284" bestFit="1" customWidth="1"/>
    <col min="15883" max="15883" width="7.6640625" style="284" customWidth="1"/>
    <col min="15884" max="15884" width="18" style="284" customWidth="1"/>
    <col min="15885" max="15885" width="8.33203125" style="284" customWidth="1"/>
    <col min="15886" max="15886" width="16" style="284" customWidth="1"/>
    <col min="15887" max="15887" width="15.109375" style="284" bestFit="1" customWidth="1"/>
    <col min="15888" max="15888" width="14.109375" style="284" bestFit="1" customWidth="1"/>
    <col min="15889" max="16128" width="11.5546875" style="284"/>
    <col min="16129" max="16129" width="7.109375" style="284" bestFit="1" customWidth="1"/>
    <col min="16130" max="16130" width="5.33203125" style="284" bestFit="1" customWidth="1"/>
    <col min="16131" max="16131" width="43.6640625" style="284" customWidth="1"/>
    <col min="16132" max="16132" width="13.5546875" style="284" customWidth="1"/>
    <col min="16133" max="16133" width="10.109375" style="284" customWidth="1"/>
    <col min="16134" max="16134" width="10" style="284" customWidth="1"/>
    <col min="16135" max="16135" width="6.109375" style="284" bestFit="1" customWidth="1"/>
    <col min="16136" max="16136" width="4.6640625" style="284" customWidth="1"/>
    <col min="16137" max="16137" width="14.88671875" style="284" bestFit="1" customWidth="1"/>
    <col min="16138" max="16138" width="12.88671875" style="284" bestFit="1" customWidth="1"/>
    <col min="16139" max="16139" width="7.6640625" style="284" customWidth="1"/>
    <col min="16140" max="16140" width="18" style="284" customWidth="1"/>
    <col min="16141" max="16141" width="8.33203125" style="284" customWidth="1"/>
    <col min="16142" max="16142" width="16" style="284" customWidth="1"/>
    <col min="16143" max="16143" width="15.109375" style="284" bestFit="1" customWidth="1"/>
    <col min="16144" max="16144" width="14.109375" style="284" bestFit="1" customWidth="1"/>
    <col min="16145" max="16384" width="11.5546875" style="284"/>
  </cols>
  <sheetData>
    <row r="1" spans="1:15" ht="7.5" customHeight="1" thickBot="1" x14ac:dyDescent="0.35"/>
    <row r="2" spans="1:15" x14ac:dyDescent="0.3">
      <c r="B2" s="1147" t="s">
        <v>5340</v>
      </c>
      <c r="C2" s="1148"/>
      <c r="D2" s="1148"/>
      <c r="E2" s="1148"/>
      <c r="F2" s="1148"/>
      <c r="G2" s="1148"/>
      <c r="H2" s="1148"/>
      <c r="I2" s="1149"/>
      <c r="J2" s="285"/>
      <c r="K2" s="285"/>
      <c r="L2" s="286"/>
    </row>
    <row r="3" spans="1:15" x14ac:dyDescent="0.3">
      <c r="B3" s="1150" t="s">
        <v>12</v>
      </c>
      <c r="C3" s="1151"/>
      <c r="D3" s="1151"/>
      <c r="E3" s="1151"/>
      <c r="F3" s="1151"/>
      <c r="G3" s="1151"/>
      <c r="H3" s="1151"/>
      <c r="I3" s="1152"/>
      <c r="J3" s="287"/>
      <c r="K3" s="287"/>
      <c r="L3" s="288"/>
    </row>
    <row r="4" spans="1:15" x14ac:dyDescent="0.3">
      <c r="B4" s="1150" t="s">
        <v>5271</v>
      </c>
      <c r="C4" s="1151"/>
      <c r="D4" s="1151"/>
      <c r="E4" s="1151"/>
      <c r="F4" s="1151"/>
      <c r="G4" s="1151"/>
      <c r="H4" s="1151"/>
      <c r="I4" s="1152"/>
      <c r="J4" s="287"/>
      <c r="K4" s="287"/>
      <c r="L4" s="288"/>
    </row>
    <row r="5" spans="1:15" ht="13.8" thickBot="1" x14ac:dyDescent="0.35">
      <c r="B5" s="1153" t="s">
        <v>5272</v>
      </c>
      <c r="C5" s="1154"/>
      <c r="D5" s="1154"/>
      <c r="E5" s="1154"/>
      <c r="F5" s="1154"/>
      <c r="G5" s="1154"/>
      <c r="H5" s="1154"/>
      <c r="I5" s="1155"/>
      <c r="J5" s="1156" t="s">
        <v>12</v>
      </c>
      <c r="K5" s="1157"/>
      <c r="L5" s="1158"/>
    </row>
    <row r="6" spans="1:15" ht="55.2" customHeight="1" thickBot="1" x14ac:dyDescent="0.35">
      <c r="B6" s="1141" t="s">
        <v>0</v>
      </c>
      <c r="C6" s="1142"/>
      <c r="D6" s="1143" t="str">
        <f>+'DATOS DEL PROCESO'!B6</f>
        <v>EJECUTAR POR EL SISTEMA DE PRECIOS UNITARIOS Y A MONTO AGOTABLE LAS ACTIVIDADES PARA LA CONSERVACION DE LA MALLA VIAL LOCAL E INTERMEDIA Y ESPACIO PÚBLICO EN LA LOCALIDAD DE SUBA EN LA CIUDAD DE BOGOTA D.C</v>
      </c>
      <c r="E6" s="1144"/>
      <c r="F6" s="1144"/>
      <c r="G6" s="1144"/>
      <c r="H6" s="1144"/>
      <c r="I6" s="1144"/>
      <c r="J6" s="1145"/>
      <c r="K6" s="1145"/>
      <c r="L6" s="1146"/>
    </row>
    <row r="7" spans="1:15" ht="13.8" thickBot="1" x14ac:dyDescent="0.35">
      <c r="A7" s="284"/>
      <c r="B7" s="289"/>
      <c r="C7" s="289"/>
      <c r="D7" s="289"/>
      <c r="E7" s="289"/>
      <c r="F7" s="289"/>
      <c r="G7" s="289"/>
      <c r="H7" s="289"/>
      <c r="I7" s="289"/>
      <c r="J7" s="289"/>
      <c r="K7" s="289"/>
      <c r="L7" s="290"/>
    </row>
    <row r="8" spans="1:15" ht="13.8" thickBot="1" x14ac:dyDescent="0.35">
      <c r="A8" s="284"/>
      <c r="B8" s="1159" t="s">
        <v>5408</v>
      </c>
      <c r="C8" s="1160"/>
      <c r="D8" s="1160"/>
      <c r="E8" s="1160"/>
      <c r="F8" s="1160"/>
      <c r="G8" s="1160"/>
      <c r="H8" s="1160"/>
      <c r="I8" s="1160"/>
      <c r="J8" s="1160"/>
      <c r="K8" s="1160"/>
      <c r="L8" s="1161"/>
    </row>
    <row r="9" spans="1:15" x14ac:dyDescent="0.3">
      <c r="B9" s="990" t="s">
        <v>5335</v>
      </c>
      <c r="C9" s="991"/>
      <c r="D9" s="991"/>
      <c r="E9" s="1162">
        <f>+PMT!V34</f>
        <v>171752170</v>
      </c>
      <c r="F9" s="1163"/>
      <c r="G9" s="1164"/>
      <c r="H9" s="291"/>
      <c r="I9" s="292" t="s">
        <v>5129</v>
      </c>
      <c r="J9" s="1165">
        <f ca="1">+TODAY()</f>
        <v>46293</v>
      </c>
      <c r="K9" s="1165"/>
      <c r="L9" s="1166"/>
    </row>
    <row r="10" spans="1:15" ht="13.8" thickBot="1" x14ac:dyDescent="0.35">
      <c r="B10" s="996" t="s">
        <v>5342</v>
      </c>
      <c r="C10" s="997"/>
      <c r="D10" s="997"/>
      <c r="E10" s="132">
        <f>+'DATOS DEL PROCESO'!B16</f>
        <v>11</v>
      </c>
      <c r="F10" s="997" t="s">
        <v>5</v>
      </c>
      <c r="G10" s="998"/>
      <c r="H10" s="293"/>
      <c r="I10" s="294" t="s">
        <v>5130</v>
      </c>
      <c r="J10" s="1167"/>
      <c r="K10" s="1167"/>
      <c r="L10" s="1168"/>
    </row>
    <row r="12" spans="1:15" s="27" customFormat="1" ht="12.75" customHeight="1" x14ac:dyDescent="0.3">
      <c r="A12" s="36"/>
      <c r="B12" s="966" t="s">
        <v>5343</v>
      </c>
      <c r="C12" s="966"/>
      <c r="D12" s="966"/>
      <c r="E12" s="966"/>
      <c r="F12" s="966"/>
      <c r="G12" s="966"/>
      <c r="H12" s="966"/>
      <c r="I12" s="966"/>
      <c r="J12" s="966"/>
      <c r="K12" s="966"/>
      <c r="L12" s="966"/>
    </row>
    <row r="13" spans="1:15" s="38" customFormat="1" ht="10.199999999999999" x14ac:dyDescent="0.3">
      <c r="A13" s="32"/>
      <c r="B13" s="46">
        <v>3.1</v>
      </c>
      <c r="C13" s="967" t="s">
        <v>5164</v>
      </c>
      <c r="D13" s="967"/>
      <c r="E13" s="967"/>
      <c r="F13" s="967"/>
      <c r="G13" s="967"/>
      <c r="H13" s="967"/>
      <c r="I13" s="967"/>
      <c r="J13" s="967"/>
      <c r="K13" s="967"/>
      <c r="L13" s="967"/>
    </row>
    <row r="14" spans="1:15" s="38" customFormat="1" ht="10.199999999999999" x14ac:dyDescent="0.3">
      <c r="A14" s="32"/>
      <c r="B14" s="47" t="s">
        <v>5132</v>
      </c>
      <c r="C14" s="939" t="s">
        <v>5165</v>
      </c>
      <c r="D14" s="940"/>
      <c r="E14" s="39"/>
      <c r="F14" s="40"/>
      <c r="G14" s="968"/>
      <c r="H14" s="968"/>
      <c r="I14" s="165"/>
      <c r="J14" s="939" t="s">
        <v>5166</v>
      </c>
      <c r="K14" s="941"/>
      <c r="L14" s="46" t="s">
        <v>5160</v>
      </c>
    </row>
    <row r="15" spans="1:15" s="27" customFormat="1" ht="10.199999999999999" x14ac:dyDescent="0.3">
      <c r="A15" s="32"/>
      <c r="B15" s="41">
        <f>B13+0.001</f>
        <v>3.101</v>
      </c>
      <c r="C15" s="295" t="s">
        <v>5167</v>
      </c>
      <c r="D15" s="296"/>
      <c r="E15" s="296"/>
      <c r="F15" s="296"/>
      <c r="G15" s="296"/>
      <c r="H15" s="296"/>
      <c r="I15" s="297"/>
      <c r="J15" s="949">
        <v>0.05</v>
      </c>
      <c r="K15" s="951"/>
      <c r="L15" s="43">
        <f>ROUND($E$9*J15,0)</f>
        <v>8587609</v>
      </c>
      <c r="O15" s="298"/>
    </row>
    <row r="16" spans="1:15" s="27" customFormat="1" ht="10.199999999999999" x14ac:dyDescent="0.3">
      <c r="A16" s="32"/>
      <c r="B16" s="41">
        <f>B15+0.001</f>
        <v>3.1019999999999999</v>
      </c>
      <c r="C16" s="295" t="s">
        <v>5168</v>
      </c>
      <c r="D16" s="296"/>
      <c r="E16" s="296"/>
      <c r="F16" s="296"/>
      <c r="G16" s="296"/>
      <c r="H16" s="296"/>
      <c r="I16" s="297"/>
      <c r="J16" s="949">
        <v>8.6599999999999993E-3</v>
      </c>
      <c r="K16" s="951"/>
      <c r="L16" s="43">
        <f>ROUND($E$9*J16,0)</f>
        <v>1487374</v>
      </c>
      <c r="O16" s="298"/>
    </row>
    <row r="17" spans="1:16" s="27" customFormat="1" ht="11.25" customHeight="1" x14ac:dyDescent="0.3">
      <c r="A17" s="32"/>
      <c r="B17" s="41">
        <f>B16+0.001</f>
        <v>3.1029999999999998</v>
      </c>
      <c r="C17" s="295" t="s">
        <v>5169</v>
      </c>
      <c r="D17" s="296"/>
      <c r="E17" s="296"/>
      <c r="F17" s="296"/>
      <c r="G17" s="296"/>
      <c r="H17" s="296"/>
      <c r="I17" s="297"/>
      <c r="J17" s="949">
        <v>0.02</v>
      </c>
      <c r="K17" s="951"/>
      <c r="L17" s="43">
        <f>ROUND($E$9*J17,0)</f>
        <v>3435043</v>
      </c>
      <c r="O17" s="298"/>
    </row>
    <row r="18" spans="1:16" s="27" customFormat="1" ht="10.199999999999999" x14ac:dyDescent="0.3">
      <c r="A18" s="32"/>
      <c r="B18" s="41">
        <f>B17+0.001</f>
        <v>3.1039999999999996</v>
      </c>
      <c r="C18" s="295" t="s">
        <v>5170</v>
      </c>
      <c r="D18" s="296"/>
      <c r="E18" s="296"/>
      <c r="F18" s="296"/>
      <c r="G18" s="296"/>
      <c r="H18" s="296"/>
      <c r="I18" s="297"/>
      <c r="J18" s="949">
        <v>5.0000000000000001E-3</v>
      </c>
      <c r="K18" s="951"/>
      <c r="L18" s="43">
        <f>ROUND($E$9*J18,0)</f>
        <v>858761</v>
      </c>
      <c r="O18" s="298"/>
    </row>
    <row r="19" spans="1:16" s="27" customFormat="1" ht="10.199999999999999" x14ac:dyDescent="0.3">
      <c r="A19" s="32"/>
      <c r="B19" s="32"/>
      <c r="C19" s="952" t="s">
        <v>5171</v>
      </c>
      <c r="D19" s="953"/>
      <c r="E19" s="953"/>
      <c r="F19" s="953"/>
      <c r="G19" s="953"/>
      <c r="H19" s="953"/>
      <c r="I19" s="953"/>
      <c r="J19" s="953"/>
      <c r="K19" s="954"/>
      <c r="L19" s="33">
        <f>SUM(L15:L18)</f>
        <v>14368787</v>
      </c>
      <c r="O19" s="298"/>
    </row>
    <row r="20" spans="1:16" s="27" customFormat="1" ht="10.199999999999999" x14ac:dyDescent="0.3">
      <c r="A20" s="32"/>
      <c r="B20" s="32"/>
      <c r="C20" s="45"/>
      <c r="D20" s="45"/>
      <c r="E20" s="45"/>
      <c r="F20" s="45"/>
      <c r="G20" s="45"/>
      <c r="H20" s="45"/>
      <c r="I20" s="45"/>
      <c r="J20" s="45"/>
      <c r="K20" s="45"/>
      <c r="L20" s="45"/>
    </row>
    <row r="21" spans="1:16" s="27" customFormat="1" ht="10.199999999999999" x14ac:dyDescent="0.3">
      <c r="A21" s="32"/>
      <c r="B21" s="46">
        <f>B13+0.1</f>
        <v>3.2</v>
      </c>
      <c r="C21" s="958" t="s">
        <v>5267</v>
      </c>
      <c r="D21" s="958"/>
      <c r="E21" s="958"/>
      <c r="F21" s="958"/>
      <c r="G21" s="958"/>
      <c r="H21" s="958"/>
      <c r="I21" s="958"/>
      <c r="J21" s="958"/>
      <c r="K21" s="958"/>
      <c r="L21" s="958"/>
    </row>
    <row r="22" spans="1:16" s="48" customFormat="1" ht="20.399999999999999" x14ac:dyDescent="0.3">
      <c r="A22" s="32"/>
      <c r="B22" s="47" t="s">
        <v>5132</v>
      </c>
      <c r="C22" s="959" t="s">
        <v>5165</v>
      </c>
      <c r="D22" s="959"/>
      <c r="E22" s="960" t="s">
        <v>5172</v>
      </c>
      <c r="F22" s="961"/>
      <c r="G22" s="939" t="s">
        <v>5173</v>
      </c>
      <c r="H22" s="941"/>
      <c r="I22" s="47" t="s">
        <v>5174</v>
      </c>
      <c r="J22" s="939" t="s">
        <v>5175</v>
      </c>
      <c r="K22" s="941"/>
      <c r="L22" s="46" t="s">
        <v>5160</v>
      </c>
    </row>
    <row r="23" spans="1:16" s="27" customFormat="1" ht="12.75" customHeight="1" x14ac:dyDescent="0.3">
      <c r="A23" s="32"/>
      <c r="B23" s="41">
        <f>B21+0.001</f>
        <v>3.2010000000000001</v>
      </c>
      <c r="C23" s="49" t="s">
        <v>5176</v>
      </c>
      <c r="D23" s="1169" t="s">
        <v>5177</v>
      </c>
      <c r="E23" s="946">
        <f>+E9</f>
        <v>171752170</v>
      </c>
      <c r="F23" s="947"/>
      <c r="G23" s="957">
        <v>0.2</v>
      </c>
      <c r="H23" s="957"/>
      <c r="I23" s="50">
        <v>17</v>
      </c>
      <c r="J23" s="949">
        <v>2E-3</v>
      </c>
      <c r="K23" s="951"/>
      <c r="L23" s="43">
        <f>(((((E23*G23)*J23)/12)*I23)+2500)*1.19</f>
        <v>118793.21330333332</v>
      </c>
    </row>
    <row r="24" spans="1:16" s="27" customFormat="1" ht="12.75" customHeight="1" x14ac:dyDescent="0.25">
      <c r="A24" s="32"/>
      <c r="B24" s="41">
        <f>B23+0.001</f>
        <v>3.202</v>
      </c>
      <c r="C24" s="49" t="s">
        <v>5178</v>
      </c>
      <c r="D24" s="1170"/>
      <c r="E24" s="946">
        <f>+E23</f>
        <v>171752170</v>
      </c>
      <c r="F24" s="947"/>
      <c r="G24" s="957">
        <v>0.1</v>
      </c>
      <c r="H24" s="957"/>
      <c r="I24" s="50">
        <v>47</v>
      </c>
      <c r="J24" s="949">
        <v>2E-3</v>
      </c>
      <c r="K24" s="951"/>
      <c r="L24" s="43">
        <f>(((((E24*G24)*J24)/12)*I24)+2500)*1.19</f>
        <v>163076.64780166667</v>
      </c>
      <c r="O24" s="299"/>
      <c r="P24" s="299"/>
    </row>
    <row r="25" spans="1:16" s="27" customFormat="1" ht="12" x14ac:dyDescent="0.25">
      <c r="A25" s="32"/>
      <c r="B25" s="41">
        <f>B24+0.001</f>
        <v>3.2029999999999998</v>
      </c>
      <c r="C25" s="49" t="s">
        <v>5179</v>
      </c>
      <c r="D25" s="1170"/>
      <c r="E25" s="946">
        <f>+E23</f>
        <v>171752170</v>
      </c>
      <c r="F25" s="947"/>
      <c r="G25" s="957">
        <v>0.3</v>
      </c>
      <c r="H25" s="957"/>
      <c r="I25" s="50">
        <v>60</v>
      </c>
      <c r="J25" s="949">
        <v>3.0000000000000001E-3</v>
      </c>
      <c r="K25" s="951"/>
      <c r="L25" s="43">
        <f>(((((E25*G25)*J25)/12)*I25)+2500)*1.19</f>
        <v>922707.8703500001</v>
      </c>
      <c r="N25" s="300"/>
      <c r="O25" s="301"/>
      <c r="P25" s="299"/>
    </row>
    <row r="26" spans="1:16" s="27" customFormat="1" ht="30.75" customHeight="1" x14ac:dyDescent="0.3">
      <c r="A26" s="32"/>
      <c r="B26" s="41">
        <f>B25+0.001</f>
        <v>3.2039999999999997</v>
      </c>
      <c r="C26" s="51" t="s">
        <v>5180</v>
      </c>
      <c r="D26" s="302" t="s">
        <v>5181</v>
      </c>
      <c r="E26" s="946">
        <v>16370682</v>
      </c>
      <c r="F26" s="947"/>
      <c r="G26" s="957" t="s">
        <v>5425</v>
      </c>
      <c r="H26" s="957"/>
      <c r="I26" s="50">
        <v>11</v>
      </c>
      <c r="J26" s="949">
        <v>3.0000000000000001E-3</v>
      </c>
      <c r="K26" s="951"/>
      <c r="L26" s="43">
        <f>((((E26*J26)/12)*I26)+2500)*1.19</f>
        <v>56548.056844999999</v>
      </c>
      <c r="N26" s="300"/>
      <c r="O26" s="300"/>
      <c r="P26" s="303"/>
    </row>
    <row r="28" spans="1:16" s="27" customFormat="1" ht="10.199999999999999" x14ac:dyDescent="0.3">
      <c r="A28" s="32"/>
      <c r="B28" s="32"/>
      <c r="C28" s="952" t="s">
        <v>5182</v>
      </c>
      <c r="D28" s="953"/>
      <c r="E28" s="953"/>
      <c r="F28" s="953"/>
      <c r="G28" s="953"/>
      <c r="H28" s="953"/>
      <c r="I28" s="953"/>
      <c r="J28" s="953"/>
      <c r="K28" s="954"/>
      <c r="L28" s="33">
        <f>ROUND((SUM(L23:L26)),0)</f>
        <v>1261126</v>
      </c>
    </row>
    <row r="29" spans="1:16" s="27" customFormat="1" ht="10.199999999999999" x14ac:dyDescent="0.3">
      <c r="A29" s="32"/>
      <c r="B29" s="32"/>
      <c r="C29" s="932"/>
      <c r="D29" s="932"/>
      <c r="E29" s="932"/>
      <c r="F29" s="932"/>
      <c r="G29" s="932"/>
      <c r="H29" s="932"/>
      <c r="I29" s="932"/>
      <c r="J29" s="932"/>
      <c r="K29" s="932"/>
      <c r="L29" s="932"/>
      <c r="N29" s="304"/>
    </row>
    <row r="30" spans="1:16" s="27" customFormat="1" ht="10.199999999999999" x14ac:dyDescent="0.3">
      <c r="A30" s="32"/>
      <c r="B30" s="32"/>
      <c r="C30" s="53" t="s">
        <v>5183</v>
      </c>
      <c r="D30" s="54"/>
      <c r="E30" s="54"/>
      <c r="F30" s="54"/>
      <c r="G30" s="54"/>
      <c r="H30" s="54"/>
      <c r="I30" s="54"/>
      <c r="J30" s="54"/>
      <c r="K30" s="55"/>
      <c r="L30" s="33">
        <f>L19+L28</f>
        <v>15629913</v>
      </c>
    </row>
    <row r="31" spans="1:16" s="27" customFormat="1" x14ac:dyDescent="0.3">
      <c r="A31" s="32"/>
      <c r="B31" s="32"/>
      <c r="C31" s="53" t="s">
        <v>5184</v>
      </c>
      <c r="D31" s="54"/>
      <c r="E31" s="54"/>
      <c r="F31" s="54"/>
      <c r="G31" s="54"/>
      <c r="H31" s="54"/>
      <c r="I31" s="54"/>
      <c r="J31" s="54"/>
      <c r="K31" s="55"/>
      <c r="L31" s="305">
        <f>L30/E9</f>
        <v>9.1002710475215534E-2</v>
      </c>
    </row>
    <row r="32" spans="1:16" s="27" customFormat="1" ht="10.199999999999999" x14ac:dyDescent="0.3">
      <c r="A32" s="32"/>
      <c r="B32" s="32"/>
      <c r="C32" s="932"/>
      <c r="D32" s="932"/>
      <c r="E32" s="932"/>
      <c r="F32" s="932"/>
      <c r="G32" s="932"/>
      <c r="H32" s="932"/>
      <c r="I32" s="932"/>
      <c r="J32" s="932"/>
      <c r="K32" s="932"/>
      <c r="L32" s="932"/>
    </row>
    <row r="33" spans="1:16" s="27" customFormat="1" ht="10.199999999999999" x14ac:dyDescent="0.3">
      <c r="A33" s="32"/>
      <c r="B33" s="32"/>
      <c r="C33" s="53" t="s">
        <v>5344</v>
      </c>
      <c r="D33" s="54"/>
      <c r="E33" s="54"/>
      <c r="F33" s="54"/>
      <c r="G33" s="54"/>
      <c r="H33" s="54"/>
      <c r="I33" s="54"/>
      <c r="J33" s="54"/>
      <c r="K33" s="55"/>
      <c r="L33" s="306">
        <f>L31</f>
        <v>9.1002710475215534E-2</v>
      </c>
    </row>
    <row r="34" spans="1:16" s="48" customFormat="1" ht="10.199999999999999" x14ac:dyDescent="0.3">
      <c r="A34" s="38"/>
      <c r="B34" s="38"/>
      <c r="C34" s="53" t="s">
        <v>5185</v>
      </c>
      <c r="D34" s="54"/>
      <c r="E34" s="54"/>
      <c r="F34" s="54"/>
      <c r="G34" s="54"/>
      <c r="H34" s="54"/>
      <c r="I34" s="54"/>
      <c r="J34" s="54"/>
      <c r="K34" s="55"/>
      <c r="L34" s="306">
        <v>0.01</v>
      </c>
      <c r="O34" s="307"/>
      <c r="P34" s="170"/>
    </row>
    <row r="35" spans="1:16" s="48" customFormat="1" ht="10.199999999999999" x14ac:dyDescent="0.3">
      <c r="A35" s="38"/>
      <c r="B35" s="38"/>
      <c r="C35" s="53" t="s">
        <v>5186</v>
      </c>
      <c r="D35" s="54"/>
      <c r="E35" s="54"/>
      <c r="F35" s="54"/>
      <c r="G35" s="54"/>
      <c r="H35" s="54"/>
      <c r="I35" s="54"/>
      <c r="J35" s="54"/>
      <c r="K35" s="55"/>
      <c r="L35" s="306">
        <v>0.05</v>
      </c>
    </row>
    <row r="36" spans="1:16" s="27" customFormat="1" ht="10.199999999999999" x14ac:dyDescent="0.3">
      <c r="A36" s="32"/>
      <c r="B36" s="32"/>
      <c r="C36" s="932"/>
      <c r="D36" s="932"/>
      <c r="E36" s="932"/>
      <c r="F36" s="932"/>
      <c r="G36" s="932"/>
      <c r="H36" s="932"/>
      <c r="I36" s="932"/>
      <c r="J36" s="932"/>
      <c r="K36" s="932"/>
      <c r="L36" s="932"/>
      <c r="M36" s="171"/>
    </row>
    <row r="37" spans="1:16" s="27" customFormat="1" x14ac:dyDescent="0.3">
      <c r="A37" s="32"/>
      <c r="B37" s="32"/>
      <c r="C37" s="53" t="s">
        <v>5187</v>
      </c>
      <c r="D37" s="54"/>
      <c r="E37" s="54"/>
      <c r="F37" s="54"/>
      <c r="G37" s="54"/>
      <c r="H37" s="54"/>
      <c r="I37" s="54"/>
      <c r="J37" s="54"/>
      <c r="K37" s="172"/>
      <c r="L37" s="308">
        <f>SUM(L33:L35)</f>
        <v>0.15100271047521552</v>
      </c>
      <c r="M37" s="309"/>
    </row>
    <row r="38" spans="1:16" s="27" customFormat="1" x14ac:dyDescent="0.3">
      <c r="A38" s="32"/>
      <c r="B38" s="32"/>
      <c r="C38" s="174"/>
      <c r="D38" s="174"/>
      <c r="E38" s="174"/>
      <c r="F38" s="174"/>
      <c r="G38" s="175"/>
      <c r="H38" s="175"/>
      <c r="I38" s="175"/>
      <c r="J38" s="175"/>
      <c r="K38" s="175"/>
      <c r="L38" s="176"/>
    </row>
    <row r="39" spans="1:16" s="27" customFormat="1" ht="10.199999999999999" x14ac:dyDescent="0.3">
      <c r="A39" s="32"/>
      <c r="B39" s="32"/>
      <c r="C39" s="177"/>
      <c r="D39" s="933"/>
      <c r="E39" s="933"/>
      <c r="F39" s="933"/>
      <c r="G39" s="933"/>
      <c r="H39" s="933"/>
      <c r="I39" s="933"/>
      <c r="J39" s="933"/>
      <c r="K39" s="933"/>
      <c r="L39" s="934"/>
    </row>
    <row r="40" spans="1:16" s="27" customFormat="1" ht="10.199999999999999" x14ac:dyDescent="0.3">
      <c r="A40" s="32"/>
      <c r="B40" s="32"/>
      <c r="C40" s="179" t="s">
        <v>5269</v>
      </c>
      <c r="D40" s="935" t="s">
        <v>5270</v>
      </c>
      <c r="E40" s="935"/>
      <c r="F40" s="935"/>
      <c r="G40" s="935"/>
      <c r="H40" s="935"/>
      <c r="I40" s="935"/>
      <c r="J40" s="935"/>
      <c r="K40" s="935"/>
      <c r="L40" s="936"/>
    </row>
    <row r="41" spans="1:16" s="27" customFormat="1" ht="10.199999999999999" x14ac:dyDescent="0.3">
      <c r="A41" s="32"/>
      <c r="B41" s="32"/>
      <c r="C41" s="180"/>
      <c r="D41" s="937"/>
      <c r="E41" s="937"/>
      <c r="F41" s="937"/>
      <c r="G41" s="937"/>
      <c r="H41" s="937"/>
      <c r="I41" s="937"/>
      <c r="J41" s="937"/>
      <c r="K41" s="937"/>
      <c r="L41" s="938"/>
    </row>
    <row r="42" spans="1:16" ht="11.4" customHeight="1" x14ac:dyDescent="0.3"/>
  </sheetData>
  <mergeCells count="49">
    <mergeCell ref="E26:F26"/>
    <mergeCell ref="G26:H26"/>
    <mergeCell ref="J26:K26"/>
    <mergeCell ref="D41:L41"/>
    <mergeCell ref="C28:K28"/>
    <mergeCell ref="C29:L29"/>
    <mergeCell ref="C32:L32"/>
    <mergeCell ref="C36:L36"/>
    <mergeCell ref="D39:L39"/>
    <mergeCell ref="D40:L40"/>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2:L12"/>
    <mergeCell ref="C13:L13"/>
    <mergeCell ref="C14:D14"/>
    <mergeCell ref="G14:H14"/>
    <mergeCell ref="J14:K14"/>
    <mergeCell ref="J15:K15"/>
    <mergeCell ref="J16:K16"/>
    <mergeCell ref="J17:K17"/>
    <mergeCell ref="J18:K18"/>
    <mergeCell ref="C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7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D8CD6FF-C4EC-4FB5-BBBE-AAEEC1BDCC5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DATOS DEL PROCESO</vt:lpstr>
      <vt:lpstr>Formulario</vt:lpstr>
      <vt:lpstr>PRECIOS APU 2025</vt:lpstr>
      <vt:lpstr>INSUMOS 2025</vt:lpstr>
      <vt:lpstr>Filtro_Conservacion</vt:lpstr>
      <vt:lpstr>TABLAS</vt:lpstr>
      <vt:lpstr>F.P</vt:lpstr>
      <vt:lpstr>CIV PRIO</vt:lpstr>
      <vt:lpstr>Cantidades</vt:lpstr>
      <vt:lpstr>CantidadesConsolidadas</vt:lpstr>
      <vt:lpstr>CostoDirecto</vt:lpstr>
      <vt:lpstr>EYD</vt:lpstr>
      <vt:lpstr>AjusteCambioVigencia</vt:lpstr>
      <vt:lpstr>AIU OBRA </vt:lpstr>
      <vt:lpstr>PGA Y SST</vt:lpstr>
      <vt:lpstr>AIU PGA Y SST</vt:lpstr>
      <vt:lpstr>PGS</vt:lpstr>
      <vt:lpstr>AIU PGS</vt:lpstr>
      <vt:lpstr>PMT</vt:lpstr>
      <vt:lpstr>AIU PMT</vt:lpstr>
      <vt:lpstr>Formulario!Área_de_impresión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yerik betancourt</dc:creator>
  <cp:lastModifiedBy>Yerik Andrey Lopez Betancourt</cp:lastModifiedBy>
  <dcterms:created xsi:type="dcterms:W3CDTF">2025-02-24T02:46:01Z</dcterms:created>
  <dcterms:modified xsi:type="dcterms:W3CDTF">2026-09-28T22:48:28Z</dcterms:modified>
</cp:coreProperties>
</file>