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ÑO 2026\PROCESOS CONTRACTUALES\SELECCIONES ABREVIADAS\SEGUROS\DOCS PROGRAMA MUN CARUPA 2026-2027\"/>
    </mc:Choice>
  </mc:AlternateContent>
  <xr:revisionPtr revIDLastSave="0" documentId="13_ncr:1_{8917F3B9-33B9-45F3-B203-6A97D77A75B6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PRORROGA  30-11-11 (3)" sheetId="9" state="hidden" r:id="rId1"/>
    <sheet name="autos" sheetId="2" state="hidden" r:id="rId2"/>
    <sheet name="Hoja3" sheetId="3" state="hidden" r:id="rId3"/>
    <sheet name="COMPAÑIA UNO" sheetId="10" r:id="rId4"/>
    <sheet name="COMPAÑIA DOS" sheetId="48" r:id="rId5"/>
    <sheet name="COMPAÑIA TRES" sheetId="47" r:id="rId6"/>
    <sheet name="COMPARATIVO" sheetId="35" r:id="rId7"/>
  </sheets>
  <externalReferences>
    <externalReference r:id="rId8"/>
    <externalReference r:id="rId9"/>
  </externalReferences>
  <definedNames>
    <definedName name="_xlnm.Print_Area" localSheetId="3">'COMPAÑIA UNO'!$A$1:$G$38</definedName>
    <definedName name="_xlnm.Print_Area" localSheetId="0">'PRORROGA  30-11-11 (3)'!$B$3:$I$82</definedName>
    <definedName name="_xlnm.Print_Titles" localSheetId="3">'COMPAÑIA UNO'!$3:$8</definedName>
    <definedName name="_xlnm.Print_Titles" localSheetId="0">'PRORROGA  30-11-11 (3)'!$3:$7</definedName>
  </definedNames>
  <calcPr calcId="181029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9" i="35" l="1"/>
  <c r="F27" i="35"/>
  <c r="F26" i="35"/>
  <c r="F16" i="35"/>
  <c r="F17" i="35"/>
  <c r="F18" i="35"/>
  <c r="F19" i="35"/>
  <c r="E22" i="35"/>
  <c r="E23" i="35"/>
  <c r="E24" i="35"/>
  <c r="E25" i="35"/>
  <c r="E26" i="35"/>
  <c r="E27" i="35"/>
  <c r="E28" i="35"/>
  <c r="E29" i="35"/>
  <c r="E21" i="35"/>
  <c r="E10" i="35"/>
  <c r="E11" i="35"/>
  <c r="E12" i="35"/>
  <c r="E13" i="35"/>
  <c r="E14" i="35"/>
  <c r="E15" i="35"/>
  <c r="E16" i="35"/>
  <c r="E17" i="35"/>
  <c r="E18" i="35"/>
  <c r="E19" i="35"/>
  <c r="E9" i="35"/>
  <c r="D22" i="35"/>
  <c r="D23" i="35"/>
  <c r="D24" i="35"/>
  <c r="D25" i="35"/>
  <c r="D26" i="35"/>
  <c r="D27" i="35"/>
  <c r="D28" i="35"/>
  <c r="D29" i="35"/>
  <c r="D21" i="35"/>
  <c r="D10" i="35"/>
  <c r="D11" i="35"/>
  <c r="D12" i="35"/>
  <c r="D13" i="35"/>
  <c r="D14" i="35"/>
  <c r="D15" i="35"/>
  <c r="D16" i="35"/>
  <c r="D17" i="35"/>
  <c r="D18" i="35"/>
  <c r="D19" i="35"/>
  <c r="D9" i="35"/>
  <c r="C31" i="10"/>
  <c r="L64" i="47"/>
  <c r="P65" i="47" s="1"/>
  <c r="L59" i="47"/>
  <c r="L60" i="47" s="1"/>
  <c r="P64" i="47" s="1"/>
  <c r="D55" i="47"/>
  <c r="K51" i="47"/>
  <c r="L51" i="47" s="1"/>
  <c r="L52" i="47" s="1"/>
  <c r="D47" i="47"/>
  <c r="I47" i="47" s="1"/>
  <c r="D46" i="47"/>
  <c r="I46" i="47" s="1"/>
  <c r="D42" i="47"/>
  <c r="D38" i="47"/>
  <c r="I38" i="47" s="1"/>
  <c r="D34" i="47"/>
  <c r="D29" i="47"/>
  <c r="D31" i="47" s="1"/>
  <c r="H25" i="47"/>
  <c r="G25" i="47"/>
  <c r="I25" i="47" s="1"/>
  <c r="H24" i="47"/>
  <c r="G24" i="47"/>
  <c r="G23" i="47"/>
  <c r="I23" i="47" s="1"/>
  <c r="G22" i="47"/>
  <c r="G21" i="47"/>
  <c r="D21" i="47"/>
  <c r="G20" i="47"/>
  <c r="F20" i="47"/>
  <c r="E20" i="47"/>
  <c r="J20" i="47" s="1"/>
  <c r="D20" i="47"/>
  <c r="G19" i="47"/>
  <c r="D19" i="47"/>
  <c r="G18" i="47"/>
  <c r="D18" i="47"/>
  <c r="I18" i="47" s="1"/>
  <c r="G17" i="47"/>
  <c r="D17" i="47"/>
  <c r="E17" i="47" s="1"/>
  <c r="J17" i="47" s="1"/>
  <c r="G16" i="47"/>
  <c r="D16" i="47"/>
  <c r="E16" i="47" s="1"/>
  <c r="J16" i="47" s="1"/>
  <c r="D15" i="47"/>
  <c r="D26" i="47" s="1"/>
  <c r="D9" i="47"/>
  <c r="D7" i="47"/>
  <c r="B38" i="48"/>
  <c r="E22" i="48" s="1"/>
  <c r="G30" i="48"/>
  <c r="E30" i="48"/>
  <c r="E29" i="48"/>
  <c r="G29" i="48" s="1"/>
  <c r="F27" i="48"/>
  <c r="G27" i="48" s="1"/>
  <c r="E25" i="48"/>
  <c r="E24" i="48"/>
  <c r="C31" i="48"/>
  <c r="C21" i="48"/>
  <c r="D20" i="48"/>
  <c r="E20" i="48" s="1"/>
  <c r="F20" i="48" s="1"/>
  <c r="D18" i="48"/>
  <c r="E18" i="48" s="1"/>
  <c r="D17" i="48"/>
  <c r="D16" i="48"/>
  <c r="E16" i="48" s="1"/>
  <c r="D15" i="48"/>
  <c r="D14" i="48"/>
  <c r="E14" i="48" s="1"/>
  <c r="D13" i="48"/>
  <c r="D12" i="48"/>
  <c r="E12" i="48" s="1"/>
  <c r="D11" i="48"/>
  <c r="E10" i="48"/>
  <c r="I16" i="47" l="1"/>
  <c r="F28" i="35"/>
  <c r="I17" i="47"/>
  <c r="K17" i="47" s="1"/>
  <c r="L17" i="47" s="1"/>
  <c r="F11" i="35" s="1"/>
  <c r="I20" i="47"/>
  <c r="K23" i="47"/>
  <c r="L23" i="47" s="1"/>
  <c r="K38" i="47"/>
  <c r="L38" i="47" s="1"/>
  <c r="L39" i="47" s="1"/>
  <c r="F23" i="35" s="1"/>
  <c r="K16" i="47"/>
  <c r="L16" i="47" s="1"/>
  <c r="F10" i="35" s="1"/>
  <c r="K46" i="47"/>
  <c r="L46" i="47" s="1"/>
  <c r="K25" i="47"/>
  <c r="L25" i="47" s="1"/>
  <c r="K47" i="47"/>
  <c r="L47" i="47" s="1"/>
  <c r="K20" i="47"/>
  <c r="L20" i="47" s="1"/>
  <c r="F14" i="35" s="1"/>
  <c r="I30" i="47"/>
  <c r="I42" i="47"/>
  <c r="I29" i="47"/>
  <c r="I24" i="47"/>
  <c r="E21" i="47"/>
  <c r="J21" i="47" s="1"/>
  <c r="I55" i="47"/>
  <c r="L55" i="47" s="1"/>
  <c r="L56" i="47" s="1"/>
  <c r="P63" i="47" s="1"/>
  <c r="E15" i="47"/>
  <c r="K18" i="47"/>
  <c r="L18" i="47" s="1"/>
  <c r="F12" i="35" s="1"/>
  <c r="I21" i="47"/>
  <c r="I19" i="47"/>
  <c r="I22" i="47"/>
  <c r="I34" i="47"/>
  <c r="I15" i="47"/>
  <c r="D48" i="47"/>
  <c r="E29" i="47"/>
  <c r="F16" i="48"/>
  <c r="G16" i="48" s="1"/>
  <c r="F24" i="48"/>
  <c r="G24" i="48" s="1"/>
  <c r="F25" i="48"/>
  <c r="G25" i="48" s="1"/>
  <c r="F12" i="48"/>
  <c r="G12" i="48" s="1"/>
  <c r="C32" i="48"/>
  <c r="F18" i="48"/>
  <c r="G18" i="48" s="1"/>
  <c r="F14" i="48"/>
  <c r="G14" i="48" s="1"/>
  <c r="F22" i="48"/>
  <c r="G22" i="48" s="1"/>
  <c r="F10" i="48"/>
  <c r="G10" i="48" s="1"/>
  <c r="G20" i="48"/>
  <c r="E23" i="48"/>
  <c r="E19" i="48"/>
  <c r="E28" i="48"/>
  <c r="G28" i="48" s="1"/>
  <c r="E11" i="48"/>
  <c r="E13" i="48"/>
  <c r="E15" i="48"/>
  <c r="E17" i="48"/>
  <c r="E26" i="48"/>
  <c r="L48" i="47" l="1"/>
  <c r="F25" i="35" s="1"/>
  <c r="J29" i="47"/>
  <c r="J31" i="47" s="1"/>
  <c r="E31" i="47"/>
  <c r="J15" i="47"/>
  <c r="J26" i="47" s="1"/>
  <c r="E26" i="47"/>
  <c r="K15" i="47"/>
  <c r="I26" i="47"/>
  <c r="K34" i="47"/>
  <c r="L34" i="47" s="1"/>
  <c r="L35" i="47" s="1"/>
  <c r="F22" i="35" s="1"/>
  <c r="K24" i="47"/>
  <c r="L24" i="47"/>
  <c r="K22" i="47"/>
  <c r="L22" i="47" s="1"/>
  <c r="K29" i="47"/>
  <c r="K31" i="47" s="1"/>
  <c r="I31" i="47"/>
  <c r="K19" i="47"/>
  <c r="L19" i="47" s="1"/>
  <c r="F13" i="35" s="1"/>
  <c r="K42" i="47"/>
  <c r="L42" i="47" s="1"/>
  <c r="L43" i="47" s="1"/>
  <c r="F24" i="35" s="1"/>
  <c r="K21" i="47"/>
  <c r="L21" i="47" s="1"/>
  <c r="F15" i="35" s="1"/>
  <c r="L30" i="47"/>
  <c r="K30" i="47"/>
  <c r="F11" i="48"/>
  <c r="G11" i="48" s="1"/>
  <c r="F26" i="48"/>
  <c r="G26" i="48"/>
  <c r="F23" i="48"/>
  <c r="G23" i="48" s="1"/>
  <c r="G31" i="48" s="1"/>
  <c r="F15" i="48"/>
  <c r="G15" i="48" s="1"/>
  <c r="E21" i="48"/>
  <c r="F19" i="48"/>
  <c r="G19" i="48" s="1"/>
  <c r="F17" i="48"/>
  <c r="G17" i="48" s="1"/>
  <c r="F13" i="48"/>
  <c r="E31" i="48"/>
  <c r="L29" i="47" l="1"/>
  <c r="L31" i="47" s="1"/>
  <c r="F21" i="35" s="1"/>
  <c r="K26" i="47"/>
  <c r="L15" i="47"/>
  <c r="E32" i="48"/>
  <c r="F31" i="48"/>
  <c r="F21" i="48"/>
  <c r="G13" i="48"/>
  <c r="G21" i="48" s="1"/>
  <c r="G32" i="48" s="1"/>
  <c r="L26" i="47" l="1"/>
  <c r="P62" i="47" s="1"/>
  <c r="P66" i="47" s="1"/>
  <c r="P67" i="47" s="1"/>
  <c r="F9" i="35"/>
  <c r="F32" i="48"/>
  <c r="L66" i="47" l="1"/>
  <c r="L68" i="47" s="1"/>
  <c r="C21" i="10"/>
  <c r="G15" i="35" l="1"/>
  <c r="G11" i="35"/>
  <c r="D11" i="10"/>
  <c r="G30" i="10"/>
  <c r="G29" i="35" s="1"/>
  <c r="G13" i="35" l="1"/>
  <c r="G12" i="35"/>
  <c r="G19" i="35"/>
  <c r="G14" i="35"/>
  <c r="G18" i="35"/>
  <c r="G10" i="35"/>
  <c r="G17" i="35"/>
  <c r="G9" i="35"/>
  <c r="G16" i="35"/>
  <c r="E30" i="10"/>
  <c r="G20" i="35" l="1"/>
  <c r="G28" i="35"/>
  <c r="F30" i="35" l="1"/>
  <c r="F20" i="35" l="1"/>
  <c r="F31" i="35" s="1"/>
  <c r="G31" i="35" s="1"/>
  <c r="I31" i="35" s="1"/>
  <c r="E20" i="35"/>
  <c r="D20" i="35"/>
  <c r="C20" i="35"/>
  <c r="F27" i="10"/>
  <c r="G27" i="10" s="1"/>
  <c r="G26" i="35" s="1"/>
  <c r="B38" i="10"/>
  <c r="D20" i="10"/>
  <c r="D18" i="10"/>
  <c r="D17" i="10"/>
  <c r="D16" i="10"/>
  <c r="D15" i="10"/>
  <c r="D14" i="10"/>
  <c r="D13" i="10"/>
  <c r="D12" i="10"/>
  <c r="E18" i="10" l="1"/>
  <c r="E11" i="10"/>
  <c r="E19" i="10"/>
  <c r="F19" i="10" s="1"/>
  <c r="G19" i="10" s="1"/>
  <c r="E17" i="10"/>
  <c r="F17" i="10" s="1"/>
  <c r="G17" i="10" s="1"/>
  <c r="E20" i="10"/>
  <c r="F20" i="10" s="1"/>
  <c r="G20" i="10" s="1"/>
  <c r="E12" i="10"/>
  <c r="F12" i="10" s="1"/>
  <c r="G12" i="10" s="1"/>
  <c r="E13" i="10"/>
  <c r="F13" i="10" s="1"/>
  <c r="G13" i="10" s="1"/>
  <c r="E15" i="10"/>
  <c r="F15" i="10" s="1"/>
  <c r="G15" i="10" s="1"/>
  <c r="E16" i="10"/>
  <c r="F16" i="10" s="1"/>
  <c r="G16" i="10" s="1"/>
  <c r="E14" i="10"/>
  <c r="F14" i="10" s="1"/>
  <c r="G14" i="10" s="1"/>
  <c r="E24" i="10"/>
  <c r="F24" i="10" s="1"/>
  <c r="G24" i="10" s="1"/>
  <c r="G23" i="35" s="1"/>
  <c r="E10" i="10"/>
  <c r="E25" i="10"/>
  <c r="F25" i="10" s="1"/>
  <c r="G25" i="10" s="1"/>
  <c r="G24" i="35" s="1"/>
  <c r="E23" i="10"/>
  <c r="E22" i="10"/>
  <c r="E28" i="10"/>
  <c r="G28" i="10" s="1"/>
  <c r="E26" i="10"/>
  <c r="F26" i="10" s="1"/>
  <c r="G26" i="10" s="1"/>
  <c r="G25" i="35" s="1"/>
  <c r="F18" i="10"/>
  <c r="G18" i="10" s="1"/>
  <c r="F11" i="10"/>
  <c r="E21" i="10" l="1"/>
  <c r="G27" i="35"/>
  <c r="E29" i="10"/>
  <c r="G29" i="10" s="1"/>
  <c r="G11" i="10"/>
  <c r="C30" i="35" l="1"/>
  <c r="C31" i="35" s="1"/>
  <c r="E30" i="35" l="1"/>
  <c r="E31" i="35" s="1"/>
  <c r="C19" i="3" l="1"/>
  <c r="G12" i="3"/>
  <c r="F12" i="3" s="1"/>
  <c r="F11" i="3"/>
  <c r="G11" i="3" s="1"/>
  <c r="H11" i="3" s="1"/>
  <c r="D46" i="9"/>
  <c r="D49" i="9" s="1"/>
  <c r="D48" i="9" s="1"/>
  <c r="F10" i="10"/>
  <c r="F21" i="10" s="1"/>
  <c r="C43" i="9"/>
  <c r="I72" i="9"/>
  <c r="I69" i="9"/>
  <c r="H66" i="9"/>
  <c r="I66" i="9" s="1"/>
  <c r="E59" i="9"/>
  <c r="G59" i="9" s="1"/>
  <c r="H59" i="9" s="1"/>
  <c r="I59" i="9" s="1"/>
  <c r="E56" i="9"/>
  <c r="G56" i="9" s="1"/>
  <c r="H56" i="9" s="1"/>
  <c r="I56" i="9" s="1"/>
  <c r="E55" i="9"/>
  <c r="E54" i="9"/>
  <c r="G54" i="9" s="1"/>
  <c r="D51" i="9"/>
  <c r="E51" i="9" s="1"/>
  <c r="G51" i="9" s="1"/>
  <c r="C48" i="9"/>
  <c r="C49" i="9" s="1"/>
  <c r="E46" i="9"/>
  <c r="G46" i="9" s="1"/>
  <c r="H46" i="9" s="1"/>
  <c r="I46" i="9" s="1"/>
  <c r="E42" i="9"/>
  <c r="E43" i="9" s="1"/>
  <c r="E39" i="9"/>
  <c r="G39" i="9" s="1"/>
  <c r="E38" i="9"/>
  <c r="E37" i="9"/>
  <c r="G37" i="9" s="1"/>
  <c r="H37" i="9" s="1"/>
  <c r="I37" i="9" s="1"/>
  <c r="E36" i="9"/>
  <c r="G36" i="9" s="1"/>
  <c r="H36" i="9" s="1"/>
  <c r="I36" i="9" s="1"/>
  <c r="E35" i="9"/>
  <c r="G35" i="9" s="1"/>
  <c r="H35" i="9" s="1"/>
  <c r="I35" i="9" s="1"/>
  <c r="E32" i="9"/>
  <c r="G32" i="9" s="1"/>
  <c r="E31" i="9"/>
  <c r="G31" i="9" s="1"/>
  <c r="E30" i="9"/>
  <c r="G30" i="9" s="1"/>
  <c r="E29" i="9"/>
  <c r="G29" i="9" s="1"/>
  <c r="E28" i="9"/>
  <c r="G28" i="9" s="1"/>
  <c r="E27" i="9"/>
  <c r="G27" i="9" s="1"/>
  <c r="E26" i="9"/>
  <c r="E25" i="9"/>
  <c r="G25" i="9" s="1"/>
  <c r="H25" i="9" s="1"/>
  <c r="I25" i="9" s="1"/>
  <c r="E24" i="9"/>
  <c r="G24" i="9" s="1"/>
  <c r="E23" i="9"/>
  <c r="E22" i="9"/>
  <c r="G22" i="9" s="1"/>
  <c r="H22" i="9" s="1"/>
  <c r="I22" i="9" s="1"/>
  <c r="C21" i="9"/>
  <c r="E20" i="9"/>
  <c r="G20" i="9" s="1"/>
  <c r="H20" i="9" s="1"/>
  <c r="I20" i="9" s="1"/>
  <c r="C18" i="9"/>
  <c r="C19" i="9" s="1"/>
  <c r="E19" i="9" s="1"/>
  <c r="G19" i="9" s="1"/>
  <c r="C17" i="9"/>
  <c r="E16" i="9"/>
  <c r="E17" i="9" s="1"/>
  <c r="G17" i="9" s="1"/>
  <c r="H17" i="9" s="1"/>
  <c r="E15" i="9"/>
  <c r="G15" i="9" s="1"/>
  <c r="C14" i="9"/>
  <c r="C13" i="9"/>
  <c r="C11" i="9"/>
  <c r="C12" i="9" s="1"/>
  <c r="E10" i="9"/>
  <c r="E13" i="9" s="1"/>
  <c r="E8" i="9"/>
  <c r="G8" i="9" s="1"/>
  <c r="H8" i="9" s="1"/>
  <c r="G12" i="9"/>
  <c r="H12" i="9" s="1"/>
  <c r="G23" i="9"/>
  <c r="H23" i="9" s="1"/>
  <c r="I23" i="9" s="1"/>
  <c r="G26" i="9"/>
  <c r="H26" i="9" s="1"/>
  <c r="I26" i="9" s="1"/>
  <c r="G38" i="9"/>
  <c r="H38" i="9" s="1"/>
  <c r="I38" i="9" s="1"/>
  <c r="G55" i="9"/>
  <c r="H55" i="9" s="1"/>
  <c r="I55" i="9" s="1"/>
  <c r="G63" i="9"/>
  <c r="H63" i="9" s="1"/>
  <c r="G10" i="9"/>
  <c r="H10" i="9" s="1"/>
  <c r="I10" i="9" s="1"/>
  <c r="F31" i="2"/>
  <c r="I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4" i="2"/>
  <c r="H5" i="2"/>
  <c r="H6" i="2"/>
  <c r="H3" i="2"/>
  <c r="E48" i="9" l="1"/>
  <c r="G48" i="9" s="1"/>
  <c r="G10" i="10"/>
  <c r="G21" i="10" s="1"/>
  <c r="E18" i="9"/>
  <c r="G18" i="9" s="1"/>
  <c r="E21" i="9"/>
  <c r="G21" i="9" s="1"/>
  <c r="H21" i="9" s="1"/>
  <c r="G16" i="9"/>
  <c r="H16" i="9" s="1"/>
  <c r="I16" i="9" s="1"/>
  <c r="G42" i="9"/>
  <c r="H42" i="9" s="1"/>
  <c r="I42" i="9" s="1"/>
  <c r="D47" i="9"/>
  <c r="D50" i="9"/>
  <c r="H31" i="2"/>
  <c r="H24" i="9"/>
  <c r="I24" i="9" s="1"/>
  <c r="C47" i="9"/>
  <c r="E49" i="9"/>
  <c r="C50" i="9"/>
  <c r="E50" i="9"/>
  <c r="G50" i="9" s="1"/>
  <c r="H50" i="9" s="1"/>
  <c r="I50" i="9" s="1"/>
  <c r="I63" i="9"/>
  <c r="G13" i="9"/>
  <c r="E14" i="9"/>
  <c r="G14" i="9" s="1"/>
  <c r="H15" i="9"/>
  <c r="I15" i="9" s="1"/>
  <c r="H27" i="9"/>
  <c r="I27" i="9" s="1"/>
  <c r="H29" i="9"/>
  <c r="I29" i="9" s="1"/>
  <c r="H31" i="9"/>
  <c r="I31" i="9" s="1"/>
  <c r="H39" i="9"/>
  <c r="I39" i="9" s="1"/>
  <c r="H54" i="9"/>
  <c r="I54" i="9" s="1"/>
  <c r="H48" i="9"/>
  <c r="I48" i="9" s="1"/>
  <c r="H18" i="9"/>
  <c r="I18" i="9" s="1"/>
  <c r="I8" i="9"/>
  <c r="H19" i="9"/>
  <c r="I19" i="9" s="1"/>
  <c r="H28" i="9"/>
  <c r="I28" i="9" s="1"/>
  <c r="H30" i="9"/>
  <c r="I30" i="9" s="1"/>
  <c r="H32" i="9"/>
  <c r="I32" i="9" s="1"/>
  <c r="H51" i="9"/>
  <c r="I51" i="9" s="1"/>
  <c r="E11" i="9"/>
  <c r="G11" i="9" s="1"/>
  <c r="E47" i="9" l="1"/>
  <c r="G47" i="9" s="1"/>
  <c r="H47" i="9" s="1"/>
  <c r="G49" i="9"/>
  <c r="H11" i="9"/>
  <c r="H14" i="9"/>
  <c r="I14" i="9" s="1"/>
  <c r="H13" i="9"/>
  <c r="I13" i="9" s="1"/>
  <c r="G74" i="9" l="1"/>
  <c r="H49" i="9"/>
  <c r="I49" i="9" s="1"/>
  <c r="I74" i="9" s="1"/>
  <c r="H74" i="9" l="1"/>
  <c r="F23" i="10" l="1"/>
  <c r="G23" i="10" s="1"/>
  <c r="G22" i="35" s="1"/>
  <c r="E31" i="10" l="1"/>
  <c r="E32" i="10" s="1"/>
  <c r="F22" i="10" l="1"/>
  <c r="F31" i="10" s="1"/>
  <c r="F32" i="10" s="1"/>
  <c r="G22" i="10" l="1"/>
  <c r="G31" i="10" l="1"/>
  <c r="G32" i="10" s="1"/>
  <c r="C32" i="10"/>
  <c r="G21" i="35" l="1"/>
  <c r="D30" i="35"/>
  <c r="D31" i="35" l="1"/>
  <c r="G30" i="35"/>
</calcChain>
</file>

<file path=xl/sharedStrings.xml><?xml version="1.0" encoding="utf-8"?>
<sst xmlns="http://schemas.openxmlformats.org/spreadsheetml/2006/main" count="277" uniqueCount="137">
  <si>
    <t>AMPAROS</t>
  </si>
  <si>
    <t>TASA</t>
  </si>
  <si>
    <t>PRIMA</t>
  </si>
  <si>
    <t>IVA 16%</t>
  </si>
  <si>
    <t>TOTAL</t>
  </si>
  <si>
    <t>EDIFICIO</t>
  </si>
  <si>
    <t>SUSTRACCIÓN</t>
  </si>
  <si>
    <t xml:space="preserve">    AMIT Y HMACC</t>
  </si>
  <si>
    <t xml:space="preserve">    TERREMOTO</t>
  </si>
  <si>
    <t>RCE</t>
  </si>
  <si>
    <t>CORRIENTE DÉBIL</t>
  </si>
  <si>
    <t>BÁSICO</t>
  </si>
  <si>
    <t>VR. ASEGURADO ANTERIOR</t>
  </si>
  <si>
    <t>VR. ASEGURADO INCLUISIÓN</t>
  </si>
  <si>
    <t>VR. ASEGURADO TOTAL</t>
  </si>
  <si>
    <t>MANEJO</t>
  </si>
  <si>
    <t>INCENDIO</t>
  </si>
  <si>
    <t>CONTENIDOS</t>
  </si>
  <si>
    <t>INDICE VARIABLE (5%)</t>
  </si>
  <si>
    <t>EDIFICIO + IND VARIABLE</t>
  </si>
  <si>
    <t>ADAPTACIÓN A NORMA</t>
  </si>
  <si>
    <t>MAQUINARIA</t>
  </si>
  <si>
    <t>DINEROS</t>
  </si>
  <si>
    <t>SOFWARE</t>
  </si>
  <si>
    <t>MERCANCIAS</t>
  </si>
  <si>
    <t>AMIT Y HMACC</t>
  </si>
  <si>
    <t>OTROS (S.T.R)</t>
  </si>
  <si>
    <t>TERREMOTO</t>
  </si>
  <si>
    <t>ROTURA DE MAQUINARIA</t>
  </si>
  <si>
    <t>OTRAS PLANTAS</t>
  </si>
  <si>
    <t>INDICE VARIABLE 5%</t>
  </si>
  <si>
    <t>EQUIPOS ELECTRONICOS</t>
  </si>
  <si>
    <t>HURTO</t>
  </si>
  <si>
    <t>EQUIPOS MOVILES Y PORTATILES</t>
  </si>
  <si>
    <t>TODO RIESGO CONTRATISTA</t>
  </si>
  <si>
    <t>EQUIPO Y MAQUINARIA</t>
  </si>
  <si>
    <t>2579 - MUNICIPIO DE TOCANCIPA</t>
  </si>
  <si>
    <t>PRORROGA</t>
  </si>
  <si>
    <t>RESPONSABILIDAD CIVIL SERVIDORES PÚBLICOS</t>
  </si>
  <si>
    <t>ACCIDENTES PERSONALES</t>
  </si>
  <si>
    <t>VIDA</t>
  </si>
  <si>
    <t>AP</t>
  </si>
  <si>
    <t>DESDE</t>
  </si>
  <si>
    <t>HASTA</t>
  </si>
  <si>
    <t>DÍAS</t>
  </si>
  <si>
    <t>RESUMEN GENERAL PRORROGA</t>
  </si>
  <si>
    <t>AUTOMOVILES    1007195</t>
  </si>
  <si>
    <t>RESPONSABILIDAD CIVIL SERVIDORES PÚBLICOS   1005454</t>
  </si>
  <si>
    <t>ACCIDENTES PERSONALES  1001306</t>
  </si>
  <si>
    <t>VIDA  1001411</t>
  </si>
  <si>
    <t>VEHICULOS Y MOTOS
SEGÚN RELACION                       
$200  / $200 / $ 400.000.000</t>
  </si>
  <si>
    <t>DESDE LAS 00:00 HORAS DEL 20 DE FEBRERO DE 2012 HASTA LAS 00:00 HORAS DEL 20 DE FEBRERO DE 2013</t>
  </si>
  <si>
    <t>VIGENCIA: 365 DÍAS</t>
  </si>
  <si>
    <t xml:space="preserve">RESUMEN GENERAL </t>
  </si>
  <si>
    <t>IVA 19%</t>
  </si>
  <si>
    <t>COMPAÑÍA 2 VALOR PRIMA</t>
  </si>
  <si>
    <t>PROMEDIO</t>
  </si>
  <si>
    <t>Desde las 24:00 horas local del</t>
  </si>
  <si>
    <t>Hasta las 24:00 horas local del</t>
  </si>
  <si>
    <t>Item Asegurable</t>
  </si>
  <si>
    <t>Valor Asegurado</t>
  </si>
  <si>
    <t>Valor Asegurado Indice Variable</t>
  </si>
  <si>
    <t>% Indice Variable</t>
  </si>
  <si>
    <t>Tasa Anual</t>
  </si>
  <si>
    <t>Prima Neta</t>
  </si>
  <si>
    <t>Prima Neta Indice Variable</t>
  </si>
  <si>
    <t>IVA</t>
  </si>
  <si>
    <t>Prima Total</t>
  </si>
  <si>
    <t>GRUPO UNICO</t>
  </si>
  <si>
    <t>‰ (por mil)</t>
  </si>
  <si>
    <t>Limite Básico Asegurado por Evento y Vigencia</t>
  </si>
  <si>
    <t>% (por ciento)</t>
  </si>
  <si>
    <t>OFERTA TOTAL DE PRIMAS IVA INCLUIDO</t>
  </si>
  <si>
    <t>Dias de Cobertura Mínimos Exigidos en el Pliego</t>
  </si>
  <si>
    <t>Dias de Cobertura Adicionales ofertados</t>
  </si>
  <si>
    <t>Días de Cobertura Totales Ofertados</t>
  </si>
  <si>
    <t>Equipo y Maquinaria según relación detallada y valorizada</t>
  </si>
  <si>
    <t>Automotores según relación detallada y valorizada</t>
  </si>
  <si>
    <t>COMPAÑÍA UNO</t>
  </si>
  <si>
    <t>COMPAÑÍA 3 VALOR PRIMA</t>
  </si>
  <si>
    <t xml:space="preserve">POLIZA DE RC CONTRACTUAL (ACCIDENTES A PASAJEROS DE TRANSPORTE PUBLICO) </t>
  </si>
  <si>
    <t>Cuantía destinada</t>
  </si>
  <si>
    <t>Versión Agosto 2019</t>
  </si>
  <si>
    <t>SEGURO TODO RIESGO DAÑO MATERIAL -</t>
  </si>
  <si>
    <t>Cobertura Para Terrenos</t>
  </si>
  <si>
    <t xml:space="preserve">SEGURO TODO RIESGO EQUIPO Y MAQUINARIA (CONTRATISTAS) </t>
  </si>
  <si>
    <t>Limite de RC Extracontractual Por Evento</t>
  </si>
  <si>
    <t xml:space="preserve">SEGURO DE MANEJO GLOBAL ESTATAL </t>
  </si>
  <si>
    <t xml:space="preserve">SEGURO DE RESPONSABILIDAD CIVIL EXTRACONTRACTUAL </t>
  </si>
  <si>
    <t xml:space="preserve">SEGURO DE RESPONSABILIDAD CIVIL SERVIDORES PUBLICOS </t>
  </si>
  <si>
    <t xml:space="preserve">SEGURO COLECTIVO DE AUTOMOVILES </t>
  </si>
  <si>
    <t>Motociletas según relación detallada y valorizada</t>
  </si>
  <si>
    <t xml:space="preserve">SEGURO VIDA GRUPO </t>
  </si>
  <si>
    <t>Funcionarios según relación detallada y valorizada</t>
  </si>
  <si>
    <t>SEGURO OBLIGATORIO DE ACCIDENTES DE TRANSITO (SOAT) -</t>
  </si>
  <si>
    <t>RUBRO PRESUPUESTAL PARA POLIZAS DE CUMPLIMIENTO, DEMAS POLIZAS, Y/O INCLUSIONES Y/O AUMENTOS DE VALOR ASEGURADO BOLSA</t>
  </si>
  <si>
    <t>Edificio</t>
  </si>
  <si>
    <t>100 SMMLV</t>
  </si>
  <si>
    <t>GRUPO I</t>
  </si>
  <si>
    <t>GRUPO II</t>
  </si>
  <si>
    <t>GRUPO III</t>
  </si>
  <si>
    <t>PRESUPUESTO DEL PROCESO LICITATORIO</t>
  </si>
  <si>
    <t>BOLSA</t>
  </si>
  <si>
    <t>DIFERENCIA</t>
  </si>
  <si>
    <t>TODO RIESGO DAÑO MATERIAL</t>
  </si>
  <si>
    <t>TOTALES</t>
  </si>
  <si>
    <t>SEGURO TODO RIESGO EQUIPO Y MAQUINARIA</t>
  </si>
  <si>
    <t>SEGURO DE MANEJO GLOBAL ESTATAL</t>
  </si>
  <si>
    <t>SEGURO COLECTIVO DE AUTOMOVILES</t>
  </si>
  <si>
    <t>POLIZA DE RC CONTRACTUAL (PASAJEROS DE TRANSPORTE PUBLICO)</t>
  </si>
  <si>
    <t>SEGURO VIDA GRUPO</t>
  </si>
  <si>
    <t>SEGURO OBLIGATORIO ACCIDENTES DE TRANSITO (SOAT)</t>
  </si>
  <si>
    <t>BOLSA PARA FUTURAS INCLUSIONES</t>
  </si>
  <si>
    <t>GRAN TOTAL</t>
  </si>
  <si>
    <t>SEGURO DE RESPONSABILIDAD CIVIL SERVIDORES PUBLICOS</t>
  </si>
  <si>
    <t>COMPAÑÍA 1 
VALOR PRIMA</t>
  </si>
  <si>
    <t>Maquinaria y equipo</t>
  </si>
  <si>
    <t>Muebles y Enseres</t>
  </si>
  <si>
    <t>Bienes en Reposo</t>
  </si>
  <si>
    <t xml:space="preserve">Contenidos especiales: Instr. Musicales, Equipos de Comunicación </t>
  </si>
  <si>
    <t>Equipo Electrónico Fijo</t>
  </si>
  <si>
    <t>Equipo Móvil y Portatil</t>
  </si>
  <si>
    <t>Dineros y/o Titulos Valores</t>
  </si>
  <si>
    <t>Mercancias y/o Inventarios</t>
  </si>
  <si>
    <t>Adecuacion de Construcciones a Normas Sismoresistentes</t>
  </si>
  <si>
    <t>SMMLV</t>
  </si>
  <si>
    <t xml:space="preserve">VIGENCIA: 365  DÍAS  </t>
  </si>
  <si>
    <t xml:space="preserve">VIGENCIA: 365 DÍAS  </t>
  </si>
  <si>
    <t>MUNICIPIO DE CARMEN DE CARUPA</t>
  </si>
  <si>
    <t>MUNICIPIO CARMEN DE CARUPA NIT. 899999367-7</t>
  </si>
  <si>
    <t>SELECCIÓN ABREVIADA MENOR CUANTIA.</t>
  </si>
  <si>
    <t>MUNICIPIO CARMEN DE CARUPA</t>
  </si>
  <si>
    <t>NIT. 899.999.367-7</t>
  </si>
  <si>
    <t>SEGURO DE RESPONSABILIDAD CIVIL EXTRACONTRACTUAL</t>
  </si>
  <si>
    <t>DESDE LAS 00:00 HORAS DEL 19-11-2026
HASTA LAS 00:00 HORAS DEL 19-11-2027</t>
  </si>
  <si>
    <t>100SMMLV</t>
  </si>
  <si>
    <t>DESDE LAS 00:00 HORAS DEL 19-11-2026  
HASTA LAS 00:00 HORAS DEL 19-11-2027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</si>
</sst>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F_-;\-* #,##0.00\ _F_-;_-* &quot;-&quot;??\ _F_-;_-@_-"/>
    <numFmt numFmtId="167" formatCode="_-* #,##0\ _F_-;\-* #,##0\ _F_-;_-* &quot;-&quot;??\ _F_-;_-@_-"/>
    <numFmt numFmtId="168" formatCode="&quot;$&quot;\ #,##0.00"/>
    <numFmt numFmtId="169" formatCode="&quot;$&quot;\ #,##0"/>
    <numFmt numFmtId="170" formatCode="_-[$$-340A]\ * #,##0_-;\-[$$-340A]\ * #,##0_-;_-[$$-340A]\ * &quot;-&quot;_-;_-@_-"/>
    <numFmt numFmtId="171" formatCode="_-[$$-340A]\ * #,##0.00_-;\-[$$-340A]\ * #,##0.00_-;_-[$$-340A]\ * &quot;-&quot;??_-;_-@_-"/>
    <numFmt numFmtId="172" formatCode="_-* #,##0.00\ _$_-;\-* #,##0.00\ _$_-;_-* &quot;-&quot;??\ _$_-;_-@_-"/>
    <numFmt numFmtId="173" formatCode="_(* #,##0_);_(* \(#,##0\);_(* &quot;-&quot;??_);_(@_)"/>
    <numFmt numFmtId="174" formatCode="_(* #,##0.000_);_(* \(#,##0.000\);_(* &quot;-&quot;??_);_(@_)"/>
    <numFmt numFmtId="175" formatCode="[$-F800]dddd\,\ mmmm\ dd\,\ yyyy"/>
    <numFmt numFmtId="176" formatCode="0.0%"/>
    <numFmt numFmtId="177" formatCode="_(&quot;$&quot;\ * #,##0_);_(&quot;$&quot;\ * \(#,##0\);_(&quot;$&quot;\ * &quot;-&quot;_);_(@_)"/>
    <numFmt numFmtId="178" formatCode="_ &quot;$&quot;\ * #,##0.00_ ;_ &quot;$&quot;\ * \-#,##0.00_ ;_ &quot;$&quot;\ * &quot;-&quot;??_ ;_ @_ "/>
    <numFmt numFmtId="179" formatCode="[$-240A]d&quot; de &quot;mmmm&quot; de &quot;yyyy;@"/>
    <numFmt numFmtId="180" formatCode="_-* #,##0_-;\-* #,##0_-;_-* &quot;-&quot;??_-;_-@_-"/>
    <numFmt numFmtId="181" formatCode="_(&quot;$&quot;\ * #,##0_);_(&quot;$&quot;\ * \(#,##0\);_(&quot;$&quot;\ * &quot;-&quot;??_);_(@_)"/>
    <numFmt numFmtId="182" formatCode="_-* #,##0.00_-;\-* #,##0.00_-;_-* &quot;-&quot;_-;_-@_-"/>
  </numFmts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sz val="10"/>
      <color indexed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i/>
      <sz val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8"/>
      <color rgb="FF002060"/>
      <name val="Segoe UI"/>
      <family val="2"/>
    </font>
    <font>
      <i/>
      <sz val="8"/>
      <color theme="0"/>
      <name val="Segoe UI"/>
      <family val="2"/>
    </font>
    <font>
      <b/>
      <sz val="8"/>
      <color rgb="FF002060"/>
      <name val="Segoe UI"/>
      <family val="2"/>
    </font>
    <font>
      <b/>
      <sz val="11"/>
      <color rgb="FF002060"/>
      <name val="Segoe UI"/>
      <family val="2"/>
    </font>
    <font>
      <sz val="11"/>
      <color rgb="FF002060"/>
      <name val="Segoe UI"/>
      <family val="2"/>
    </font>
    <font>
      <b/>
      <sz val="12"/>
      <name val="Segoe UI"/>
      <family val="2"/>
    </font>
    <font>
      <b/>
      <sz val="8"/>
      <name val="Segoe UI"/>
      <family val="2"/>
    </font>
    <font>
      <sz val="8"/>
      <color theme="0"/>
      <name val="Segoe UI"/>
      <family val="2"/>
    </font>
    <font>
      <b/>
      <sz val="8"/>
      <color theme="0"/>
      <name val="Segoe UI"/>
      <family val="2"/>
    </font>
    <font>
      <b/>
      <sz val="11"/>
      <name val="Arial Narrow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0"/>
      <color theme="1"/>
      <name val="Arial Narrow"/>
      <family val="2"/>
    </font>
    <font>
      <b/>
      <i/>
      <sz val="8"/>
      <name val="Segoe UI"/>
      <family val="2"/>
    </font>
    <font>
      <b/>
      <sz val="10"/>
      <color theme="0"/>
      <name val="Arial Narrow"/>
      <family val="2"/>
    </font>
    <font>
      <sz val="10"/>
      <color rgb="FF0070C0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4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6" fillId="0" borderId="0"/>
    <xf numFmtId="43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2" fillId="0" borderId="0"/>
    <xf numFmtId="179" fontId="2" fillId="0" borderId="0"/>
    <xf numFmtId="0" fontId="13" fillId="0" borderId="0"/>
    <xf numFmtId="41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42" fontId="12" fillId="0" borderId="0" applyFont="0" applyFill="0" applyBorder="0" applyAlignment="0" applyProtection="0"/>
  </cellStyleXfs>
  <cellXfs count="336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0" borderId="1" xfId="0" applyFont="1" applyBorder="1" applyAlignment="1">
      <alignment horizontal="center"/>
    </xf>
    <xf numFmtId="167" fontId="3" fillId="0" borderId="1" xfId="2" applyNumberFormat="1" applyFont="1" applyBorder="1" applyAlignment="1">
      <alignment horizontal="center" vertical="center" wrapText="1" shrinkToFit="1"/>
    </xf>
    <xf numFmtId="167" fontId="3" fillId="0" borderId="2" xfId="2" applyNumberFormat="1" applyFont="1" applyBorder="1" applyAlignment="1">
      <alignment horizontal="center" vertical="center" wrapText="1" shrinkToFit="1"/>
    </xf>
    <xf numFmtId="167" fontId="3" fillId="0" borderId="1" xfId="2" applyNumberFormat="1" applyFont="1" applyBorder="1" applyAlignment="1">
      <alignment horizontal="center" vertical="center"/>
    </xf>
    <xf numFmtId="167" fontId="2" fillId="0" borderId="3" xfId="2" applyNumberFormat="1" applyFont="1" applyBorder="1" applyAlignment="1">
      <alignment horizontal="right"/>
    </xf>
    <xf numFmtId="0" fontId="5" fillId="2" borderId="4" xfId="0" applyFont="1" applyFill="1" applyBorder="1" applyAlignment="1">
      <alignment horizontal="left" vertical="center"/>
    </xf>
    <xf numFmtId="168" fontId="2" fillId="2" borderId="5" xfId="4" applyNumberFormat="1" applyFont="1" applyFill="1" applyBorder="1" applyAlignment="1">
      <alignment horizontal="right"/>
    </xf>
    <xf numFmtId="168" fontId="2" fillId="2" borderId="7" xfId="4" applyNumberFormat="1" applyFont="1" applyFill="1" applyBorder="1" applyAlignment="1">
      <alignment horizontal="right"/>
    </xf>
    <xf numFmtId="167" fontId="2" fillId="0" borderId="6" xfId="2" applyNumberFormat="1" applyFont="1" applyBorder="1" applyAlignment="1">
      <alignment horizontal="right"/>
    </xf>
    <xf numFmtId="167" fontId="2" fillId="0" borderId="8" xfId="2" applyNumberFormat="1" applyFont="1" applyBorder="1" applyAlignment="1">
      <alignment horizontal="right"/>
    </xf>
    <xf numFmtId="0" fontId="2" fillId="0" borderId="6" xfId="0" applyFont="1" applyBorder="1"/>
    <xf numFmtId="0" fontId="3" fillId="3" borderId="9" xfId="0" applyFont="1" applyFill="1" applyBorder="1"/>
    <xf numFmtId="168" fontId="2" fillId="2" borderId="3" xfId="4" applyNumberFormat="1" applyFont="1" applyFill="1" applyBorder="1" applyAlignment="1">
      <alignment horizontal="right"/>
    </xf>
    <xf numFmtId="2" fontId="2" fillId="2" borderId="5" xfId="2" applyNumberFormat="1" applyFont="1" applyFill="1" applyBorder="1" applyAlignment="1">
      <alignment horizontal="center"/>
    </xf>
    <xf numFmtId="0" fontId="3" fillId="2" borderId="0" xfId="0" applyFont="1" applyFill="1"/>
    <xf numFmtId="168" fontId="3" fillId="2" borderId="0" xfId="0" applyNumberFormat="1" applyFont="1" applyFill="1"/>
    <xf numFmtId="168" fontId="2" fillId="0" borderId="5" xfId="4" applyNumberFormat="1" applyFont="1" applyFill="1" applyBorder="1" applyAlignment="1">
      <alignment horizontal="right"/>
    </xf>
    <xf numFmtId="0" fontId="2" fillId="0" borderId="1" xfId="0" applyFont="1" applyBorder="1"/>
    <xf numFmtId="165" fontId="3" fillId="3" borderId="1" xfId="1" applyFont="1" applyFill="1" applyBorder="1" applyAlignment="1"/>
    <xf numFmtId="167" fontId="2" fillId="0" borderId="7" xfId="2" applyNumberFormat="1" applyFont="1" applyBorder="1" applyAlignment="1">
      <alignment horizontal="right"/>
    </xf>
    <xf numFmtId="0" fontId="5" fillId="2" borderId="3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14" fontId="0" fillId="0" borderId="0" xfId="0" applyNumberFormat="1"/>
    <xf numFmtId="165" fontId="0" fillId="0" borderId="0" xfId="1" applyFont="1"/>
    <xf numFmtId="169" fontId="3" fillId="3" borderId="1" xfId="1" applyNumberFormat="1" applyFont="1" applyFill="1" applyBorder="1" applyAlignment="1"/>
    <xf numFmtId="4" fontId="0" fillId="0" borderId="0" xfId="0" applyNumberFormat="1"/>
    <xf numFmtId="169" fontId="0" fillId="0" borderId="0" xfId="0" applyNumberFormat="1"/>
    <xf numFmtId="169" fontId="2" fillId="2" borderId="5" xfId="4" applyNumberFormat="1" applyFont="1" applyFill="1" applyBorder="1" applyAlignment="1">
      <alignment horizontal="right"/>
    </xf>
    <xf numFmtId="169" fontId="2" fillId="2" borderId="7" xfId="4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left" vertical="center"/>
    </xf>
    <xf numFmtId="0" fontId="7" fillId="3" borderId="9" xfId="0" applyFont="1" applyFill="1" applyBorder="1"/>
    <xf numFmtId="170" fontId="7" fillId="3" borderId="2" xfId="0" applyNumberFormat="1" applyFont="1" applyFill="1" applyBorder="1"/>
    <xf numFmtId="9" fontId="8" fillId="3" borderId="2" xfId="5" applyFont="1" applyFill="1" applyBorder="1"/>
    <xf numFmtId="0" fontId="8" fillId="0" borderId="17" xfId="0" applyFont="1" applyBorder="1"/>
    <xf numFmtId="170" fontId="7" fillId="0" borderId="5" xfId="0" applyNumberFormat="1" applyFont="1" applyBorder="1"/>
    <xf numFmtId="0" fontId="9" fillId="0" borderId="0" xfId="0" applyFont="1"/>
    <xf numFmtId="170" fontId="7" fillId="0" borderId="0" xfId="0" applyNumberFormat="1" applyFont="1"/>
    <xf numFmtId="9" fontId="8" fillId="0" borderId="0" xfId="5" applyFont="1" applyBorder="1"/>
    <xf numFmtId="169" fontId="2" fillId="2" borderId="1" xfId="4" applyNumberFormat="1" applyFont="1" applyFill="1" applyBorder="1" applyAlignment="1">
      <alignment horizontal="right"/>
    </xf>
    <xf numFmtId="9" fontId="0" fillId="0" borderId="0" xfId="0" applyNumberFormat="1"/>
    <xf numFmtId="165" fontId="0" fillId="5" borderId="0" xfId="1" applyFont="1" applyFill="1"/>
    <xf numFmtId="167" fontId="2" fillId="0" borderId="3" xfId="2" applyNumberFormat="1" applyFont="1" applyFill="1" applyBorder="1" applyAlignment="1">
      <alignment horizontal="right"/>
    </xf>
    <xf numFmtId="168" fontId="2" fillId="0" borderId="3" xfId="4" applyNumberFormat="1" applyFont="1" applyFill="1" applyBorder="1" applyAlignment="1">
      <alignment horizontal="right"/>
    </xf>
    <xf numFmtId="2" fontId="2" fillId="0" borderId="5" xfId="2" applyNumberFormat="1" applyFont="1" applyFill="1" applyBorder="1" applyAlignment="1">
      <alignment horizontal="center"/>
    </xf>
    <xf numFmtId="169" fontId="2" fillId="0" borderId="5" xfId="4" applyNumberFormat="1" applyFont="1" applyFill="1" applyBorder="1" applyAlignment="1">
      <alignment horizontal="right"/>
    </xf>
    <xf numFmtId="167" fontId="6" fillId="0" borderId="3" xfId="2" applyNumberFormat="1" applyFont="1" applyFill="1" applyBorder="1" applyAlignment="1">
      <alignment horizontal="right"/>
    </xf>
    <xf numFmtId="0" fontId="5" fillId="0" borderId="4" xfId="0" applyFont="1" applyBorder="1" applyAlignment="1">
      <alignment horizontal="left" vertical="center"/>
    </xf>
    <xf numFmtId="167" fontId="2" fillId="0" borderId="18" xfId="2" applyNumberFormat="1" applyFont="1" applyBorder="1" applyAlignment="1">
      <alignment horizontal="right"/>
    </xf>
    <xf numFmtId="165" fontId="3" fillId="3" borderId="9" xfId="1" applyFont="1" applyFill="1" applyBorder="1" applyAlignment="1"/>
    <xf numFmtId="172" fontId="2" fillId="2" borderId="3" xfId="3" applyFont="1" applyFill="1" applyBorder="1"/>
    <xf numFmtId="169" fontId="2" fillId="2" borderId="6" xfId="4" applyNumberFormat="1" applyFont="1" applyFill="1" applyBorder="1" applyAlignment="1">
      <alignment horizontal="right"/>
    </xf>
    <xf numFmtId="2" fontId="2" fillId="0" borderId="6" xfId="2" applyNumberFormat="1" applyFont="1" applyFill="1" applyBorder="1" applyAlignment="1">
      <alignment horizontal="center"/>
    </xf>
    <xf numFmtId="168" fontId="3" fillId="2" borderId="5" xfId="0" applyNumberFormat="1" applyFont="1" applyFill="1" applyBorder="1"/>
    <xf numFmtId="168" fontId="3" fillId="2" borderId="5" xfId="4" applyNumberFormat="1" applyFont="1" applyFill="1" applyBorder="1"/>
    <xf numFmtId="0" fontId="0" fillId="0" borderId="5" xfId="0" applyBorder="1"/>
    <xf numFmtId="171" fontId="8" fillId="0" borderId="5" xfId="0" applyNumberFormat="1" applyFont="1" applyBorder="1"/>
    <xf numFmtId="0" fontId="5" fillId="0" borderId="3" xfId="0" applyFont="1" applyBorder="1" applyAlignment="1">
      <alignment horizontal="left" vertical="center"/>
    </xf>
    <xf numFmtId="2" fontId="2" fillId="0" borderId="7" xfId="2" applyNumberFormat="1" applyFont="1" applyFill="1" applyBorder="1" applyAlignment="1">
      <alignment horizontal="center"/>
    </xf>
    <xf numFmtId="169" fontId="2" fillId="0" borderId="7" xfId="4" applyNumberFormat="1" applyFont="1" applyFill="1" applyBorder="1" applyAlignment="1">
      <alignment horizontal="right"/>
    </xf>
    <xf numFmtId="0" fontId="10" fillId="3" borderId="1" xfId="0" applyFont="1" applyFill="1" applyBorder="1"/>
    <xf numFmtId="165" fontId="3" fillId="0" borderId="5" xfId="1" applyFont="1" applyFill="1" applyBorder="1" applyAlignment="1"/>
    <xf numFmtId="0" fontId="0" fillId="0" borderId="19" xfId="0" applyBorder="1"/>
    <xf numFmtId="14" fontId="0" fillId="0" borderId="20" xfId="0" applyNumberFormat="1" applyBorder="1"/>
    <xf numFmtId="165" fontId="0" fillId="4" borderId="21" xfId="1" applyFont="1" applyFill="1" applyBorder="1" applyAlignment="1"/>
    <xf numFmtId="165" fontId="0" fillId="3" borderId="22" xfId="1" applyFont="1" applyFill="1" applyBorder="1" applyAlignment="1"/>
    <xf numFmtId="173" fontId="0" fillId="3" borderId="23" xfId="1" applyNumberFormat="1" applyFont="1" applyFill="1" applyBorder="1" applyAlignment="1"/>
    <xf numFmtId="165" fontId="2" fillId="0" borderId="3" xfId="1" applyFont="1" applyFill="1" applyBorder="1" applyAlignment="1">
      <alignment horizontal="right"/>
    </xf>
    <xf numFmtId="170" fontId="7" fillId="0" borderId="1" xfId="0" applyNumberFormat="1" applyFont="1" applyBorder="1"/>
    <xf numFmtId="172" fontId="2" fillId="2" borderId="1" xfId="3" applyFont="1" applyFill="1" applyBorder="1"/>
    <xf numFmtId="165" fontId="3" fillId="3" borderId="7" xfId="1" applyFont="1" applyFill="1" applyBorder="1" applyAlignment="1"/>
    <xf numFmtId="0" fontId="7" fillId="3" borderId="18" xfId="0" applyFont="1" applyFill="1" applyBorder="1"/>
    <xf numFmtId="0" fontId="9" fillId="0" borderId="24" xfId="0" applyFont="1" applyBorder="1"/>
    <xf numFmtId="0" fontId="8" fillId="0" borderId="1" xfId="0" applyFont="1" applyBorder="1"/>
    <xf numFmtId="171" fontId="8" fillId="0" borderId="10" xfId="0" applyNumberFormat="1" applyFont="1" applyBorder="1"/>
    <xf numFmtId="171" fontId="8" fillId="0" borderId="3" xfId="0" applyNumberFormat="1" applyFont="1" applyBorder="1"/>
    <xf numFmtId="171" fontId="8" fillId="0" borderId="11" xfId="0" applyNumberFormat="1" applyFont="1" applyBorder="1"/>
    <xf numFmtId="0" fontId="8" fillId="0" borderId="17" xfId="0" applyFont="1" applyBorder="1" applyAlignment="1">
      <alignment wrapText="1"/>
    </xf>
    <xf numFmtId="167" fontId="14" fillId="12" borderId="30" xfId="2" applyNumberFormat="1" applyFont="1" applyFill="1" applyBorder="1" applyAlignment="1">
      <alignment horizontal="center" vertical="center" wrapText="1" shrinkToFit="1"/>
    </xf>
    <xf numFmtId="167" fontId="14" fillId="12" borderId="30" xfId="2" applyNumberFormat="1" applyFont="1" applyFill="1" applyBorder="1" applyAlignment="1">
      <alignment horizontal="center" vertical="center"/>
    </xf>
    <xf numFmtId="167" fontId="14" fillId="12" borderId="33" xfId="2" applyNumberFormat="1" applyFont="1" applyFill="1" applyBorder="1" applyAlignment="1">
      <alignment horizontal="center" vertical="center"/>
    </xf>
    <xf numFmtId="0" fontId="14" fillId="10" borderId="0" xfId="0" applyFont="1" applyFill="1" applyAlignment="1">
      <alignment vertical="center" wrapText="1"/>
    </xf>
    <xf numFmtId="0" fontId="14" fillId="10" borderId="0" xfId="0" applyFont="1" applyFill="1" applyAlignment="1">
      <alignment horizontal="center" vertical="center"/>
    </xf>
    <xf numFmtId="9" fontId="14" fillId="10" borderId="0" xfId="5" applyFont="1" applyFill="1" applyBorder="1" applyAlignment="1">
      <alignment vertical="center" wrapText="1"/>
    </xf>
    <xf numFmtId="9" fontId="14" fillId="10" borderId="0" xfId="5" applyFont="1" applyFill="1" applyBorder="1" applyAlignment="1">
      <alignment vertical="center"/>
    </xf>
    <xf numFmtId="0" fontId="15" fillId="10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2" borderId="0" xfId="0" applyFont="1" applyFill="1" applyAlignment="1">
      <alignment vertical="center"/>
    </xf>
    <xf numFmtId="0" fontId="5" fillId="10" borderId="0" xfId="0" applyFont="1" applyFill="1" applyAlignment="1">
      <alignment vertical="center"/>
    </xf>
    <xf numFmtId="0" fontId="14" fillId="12" borderId="29" xfId="0" applyFont="1" applyFill="1" applyBorder="1" applyAlignment="1">
      <alignment horizontal="center" vertical="center"/>
    </xf>
    <xf numFmtId="169" fontId="5" fillId="10" borderId="0" xfId="4" applyNumberFormat="1" applyFont="1" applyFill="1" applyBorder="1" applyAlignment="1">
      <alignment horizontal="right" vertical="center"/>
    </xf>
    <xf numFmtId="0" fontId="15" fillId="0" borderId="3" xfId="0" applyFont="1" applyBorder="1" applyAlignment="1">
      <alignment vertical="center"/>
    </xf>
    <xf numFmtId="165" fontId="15" fillId="10" borderId="0" xfId="1" applyFont="1" applyFill="1" applyBorder="1" applyAlignment="1">
      <alignment vertical="center"/>
    </xf>
    <xf numFmtId="174" fontId="16" fillId="10" borderId="0" xfId="7" applyNumberFormat="1" applyFont="1" applyFill="1" applyAlignment="1">
      <alignment vertical="center" wrapText="1"/>
    </xf>
    <xf numFmtId="0" fontId="16" fillId="2" borderId="0" xfId="6" applyFont="1" applyFill="1" applyAlignment="1">
      <alignment vertical="center"/>
    </xf>
    <xf numFmtId="0" fontId="16" fillId="2" borderId="0" xfId="6" applyFont="1" applyFill="1" applyAlignment="1">
      <alignment horizontal="left" vertical="center"/>
    </xf>
    <xf numFmtId="41" fontId="16" fillId="2" borderId="0" xfId="6" applyNumberFormat="1" applyFont="1" applyFill="1" applyAlignment="1">
      <alignment vertical="center"/>
    </xf>
    <xf numFmtId="0" fontId="16" fillId="10" borderId="0" xfId="6" applyFont="1" applyFill="1" applyAlignment="1">
      <alignment vertical="center" wrapText="1"/>
    </xf>
    <xf numFmtId="0" fontId="16" fillId="2" borderId="38" xfId="6" applyFont="1" applyFill="1" applyBorder="1" applyAlignment="1">
      <alignment vertical="center"/>
    </xf>
    <xf numFmtId="0" fontId="18" fillId="2" borderId="0" xfId="6" applyFont="1" applyFill="1" applyAlignment="1">
      <alignment vertical="center"/>
    </xf>
    <xf numFmtId="14" fontId="16" fillId="10" borderId="0" xfId="6" applyNumberFormat="1" applyFont="1" applyFill="1" applyAlignment="1">
      <alignment vertical="center" wrapText="1"/>
    </xf>
    <xf numFmtId="0" fontId="18" fillId="2" borderId="0" xfId="6" applyFont="1" applyFill="1" applyAlignment="1">
      <alignment horizontal="center" vertical="center"/>
    </xf>
    <xf numFmtId="0" fontId="18" fillId="2" borderId="38" xfId="6" applyFont="1" applyFill="1" applyBorder="1" applyAlignment="1">
      <alignment horizontal="center" vertical="center" wrapText="1"/>
    </xf>
    <xf numFmtId="41" fontId="18" fillId="7" borderId="28" xfId="6" applyNumberFormat="1" applyFont="1" applyFill="1" applyBorder="1" applyAlignment="1">
      <alignment horizontal="center" vertical="center" wrapText="1"/>
    </xf>
    <xf numFmtId="39" fontId="16" fillId="2" borderId="0" xfId="6" applyNumberFormat="1" applyFont="1" applyFill="1" applyAlignment="1">
      <alignment vertical="center"/>
    </xf>
    <xf numFmtId="39" fontId="16" fillId="2" borderId="0" xfId="6" applyNumberFormat="1" applyFont="1" applyFill="1" applyAlignment="1">
      <alignment horizontal="left" vertical="center"/>
    </xf>
    <xf numFmtId="41" fontId="16" fillId="10" borderId="28" xfId="6" applyNumberFormat="1" applyFont="1" applyFill="1" applyBorder="1" applyAlignment="1">
      <alignment vertical="center"/>
    </xf>
    <xf numFmtId="176" fontId="16" fillId="2" borderId="28" xfId="6" applyNumberFormat="1" applyFont="1" applyFill="1" applyBorder="1" applyAlignment="1">
      <alignment horizontal="center" vertical="center"/>
    </xf>
    <xf numFmtId="176" fontId="16" fillId="2" borderId="28" xfId="6" applyNumberFormat="1" applyFont="1" applyFill="1" applyBorder="1" applyAlignment="1">
      <alignment horizontal="left" vertical="center"/>
    </xf>
    <xf numFmtId="41" fontId="16" fillId="2" borderId="28" xfId="6" applyNumberFormat="1" applyFont="1" applyFill="1" applyBorder="1" applyAlignment="1">
      <alignment vertical="center"/>
    </xf>
    <xf numFmtId="41" fontId="16" fillId="2" borderId="34" xfId="6" applyNumberFormat="1" applyFont="1" applyFill="1" applyBorder="1" applyAlignment="1">
      <alignment vertical="center"/>
    </xf>
    <xf numFmtId="41" fontId="16" fillId="13" borderId="28" xfId="6" applyNumberFormat="1" applyFont="1" applyFill="1" applyBorder="1" applyAlignment="1">
      <alignment vertical="center"/>
    </xf>
    <xf numFmtId="0" fontId="23" fillId="2" borderId="38" xfId="6" applyFont="1" applyFill="1" applyBorder="1" applyAlignment="1">
      <alignment vertical="center"/>
    </xf>
    <xf numFmtId="0" fontId="23" fillId="14" borderId="28" xfId="6" applyFont="1" applyFill="1" applyBorder="1" applyAlignment="1">
      <alignment vertical="center" wrapText="1"/>
    </xf>
    <xf numFmtId="0" fontId="18" fillId="2" borderId="4" xfId="6" applyFont="1" applyFill="1" applyBorder="1" applyAlignment="1">
      <alignment vertical="center"/>
    </xf>
    <xf numFmtId="39" fontId="16" fillId="2" borderId="28" xfId="6" applyNumberFormat="1" applyFont="1" applyFill="1" applyBorder="1" applyAlignment="1">
      <alignment vertical="center"/>
    </xf>
    <xf numFmtId="39" fontId="16" fillId="2" borderId="28" xfId="6" applyNumberFormat="1" applyFont="1" applyFill="1" applyBorder="1" applyAlignment="1">
      <alignment horizontal="left" vertical="center"/>
    </xf>
    <xf numFmtId="41" fontId="24" fillId="14" borderId="28" xfId="6" applyNumberFormat="1" applyFont="1" applyFill="1" applyBorder="1" applyAlignment="1">
      <alignment vertical="center"/>
    </xf>
    <xf numFmtId="41" fontId="24" fillId="14" borderId="34" xfId="6" applyNumberFormat="1" applyFont="1" applyFill="1" applyBorder="1" applyAlignment="1">
      <alignment vertical="center"/>
    </xf>
    <xf numFmtId="0" fontId="16" fillId="17" borderId="38" xfId="6" applyFont="1" applyFill="1" applyBorder="1" applyAlignment="1">
      <alignment vertical="center"/>
    </xf>
    <xf numFmtId="0" fontId="24" fillId="14" borderId="28" xfId="6" applyFont="1" applyFill="1" applyBorder="1" applyAlignment="1">
      <alignment horizontal="right" vertical="center" indent="1"/>
    </xf>
    <xf numFmtId="43" fontId="16" fillId="10" borderId="0" xfId="6" applyNumberFormat="1" applyFont="1" applyFill="1" applyAlignment="1">
      <alignment vertical="center" wrapText="1"/>
    </xf>
    <xf numFmtId="0" fontId="16" fillId="10" borderId="41" xfId="6" applyFont="1" applyFill="1" applyBorder="1" applyAlignment="1">
      <alignment vertical="center" wrapText="1"/>
    </xf>
    <xf numFmtId="0" fontId="18" fillId="10" borderId="40" xfId="6" applyFont="1" applyFill="1" applyBorder="1" applyAlignment="1">
      <alignment vertical="center" wrapText="1"/>
    </xf>
    <xf numFmtId="0" fontId="16" fillId="10" borderId="40" xfId="6" applyFont="1" applyFill="1" applyBorder="1" applyAlignment="1">
      <alignment vertical="center" wrapText="1"/>
    </xf>
    <xf numFmtId="0" fontId="16" fillId="10" borderId="42" xfId="6" applyFont="1" applyFill="1" applyBorder="1" applyAlignment="1">
      <alignment vertical="center" wrapText="1"/>
    </xf>
    <xf numFmtId="0" fontId="18" fillId="10" borderId="0" xfId="6" applyFont="1" applyFill="1" applyAlignment="1">
      <alignment vertical="center" wrapText="1"/>
    </xf>
    <xf numFmtId="174" fontId="16" fillId="2" borderId="0" xfId="7" applyNumberFormat="1" applyFont="1" applyFill="1" applyBorder="1" applyAlignment="1">
      <alignment horizontal="right" vertical="center"/>
    </xf>
    <xf numFmtId="14" fontId="18" fillId="2" borderId="0" xfId="7" applyNumberFormat="1" applyFont="1" applyFill="1" applyBorder="1" applyAlignment="1">
      <alignment vertical="center"/>
    </xf>
    <xf numFmtId="174" fontId="18" fillId="2" borderId="0" xfId="7" applyNumberFormat="1" applyFont="1" applyFill="1" applyBorder="1" applyAlignment="1">
      <alignment vertical="center"/>
    </xf>
    <xf numFmtId="0" fontId="18" fillId="2" borderId="0" xfId="6" applyFont="1" applyFill="1" applyAlignment="1">
      <alignment horizontal="center" vertical="center" wrapText="1"/>
    </xf>
    <xf numFmtId="174" fontId="16" fillId="2" borderId="28" xfId="7" applyNumberFormat="1" applyFont="1" applyFill="1" applyBorder="1" applyAlignment="1">
      <alignment horizontal="right" vertical="center"/>
    </xf>
    <xf numFmtId="173" fontId="16" fillId="0" borderId="28" xfId="8" applyNumberFormat="1" applyFont="1" applyFill="1" applyBorder="1" applyAlignment="1">
      <alignment horizontal="center" vertical="center"/>
    </xf>
    <xf numFmtId="0" fontId="23" fillId="2" borderId="0" xfId="6" applyFont="1" applyFill="1" applyAlignment="1">
      <alignment vertical="center"/>
    </xf>
    <xf numFmtId="173" fontId="24" fillId="14" borderId="28" xfId="7" applyNumberFormat="1" applyFont="1" applyFill="1" applyBorder="1" applyAlignment="1">
      <alignment vertical="center"/>
    </xf>
    <xf numFmtId="165" fontId="23" fillId="14" borderId="28" xfId="7" applyFont="1" applyFill="1" applyBorder="1" applyAlignment="1">
      <alignment vertical="center" wrapText="1"/>
    </xf>
    <xf numFmtId="174" fontId="23" fillId="14" borderId="28" xfId="7" applyNumberFormat="1" applyFont="1" applyFill="1" applyBorder="1" applyAlignment="1">
      <alignment vertical="center" wrapText="1"/>
    </xf>
    <xf numFmtId="0" fontId="23" fillId="10" borderId="0" xfId="6" applyFont="1" applyFill="1" applyAlignment="1">
      <alignment vertical="center" wrapText="1"/>
    </xf>
    <xf numFmtId="173" fontId="16" fillId="2" borderId="28" xfId="9" applyNumberFormat="1" applyFont="1" applyFill="1" applyBorder="1" applyAlignment="1">
      <alignment vertical="center"/>
    </xf>
    <xf numFmtId="173" fontId="16" fillId="2" borderId="28" xfId="9" applyNumberFormat="1" applyFont="1" applyFill="1" applyBorder="1" applyAlignment="1">
      <alignment horizontal="right" vertical="center" indent="1"/>
    </xf>
    <xf numFmtId="174" fontId="16" fillId="10" borderId="40" xfId="7" applyNumberFormat="1" applyFont="1" applyFill="1" applyBorder="1" applyAlignment="1">
      <alignment vertical="center" wrapText="1"/>
    </xf>
    <xf numFmtId="173" fontId="16" fillId="10" borderId="0" xfId="6" applyNumberFormat="1" applyFont="1" applyFill="1" applyAlignment="1">
      <alignment vertical="center" wrapText="1"/>
    </xf>
    <xf numFmtId="41" fontId="16" fillId="10" borderId="0" xfId="6" applyNumberFormat="1" applyFont="1" applyFill="1" applyAlignment="1">
      <alignment vertical="center" wrapText="1"/>
    </xf>
    <xf numFmtId="41" fontId="18" fillId="2" borderId="34" xfId="6" applyNumberFormat="1" applyFont="1" applyFill="1" applyBorder="1" applyAlignment="1">
      <alignment vertical="center"/>
    </xf>
    <xf numFmtId="180" fontId="29" fillId="15" borderId="35" xfId="11" applyNumberFormat="1" applyFont="1" applyFill="1" applyBorder="1" applyAlignment="1">
      <alignment vertical="center"/>
    </xf>
    <xf numFmtId="0" fontId="16" fillId="10" borderId="0" xfId="6" applyFont="1" applyFill="1" applyAlignment="1">
      <alignment vertical="center"/>
    </xf>
    <xf numFmtId="173" fontId="28" fillId="18" borderId="18" xfId="1" applyNumberFormat="1" applyFont="1" applyFill="1" applyBorder="1" applyAlignment="1">
      <alignment vertical="center"/>
    </xf>
    <xf numFmtId="165" fontId="28" fillId="18" borderId="14" xfId="1" applyFont="1" applyFill="1" applyBorder="1" applyAlignment="1">
      <alignment vertical="center"/>
    </xf>
    <xf numFmtId="164" fontId="15" fillId="0" borderId="32" xfId="4" applyFont="1" applyBorder="1" applyAlignment="1">
      <alignment vertical="center"/>
    </xf>
    <xf numFmtId="169" fontId="5" fillId="0" borderId="32" xfId="4" applyNumberFormat="1" applyFont="1" applyFill="1" applyBorder="1" applyAlignment="1">
      <alignment horizontal="right" vertical="center"/>
    </xf>
    <xf numFmtId="169" fontId="5" fillId="0" borderId="35" xfId="4" applyNumberFormat="1" applyFont="1" applyFill="1" applyBorder="1" applyAlignment="1">
      <alignment horizontal="right" vertical="center"/>
    </xf>
    <xf numFmtId="167" fontId="5" fillId="18" borderId="28" xfId="2" applyNumberFormat="1" applyFont="1" applyFill="1" applyBorder="1" applyAlignment="1">
      <alignment horizontal="right" vertical="center"/>
    </xf>
    <xf numFmtId="0" fontId="5" fillId="18" borderId="28" xfId="0" applyFont="1" applyFill="1" applyBorder="1" applyAlignment="1">
      <alignment vertical="center"/>
    </xf>
    <xf numFmtId="169" fontId="5" fillId="18" borderId="28" xfId="4" applyNumberFormat="1" applyFont="1" applyFill="1" applyBorder="1" applyAlignment="1">
      <alignment horizontal="right" vertical="center"/>
    </xf>
    <xf numFmtId="0" fontId="5" fillId="18" borderId="34" xfId="0" applyFont="1" applyFill="1" applyBorder="1" applyAlignment="1">
      <alignment vertical="center"/>
    </xf>
    <xf numFmtId="173" fontId="5" fillId="0" borderId="28" xfId="1" applyNumberFormat="1" applyFont="1" applyFill="1" applyBorder="1" applyAlignment="1">
      <alignment horizontal="right" vertical="center"/>
    </xf>
    <xf numFmtId="173" fontId="5" fillId="0" borderId="34" xfId="1" applyNumberFormat="1" applyFont="1" applyFill="1" applyBorder="1" applyAlignment="1">
      <alignment horizontal="right" vertical="center"/>
    </xf>
    <xf numFmtId="173" fontId="14" fillId="18" borderId="28" xfId="1" applyNumberFormat="1" applyFont="1" applyFill="1" applyBorder="1" applyAlignment="1">
      <alignment horizontal="right" vertical="center"/>
    </xf>
    <xf numFmtId="173" fontId="15" fillId="0" borderId="28" xfId="1" applyNumberFormat="1" applyFont="1" applyBorder="1" applyAlignment="1">
      <alignment vertical="center"/>
    </xf>
    <xf numFmtId="173" fontId="28" fillId="18" borderId="28" xfId="1" applyNumberFormat="1" applyFont="1" applyFill="1" applyBorder="1" applyAlignment="1">
      <alignment vertical="center"/>
    </xf>
    <xf numFmtId="0" fontId="5" fillId="2" borderId="31" xfId="0" applyFont="1" applyFill="1" applyBorder="1" applyAlignment="1">
      <alignment horizontal="left" vertical="center"/>
    </xf>
    <xf numFmtId="0" fontId="14" fillId="18" borderId="4" xfId="0" applyFont="1" applyFill="1" applyBorder="1" applyAlignment="1">
      <alignment vertical="center"/>
    </xf>
    <xf numFmtId="0" fontId="14" fillId="18" borderId="4" xfId="0" applyFont="1" applyFill="1" applyBorder="1" applyAlignment="1">
      <alignment horizontal="left" vertical="center"/>
    </xf>
    <xf numFmtId="0" fontId="16" fillId="2" borderId="36" xfId="6" applyFont="1" applyFill="1" applyBorder="1" applyAlignment="1">
      <alignment vertical="center"/>
    </xf>
    <xf numFmtId="0" fontId="18" fillId="10" borderId="0" xfId="6" applyFont="1" applyFill="1" applyAlignment="1">
      <alignment horizontal="center" vertical="center" wrapText="1"/>
    </xf>
    <xf numFmtId="176" fontId="16" fillId="10" borderId="28" xfId="6" applyNumberFormat="1" applyFont="1" applyFill="1" applyBorder="1" applyAlignment="1">
      <alignment horizontal="center" vertical="center"/>
    </xf>
    <xf numFmtId="174" fontId="16" fillId="10" borderId="28" xfId="7" applyNumberFormat="1" applyFont="1" applyFill="1" applyBorder="1" applyAlignment="1">
      <alignment horizontal="right" vertical="center"/>
    </xf>
    <xf numFmtId="176" fontId="16" fillId="10" borderId="28" xfId="6" applyNumberFormat="1" applyFont="1" applyFill="1" applyBorder="1" applyAlignment="1">
      <alignment horizontal="left" vertical="center"/>
    </xf>
    <xf numFmtId="41" fontId="16" fillId="10" borderId="34" xfId="6" applyNumberFormat="1" applyFont="1" applyFill="1" applyBorder="1" applyAlignment="1">
      <alignment vertical="center"/>
    </xf>
    <xf numFmtId="0" fontId="23" fillId="10" borderId="0" xfId="6" applyFont="1" applyFill="1" applyAlignment="1">
      <alignment vertical="center"/>
    </xf>
    <xf numFmtId="0" fontId="24" fillId="14" borderId="4" xfId="6" applyFont="1" applyFill="1" applyBorder="1" applyAlignment="1">
      <alignment vertical="center"/>
    </xf>
    <xf numFmtId="173" fontId="5" fillId="0" borderId="44" xfId="1" applyNumberFormat="1" applyFont="1" applyFill="1" applyBorder="1" applyAlignment="1">
      <alignment horizontal="right" vertical="center"/>
    </xf>
    <xf numFmtId="0" fontId="28" fillId="18" borderId="43" xfId="0" applyFont="1" applyFill="1" applyBorder="1" applyAlignment="1">
      <alignment vertical="center"/>
    </xf>
    <xf numFmtId="173" fontId="15" fillId="0" borderId="34" xfId="1" applyNumberFormat="1" applyFont="1" applyBorder="1" applyAlignment="1">
      <alignment vertical="center"/>
    </xf>
    <xf numFmtId="173" fontId="28" fillId="18" borderId="34" xfId="1" applyNumberFormat="1" applyFont="1" applyFill="1" applyBorder="1" applyAlignment="1">
      <alignment vertical="center"/>
    </xf>
    <xf numFmtId="0" fontId="15" fillId="0" borderId="0" xfId="0" applyFont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10" borderId="0" xfId="0" applyFont="1" applyFill="1" applyAlignment="1">
      <alignment vertical="center" wrapText="1"/>
    </xf>
    <xf numFmtId="0" fontId="18" fillId="10" borderId="4" xfId="6" applyFont="1" applyFill="1" applyBorder="1" applyAlignment="1">
      <alignment horizontal="left" vertical="center" indent="1"/>
    </xf>
    <xf numFmtId="173" fontId="16" fillId="10" borderId="28" xfId="8" applyNumberFormat="1" applyFont="1" applyFill="1" applyBorder="1" applyAlignment="1">
      <alignment horizontal="center" vertical="center"/>
    </xf>
    <xf numFmtId="173" fontId="24" fillId="14" borderId="34" xfId="7" applyNumberFormat="1" applyFont="1" applyFill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14" fillId="2" borderId="4" xfId="0" applyFont="1" applyFill="1" applyBorder="1" applyAlignment="1">
      <alignment horizontal="left" vertical="center"/>
    </xf>
    <xf numFmtId="0" fontId="28" fillId="0" borderId="3" xfId="0" applyFont="1" applyBorder="1" applyAlignment="1">
      <alignment vertical="center"/>
    </xf>
    <xf numFmtId="14" fontId="28" fillId="0" borderId="13" xfId="0" applyNumberFormat="1" applyFont="1" applyBorder="1" applyAlignment="1">
      <alignment vertical="center"/>
    </xf>
    <xf numFmtId="2" fontId="5" fillId="0" borderId="28" xfId="1" applyNumberFormat="1" applyFont="1" applyFill="1" applyBorder="1" applyAlignment="1">
      <alignment horizontal="center" vertical="center"/>
    </xf>
    <xf numFmtId="2" fontId="15" fillId="10" borderId="0" xfId="1" applyNumberFormat="1" applyFont="1" applyFill="1" applyAlignment="1">
      <alignment vertical="center"/>
    </xf>
    <xf numFmtId="2" fontId="5" fillId="10" borderId="0" xfId="1" applyNumberFormat="1" applyFont="1" applyFill="1" applyAlignment="1">
      <alignment vertical="center"/>
    </xf>
    <xf numFmtId="2" fontId="14" fillId="12" borderId="30" xfId="1" applyNumberFormat="1" applyFont="1" applyFill="1" applyBorder="1" applyAlignment="1">
      <alignment horizontal="center" vertical="center" wrapText="1" shrinkToFit="1"/>
    </xf>
    <xf numFmtId="2" fontId="5" fillId="18" borderId="28" xfId="1" applyNumberFormat="1" applyFont="1" applyFill="1" applyBorder="1" applyAlignment="1">
      <alignment vertical="center"/>
    </xf>
    <xf numFmtId="2" fontId="14" fillId="18" borderId="28" xfId="1" applyNumberFormat="1" applyFont="1" applyFill="1" applyBorder="1" applyAlignment="1">
      <alignment horizontal="right" vertical="center"/>
    </xf>
    <xf numFmtId="2" fontId="14" fillId="18" borderId="28" xfId="1" applyNumberFormat="1" applyFont="1" applyFill="1" applyBorder="1" applyAlignment="1">
      <alignment horizontal="center" vertical="center"/>
    </xf>
    <xf numFmtId="2" fontId="28" fillId="18" borderId="28" xfId="1" applyNumberFormat="1" applyFont="1" applyFill="1" applyBorder="1" applyAlignment="1">
      <alignment vertical="center"/>
    </xf>
    <xf numFmtId="2" fontId="5" fillId="0" borderId="32" xfId="1" applyNumberFormat="1" applyFont="1" applyFill="1" applyBorder="1" applyAlignment="1">
      <alignment horizontal="center" vertical="center"/>
    </xf>
    <xf numFmtId="2" fontId="15" fillId="10" borderId="0" xfId="1" applyNumberFormat="1" applyFont="1" applyFill="1" applyBorder="1" applyAlignment="1">
      <alignment vertical="center"/>
    </xf>
    <xf numFmtId="181" fontId="15" fillId="10" borderId="0" xfId="4" applyNumberFormat="1" applyFont="1" applyFill="1" applyAlignment="1">
      <alignment vertical="center" wrapText="1"/>
    </xf>
    <xf numFmtId="0" fontId="5" fillId="10" borderId="0" xfId="0" applyFont="1" applyFill="1" applyAlignment="1">
      <alignment vertical="center" wrapText="1"/>
    </xf>
    <xf numFmtId="173" fontId="15" fillId="10" borderId="0" xfId="0" applyNumberFormat="1" applyFont="1" applyFill="1" applyAlignment="1">
      <alignment vertical="center" wrapText="1"/>
    </xf>
    <xf numFmtId="165" fontId="15" fillId="10" borderId="0" xfId="1" applyFont="1" applyFill="1" applyAlignment="1">
      <alignment vertical="center" wrapText="1"/>
    </xf>
    <xf numFmtId="43" fontId="15" fillId="10" borderId="0" xfId="0" applyNumberFormat="1" applyFont="1" applyFill="1" applyAlignment="1">
      <alignment vertical="center" wrapText="1"/>
    </xf>
    <xf numFmtId="181" fontId="15" fillId="10" borderId="0" xfId="0" applyNumberFormat="1" applyFont="1" applyFill="1" applyAlignment="1">
      <alignment vertical="center" wrapText="1"/>
    </xf>
    <xf numFmtId="0" fontId="16" fillId="2" borderId="37" xfId="6" applyFont="1" applyFill="1" applyBorder="1" applyAlignment="1">
      <alignment vertical="center"/>
    </xf>
    <xf numFmtId="0" fontId="16" fillId="2" borderId="39" xfId="6" applyFont="1" applyFill="1" applyBorder="1" applyAlignment="1">
      <alignment vertical="center"/>
    </xf>
    <xf numFmtId="0" fontId="18" fillId="2" borderId="39" xfId="6" applyFont="1" applyFill="1" applyBorder="1" applyAlignment="1">
      <alignment horizontal="center" vertical="center" wrapText="1"/>
    </xf>
    <xf numFmtId="0" fontId="23" fillId="2" borderId="39" xfId="6" applyFont="1" applyFill="1" applyBorder="1" applyAlignment="1">
      <alignment vertical="center"/>
    </xf>
    <xf numFmtId="173" fontId="24" fillId="14" borderId="28" xfId="6" applyNumberFormat="1" applyFont="1" applyFill="1" applyBorder="1" applyAlignment="1">
      <alignment vertical="center"/>
    </xf>
    <xf numFmtId="0" fontId="24" fillId="14" borderId="4" xfId="6" applyFont="1" applyFill="1" applyBorder="1" applyAlignment="1">
      <alignment horizontal="center" vertical="center"/>
    </xf>
    <xf numFmtId="0" fontId="16" fillId="2" borderId="29" xfId="6" applyFont="1" applyFill="1" applyBorder="1" applyAlignment="1">
      <alignment horizontal="right" vertical="center" wrapText="1"/>
    </xf>
    <xf numFmtId="41" fontId="16" fillId="2" borderId="33" xfId="6" applyNumberFormat="1" applyFont="1" applyFill="1" applyBorder="1" applyAlignment="1">
      <alignment vertical="center"/>
    </xf>
    <xf numFmtId="0" fontId="16" fillId="2" borderId="4" xfId="6" applyFont="1" applyFill="1" applyBorder="1" applyAlignment="1">
      <alignment horizontal="right" vertical="center" wrapText="1"/>
    </xf>
    <xf numFmtId="0" fontId="18" fillId="2" borderId="4" xfId="6" applyFont="1" applyFill="1" applyBorder="1" applyAlignment="1">
      <alignment horizontal="right" vertical="center" wrapText="1"/>
    </xf>
    <xf numFmtId="0" fontId="16" fillId="2" borderId="31" xfId="6" applyFont="1" applyFill="1" applyBorder="1" applyAlignment="1">
      <alignment horizontal="right" vertical="center" wrapText="1"/>
    </xf>
    <xf numFmtId="182" fontId="18" fillId="2" borderId="35" xfId="6" applyNumberFormat="1" applyFont="1" applyFill="1" applyBorder="1" applyAlignment="1">
      <alignment vertical="center"/>
    </xf>
    <xf numFmtId="42" fontId="16" fillId="10" borderId="0" xfId="28" applyFont="1" applyFill="1" applyAlignment="1">
      <alignment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15" fillId="0" borderId="15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5" fillId="2" borderId="46" xfId="0" applyFont="1" applyFill="1" applyBorder="1" applyAlignment="1">
      <alignment horizontal="left" vertical="center" wrapText="1"/>
    </xf>
    <xf numFmtId="0" fontId="28" fillId="7" borderId="45" xfId="0" applyFont="1" applyFill="1" applyBorder="1" applyAlignment="1">
      <alignment vertical="center" wrapText="1"/>
    </xf>
    <xf numFmtId="0" fontId="28" fillId="7" borderId="47" xfId="0" applyFont="1" applyFill="1" applyBorder="1" applyAlignment="1">
      <alignment vertical="center" wrapText="1"/>
    </xf>
    <xf numFmtId="173" fontId="14" fillId="7" borderId="9" xfId="1" applyNumberFormat="1" applyFont="1" applyFill="1" applyBorder="1" applyAlignment="1">
      <alignment horizontal="right" vertical="center" wrapText="1"/>
    </xf>
    <xf numFmtId="173" fontId="14" fillId="7" borderId="45" xfId="1" applyNumberFormat="1" applyFont="1" applyFill="1" applyBorder="1" applyAlignment="1">
      <alignment horizontal="right" vertical="center" wrapText="1"/>
    </xf>
    <xf numFmtId="181" fontId="14" fillId="7" borderId="47" xfId="4" applyNumberFormat="1" applyFont="1" applyFill="1" applyBorder="1" applyAlignment="1">
      <alignment horizontal="right" vertical="center" wrapText="1"/>
    </xf>
    <xf numFmtId="173" fontId="14" fillId="7" borderId="1" xfId="1" applyNumberFormat="1" applyFont="1" applyFill="1" applyBorder="1" applyAlignment="1">
      <alignment horizontal="right" vertical="center" wrapText="1"/>
    </xf>
    <xf numFmtId="173" fontId="14" fillId="7" borderId="48" xfId="1" applyNumberFormat="1" applyFont="1" applyFill="1" applyBorder="1" applyAlignment="1">
      <alignment horizontal="right" vertical="center" wrapText="1"/>
    </xf>
    <xf numFmtId="181" fontId="14" fillId="7" borderId="49" xfId="4" applyNumberFormat="1" applyFont="1" applyFill="1" applyBorder="1" applyAlignment="1">
      <alignment horizontal="right" vertical="center" wrapText="1"/>
    </xf>
    <xf numFmtId="173" fontId="14" fillId="7" borderId="50" xfId="1" applyNumberFormat="1" applyFont="1" applyFill="1" applyBorder="1" applyAlignment="1">
      <alignment horizontal="right" vertical="center" wrapText="1"/>
    </xf>
    <xf numFmtId="0" fontId="24" fillId="14" borderId="4" xfId="6" applyFont="1" applyFill="1" applyBorder="1" applyAlignment="1">
      <alignment horizontal="right" vertical="center" indent="1"/>
    </xf>
    <xf numFmtId="0" fontId="18" fillId="2" borderId="4" xfId="6" applyFont="1" applyFill="1" applyBorder="1" applyAlignment="1">
      <alignment horizontal="left" vertical="center" indent="1"/>
    </xf>
    <xf numFmtId="41" fontId="16" fillId="13" borderId="28" xfId="6" applyNumberFormat="1" applyFont="1" applyFill="1" applyBorder="1" applyAlignment="1">
      <alignment horizontal="center" vertical="center"/>
    </xf>
    <xf numFmtId="0" fontId="16" fillId="0" borderId="28" xfId="6" applyFont="1" applyBorder="1" applyAlignment="1">
      <alignment vertical="center" wrapText="1"/>
    </xf>
    <xf numFmtId="0" fontId="18" fillId="7" borderId="28" xfId="6" applyFont="1" applyFill="1" applyBorder="1" applyAlignment="1">
      <alignment horizontal="center" vertical="center"/>
    </xf>
    <xf numFmtId="0" fontId="18" fillId="7" borderId="28" xfId="6" applyFont="1" applyFill="1" applyBorder="1" applyAlignment="1">
      <alignment horizontal="center" vertical="center" wrapText="1"/>
    </xf>
    <xf numFmtId="0" fontId="14" fillId="21" borderId="4" xfId="0" applyFont="1" applyFill="1" applyBorder="1" applyAlignment="1">
      <alignment vertical="center"/>
    </xf>
    <xf numFmtId="167" fontId="5" fillId="21" borderId="28" xfId="2" applyNumberFormat="1" applyFont="1" applyFill="1" applyBorder="1" applyAlignment="1">
      <alignment horizontal="right" vertical="center"/>
    </xf>
    <xf numFmtId="2" fontId="5" fillId="21" borderId="28" xfId="1" applyNumberFormat="1" applyFont="1" applyFill="1" applyBorder="1" applyAlignment="1">
      <alignment vertical="center"/>
    </xf>
    <xf numFmtId="169" fontId="5" fillId="21" borderId="28" xfId="4" applyNumberFormat="1" applyFont="1" applyFill="1" applyBorder="1" applyAlignment="1">
      <alignment horizontal="right" vertical="center"/>
    </xf>
    <xf numFmtId="0" fontId="5" fillId="21" borderId="28" xfId="0" applyFont="1" applyFill="1" applyBorder="1" applyAlignment="1">
      <alignment vertical="center"/>
    </xf>
    <xf numFmtId="0" fontId="5" fillId="21" borderId="34" xfId="0" applyFont="1" applyFill="1" applyBorder="1" applyAlignment="1">
      <alignment vertical="center"/>
    </xf>
    <xf numFmtId="0" fontId="28" fillId="21" borderId="43" xfId="0" applyFont="1" applyFill="1" applyBorder="1" applyAlignment="1">
      <alignment vertical="center"/>
    </xf>
    <xf numFmtId="173" fontId="14" fillId="21" borderId="28" xfId="1" applyNumberFormat="1" applyFont="1" applyFill="1" applyBorder="1" applyAlignment="1">
      <alignment horizontal="right" vertical="center"/>
    </xf>
    <xf numFmtId="2" fontId="14" fillId="21" borderId="28" xfId="1" applyNumberFormat="1" applyFont="1" applyFill="1" applyBorder="1" applyAlignment="1">
      <alignment horizontal="right" vertical="center"/>
    </xf>
    <xf numFmtId="0" fontId="14" fillId="21" borderId="4" xfId="0" applyFont="1" applyFill="1" applyBorder="1" applyAlignment="1">
      <alignment horizontal="left" vertical="center"/>
    </xf>
    <xf numFmtId="173" fontId="28" fillId="21" borderId="28" xfId="1" applyNumberFormat="1" applyFont="1" applyFill="1" applyBorder="1" applyAlignment="1">
      <alignment vertical="center"/>
    </xf>
    <xf numFmtId="2" fontId="14" fillId="21" borderId="28" xfId="1" applyNumberFormat="1" applyFont="1" applyFill="1" applyBorder="1" applyAlignment="1">
      <alignment horizontal="center" vertical="center"/>
    </xf>
    <xf numFmtId="173" fontId="28" fillId="21" borderId="34" xfId="1" applyNumberFormat="1" applyFont="1" applyFill="1" applyBorder="1" applyAlignment="1">
      <alignment vertical="center"/>
    </xf>
    <xf numFmtId="2" fontId="28" fillId="21" borderId="28" xfId="1" applyNumberFormat="1" applyFont="1" applyFill="1" applyBorder="1" applyAlignment="1">
      <alignment vertical="center"/>
    </xf>
    <xf numFmtId="173" fontId="28" fillId="21" borderId="18" xfId="1" applyNumberFormat="1" applyFont="1" applyFill="1" applyBorder="1" applyAlignment="1">
      <alignment vertical="center"/>
    </xf>
    <xf numFmtId="165" fontId="28" fillId="21" borderId="14" xfId="1" applyFont="1" applyFill="1" applyBorder="1" applyAlignment="1">
      <alignment vertical="center"/>
    </xf>
    <xf numFmtId="41" fontId="16" fillId="10" borderId="0" xfId="6" applyNumberFormat="1" applyFont="1" applyFill="1" applyAlignment="1">
      <alignment vertical="center"/>
    </xf>
    <xf numFmtId="173" fontId="5" fillId="0" borderId="28" xfId="1" applyNumberFormat="1" applyFont="1" applyFill="1" applyBorder="1" applyAlignment="1">
      <alignment horizontal="right" vertical="center" wrapText="1"/>
    </xf>
    <xf numFmtId="173" fontId="15" fillId="10" borderId="28" xfId="1" applyNumberFormat="1" applyFont="1" applyFill="1" applyBorder="1" applyAlignment="1">
      <alignment vertical="center" wrapText="1"/>
    </xf>
    <xf numFmtId="41" fontId="5" fillId="2" borderId="28" xfId="6" applyNumberFormat="1" applyFont="1" applyFill="1" applyBorder="1" applyAlignment="1">
      <alignment vertical="center" wrapText="1"/>
    </xf>
    <xf numFmtId="173" fontId="5" fillId="10" borderId="28" xfId="1" applyNumberFormat="1" applyFont="1" applyFill="1" applyBorder="1" applyAlignment="1">
      <alignment vertical="center" wrapText="1"/>
    </xf>
    <xf numFmtId="0" fontId="14" fillId="12" borderId="9" xfId="0" applyFont="1" applyFill="1" applyBorder="1" applyAlignment="1">
      <alignment horizontal="center" vertical="center" wrapText="1"/>
    </xf>
    <xf numFmtId="167" fontId="14" fillId="12" borderId="52" xfId="2" applyNumberFormat="1" applyFont="1" applyFill="1" applyBorder="1" applyAlignment="1">
      <alignment horizontal="center" vertical="center" wrapText="1" shrinkToFit="1"/>
    </xf>
    <xf numFmtId="181" fontId="14" fillId="3" borderId="53" xfId="4" applyNumberFormat="1" applyFont="1" applyFill="1" applyBorder="1" applyAlignment="1">
      <alignment horizontal="center" vertical="center" wrapText="1"/>
    </xf>
    <xf numFmtId="181" fontId="30" fillId="9" borderId="1" xfId="4" applyNumberFormat="1" applyFont="1" applyFill="1" applyBorder="1" applyAlignment="1">
      <alignment horizontal="center" vertical="center" wrapText="1"/>
    </xf>
    <xf numFmtId="181" fontId="14" fillId="8" borderId="1" xfId="4" applyNumberFormat="1" applyFont="1" applyFill="1" applyBorder="1" applyAlignment="1">
      <alignment horizontal="center" vertical="center" wrapText="1"/>
    </xf>
    <xf numFmtId="164" fontId="14" fillId="11" borderId="50" xfId="4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 vertical="center" wrapText="1"/>
    </xf>
    <xf numFmtId="173" fontId="5" fillId="0" borderId="51" xfId="1" applyNumberFormat="1" applyFont="1" applyFill="1" applyBorder="1" applyAlignment="1">
      <alignment horizontal="right" vertical="center" wrapText="1"/>
    </xf>
    <xf numFmtId="173" fontId="15" fillId="10" borderId="51" xfId="1" applyNumberFormat="1" applyFont="1" applyFill="1" applyBorder="1" applyAlignment="1">
      <alignment vertical="center" wrapText="1"/>
    </xf>
    <xf numFmtId="41" fontId="5" fillId="2" borderId="51" xfId="6" applyNumberFormat="1" applyFont="1" applyFill="1" applyBorder="1" applyAlignment="1">
      <alignment vertical="center" wrapText="1"/>
    </xf>
    <xf numFmtId="0" fontId="14" fillId="20" borderId="9" xfId="0" applyFont="1" applyFill="1" applyBorder="1" applyAlignment="1">
      <alignment vertical="center" wrapText="1"/>
    </xf>
    <xf numFmtId="167" fontId="5" fillId="20" borderId="54" xfId="2" applyNumberFormat="1" applyFont="1" applyFill="1" applyBorder="1" applyAlignment="1">
      <alignment horizontal="right" vertical="center" wrapText="1"/>
    </xf>
    <xf numFmtId="167" fontId="5" fillId="20" borderId="55" xfId="2" applyNumberFormat="1" applyFont="1" applyFill="1" applyBorder="1" applyAlignment="1">
      <alignment horizontal="right" vertical="center" wrapText="1"/>
    </xf>
    <xf numFmtId="173" fontId="5" fillId="0" borderId="56" xfId="1" applyNumberFormat="1" applyFont="1" applyFill="1" applyBorder="1" applyAlignment="1">
      <alignment horizontal="right" vertical="center" wrapText="1"/>
    </xf>
    <xf numFmtId="173" fontId="15" fillId="10" borderId="56" xfId="1" applyNumberFormat="1" applyFont="1" applyFill="1" applyBorder="1" applyAlignment="1">
      <alignment vertical="center" wrapText="1"/>
    </xf>
    <xf numFmtId="41" fontId="5" fillId="2" borderId="56" xfId="6" applyNumberFormat="1" applyFont="1" applyFill="1" applyBorder="1" applyAlignment="1">
      <alignment vertical="center" wrapText="1"/>
    </xf>
    <xf numFmtId="0" fontId="28" fillId="7" borderId="9" xfId="0" applyFont="1" applyFill="1" applyBorder="1" applyAlignment="1">
      <alignment vertical="center" wrapText="1"/>
    </xf>
    <xf numFmtId="173" fontId="28" fillId="7" borderId="48" xfId="1" applyNumberFormat="1" applyFont="1" applyFill="1" applyBorder="1" applyAlignment="1">
      <alignment vertical="center" wrapText="1"/>
    </xf>
    <xf numFmtId="181" fontId="14" fillId="19" borderId="49" xfId="4" applyNumberFormat="1" applyFont="1" applyFill="1" applyBorder="1" applyAlignment="1">
      <alignment horizontal="right" vertical="center" wrapText="1"/>
    </xf>
    <xf numFmtId="181" fontId="31" fillId="10" borderId="0" xfId="0" applyNumberFormat="1" applyFont="1" applyFill="1" applyAlignment="1">
      <alignment horizontal="right" vertical="center" wrapText="1"/>
    </xf>
    <xf numFmtId="181" fontId="31" fillId="10" borderId="0" xfId="0" applyNumberFormat="1" applyFont="1" applyFill="1" applyAlignment="1">
      <alignment vertical="center" wrapText="1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9" fontId="3" fillId="0" borderId="6" xfId="5" applyFont="1" applyFill="1" applyBorder="1" applyAlignment="1">
      <alignment horizontal="center"/>
    </xf>
    <xf numFmtId="9" fontId="3" fillId="0" borderId="5" xfId="5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9" fontId="4" fillId="3" borderId="3" xfId="5" applyFont="1" applyFill="1" applyBorder="1" applyAlignment="1">
      <alignment horizontal="center" vertical="center" wrapText="1"/>
    </xf>
    <xf numFmtId="9" fontId="4" fillId="3" borderId="0" xfId="5" applyFont="1" applyFill="1" applyBorder="1" applyAlignment="1">
      <alignment horizontal="center" vertical="center" wrapText="1"/>
    </xf>
    <xf numFmtId="9" fontId="3" fillId="3" borderId="3" xfId="5" applyFont="1" applyFill="1" applyBorder="1" applyAlignment="1">
      <alignment horizontal="center" vertical="center"/>
    </xf>
    <xf numFmtId="9" fontId="3" fillId="3" borderId="0" xfId="5" applyFont="1" applyFill="1" applyBorder="1" applyAlignment="1">
      <alignment horizontal="center" vertical="center"/>
    </xf>
    <xf numFmtId="9" fontId="3" fillId="3" borderId="18" xfId="5" applyFont="1" applyFill="1" applyBorder="1" applyAlignment="1">
      <alignment horizontal="center" vertical="center"/>
    </xf>
    <xf numFmtId="9" fontId="3" fillId="3" borderId="16" xfId="5" applyFont="1" applyFill="1" applyBorder="1" applyAlignment="1">
      <alignment horizontal="center" vertical="center"/>
    </xf>
    <xf numFmtId="0" fontId="15" fillId="18" borderId="8" xfId="0" applyFont="1" applyFill="1" applyBorder="1" applyAlignment="1">
      <alignment horizontal="center" vertical="center"/>
    </xf>
    <xf numFmtId="0" fontId="15" fillId="18" borderId="11" xfId="0" applyFont="1" applyFill="1" applyBorder="1" applyAlignment="1">
      <alignment horizontal="center" vertical="center"/>
    </xf>
    <xf numFmtId="9" fontId="14" fillId="0" borderId="6" xfId="5" applyFont="1" applyFill="1" applyBorder="1" applyAlignment="1">
      <alignment horizontal="center" vertical="center"/>
    </xf>
    <xf numFmtId="9" fontId="14" fillId="0" borderId="5" xfId="5" applyFont="1" applyFill="1" applyBorder="1" applyAlignment="1">
      <alignment horizontal="center" vertical="center"/>
    </xf>
    <xf numFmtId="0" fontId="25" fillId="10" borderId="3" xfId="0" applyFont="1" applyFill="1" applyBorder="1" applyAlignment="1">
      <alignment horizontal="center" vertical="center"/>
    </xf>
    <xf numFmtId="0" fontId="25" fillId="10" borderId="0" xfId="0" applyFont="1" applyFill="1" applyAlignment="1">
      <alignment horizontal="center" vertical="center"/>
    </xf>
    <xf numFmtId="9" fontId="25" fillId="10" borderId="3" xfId="5" applyFont="1" applyFill="1" applyBorder="1" applyAlignment="1">
      <alignment horizontal="center" vertical="center" wrapText="1"/>
    </xf>
    <xf numFmtId="9" fontId="25" fillId="10" borderId="0" xfId="5" applyFont="1" applyFill="1" applyBorder="1" applyAlignment="1">
      <alignment horizontal="center" vertical="center" wrapText="1"/>
    </xf>
    <xf numFmtId="0" fontId="25" fillId="10" borderId="3" xfId="0" applyFont="1" applyFill="1" applyBorder="1" applyAlignment="1">
      <alignment horizontal="center" vertical="center" wrapText="1"/>
    </xf>
    <xf numFmtId="0" fontId="25" fillId="10" borderId="0" xfId="0" applyFont="1" applyFill="1" applyAlignment="1">
      <alignment horizontal="center" vertical="center" wrapText="1"/>
    </xf>
    <xf numFmtId="9" fontId="25" fillId="10" borderId="3" xfId="5" applyFont="1" applyFill="1" applyBorder="1" applyAlignment="1">
      <alignment horizontal="center" vertical="center"/>
    </xf>
    <xf numFmtId="9" fontId="25" fillId="10" borderId="0" xfId="5" applyFont="1" applyFill="1" applyBorder="1" applyAlignment="1">
      <alignment horizontal="center" vertical="center"/>
    </xf>
    <xf numFmtId="0" fontId="15" fillId="21" borderId="8" xfId="0" applyFont="1" applyFill="1" applyBorder="1" applyAlignment="1">
      <alignment horizontal="center" vertical="center"/>
    </xf>
    <xf numFmtId="0" fontId="15" fillId="21" borderId="11" xfId="0" applyFont="1" applyFill="1" applyBorder="1" applyAlignment="1">
      <alignment horizontal="center" vertical="center"/>
    </xf>
    <xf numFmtId="0" fontId="22" fillId="16" borderId="29" xfId="6" applyFont="1" applyFill="1" applyBorder="1" applyAlignment="1">
      <alignment horizontal="left" vertical="center"/>
    </xf>
    <xf numFmtId="0" fontId="22" fillId="16" borderId="30" xfId="6" applyFont="1" applyFill="1" applyBorder="1" applyAlignment="1">
      <alignment horizontal="left" vertical="center"/>
    </xf>
    <xf numFmtId="0" fontId="22" fillId="16" borderId="33" xfId="6" applyFont="1" applyFill="1" applyBorder="1" applyAlignment="1">
      <alignment horizontal="left" vertical="center"/>
    </xf>
    <xf numFmtId="0" fontId="17" fillId="2" borderId="40" xfId="6" applyFont="1" applyFill="1" applyBorder="1" applyAlignment="1">
      <alignment horizontal="left" vertical="center"/>
    </xf>
    <xf numFmtId="0" fontId="18" fillId="2" borderId="24" xfId="6" applyFont="1" applyFill="1" applyBorder="1" applyAlignment="1">
      <alignment horizontal="center" vertical="center"/>
    </xf>
    <xf numFmtId="0" fontId="16" fillId="0" borderId="24" xfId="6" applyFont="1" applyBorder="1" applyAlignment="1">
      <alignment vertical="center" wrapText="1"/>
    </xf>
    <xf numFmtId="49" fontId="19" fillId="2" borderId="0" xfId="6" applyNumberFormat="1" applyFont="1" applyFill="1" applyAlignment="1">
      <alignment horizontal="left" vertical="center"/>
    </xf>
    <xf numFmtId="49" fontId="20" fillId="2" borderId="0" xfId="6" applyNumberFormat="1" applyFont="1" applyFill="1" applyAlignment="1">
      <alignment horizontal="left" vertical="center" wrapText="1"/>
    </xf>
    <xf numFmtId="0" fontId="18" fillId="2" borderId="0" xfId="6" applyFont="1" applyFill="1" applyAlignment="1">
      <alignment horizontal="left" vertical="center"/>
    </xf>
    <xf numFmtId="175" fontId="18" fillId="7" borderId="28" xfId="6" applyNumberFormat="1" applyFont="1" applyFill="1" applyBorder="1" applyAlignment="1">
      <alignment horizontal="center" vertical="center"/>
    </xf>
    <xf numFmtId="1" fontId="18" fillId="7" borderId="28" xfId="6" applyNumberFormat="1" applyFont="1" applyFill="1" applyBorder="1" applyAlignment="1">
      <alignment horizontal="center" vertical="center"/>
    </xf>
    <xf numFmtId="0" fontId="18" fillId="7" borderId="28" xfId="6" applyFont="1" applyFill="1" applyBorder="1" applyAlignment="1">
      <alignment horizontal="center" vertical="center"/>
    </xf>
    <xf numFmtId="0" fontId="18" fillId="7" borderId="28" xfId="6" applyFont="1" applyFill="1" applyBorder="1" applyAlignment="1">
      <alignment horizontal="center" vertical="center" wrapText="1"/>
    </xf>
    <xf numFmtId="0" fontId="16" fillId="7" borderId="28" xfId="6" applyFont="1" applyFill="1" applyBorder="1" applyAlignment="1">
      <alignment vertical="center" wrapText="1"/>
    </xf>
    <xf numFmtId="0" fontId="21" fillId="15" borderId="28" xfId="6" applyFont="1" applyFill="1" applyBorder="1" applyAlignment="1">
      <alignment horizontal="left" vertical="center"/>
    </xf>
    <xf numFmtId="0" fontId="22" fillId="16" borderId="4" xfId="6" applyFont="1" applyFill="1" applyBorder="1" applyAlignment="1">
      <alignment horizontal="left" vertical="center"/>
    </xf>
    <xf numFmtId="0" fontId="22" fillId="16" borderId="28" xfId="6" applyFont="1" applyFill="1" applyBorder="1" applyAlignment="1">
      <alignment horizontal="left" vertical="center"/>
    </xf>
    <xf numFmtId="0" fontId="22" fillId="16" borderId="34" xfId="6" applyFont="1" applyFill="1" applyBorder="1" applyAlignment="1">
      <alignment horizontal="left" vertical="center"/>
    </xf>
    <xf numFmtId="41" fontId="16" fillId="13" borderId="28" xfId="6" applyNumberFormat="1" applyFont="1" applyFill="1" applyBorder="1" applyAlignment="1">
      <alignment horizontal="center" vertical="center"/>
    </xf>
    <xf numFmtId="0" fontId="16" fillId="0" borderId="28" xfId="6" applyFont="1" applyBorder="1" applyAlignment="1">
      <alignment vertical="center" wrapText="1"/>
    </xf>
    <xf numFmtId="0" fontId="24" fillId="14" borderId="4" xfId="6" applyFont="1" applyFill="1" applyBorder="1" applyAlignment="1">
      <alignment horizontal="right" vertical="center" indent="1"/>
    </xf>
    <xf numFmtId="0" fontId="23" fillId="14" borderId="28" xfId="6" applyFont="1" applyFill="1" applyBorder="1" applyAlignment="1">
      <alignment horizontal="right" vertical="center" wrapText="1" indent="1"/>
    </xf>
    <xf numFmtId="0" fontId="18" fillId="2" borderId="4" xfId="6" applyFont="1" applyFill="1" applyBorder="1" applyAlignment="1">
      <alignment horizontal="right" vertical="center" indent="1"/>
    </xf>
    <xf numFmtId="0" fontId="18" fillId="2" borderId="28" xfId="6" applyFont="1" applyFill="1" applyBorder="1" applyAlignment="1">
      <alignment horizontal="right" vertical="center" indent="1"/>
    </xf>
    <xf numFmtId="0" fontId="29" fillId="15" borderId="31" xfId="6" applyFont="1" applyFill="1" applyBorder="1" applyAlignment="1">
      <alignment horizontal="right" vertical="center" indent="1"/>
    </xf>
    <xf numFmtId="0" fontId="29" fillId="15" borderId="32" xfId="6" applyFont="1" applyFill="1" applyBorder="1" applyAlignment="1">
      <alignment horizontal="right" vertical="center" indent="1"/>
    </xf>
    <xf numFmtId="14" fontId="16" fillId="10" borderId="28" xfId="6" applyNumberFormat="1" applyFont="1" applyFill="1" applyBorder="1" applyAlignment="1">
      <alignment horizontal="center" vertical="center"/>
    </xf>
    <xf numFmtId="0" fontId="18" fillId="2" borderId="4" xfId="6" applyFont="1" applyFill="1" applyBorder="1" applyAlignment="1">
      <alignment horizontal="left" vertical="center" indent="1"/>
    </xf>
    <xf numFmtId="0" fontId="18" fillId="2" borderId="28" xfId="6" applyFont="1" applyFill="1" applyBorder="1" applyAlignment="1">
      <alignment horizontal="left" vertical="center" indent="1"/>
    </xf>
    <xf numFmtId="9" fontId="14" fillId="10" borderId="0" xfId="5" applyFont="1" applyFill="1" applyBorder="1" applyAlignment="1">
      <alignment horizontal="center" vertical="center" wrapText="1"/>
    </xf>
    <xf numFmtId="9" fontId="14" fillId="0" borderId="0" xfId="5" applyFont="1" applyFill="1" applyBorder="1" applyAlignment="1">
      <alignment horizontal="center" vertical="center" wrapText="1"/>
    </xf>
    <xf numFmtId="0" fontId="14" fillId="10" borderId="0" xfId="0" applyFont="1" applyFill="1" applyAlignment="1">
      <alignment horizontal="center" vertical="center" wrapText="1"/>
    </xf>
  </cellXfs>
  <cellStyles count="29">
    <cellStyle name="Millares" xfId="1" builtinId="3"/>
    <cellStyle name="Millares [0] 2" xfId="20" xr:uid="{050C968A-ADCF-4E63-A09A-F513948385FB}"/>
    <cellStyle name="Millares 2" xfId="15" xr:uid="{0256D4AC-A862-4960-9603-EA47B003639F}"/>
    <cellStyle name="Millares 2 2 3 2" xfId="9" xr:uid="{54D55D2A-6866-4449-89E5-585B92E96160}"/>
    <cellStyle name="Millares 2 2 3 2 2" xfId="26" xr:uid="{886E87A2-7C55-4CED-B4EF-C5FD3C583BF0}"/>
    <cellStyle name="Millares 38 3" xfId="12" xr:uid="{89E503FD-27F0-44D4-A00B-9E741BD9A56E}"/>
    <cellStyle name="Millares 4 4 2" xfId="7" xr:uid="{1DAE592E-1094-4783-9BB1-19B18131D2E0}"/>
    <cellStyle name="Millares 4 4 2 2" xfId="24" xr:uid="{A227E158-2B4C-4ACB-A2E7-E2A72D289EEB}"/>
    <cellStyle name="Millares 5 4 2" xfId="8" xr:uid="{B7F80791-A856-445E-9494-ED256B497ABD}"/>
    <cellStyle name="Millares 5 4 2 2" xfId="25" xr:uid="{13785336-44C6-4F98-9F97-0ABFA7FB735C}"/>
    <cellStyle name="Millares 6 2 6" xfId="11" xr:uid="{74BED516-D1D0-470E-B2A5-0F1519418CD9}"/>
    <cellStyle name="Millares 6 2 6 2" xfId="27" xr:uid="{C3E15930-610D-4D5D-B555-7C594D4F978C}"/>
    <cellStyle name="Millares_Hoja1" xfId="2" xr:uid="{00000000-0005-0000-0000-000001000000}"/>
    <cellStyle name="Millares_PREVI" xfId="3" xr:uid="{00000000-0005-0000-0000-000002000000}"/>
    <cellStyle name="Moneda" xfId="4" builtinId="4"/>
    <cellStyle name="Moneda [0]" xfId="28" builtinId="7"/>
    <cellStyle name="Moneda [0] 2" xfId="10" xr:uid="{A6F87CBD-EBCF-4A46-92CA-8873ABF1BC61}"/>
    <cellStyle name="Moneda [0] 3" xfId="23" xr:uid="{E0E47150-68FF-44DA-8BBF-5114A3A59D2F}"/>
    <cellStyle name="Moneda 2" xfId="13" xr:uid="{E9044538-9B87-4B5C-9DF3-C26E077A0188}"/>
    <cellStyle name="Moneda 3" xfId="22" xr:uid="{CD6A4EE8-AA39-4027-9A18-3B1988A12205}"/>
    <cellStyle name="Moneda 4" xfId="16" xr:uid="{E3F8582C-BD18-4D5A-8E53-76B660900909}"/>
    <cellStyle name="Normal" xfId="0" builtinId="0"/>
    <cellStyle name="Normal 2" xfId="17" xr:uid="{1B3AF840-CE2E-47D4-930F-94D71D6197A2}"/>
    <cellStyle name="Normal 2 2" xfId="18" xr:uid="{E98FE288-519C-4B7E-A27D-E4287AC989BD}"/>
    <cellStyle name="Normal 3" xfId="19" xr:uid="{E9C4EFB9-94FA-4EF6-B33F-789E53FC9E64}"/>
    <cellStyle name="Normal 4" xfId="14" xr:uid="{F81EA3D0-D204-4645-9A35-81D4CCA71321}"/>
    <cellStyle name="Normal 6 4 2" xfId="6" xr:uid="{35DFD3B7-C5A4-4815-8DEF-FCF9AC318341}"/>
    <cellStyle name="Porcentaje" xfId="5" builtinId="5"/>
    <cellStyle name="Porcentaje 2" xfId="21" xr:uid="{4BA34BE8-162F-414A-A78E-D7449C7E4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2</xdr:row>
      <xdr:rowOff>142875</xdr:rowOff>
    </xdr:from>
    <xdr:to>
      <xdr:col>1</xdr:col>
      <xdr:colOff>1352550</xdr:colOff>
      <xdr:row>5</xdr:row>
      <xdr:rowOff>57150</xdr:rowOff>
    </xdr:to>
    <xdr:pic>
      <xdr:nvPicPr>
        <xdr:cNvPr id="5121" name="Picture 1" descr="PPT">
          <a:extLst>
            <a:ext uri="{FF2B5EF4-FFF2-40B4-BE49-F238E27FC236}">
              <a16:creationId xmlns:a16="http://schemas.microsoft.com/office/drawing/2014/main" id="{00000000-0008-0000-0300-00000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" y="533400"/>
          <a:ext cx="118110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2</xdr:row>
      <xdr:rowOff>85725</xdr:rowOff>
    </xdr:from>
    <xdr:to>
      <xdr:col>1</xdr:col>
      <xdr:colOff>2036523</xdr:colOff>
      <xdr:row>5</xdr:row>
      <xdr:rowOff>142875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9BEFBE5-50E1-45BB-BD5A-0757F0C3E0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6" t="4709" r="3187" b="9352"/>
        <a:stretch/>
      </xdr:blipFill>
      <xdr:spPr>
        <a:xfrm>
          <a:off x="876300" y="419100"/>
          <a:ext cx="1503123" cy="7143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92.168.20.2\Doc-Asegurar\MUNICIPIO%20CARMEN%20DE%20CARUPA%20SEGUROS%202026%20A%202027%20(EN%20PROCESO)\1.%20LICITACION%20PROCESO%202027\1.%20DOCUMENTOS%20X%20ASEGURAR\4.%20PROP%20ECONOMICA%20E%20INVENTARIOS%202026%20X%20MUN%20CARUPA.xlsx" TargetMode="External"/><Relationship Id="rId1" Type="http://schemas.openxmlformats.org/officeDocument/2006/relationships/externalLinkPath" Target="4.%20PROP%20ECONOMICA%20E%20INVENTARIOS%202026%20X%20MUN%20CARUP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92.168.20.2\Doc-Asegurar\MUNICIPIO%20CARMEN%20DE%20CARUPA%20SEGUROS%202026%20A%202027%20(EN%20PROCESO)\1.%20LICITACION%20PROCESO%202027\1.%20DOCUMENTOS%20X%20ASEGURAR\4.%20PROP%20ECONOMICA%20E%20INVENTARIOS%20ok%20pedro.xlsx" TargetMode="External"/><Relationship Id="rId1" Type="http://schemas.openxmlformats.org/officeDocument/2006/relationships/externalLinkPath" Target="file:///\\192.168.20.2\Doc-Asegurar\MUNICIPIO%20CARMEN%20DE%20CARUPA%20SEGUROS%202026%20A%202027%20(EN%20PROCESO)\1.%20LICITACION%20PROCESO%202027\1.%20DOCUMENTOS%20X%20ASEGURAR\4.%20PROP%20ECONOMICA%20E%20INVENTARIOS%20ok%20ped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ERTA ECONOMICA"/>
      <sheetName val="RESUMEN"/>
      <sheetName val="INMUEBLES"/>
      <sheetName val="INVENTARIO MUEBLES"/>
      <sheetName val="ROTURA MAQUINARIA"/>
      <sheetName val="TODO RIESGO  MAQUINARIA"/>
      <sheetName val="AUTOS"/>
      <sheetName val="BIENES EN REPOSO"/>
      <sheetName val="SOAT"/>
      <sheetName val="GLOBAL DE MANEJO"/>
      <sheetName val="RC SERVIDORES P"/>
      <sheetName val="RC PASAJEROS"/>
      <sheetName val="RCE"/>
      <sheetName val="VIDA GRUPO"/>
      <sheetName val="SINIESTRALIDAD "/>
    </sheetNames>
    <sheetDataSet>
      <sheetData sheetId="0"/>
      <sheetData sheetId="1">
        <row r="7">
          <cell r="D7">
            <v>16738493111.9</v>
          </cell>
        </row>
        <row r="8">
          <cell r="D8">
            <v>368235745</v>
          </cell>
        </row>
        <row r="9">
          <cell r="D9">
            <v>205233173.84098333</v>
          </cell>
        </row>
        <row r="10">
          <cell r="D10">
            <v>118680761</v>
          </cell>
        </row>
        <row r="13">
          <cell r="D13">
            <v>643127009.9999795</v>
          </cell>
        </row>
        <row r="14">
          <cell r="D14">
            <v>289061590.11000001</v>
          </cell>
        </row>
        <row r="15">
          <cell r="D15">
            <v>72444160.020000011</v>
          </cell>
        </row>
        <row r="17">
          <cell r="D17">
            <v>100000000</v>
          </cell>
        </row>
        <row r="18">
          <cell r="D18">
            <v>100000000</v>
          </cell>
        </row>
        <row r="20">
          <cell r="D20">
            <v>1530900000</v>
          </cell>
        </row>
        <row r="21">
          <cell r="D21">
            <v>52000000</v>
          </cell>
        </row>
        <row r="22">
          <cell r="D22">
            <v>1143004265</v>
          </cell>
        </row>
        <row r="23">
          <cell r="D23">
            <v>100000000</v>
          </cell>
        </row>
        <row r="25">
          <cell r="D25">
            <v>13578390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erta Económica"/>
      <sheetName val="RESUMEN"/>
      <sheetName val="INMUEBLES"/>
      <sheetName val="INVENTARIO MUEBLES"/>
      <sheetName val="ROTURA MAQUINARIA"/>
      <sheetName val="TODO RIESGO  MAQUINARIA"/>
      <sheetName val="AUTOS"/>
      <sheetName val="SOAT"/>
      <sheetName val="BIENES EN REPOSO"/>
      <sheetName val="GLOBAL DE MANEJO"/>
      <sheetName val="RC SERVIDORES P"/>
      <sheetName val="RC PASAJEROS"/>
      <sheetName val="RCE"/>
      <sheetName val="VIDA GRUPO"/>
      <sheetName val="SINIESTRALIDAD "/>
    </sheetNames>
    <sheetDataSet>
      <sheetData sheetId="0" refreshError="1"/>
      <sheetData sheetId="1" refreshError="1">
        <row r="26">
          <cell r="D26">
            <v>1501441040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82"/>
  <sheetViews>
    <sheetView topLeftCell="A28" workbookViewId="0">
      <selection activeCell="D47" sqref="D47"/>
    </sheetView>
  </sheetViews>
  <sheetFormatPr baseColWidth="10" defaultRowHeight="15" x14ac:dyDescent="0.25"/>
  <cols>
    <col min="1" max="1" width="5.140625" customWidth="1"/>
    <col min="2" max="2" width="28.140625" bestFit="1" customWidth="1"/>
    <col min="3" max="3" width="18" customWidth="1"/>
    <col min="4" max="4" width="20.42578125" customWidth="1"/>
    <col min="5" max="5" width="20.42578125" bestFit="1" customWidth="1"/>
    <col min="6" max="6" width="12.5703125" customWidth="1"/>
    <col min="7" max="7" width="17.42578125" customWidth="1"/>
    <col min="8" max="8" width="16.5703125" customWidth="1"/>
    <col min="9" max="9" width="24.140625" bestFit="1" customWidth="1"/>
    <col min="10" max="10" width="15.140625" bestFit="1" customWidth="1"/>
  </cols>
  <sheetData>
    <row r="2" spans="2:10" ht="15.75" thickBot="1" x14ac:dyDescent="0.3">
      <c r="B2" s="1"/>
      <c r="C2" s="2"/>
      <c r="D2" s="2"/>
      <c r="E2" s="2"/>
      <c r="F2" s="2"/>
      <c r="G2" s="2"/>
      <c r="H2" s="2"/>
      <c r="I2" s="2"/>
    </row>
    <row r="3" spans="2:10" x14ac:dyDescent="0.25">
      <c r="B3" s="280"/>
      <c r="C3" s="282" t="s">
        <v>36</v>
      </c>
      <c r="D3" s="283"/>
      <c r="E3" s="283"/>
      <c r="F3" s="283"/>
      <c r="G3" s="283"/>
      <c r="H3" s="283"/>
      <c r="I3" s="283"/>
    </row>
    <row r="4" spans="2:10" ht="33" customHeight="1" x14ac:dyDescent="0.25">
      <c r="B4" s="281"/>
      <c r="C4" s="284" t="s">
        <v>51</v>
      </c>
      <c r="D4" s="285"/>
      <c r="E4" s="285"/>
      <c r="F4" s="285"/>
      <c r="G4" s="285"/>
      <c r="H4" s="285"/>
      <c r="I4" s="285"/>
    </row>
    <row r="5" spans="2:10" x14ac:dyDescent="0.25">
      <c r="B5" s="281"/>
      <c r="C5" s="286" t="s">
        <v>45</v>
      </c>
      <c r="D5" s="287"/>
      <c r="E5" s="287"/>
      <c r="F5" s="287"/>
      <c r="G5" s="287"/>
      <c r="H5" s="287"/>
      <c r="I5" s="287"/>
    </row>
    <row r="6" spans="2:10" ht="15.75" thickBot="1" x14ac:dyDescent="0.3">
      <c r="B6" s="281"/>
      <c r="C6" s="288" t="s">
        <v>52</v>
      </c>
      <c r="D6" s="289"/>
      <c r="E6" s="289"/>
      <c r="F6" s="289"/>
      <c r="G6" s="289"/>
      <c r="H6" s="289"/>
      <c r="I6" s="289"/>
    </row>
    <row r="7" spans="2:10" ht="26.25" thickBot="1" x14ac:dyDescent="0.3">
      <c r="B7" s="3" t="s">
        <v>0</v>
      </c>
      <c r="C7" s="4" t="s">
        <v>12</v>
      </c>
      <c r="D7" s="4" t="s">
        <v>13</v>
      </c>
      <c r="E7" s="4" t="s">
        <v>14</v>
      </c>
      <c r="F7" s="5" t="s">
        <v>1</v>
      </c>
      <c r="G7" s="6" t="s">
        <v>2</v>
      </c>
      <c r="H7" s="6" t="s">
        <v>3</v>
      </c>
      <c r="I7" s="6" t="s">
        <v>4</v>
      </c>
    </row>
    <row r="8" spans="2:10" ht="15.75" thickBot="1" x14ac:dyDescent="0.3">
      <c r="B8" s="14" t="s">
        <v>15</v>
      </c>
      <c r="C8" s="12">
        <v>100000000</v>
      </c>
      <c r="D8" s="12">
        <v>0</v>
      </c>
      <c r="E8" s="11">
        <f>+C8+D8</f>
        <v>100000000</v>
      </c>
      <c r="F8" s="54">
        <v>4.49</v>
      </c>
      <c r="G8" s="41">
        <f>(E8*F8/100)/365*B81</f>
        <v>4490000</v>
      </c>
      <c r="H8" s="53">
        <f>+G8*0.16</f>
        <v>718400</v>
      </c>
      <c r="I8" s="53">
        <f>+G8+H8</f>
        <v>5208400</v>
      </c>
    </row>
    <row r="9" spans="2:10" ht="15.75" thickBot="1" x14ac:dyDescent="0.3">
      <c r="B9" s="14" t="s">
        <v>16</v>
      </c>
      <c r="C9" s="11"/>
      <c r="D9" s="12"/>
      <c r="E9" s="11"/>
      <c r="F9" s="13"/>
      <c r="G9" s="53"/>
      <c r="H9" s="13"/>
      <c r="I9" s="13"/>
    </row>
    <row r="10" spans="2:10" x14ac:dyDescent="0.25">
      <c r="B10" s="32" t="s">
        <v>5</v>
      </c>
      <c r="C10" s="44">
        <v>44820157787</v>
      </c>
      <c r="D10" s="44">
        <v>1062176342.0754794</v>
      </c>
      <c r="E10" s="47">
        <f>+C10+D10</f>
        <v>45882334129.075478</v>
      </c>
      <c r="F10" s="46">
        <v>0.47</v>
      </c>
      <c r="G10" s="47">
        <f>(E10*F10/1000)/365*B81</f>
        <v>21564697.040665474</v>
      </c>
      <c r="H10" s="47">
        <f>+G10*0.16</f>
        <v>3450351.5265064761</v>
      </c>
      <c r="I10" s="47">
        <f>+G10+H10</f>
        <v>25015048.56717195</v>
      </c>
    </row>
    <row r="11" spans="2:10" x14ac:dyDescent="0.25">
      <c r="B11" s="32" t="s">
        <v>18</v>
      </c>
      <c r="C11" s="44">
        <f>(+C10*5/100)/365*173</f>
        <v>1062176342.0754794</v>
      </c>
      <c r="D11" s="45"/>
      <c r="E11" s="47">
        <f>(+E10*5/100)/365*90</f>
        <v>565672612.55024564</v>
      </c>
      <c r="F11" s="46"/>
      <c r="G11" s="47">
        <f>(E11*F11/1000)/365*B81</f>
        <v>0</v>
      </c>
      <c r="H11" s="47">
        <f t="shared" ref="H11:H32" si="0">+G11*0.16</f>
        <v>0</v>
      </c>
      <c r="I11" s="47"/>
    </row>
    <row r="12" spans="2:10" hidden="1" x14ac:dyDescent="0.25">
      <c r="B12" s="32" t="s">
        <v>19</v>
      </c>
      <c r="C12" s="48">
        <f>+C10+C11</f>
        <v>45882334129.075478</v>
      </c>
      <c r="D12" s="45"/>
      <c r="E12" s="19"/>
      <c r="F12" s="46"/>
      <c r="G12" s="47">
        <f>(E12*F12/1000)/365*B81</f>
        <v>0</v>
      </c>
      <c r="H12" s="47">
        <f t="shared" si="0"/>
        <v>0</v>
      </c>
      <c r="I12" s="47"/>
    </row>
    <row r="13" spans="2:10" x14ac:dyDescent="0.25">
      <c r="B13" s="49" t="s">
        <v>25</v>
      </c>
      <c r="C13" s="44">
        <f>+C10</f>
        <v>44820157787</v>
      </c>
      <c r="D13" s="44">
        <v>1062176342.0754794</v>
      </c>
      <c r="E13" s="47">
        <f>+E10</f>
        <v>45882334129.075478</v>
      </c>
      <c r="F13" s="46">
        <v>0.48</v>
      </c>
      <c r="G13" s="47">
        <f>(E13*F13/1000)/365*B81</f>
        <v>22023520.381956231</v>
      </c>
      <c r="H13" s="47">
        <f t="shared" si="0"/>
        <v>3523763.2611129968</v>
      </c>
      <c r="I13" s="47">
        <f>+G13+H13</f>
        <v>25547283.643069226</v>
      </c>
    </row>
    <row r="14" spans="2:10" x14ac:dyDescent="0.25">
      <c r="B14" s="32" t="s">
        <v>27</v>
      </c>
      <c r="C14" s="44">
        <f>+C10</f>
        <v>44820157787</v>
      </c>
      <c r="D14" s="44">
        <v>1062176342.0754794</v>
      </c>
      <c r="E14" s="47">
        <f>+E13</f>
        <v>45882334129.075478</v>
      </c>
      <c r="F14" s="46">
        <v>1.41</v>
      </c>
      <c r="G14" s="47">
        <f>(E14*F14/1000)/365*B81</f>
        <v>64694091.121996425</v>
      </c>
      <c r="H14" s="47">
        <f t="shared" si="0"/>
        <v>10351054.579519428</v>
      </c>
      <c r="I14" s="47">
        <f>+G14+H14</f>
        <v>75045145.701515853</v>
      </c>
    </row>
    <row r="15" spans="2:10" x14ac:dyDescent="0.25">
      <c r="B15" s="32" t="s">
        <v>20</v>
      </c>
      <c r="C15" s="48">
        <v>500000000</v>
      </c>
      <c r="D15" s="45"/>
      <c r="E15" s="47">
        <f t="shared" ref="E15:E32" si="1">+C15+D15</f>
        <v>500000000</v>
      </c>
      <c r="F15" s="46">
        <v>1</v>
      </c>
      <c r="G15" s="47">
        <f>(E15*F15/1000)/365*B81</f>
        <v>500000</v>
      </c>
      <c r="H15" s="47">
        <f t="shared" si="0"/>
        <v>80000</v>
      </c>
      <c r="I15" s="47">
        <f>+G15+H15</f>
        <v>580000</v>
      </c>
      <c r="J15" s="29"/>
    </row>
    <row r="16" spans="2:10" x14ac:dyDescent="0.25">
      <c r="B16" s="49" t="s">
        <v>17</v>
      </c>
      <c r="C16" s="44">
        <v>3575030333</v>
      </c>
      <c r="D16" s="44">
        <v>84723321.590273976</v>
      </c>
      <c r="E16" s="47">
        <f t="shared" si="1"/>
        <v>3659753654.5902739</v>
      </c>
      <c r="F16" s="46">
        <v>0.47</v>
      </c>
      <c r="G16" s="47">
        <f>(E16*F16/1000)/365*B81</f>
        <v>1720084.2176574285</v>
      </c>
      <c r="H16" s="47">
        <f t="shared" si="0"/>
        <v>275213.47482518858</v>
      </c>
      <c r="I16" s="47">
        <f>+G16+H16</f>
        <v>1995297.692482617</v>
      </c>
      <c r="J16" s="29"/>
    </row>
    <row r="17" spans="2:10" x14ac:dyDescent="0.25">
      <c r="B17" s="32" t="s">
        <v>18</v>
      </c>
      <c r="C17" s="44">
        <f>(+C16*5/100)/365*173</f>
        <v>84723321.590273976</v>
      </c>
      <c r="D17" s="44"/>
      <c r="E17" s="47">
        <f>(+E16*5/100)/365*90</f>
        <v>45120250.536044478</v>
      </c>
      <c r="F17" s="46"/>
      <c r="G17" s="47">
        <f>(E17*F17/1000)/365*B87</f>
        <v>0</v>
      </c>
      <c r="H17" s="47">
        <f t="shared" si="0"/>
        <v>0</v>
      </c>
      <c r="I17" s="47"/>
    </row>
    <row r="18" spans="2:10" x14ac:dyDescent="0.25">
      <c r="B18" s="49" t="s">
        <v>25</v>
      </c>
      <c r="C18" s="44">
        <f>+C16</f>
        <v>3575030333</v>
      </c>
      <c r="D18" s="45"/>
      <c r="E18" s="47">
        <f>+C18+D18</f>
        <v>3575030333</v>
      </c>
      <c r="F18" s="46">
        <v>0.48</v>
      </c>
      <c r="G18" s="47">
        <f>(E18*F18/1000)/365*B81</f>
        <v>1716014.55984</v>
      </c>
      <c r="H18" s="47">
        <f t="shared" si="0"/>
        <v>274562.32957439998</v>
      </c>
      <c r="I18" s="47">
        <f>+G18+H18</f>
        <v>1990576.8894143999</v>
      </c>
      <c r="J18" s="29"/>
    </row>
    <row r="19" spans="2:10" x14ac:dyDescent="0.25">
      <c r="B19" s="49" t="s">
        <v>27</v>
      </c>
      <c r="C19" s="44">
        <f>+C18</f>
        <v>3575030333</v>
      </c>
      <c r="D19" s="45"/>
      <c r="E19" s="47">
        <f>+C19+D19</f>
        <v>3575030333</v>
      </c>
      <c r="F19" s="46">
        <v>1.41</v>
      </c>
      <c r="G19" s="47">
        <f>(E19*F19/1000)/365*B81</f>
        <v>5040792.7695300002</v>
      </c>
      <c r="H19" s="47">
        <f t="shared" si="0"/>
        <v>806526.84312480001</v>
      </c>
      <c r="I19" s="47">
        <f>+G19+H19</f>
        <v>5847319.6126548005</v>
      </c>
      <c r="J19" s="29"/>
    </row>
    <row r="20" spans="2:10" x14ac:dyDescent="0.25">
      <c r="B20" s="49" t="s">
        <v>21</v>
      </c>
      <c r="C20" s="44">
        <v>641096929</v>
      </c>
      <c r="D20" s="44">
        <v>15193119.002328767</v>
      </c>
      <c r="E20" s="47">
        <f t="shared" si="1"/>
        <v>656290048.00232875</v>
      </c>
      <c r="F20" s="46">
        <v>0.47</v>
      </c>
      <c r="G20" s="47">
        <f>(E20*F20/1000)/365*B81</f>
        <v>308456.32256109454</v>
      </c>
      <c r="H20" s="47">
        <f t="shared" si="0"/>
        <v>49353.011609775131</v>
      </c>
      <c r="I20" s="47">
        <f>+G20+H20</f>
        <v>357809.33417086967</v>
      </c>
      <c r="J20" s="29"/>
    </row>
    <row r="21" spans="2:10" x14ac:dyDescent="0.25">
      <c r="B21" s="32" t="s">
        <v>18</v>
      </c>
      <c r="C21" s="44">
        <f>(+C20*5/100)/365*173</f>
        <v>15193119.002328767</v>
      </c>
      <c r="D21" s="45"/>
      <c r="E21" s="47">
        <f>(+E20*5/100)/365*90</f>
        <v>8091247.1671519987</v>
      </c>
      <c r="F21" s="46"/>
      <c r="G21" s="47">
        <f>(E21*F21/1000)/365*B90</f>
        <v>0</v>
      </c>
      <c r="H21" s="47">
        <f t="shared" si="0"/>
        <v>0</v>
      </c>
      <c r="I21" s="47"/>
    </row>
    <row r="22" spans="2:10" x14ac:dyDescent="0.25">
      <c r="B22" s="49" t="s">
        <v>25</v>
      </c>
      <c r="C22" s="44">
        <v>641096929</v>
      </c>
      <c r="D22" s="45"/>
      <c r="E22" s="47">
        <f t="shared" si="1"/>
        <v>641096929</v>
      </c>
      <c r="F22" s="46">
        <v>0.48</v>
      </c>
      <c r="G22" s="47">
        <f>(E22*F22/1000)/365*B81</f>
        <v>307726.52592000004</v>
      </c>
      <c r="H22" s="47">
        <f t="shared" si="0"/>
        <v>49236.244147200006</v>
      </c>
      <c r="I22" s="47">
        <f t="shared" ref="I22:I32" si="2">+G22+H22</f>
        <v>356962.77006720006</v>
      </c>
      <c r="J22" s="29"/>
    </row>
    <row r="23" spans="2:10" x14ac:dyDescent="0.25">
      <c r="B23" s="49" t="s">
        <v>27</v>
      </c>
      <c r="C23" s="44">
        <v>641096929</v>
      </c>
      <c r="D23" s="45"/>
      <c r="E23" s="47">
        <f t="shared" si="1"/>
        <v>641096929</v>
      </c>
      <c r="F23" s="46">
        <v>1.41</v>
      </c>
      <c r="G23" s="47">
        <f>(E23*F23/1000)/365*B81</f>
        <v>903946.66989000002</v>
      </c>
      <c r="H23" s="47">
        <f t="shared" si="0"/>
        <v>144631.4671824</v>
      </c>
      <c r="I23" s="47">
        <f t="shared" si="2"/>
        <v>1048578.1370724</v>
      </c>
      <c r="J23" s="29"/>
    </row>
    <row r="24" spans="2:10" x14ac:dyDescent="0.25">
      <c r="B24" s="49" t="s">
        <v>22</v>
      </c>
      <c r="C24" s="44">
        <v>20000000</v>
      </c>
      <c r="D24" s="45"/>
      <c r="E24" s="47">
        <f t="shared" si="1"/>
        <v>20000000</v>
      </c>
      <c r="F24" s="46">
        <v>0.47</v>
      </c>
      <c r="G24" s="47">
        <f>(E24*F24/1000)/365*B81</f>
        <v>9400</v>
      </c>
      <c r="H24" s="47">
        <f t="shared" si="0"/>
        <v>1504</v>
      </c>
      <c r="I24" s="47">
        <f t="shared" si="2"/>
        <v>10904</v>
      </c>
      <c r="J24" s="29"/>
    </row>
    <row r="25" spans="2:10" x14ac:dyDescent="0.25">
      <c r="B25" s="49" t="s">
        <v>25</v>
      </c>
      <c r="C25" s="44">
        <v>20000000</v>
      </c>
      <c r="D25" s="45"/>
      <c r="E25" s="47">
        <f t="shared" si="1"/>
        <v>20000000</v>
      </c>
      <c r="F25" s="46">
        <v>0.48</v>
      </c>
      <c r="G25" s="47">
        <f>(E25*F25/1000)/365*B81</f>
        <v>9600</v>
      </c>
      <c r="H25" s="47">
        <f t="shared" si="0"/>
        <v>1536</v>
      </c>
      <c r="I25" s="47">
        <f t="shared" si="2"/>
        <v>11136</v>
      </c>
      <c r="J25" s="29"/>
    </row>
    <row r="26" spans="2:10" x14ac:dyDescent="0.25">
      <c r="B26" s="49" t="s">
        <v>27</v>
      </c>
      <c r="C26" s="44">
        <v>20000000</v>
      </c>
      <c r="D26" s="45"/>
      <c r="E26" s="47">
        <f t="shared" si="1"/>
        <v>20000000</v>
      </c>
      <c r="F26" s="46">
        <v>1.41</v>
      </c>
      <c r="G26" s="47">
        <f>(E26*F26/1000)/365*B81</f>
        <v>28200.000000000004</v>
      </c>
      <c r="H26" s="47">
        <f t="shared" si="0"/>
        <v>4512.0000000000009</v>
      </c>
      <c r="I26" s="47">
        <f t="shared" si="2"/>
        <v>32712.000000000004</v>
      </c>
      <c r="J26" s="29"/>
    </row>
    <row r="27" spans="2:10" x14ac:dyDescent="0.25">
      <c r="B27" s="49" t="s">
        <v>23</v>
      </c>
      <c r="C27" s="44">
        <v>300000000</v>
      </c>
      <c r="D27" s="45"/>
      <c r="E27" s="47">
        <f t="shared" si="1"/>
        <v>300000000</v>
      </c>
      <c r="F27" s="46">
        <v>0.47</v>
      </c>
      <c r="G27" s="47">
        <f>(E27*F27/1000)/365*B81</f>
        <v>141000</v>
      </c>
      <c r="H27" s="47">
        <f t="shared" si="0"/>
        <v>22560</v>
      </c>
      <c r="I27" s="47">
        <f t="shared" si="2"/>
        <v>163560</v>
      </c>
      <c r="J27" s="29"/>
    </row>
    <row r="28" spans="2:10" x14ac:dyDescent="0.25">
      <c r="B28" s="49" t="s">
        <v>25</v>
      </c>
      <c r="C28" s="44">
        <v>300000000</v>
      </c>
      <c r="D28" s="45"/>
      <c r="E28" s="47">
        <f t="shared" si="1"/>
        <v>300000000</v>
      </c>
      <c r="F28" s="46">
        <v>0.48</v>
      </c>
      <c r="G28" s="47">
        <f>(E28*F28/1000)/365*B81</f>
        <v>144000</v>
      </c>
      <c r="H28" s="47">
        <f t="shared" si="0"/>
        <v>23040</v>
      </c>
      <c r="I28" s="47">
        <f t="shared" si="2"/>
        <v>167040</v>
      </c>
      <c r="J28" s="29"/>
    </row>
    <row r="29" spans="2:10" x14ac:dyDescent="0.25">
      <c r="B29" s="49" t="s">
        <v>27</v>
      </c>
      <c r="C29" s="44">
        <v>300000000</v>
      </c>
      <c r="D29" s="45"/>
      <c r="E29" s="47">
        <f t="shared" si="1"/>
        <v>300000000</v>
      </c>
      <c r="F29" s="46">
        <v>1.41</v>
      </c>
      <c r="G29" s="47">
        <f>(E29*F29/1000)/365*B81</f>
        <v>423000</v>
      </c>
      <c r="H29" s="47">
        <f t="shared" si="0"/>
        <v>67680</v>
      </c>
      <c r="I29" s="47">
        <f t="shared" si="2"/>
        <v>490680</v>
      </c>
      <c r="J29" s="29"/>
    </row>
    <row r="30" spans="2:10" x14ac:dyDescent="0.25">
      <c r="B30" s="49" t="s">
        <v>24</v>
      </c>
      <c r="C30" s="44">
        <v>100000000</v>
      </c>
      <c r="D30" s="15">
        <v>300000000</v>
      </c>
      <c r="E30" s="47">
        <f t="shared" si="1"/>
        <v>400000000</v>
      </c>
      <c r="F30" s="46">
        <v>0.47</v>
      </c>
      <c r="G30" s="47">
        <f>(E30*F30/1000)/365*B81</f>
        <v>188000</v>
      </c>
      <c r="H30" s="47">
        <f t="shared" si="0"/>
        <v>30080</v>
      </c>
      <c r="I30" s="47">
        <f t="shared" si="2"/>
        <v>218080</v>
      </c>
      <c r="J30" s="29"/>
    </row>
    <row r="31" spans="2:10" x14ac:dyDescent="0.25">
      <c r="B31" s="49" t="s">
        <v>25</v>
      </c>
      <c r="C31" s="44">
        <v>100000000</v>
      </c>
      <c r="D31" s="15">
        <v>300000000</v>
      </c>
      <c r="E31" s="47">
        <f t="shared" si="1"/>
        <v>400000000</v>
      </c>
      <c r="F31" s="46">
        <v>0.48</v>
      </c>
      <c r="G31" s="47">
        <f>(E31*F31/1000)/365*B81</f>
        <v>192000.00000000003</v>
      </c>
      <c r="H31" s="47">
        <f t="shared" si="0"/>
        <v>30720.000000000004</v>
      </c>
      <c r="I31" s="47">
        <f t="shared" si="2"/>
        <v>222720.00000000003</v>
      </c>
      <c r="J31" s="29"/>
    </row>
    <row r="32" spans="2:10" x14ac:dyDescent="0.25">
      <c r="B32" s="49" t="s">
        <v>27</v>
      </c>
      <c r="C32" s="44">
        <v>100000000</v>
      </c>
      <c r="D32" s="15">
        <v>300000000</v>
      </c>
      <c r="E32" s="47">
        <f t="shared" si="1"/>
        <v>400000000</v>
      </c>
      <c r="F32" s="46">
        <v>1.41</v>
      </c>
      <c r="G32" s="47">
        <f>(E32*F32/1000)/365*B81</f>
        <v>564000</v>
      </c>
      <c r="H32" s="47">
        <f t="shared" si="0"/>
        <v>90240</v>
      </c>
      <c r="I32" s="47">
        <f t="shared" si="2"/>
        <v>654240</v>
      </c>
      <c r="J32" s="29"/>
    </row>
    <row r="33" spans="2:10" ht="15.75" thickBot="1" x14ac:dyDescent="0.3">
      <c r="B33" s="8"/>
      <c r="C33" s="15"/>
      <c r="D33" s="15"/>
      <c r="E33" s="9"/>
      <c r="F33" s="10"/>
      <c r="G33" s="10"/>
      <c r="H33" s="9"/>
      <c r="I33" s="9"/>
      <c r="J33" s="29"/>
    </row>
    <row r="34" spans="2:10" ht="15.75" thickBot="1" x14ac:dyDescent="0.3">
      <c r="B34" s="14" t="s">
        <v>6</v>
      </c>
      <c r="C34" s="12"/>
      <c r="D34" s="12"/>
      <c r="E34" s="11"/>
      <c r="F34" s="30"/>
      <c r="G34" s="30"/>
      <c r="H34" s="13"/>
      <c r="I34" s="13"/>
    </row>
    <row r="35" spans="2:10" x14ac:dyDescent="0.25">
      <c r="B35" s="8" t="s">
        <v>17</v>
      </c>
      <c r="C35" s="7">
        <v>3575030333</v>
      </c>
      <c r="D35" s="15"/>
      <c r="E35" s="30">
        <f>+C35+D35</f>
        <v>3575030333</v>
      </c>
      <c r="F35" s="46">
        <v>0.08</v>
      </c>
      <c r="G35" s="47">
        <f>(E35*F35/100)/365*B81</f>
        <v>2860024.2664000001</v>
      </c>
      <c r="H35" s="47">
        <f>+G35*0.16</f>
        <v>457603.88262400002</v>
      </c>
      <c r="I35" s="30">
        <f>+G35+H35</f>
        <v>3317628.1490239999</v>
      </c>
      <c r="J35" s="29"/>
    </row>
    <row r="36" spans="2:10" x14ac:dyDescent="0.25">
      <c r="B36" s="8" t="s">
        <v>21</v>
      </c>
      <c r="C36" s="7">
        <v>641096929</v>
      </c>
      <c r="D36" s="15"/>
      <c r="E36" s="30">
        <f>+C36+D36</f>
        <v>641096929</v>
      </c>
      <c r="F36" s="46">
        <v>0.08</v>
      </c>
      <c r="G36" s="47">
        <f>(E36*F36/100)/365*B81</f>
        <v>512877.54320000001</v>
      </c>
      <c r="H36" s="47">
        <f>+G36*0.16</f>
        <v>82060.406912000006</v>
      </c>
      <c r="I36" s="30">
        <f>+G36+H36</f>
        <v>594937.95011199999</v>
      </c>
      <c r="J36" s="29"/>
    </row>
    <row r="37" spans="2:10" x14ac:dyDescent="0.25">
      <c r="B37" s="8" t="s">
        <v>22</v>
      </c>
      <c r="C37" s="7">
        <v>20000000</v>
      </c>
      <c r="D37" s="15"/>
      <c r="E37" s="30">
        <f>+C37+D37</f>
        <v>20000000</v>
      </c>
      <c r="F37" s="46">
        <v>0.08</v>
      </c>
      <c r="G37" s="47">
        <f>(E37*F37/100)/365*B81</f>
        <v>16000</v>
      </c>
      <c r="H37" s="47">
        <f>+G37*0.16</f>
        <v>2560</v>
      </c>
      <c r="I37" s="30">
        <f>+G37+H37</f>
        <v>18560</v>
      </c>
      <c r="J37" s="29"/>
    </row>
    <row r="38" spans="2:10" x14ac:dyDescent="0.25">
      <c r="B38" s="8" t="s">
        <v>24</v>
      </c>
      <c r="C38" s="7">
        <v>100000000</v>
      </c>
      <c r="D38" s="15">
        <v>300000000</v>
      </c>
      <c r="E38" s="30">
        <f>+C38+D38</f>
        <v>400000000</v>
      </c>
      <c r="F38" s="46">
        <v>0.08</v>
      </c>
      <c r="G38" s="47">
        <f>(E38*F38/100)/365*B81</f>
        <v>320000</v>
      </c>
      <c r="H38" s="47">
        <f>+G38*0.16</f>
        <v>51200</v>
      </c>
      <c r="I38" s="30">
        <f>+G38+H38</f>
        <v>371200</v>
      </c>
      <c r="J38" s="29"/>
    </row>
    <row r="39" spans="2:10" x14ac:dyDescent="0.25">
      <c r="B39" s="8" t="s">
        <v>26</v>
      </c>
      <c r="C39" s="7">
        <v>870219194</v>
      </c>
      <c r="D39" s="45"/>
      <c r="E39" s="30">
        <f>+C39+D39</f>
        <v>870219194</v>
      </c>
      <c r="F39" s="46">
        <v>1</v>
      </c>
      <c r="G39" s="47">
        <f>(E39*F39/100)/365*B81</f>
        <v>8702191.9399999995</v>
      </c>
      <c r="H39" s="47">
        <f>+G39*0.16</f>
        <v>1392350.7104</v>
      </c>
      <c r="I39" s="30">
        <f>+G39+H39</f>
        <v>10094542.6504</v>
      </c>
      <c r="J39" s="29"/>
    </row>
    <row r="40" spans="2:10" ht="15.75" thickBot="1" x14ac:dyDescent="0.3">
      <c r="B40" s="8"/>
      <c r="C40" s="15"/>
      <c r="D40" s="15"/>
      <c r="E40" s="9"/>
      <c r="F40" s="19"/>
      <c r="G40" s="19"/>
      <c r="H40" s="9"/>
      <c r="I40" s="9"/>
    </row>
    <row r="41" spans="2:10" ht="15.75" thickBot="1" x14ac:dyDescent="0.3">
      <c r="B41" s="14" t="s">
        <v>28</v>
      </c>
      <c r="C41" s="12"/>
      <c r="D41" s="12"/>
      <c r="E41" s="11"/>
      <c r="F41" s="13"/>
      <c r="G41" s="13"/>
      <c r="H41" s="13"/>
      <c r="I41" s="13"/>
    </row>
    <row r="42" spans="2:10" x14ac:dyDescent="0.25">
      <c r="B42" s="8" t="s">
        <v>29</v>
      </c>
      <c r="C42" s="7">
        <v>641096929</v>
      </c>
      <c r="D42" s="7">
        <v>7903934.7410958903</v>
      </c>
      <c r="E42" s="30">
        <f>+C42+D42</f>
        <v>649000863.7410959</v>
      </c>
      <c r="F42" s="46">
        <v>1.6</v>
      </c>
      <c r="G42" s="47">
        <f>(E42*F42/1000)/365*B81</f>
        <v>1038401.3819857535</v>
      </c>
      <c r="H42" s="47">
        <f>+G42*0.16</f>
        <v>166144.22111772056</v>
      </c>
      <c r="I42" s="30">
        <f>+G42+H42</f>
        <v>1204545.603103474</v>
      </c>
      <c r="J42" s="29"/>
    </row>
    <row r="43" spans="2:10" x14ac:dyDescent="0.25">
      <c r="B43" s="8" t="s">
        <v>30</v>
      </c>
      <c r="C43" s="7">
        <f>(+C42*5/100)/365*B81</f>
        <v>32054846.449999999</v>
      </c>
      <c r="D43" s="15"/>
      <c r="E43" s="30">
        <f>(+E42*5/100)/365*90</f>
        <v>8001380.5118765254</v>
      </c>
      <c r="F43" s="16">
        <v>7.9781699999999997E-2</v>
      </c>
      <c r="G43" s="47"/>
      <c r="H43" s="9"/>
      <c r="I43" s="9"/>
    </row>
    <row r="44" spans="2:10" ht="15.75" thickBot="1" x14ac:dyDescent="0.3">
      <c r="B44" s="23"/>
      <c r="C44" s="15"/>
      <c r="D44" s="15"/>
      <c r="E44" s="9"/>
      <c r="F44" s="47"/>
      <c r="G44" s="47"/>
      <c r="H44" s="9"/>
      <c r="I44" s="9"/>
    </row>
    <row r="45" spans="2:10" ht="15.75" thickBot="1" x14ac:dyDescent="0.3">
      <c r="B45" s="14" t="s">
        <v>10</v>
      </c>
      <c r="C45" s="12"/>
      <c r="D45" s="12"/>
      <c r="E45" s="11"/>
      <c r="F45" s="13"/>
      <c r="G45" s="13"/>
      <c r="H45" s="13"/>
      <c r="I45" s="13"/>
    </row>
    <row r="46" spans="2:10" x14ac:dyDescent="0.25">
      <c r="B46" s="49" t="s">
        <v>31</v>
      </c>
      <c r="C46" s="69">
        <v>2706591089</v>
      </c>
      <c r="D46" s="45">
        <f>(10115000*50)+64142501.15</f>
        <v>569892501.14999998</v>
      </c>
      <c r="E46" s="47">
        <f>+C46+D46</f>
        <v>3276483590.1500001</v>
      </c>
      <c r="F46" s="46">
        <v>1</v>
      </c>
      <c r="G46" s="47">
        <f>(E46*F46/1000)/365*B81</f>
        <v>3276483.5901500005</v>
      </c>
      <c r="H46" s="47">
        <f t="shared" ref="H46:H51" si="3">+G46*0.16</f>
        <v>524237.3744240001</v>
      </c>
      <c r="I46" s="47">
        <f>+G46+H46</f>
        <v>3800720.9645740008</v>
      </c>
      <c r="J46" s="29"/>
    </row>
    <row r="47" spans="2:10" x14ac:dyDescent="0.25">
      <c r="B47" s="49" t="s">
        <v>30</v>
      </c>
      <c r="C47" s="45">
        <f>(+C49*5/100)/365*173</f>
        <v>64142501.150273964</v>
      </c>
      <c r="D47" s="45">
        <f>(+D49*5/100)/365*173</f>
        <v>13505671.602595892</v>
      </c>
      <c r="E47" s="47">
        <f>(+E49*5/100)/365*90</f>
        <v>40395003.166232876</v>
      </c>
      <c r="F47" s="46"/>
      <c r="G47" s="47">
        <f>(E47*F47/1000)/365*B81</f>
        <v>0</v>
      </c>
      <c r="H47" s="47">
        <f t="shared" si="3"/>
        <v>0</v>
      </c>
      <c r="I47" s="47"/>
      <c r="J47" s="29"/>
    </row>
    <row r="48" spans="2:10" x14ac:dyDescent="0.25">
      <c r="B48" s="59" t="s">
        <v>25</v>
      </c>
      <c r="C48" s="45">
        <f>+C46</f>
        <v>2706591089</v>
      </c>
      <c r="D48" s="45">
        <f>+D49</f>
        <v>569892501.14999998</v>
      </c>
      <c r="E48" s="47">
        <f>+C48+D48</f>
        <v>3276483590.1500001</v>
      </c>
      <c r="F48" s="46">
        <v>0.9</v>
      </c>
      <c r="G48" s="47">
        <f>(E48*F48/1000)/365*B81</f>
        <v>2948835.231135</v>
      </c>
      <c r="H48" s="47">
        <f t="shared" si="3"/>
        <v>471813.63698160002</v>
      </c>
      <c r="I48" s="47">
        <f>+G48+H48</f>
        <v>3420648.8681166</v>
      </c>
      <c r="J48" s="29"/>
    </row>
    <row r="49" spans="2:10" x14ac:dyDescent="0.25">
      <c r="B49" s="49" t="s">
        <v>27</v>
      </c>
      <c r="C49" s="45">
        <f>+C48</f>
        <v>2706591089</v>
      </c>
      <c r="D49" s="45">
        <f>+D46</f>
        <v>569892501.14999998</v>
      </c>
      <c r="E49" s="47">
        <f>+C49+D49</f>
        <v>3276483590.1500001</v>
      </c>
      <c r="F49" s="46">
        <v>1</v>
      </c>
      <c r="G49" s="47">
        <f>(E49*F49/1000)/365*B81</f>
        <v>3276483.5901500005</v>
      </c>
      <c r="H49" s="47">
        <f t="shared" si="3"/>
        <v>524237.3744240001</v>
      </c>
      <c r="I49" s="47">
        <f>+G49+H49</f>
        <v>3800720.9645740008</v>
      </c>
      <c r="J49" s="29"/>
    </row>
    <row r="50" spans="2:10" x14ac:dyDescent="0.25">
      <c r="B50" s="49" t="s">
        <v>32</v>
      </c>
      <c r="C50" s="45">
        <f>+C49</f>
        <v>2706591089</v>
      </c>
      <c r="D50" s="45">
        <f>+D49</f>
        <v>569892501.14999998</v>
      </c>
      <c r="E50" s="47">
        <f>+C50+D50</f>
        <v>3276483590.1500001</v>
      </c>
      <c r="F50" s="46">
        <v>2.1</v>
      </c>
      <c r="G50" s="47">
        <f>(E50*F50/1000)/365*B81</f>
        <v>6880615.5393150011</v>
      </c>
      <c r="H50" s="47">
        <f t="shared" si="3"/>
        <v>1100898.4862904001</v>
      </c>
      <c r="I50" s="47">
        <f>+G50+H50</f>
        <v>7981514.025605401</v>
      </c>
      <c r="J50" s="29"/>
    </row>
    <row r="51" spans="2:10" x14ac:dyDescent="0.25">
      <c r="B51" s="49" t="s">
        <v>33</v>
      </c>
      <c r="C51" s="45">
        <v>181416692</v>
      </c>
      <c r="D51" s="45">
        <f>1398850*1000</f>
        <v>1398850000</v>
      </c>
      <c r="E51" s="47">
        <f>+C51+D51</f>
        <v>1580266692</v>
      </c>
      <c r="F51" s="46">
        <v>10</v>
      </c>
      <c r="G51" s="47">
        <f>(E51*F51/1000)/365*B81</f>
        <v>15802666.92</v>
      </c>
      <c r="H51" s="47">
        <f t="shared" si="3"/>
        <v>2528426.7072000001</v>
      </c>
      <c r="I51" s="47">
        <f>+G51+H51</f>
        <v>18331093.6272</v>
      </c>
      <c r="J51" s="29"/>
    </row>
    <row r="52" spans="2:10" ht="15.75" thickBot="1" x14ac:dyDescent="0.3">
      <c r="B52" s="23"/>
      <c r="C52" s="15"/>
      <c r="D52" s="15"/>
      <c r="E52" s="9"/>
      <c r="F52" s="47"/>
      <c r="G52" s="47"/>
      <c r="H52" s="9"/>
      <c r="I52" s="9"/>
    </row>
    <row r="53" spans="2:10" ht="15.75" thickBot="1" x14ac:dyDescent="0.3">
      <c r="B53" s="14" t="s">
        <v>34</v>
      </c>
      <c r="C53" s="12"/>
      <c r="D53" s="12"/>
      <c r="E53" s="11"/>
      <c r="F53" s="13"/>
      <c r="G53" s="13"/>
      <c r="H53" s="13"/>
      <c r="I53" s="13"/>
    </row>
    <row r="54" spans="2:10" x14ac:dyDescent="0.25">
      <c r="B54" s="24" t="s">
        <v>35</v>
      </c>
      <c r="C54" s="15">
        <v>836930971</v>
      </c>
      <c r="D54" s="15"/>
      <c r="E54" s="30">
        <f>+C54+D54</f>
        <v>836930971</v>
      </c>
      <c r="F54" s="46">
        <v>1.6</v>
      </c>
      <c r="G54" s="47">
        <f>(E54*F54/1000)/365*B81</f>
        <v>1339089.5536000002</v>
      </c>
      <c r="H54" s="47">
        <f>+G54*0.16</f>
        <v>214254.32857600003</v>
      </c>
      <c r="I54" s="30">
        <f>+G54+H54</f>
        <v>1553343.8821760002</v>
      </c>
    </row>
    <row r="55" spans="2:10" x14ac:dyDescent="0.25">
      <c r="B55" s="8" t="s">
        <v>8</v>
      </c>
      <c r="C55" s="15">
        <v>836930971</v>
      </c>
      <c r="D55" s="15"/>
      <c r="E55" s="30">
        <f>+C55+D55</f>
        <v>836930971</v>
      </c>
      <c r="F55" s="46">
        <v>4.8</v>
      </c>
      <c r="G55" s="47">
        <f>(E55*F55/1000)/365*B81</f>
        <v>4017268.6607999993</v>
      </c>
      <c r="H55" s="47">
        <f>+G55*0.16</f>
        <v>642762.98572799994</v>
      </c>
      <c r="I55" s="30">
        <f>+G55+H55</f>
        <v>4660031.6465279991</v>
      </c>
    </row>
    <row r="56" spans="2:10" x14ac:dyDescent="0.25">
      <c r="B56" s="8" t="s">
        <v>7</v>
      </c>
      <c r="C56" s="15">
        <v>836930971</v>
      </c>
      <c r="D56" s="15"/>
      <c r="E56" s="30">
        <f>+C56+D56</f>
        <v>836930971</v>
      </c>
      <c r="F56" s="46">
        <v>1.58</v>
      </c>
      <c r="G56" s="47">
        <f>(E56*F56/1000)/365*B81</f>
        <v>1322350.9341800001</v>
      </c>
      <c r="H56" s="47">
        <f>+G56*0.16</f>
        <v>211576.14946880002</v>
      </c>
      <c r="I56" s="30">
        <f>+G56+H56</f>
        <v>1533927.0836488002</v>
      </c>
    </row>
    <row r="57" spans="2:10" ht="15.75" thickBot="1" x14ac:dyDescent="0.3">
      <c r="B57" s="23"/>
      <c r="C57" s="15"/>
      <c r="D57" s="15"/>
      <c r="E57" s="9"/>
      <c r="F57" s="19"/>
      <c r="G57" s="19"/>
      <c r="H57" s="9"/>
      <c r="I57" s="9"/>
    </row>
    <row r="58" spans="2:10" ht="15.75" thickBot="1" x14ac:dyDescent="0.3">
      <c r="B58" s="14" t="s">
        <v>9</v>
      </c>
      <c r="C58" s="11"/>
      <c r="D58" s="12"/>
      <c r="E58" s="11"/>
      <c r="F58" s="13"/>
      <c r="G58" s="13"/>
      <c r="H58" s="13"/>
      <c r="I58" s="13"/>
    </row>
    <row r="59" spans="2:10" ht="23.25" customHeight="1" thickBot="1" x14ac:dyDescent="0.3">
      <c r="B59" s="20" t="s">
        <v>11</v>
      </c>
      <c r="C59" s="22">
        <v>200000000</v>
      </c>
      <c r="D59" s="50"/>
      <c r="E59" s="31">
        <f>+C59+D59</f>
        <v>200000000</v>
      </c>
      <c r="F59" s="60">
        <v>0.89800000000000002</v>
      </c>
      <c r="G59" s="61">
        <f>(E59*F59/100)/365*B81</f>
        <v>1796000</v>
      </c>
      <c r="H59" s="61">
        <f>+G59*0.16</f>
        <v>287360</v>
      </c>
      <c r="I59" s="31">
        <f>+G59+H59</f>
        <v>2083360</v>
      </c>
      <c r="J59" s="28"/>
    </row>
    <row r="60" spans="2:10" s="1" customFormat="1" ht="6.75" customHeight="1" x14ac:dyDescent="0.25">
      <c r="B60" s="17"/>
      <c r="C60" s="18"/>
      <c r="D60" s="18"/>
      <c r="E60" s="55"/>
      <c r="F60" s="56"/>
      <c r="G60" s="56"/>
      <c r="H60" s="56"/>
      <c r="I60" s="56"/>
    </row>
    <row r="61" spans="2:10" ht="9.75" customHeight="1" thickBot="1" x14ac:dyDescent="0.3">
      <c r="C61" s="28"/>
      <c r="E61" s="57"/>
      <c r="F61" s="57"/>
      <c r="G61" s="57"/>
      <c r="H61" s="57"/>
      <c r="I61" s="57"/>
    </row>
    <row r="62" spans="2:10" ht="15.75" thickBot="1" x14ac:dyDescent="0.3">
      <c r="B62" s="33" t="s">
        <v>46</v>
      </c>
      <c r="C62" s="34"/>
      <c r="D62" s="35"/>
      <c r="E62" s="58"/>
      <c r="F62" s="58"/>
      <c r="G62" s="58"/>
      <c r="H62" s="57"/>
      <c r="I62" s="57"/>
    </row>
    <row r="63" spans="2:10" ht="39.75" customHeight="1" thickBot="1" x14ac:dyDescent="0.3">
      <c r="B63" s="79" t="s">
        <v>50</v>
      </c>
      <c r="C63" s="70">
        <v>1061388000</v>
      </c>
      <c r="D63" s="71"/>
      <c r="E63" s="31">
        <v>1040575281</v>
      </c>
      <c r="F63" s="60">
        <v>3</v>
      </c>
      <c r="G63" s="61">
        <f>(E63*F63/100)/365*B81</f>
        <v>31217258.429999996</v>
      </c>
      <c r="H63" s="61">
        <f>+G63*0.16</f>
        <v>4994761.3487999998</v>
      </c>
      <c r="I63" s="31">
        <f>+G63+H63</f>
        <v>36212019.778799996</v>
      </c>
    </row>
    <row r="64" spans="2:10" ht="11.25" customHeight="1" thickBot="1" x14ac:dyDescent="0.3">
      <c r="B64" s="74"/>
      <c r="C64" s="39"/>
      <c r="D64" s="40"/>
      <c r="E64" s="76"/>
      <c r="F64" s="77"/>
      <c r="G64" s="78"/>
      <c r="H64" s="57"/>
      <c r="I64" s="57"/>
    </row>
    <row r="65" spans="2:10" ht="15.75" thickBot="1" x14ac:dyDescent="0.3">
      <c r="B65" s="73" t="s">
        <v>47</v>
      </c>
      <c r="C65" s="34"/>
      <c r="D65" s="35"/>
      <c r="E65" s="72"/>
      <c r="F65" s="58"/>
      <c r="G65" s="58"/>
      <c r="H65" s="57"/>
      <c r="I65" s="57"/>
    </row>
    <row r="66" spans="2:10" ht="21" customHeight="1" thickBot="1" x14ac:dyDescent="0.3">
      <c r="B66" s="75" t="s">
        <v>38</v>
      </c>
      <c r="C66" s="37">
        <v>1061388000</v>
      </c>
      <c r="D66" s="52"/>
      <c r="E66" s="31">
        <v>100000000</v>
      </c>
      <c r="F66" s="61"/>
      <c r="G66" s="61">
        <v>2637295.3352601156</v>
      </c>
      <c r="H66" s="61">
        <f>+G66*0.16</f>
        <v>421967.25364161847</v>
      </c>
      <c r="I66" s="31">
        <f>+G66+H66</f>
        <v>3059262.588901734</v>
      </c>
    </row>
    <row r="67" spans="2:10" ht="8.25" customHeight="1" thickBot="1" x14ac:dyDescent="0.3">
      <c r="B67" s="38"/>
      <c r="C67" s="39"/>
      <c r="D67" s="40"/>
      <c r="E67" s="58"/>
      <c r="F67" s="58"/>
      <c r="G67" s="58"/>
      <c r="H67" s="57"/>
      <c r="I67" s="57"/>
    </row>
    <row r="68" spans="2:10" ht="15.75" thickBot="1" x14ac:dyDescent="0.3">
      <c r="B68" s="33" t="s">
        <v>48</v>
      </c>
      <c r="C68" s="34"/>
      <c r="D68" s="35"/>
      <c r="E68" s="63"/>
      <c r="F68" s="58"/>
      <c r="G68" s="58"/>
      <c r="H68" s="57"/>
      <c r="I68" s="57"/>
    </row>
    <row r="69" spans="2:10" ht="21" customHeight="1" thickBot="1" x14ac:dyDescent="0.3">
      <c r="B69" s="36" t="s">
        <v>39</v>
      </c>
      <c r="C69" s="37">
        <v>1061388000</v>
      </c>
      <c r="D69" s="52"/>
      <c r="E69" s="31">
        <v>2056704000</v>
      </c>
      <c r="F69" s="31"/>
      <c r="G69" s="31">
        <v>1105491.3294797689</v>
      </c>
      <c r="H69" s="61"/>
      <c r="I69" s="31">
        <f>+G69</f>
        <v>1105491.3294797689</v>
      </c>
    </row>
    <row r="70" spans="2:10" ht="11.25" customHeight="1" thickBot="1" x14ac:dyDescent="0.3">
      <c r="B70" s="38"/>
      <c r="C70" s="39"/>
      <c r="D70" s="40"/>
      <c r="E70" s="58"/>
      <c r="F70" s="58"/>
      <c r="G70" s="58"/>
      <c r="H70" s="57"/>
      <c r="I70" s="57"/>
    </row>
    <row r="71" spans="2:10" ht="15.75" thickBot="1" x14ac:dyDescent="0.3">
      <c r="B71" s="33" t="s">
        <v>49</v>
      </c>
      <c r="C71" s="34"/>
      <c r="D71" s="35"/>
      <c r="E71" s="63"/>
      <c r="F71" s="58"/>
      <c r="G71" s="58"/>
      <c r="H71" s="57"/>
      <c r="I71" s="57"/>
    </row>
    <row r="72" spans="2:10" ht="21" customHeight="1" thickBot="1" x14ac:dyDescent="0.3">
      <c r="B72" s="36" t="s">
        <v>40</v>
      </c>
      <c r="C72" s="37">
        <v>1061388000</v>
      </c>
      <c r="D72" s="52"/>
      <c r="E72" s="31">
        <v>204768920</v>
      </c>
      <c r="F72" s="31"/>
      <c r="G72" s="31">
        <v>1457534.2465753425</v>
      </c>
      <c r="H72" s="61"/>
      <c r="I72" s="31">
        <f>+G72</f>
        <v>1457534.2465753425</v>
      </c>
    </row>
    <row r="73" spans="2:10" ht="9" customHeight="1" thickBot="1" x14ac:dyDescent="0.3">
      <c r="G73" s="26"/>
    </row>
    <row r="74" spans="2:10" ht="15.75" thickBot="1" x14ac:dyDescent="0.3">
      <c r="B74" s="62" t="s">
        <v>4</v>
      </c>
      <c r="C74" s="21"/>
      <c r="D74" s="51"/>
      <c r="E74" s="21"/>
      <c r="F74" s="27"/>
      <c r="G74" s="27">
        <f>SUM(G8:G72)</f>
        <v>215495398.10224771</v>
      </c>
      <c r="H74" s="27">
        <f>SUM(H8:H72)</f>
        <v>34069179.604190797</v>
      </c>
      <c r="I74" s="27">
        <f>SUM(I8:I72)</f>
        <v>249564577.70643854</v>
      </c>
    </row>
    <row r="75" spans="2:10" x14ac:dyDescent="0.25">
      <c r="G75" s="26"/>
    </row>
    <row r="76" spans="2:10" x14ac:dyDescent="0.25">
      <c r="G76" s="26"/>
    </row>
    <row r="77" spans="2:10" ht="15.75" thickBot="1" x14ac:dyDescent="0.3">
      <c r="G77" s="26"/>
    </row>
    <row r="78" spans="2:10" ht="15.75" thickTop="1" x14ac:dyDescent="0.25">
      <c r="B78" s="277" t="s">
        <v>37</v>
      </c>
      <c r="C78" s="278"/>
      <c r="D78" s="278"/>
      <c r="E78" s="279"/>
      <c r="I78" s="28"/>
      <c r="J78" s="26"/>
    </row>
    <row r="79" spans="2:10" x14ac:dyDescent="0.25">
      <c r="B79" s="64" t="s">
        <v>42</v>
      </c>
      <c r="E79" s="65">
        <v>40959</v>
      </c>
      <c r="J79" s="26"/>
    </row>
    <row r="80" spans="2:10" x14ac:dyDescent="0.25">
      <c r="B80" s="64" t="s">
        <v>43</v>
      </c>
      <c r="E80" s="65">
        <v>41325</v>
      </c>
      <c r="J80" s="26"/>
    </row>
    <row r="81" spans="2:5" ht="15.75" thickBot="1" x14ac:dyDescent="0.3">
      <c r="B81" s="68">
        <v>365</v>
      </c>
      <c r="C81" s="66"/>
      <c r="D81" s="66"/>
      <c r="E81" s="67" t="s">
        <v>44</v>
      </c>
    </row>
    <row r="82" spans="2:5" ht="15.75" thickTop="1" x14ac:dyDescent="0.25"/>
  </sheetData>
  <mergeCells count="6">
    <mergeCell ref="B78:E78"/>
    <mergeCell ref="B3:B6"/>
    <mergeCell ref="C3:I3"/>
    <mergeCell ref="C4:I4"/>
    <mergeCell ref="C5:I5"/>
    <mergeCell ref="C6:I6"/>
  </mergeCells>
  <phoneticPr fontId="11" type="noConversion"/>
  <printOptions horizontalCentered="1"/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E3:K31"/>
  <sheetViews>
    <sheetView topLeftCell="A10" workbookViewId="0">
      <selection activeCell="E3" sqref="E3:E30"/>
    </sheetView>
  </sheetViews>
  <sheetFormatPr baseColWidth="10" defaultRowHeight="15" x14ac:dyDescent="0.25"/>
  <cols>
    <col min="6" max="6" width="16.85546875" style="26" bestFit="1" customWidth="1"/>
    <col min="8" max="8" width="14.140625" style="26" bestFit="1" customWidth="1"/>
    <col min="9" max="9" width="13.140625" bestFit="1" customWidth="1"/>
    <col min="10" max="10" width="12.5703125" bestFit="1" customWidth="1"/>
  </cols>
  <sheetData>
    <row r="3" spans="5:8" x14ac:dyDescent="0.25">
      <c r="E3">
        <v>1</v>
      </c>
      <c r="F3" s="26">
        <v>20000000</v>
      </c>
      <c r="G3" s="42">
        <v>0.03</v>
      </c>
      <c r="H3" s="26">
        <f>(+F3*G3)/365*173</f>
        <v>284383.56164383562</v>
      </c>
    </row>
    <row r="4" spans="5:8" x14ac:dyDescent="0.25">
      <c r="E4">
        <v>2</v>
      </c>
      <c r="F4" s="26">
        <v>35195964</v>
      </c>
      <c r="G4" s="42">
        <v>0.03</v>
      </c>
      <c r="H4" s="26">
        <f t="shared" ref="H4:H27" si="0">(+F4*G4)/365*173</f>
        <v>500457.67989041092</v>
      </c>
    </row>
    <row r="5" spans="5:8" x14ac:dyDescent="0.25">
      <c r="E5">
        <v>3</v>
      </c>
      <c r="F5" s="26">
        <v>2470000</v>
      </c>
      <c r="G5" s="42">
        <v>0.03</v>
      </c>
      <c r="H5" s="26">
        <f t="shared" si="0"/>
        <v>35121.369863013701</v>
      </c>
    </row>
    <row r="6" spans="5:8" x14ac:dyDescent="0.25">
      <c r="E6">
        <v>4</v>
      </c>
      <c r="F6" s="43">
        <v>1500000</v>
      </c>
      <c r="G6" s="42">
        <v>0.03</v>
      </c>
      <c r="H6" s="26">
        <f t="shared" si="0"/>
        <v>21328.767123287671</v>
      </c>
    </row>
    <row r="7" spans="5:8" x14ac:dyDescent="0.25">
      <c r="E7">
        <v>5</v>
      </c>
      <c r="F7" s="43">
        <v>1600000</v>
      </c>
      <c r="G7" s="42">
        <v>0.03</v>
      </c>
      <c r="H7" s="26">
        <f t="shared" si="0"/>
        <v>22750.68493150685</v>
      </c>
    </row>
    <row r="8" spans="5:8" x14ac:dyDescent="0.25">
      <c r="E8">
        <v>6</v>
      </c>
      <c r="F8" s="43">
        <v>2342600</v>
      </c>
      <c r="G8" s="42">
        <v>0.03</v>
      </c>
      <c r="H8" s="26">
        <f t="shared" si="0"/>
        <v>33309.846575342468</v>
      </c>
    </row>
    <row r="9" spans="5:8" x14ac:dyDescent="0.25">
      <c r="E9">
        <v>7</v>
      </c>
      <c r="F9" s="43">
        <v>3400000</v>
      </c>
      <c r="G9" s="42">
        <v>0.03</v>
      </c>
      <c r="H9" s="26">
        <f t="shared" si="0"/>
        <v>48345.205479452059</v>
      </c>
    </row>
    <row r="10" spans="5:8" x14ac:dyDescent="0.25">
      <c r="E10">
        <v>8</v>
      </c>
      <c r="F10" s="43">
        <v>2342600</v>
      </c>
      <c r="G10" s="42">
        <v>0.03</v>
      </c>
      <c r="H10" s="26">
        <f t="shared" si="0"/>
        <v>33309.846575342468</v>
      </c>
    </row>
    <row r="11" spans="5:8" x14ac:dyDescent="0.25">
      <c r="E11">
        <v>9</v>
      </c>
      <c r="F11" s="43">
        <v>3400000</v>
      </c>
      <c r="G11" s="42">
        <v>0.03</v>
      </c>
      <c r="H11" s="26">
        <f t="shared" si="0"/>
        <v>48345.205479452059</v>
      </c>
    </row>
    <row r="12" spans="5:8" x14ac:dyDescent="0.25">
      <c r="E12">
        <v>10</v>
      </c>
      <c r="F12" s="43">
        <v>2515001</v>
      </c>
      <c r="G12" s="42">
        <v>0.03</v>
      </c>
      <c r="H12" s="26">
        <f t="shared" si="0"/>
        <v>35761.247095890409</v>
      </c>
    </row>
    <row r="13" spans="5:8" x14ac:dyDescent="0.25">
      <c r="E13">
        <v>11</v>
      </c>
      <c r="F13" s="43">
        <v>4300000</v>
      </c>
      <c r="G13" s="42">
        <v>0.03</v>
      </c>
      <c r="H13" s="26">
        <f t="shared" si="0"/>
        <v>61142.465753424658</v>
      </c>
    </row>
    <row r="14" spans="5:8" x14ac:dyDescent="0.25">
      <c r="E14">
        <v>12</v>
      </c>
      <c r="F14" s="43">
        <v>4300000</v>
      </c>
      <c r="G14" s="42">
        <v>0.03</v>
      </c>
      <c r="H14" s="26">
        <f t="shared" si="0"/>
        <v>61142.465753424658</v>
      </c>
    </row>
    <row r="15" spans="5:8" x14ac:dyDescent="0.25">
      <c r="E15">
        <v>13</v>
      </c>
      <c r="F15" s="26">
        <v>382800000</v>
      </c>
      <c r="G15" s="42">
        <v>0.03</v>
      </c>
      <c r="H15" s="26">
        <f t="shared" si="0"/>
        <v>5443101.3698630137</v>
      </c>
    </row>
    <row r="16" spans="5:8" x14ac:dyDescent="0.25">
      <c r="E16">
        <v>14</v>
      </c>
      <c r="F16" s="26">
        <v>65900000</v>
      </c>
      <c r="G16" s="42">
        <v>0.03</v>
      </c>
      <c r="H16" s="26">
        <f t="shared" si="0"/>
        <v>937043.8356164383</v>
      </c>
    </row>
    <row r="17" spans="5:11" x14ac:dyDescent="0.25">
      <c r="E17">
        <v>15</v>
      </c>
      <c r="F17" s="26">
        <v>65900000</v>
      </c>
      <c r="G17" s="42">
        <v>0.03</v>
      </c>
      <c r="H17" s="26">
        <f t="shared" si="0"/>
        <v>937043.8356164383</v>
      </c>
    </row>
    <row r="18" spans="5:11" x14ac:dyDescent="0.25">
      <c r="E18">
        <v>16</v>
      </c>
      <c r="F18" s="26">
        <v>65900000</v>
      </c>
      <c r="G18" s="42">
        <v>0.03</v>
      </c>
      <c r="H18" s="26">
        <f t="shared" si="0"/>
        <v>937043.8356164383</v>
      </c>
    </row>
    <row r="19" spans="5:11" x14ac:dyDescent="0.25">
      <c r="E19">
        <v>17</v>
      </c>
      <c r="F19" s="26">
        <v>129900000</v>
      </c>
      <c r="G19" s="42">
        <v>0.03</v>
      </c>
      <c r="H19" s="26">
        <f t="shared" si="0"/>
        <v>1847071.2328767125</v>
      </c>
    </row>
    <row r="20" spans="5:11" x14ac:dyDescent="0.25">
      <c r="E20">
        <v>18</v>
      </c>
      <c r="F20" s="26">
        <v>6000000</v>
      </c>
      <c r="G20" s="42">
        <v>0.03</v>
      </c>
      <c r="H20" s="26">
        <f t="shared" si="0"/>
        <v>85315.068493150684</v>
      </c>
    </row>
    <row r="21" spans="5:11" x14ac:dyDescent="0.25">
      <c r="E21">
        <v>19</v>
      </c>
      <c r="F21" s="26">
        <v>42900000</v>
      </c>
      <c r="G21" s="42">
        <v>0.03</v>
      </c>
      <c r="H21" s="26">
        <f t="shared" si="0"/>
        <v>610002.73972602736</v>
      </c>
    </row>
    <row r="22" spans="5:11" x14ac:dyDescent="0.25">
      <c r="E22">
        <v>20</v>
      </c>
      <c r="F22" s="43">
        <v>15000000</v>
      </c>
      <c r="G22" s="42">
        <v>0.03</v>
      </c>
      <c r="H22" s="26">
        <f t="shared" si="0"/>
        <v>213287.67123287672</v>
      </c>
    </row>
    <row r="23" spans="5:11" x14ac:dyDescent="0.25">
      <c r="E23">
        <v>21</v>
      </c>
      <c r="F23" s="43">
        <v>15000000</v>
      </c>
      <c r="G23" s="42">
        <v>0.03</v>
      </c>
      <c r="H23" s="26">
        <f t="shared" si="0"/>
        <v>213287.67123287672</v>
      </c>
    </row>
    <row r="24" spans="5:11" x14ac:dyDescent="0.25">
      <c r="E24">
        <v>22</v>
      </c>
      <c r="F24" s="43">
        <v>15000000</v>
      </c>
      <c r="G24" s="42">
        <v>0.03</v>
      </c>
      <c r="H24" s="26">
        <f t="shared" si="0"/>
        <v>213287.67123287672</v>
      </c>
    </row>
    <row r="25" spans="5:11" x14ac:dyDescent="0.25">
      <c r="E25">
        <v>23</v>
      </c>
      <c r="F25" s="43">
        <v>15000000</v>
      </c>
      <c r="G25" s="42">
        <v>0.03</v>
      </c>
      <c r="H25" s="26">
        <f t="shared" si="0"/>
        <v>213287.67123287672</v>
      </c>
    </row>
    <row r="26" spans="5:11" x14ac:dyDescent="0.25">
      <c r="E26">
        <v>24</v>
      </c>
      <c r="F26" s="26">
        <v>82000000</v>
      </c>
      <c r="G26" s="42">
        <v>0.03</v>
      </c>
      <c r="H26" s="26">
        <f t="shared" si="0"/>
        <v>1165972.6027397262</v>
      </c>
    </row>
    <row r="27" spans="5:11" x14ac:dyDescent="0.25">
      <c r="E27">
        <v>25</v>
      </c>
      <c r="F27" s="43">
        <v>6000000</v>
      </c>
      <c r="G27" s="42">
        <v>0.03</v>
      </c>
      <c r="H27" s="26">
        <f t="shared" si="0"/>
        <v>85315.068493150684</v>
      </c>
      <c r="J27" s="28"/>
      <c r="K27" s="25"/>
    </row>
    <row r="28" spans="5:11" x14ac:dyDescent="0.25">
      <c r="E28">
        <v>26</v>
      </c>
      <c r="F28" s="43">
        <v>16636372</v>
      </c>
      <c r="G28" s="42">
        <v>0.03</v>
      </c>
      <c r="H28" s="26">
        <f>(+F28*G28)/365*165</f>
        <v>225616.5517808219</v>
      </c>
      <c r="J28" s="28"/>
      <c r="K28" s="25"/>
    </row>
    <row r="29" spans="5:11" x14ac:dyDescent="0.25">
      <c r="E29">
        <v>27</v>
      </c>
      <c r="F29" s="43">
        <v>16636372</v>
      </c>
      <c r="G29" s="42">
        <v>0.03</v>
      </c>
      <c r="H29" s="26">
        <f>(+F29*G29)/365*165</f>
        <v>225616.5517808219</v>
      </c>
      <c r="J29" s="28"/>
      <c r="K29" s="26"/>
    </row>
    <row r="30" spans="5:11" x14ac:dyDescent="0.25">
      <c r="E30">
        <v>28</v>
      </c>
      <c r="F30" s="43">
        <v>16636372</v>
      </c>
      <c r="G30" s="42">
        <v>0.03</v>
      </c>
      <c r="H30" s="26">
        <f>(+F30*G30)/365*165</f>
        <v>225616.5517808219</v>
      </c>
    </row>
    <row r="31" spans="5:11" x14ac:dyDescent="0.25">
      <c r="F31" s="26">
        <f>SUM(F3:F30)</f>
        <v>1040575281</v>
      </c>
      <c r="G31" s="42">
        <v>0.03</v>
      </c>
      <c r="H31" s="26">
        <f>SUM(H3:H30)</f>
        <v>14763308.275479453</v>
      </c>
      <c r="I31" s="26">
        <f>(+F31*G31)/365*90</f>
        <v>7697406.1882191775</v>
      </c>
    </row>
  </sheetData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9:H19"/>
  <sheetViews>
    <sheetView workbookViewId="0">
      <selection activeCell="C19" sqref="C19"/>
    </sheetView>
  </sheetViews>
  <sheetFormatPr baseColWidth="10" defaultRowHeight="15" x14ac:dyDescent="0.25"/>
  <cols>
    <col min="3" max="3" width="13.140625" bestFit="1" customWidth="1"/>
    <col min="6" max="6" width="15.42578125" bestFit="1" customWidth="1"/>
    <col min="7" max="7" width="14.140625" bestFit="1" customWidth="1"/>
    <col min="8" max="8" width="16.85546875" bestFit="1" customWidth="1"/>
  </cols>
  <sheetData>
    <row r="9" spans="4:8" x14ac:dyDescent="0.25">
      <c r="D9" t="s">
        <v>41</v>
      </c>
    </row>
    <row r="11" spans="4:8" x14ac:dyDescent="0.25">
      <c r="D11">
        <v>566700</v>
      </c>
      <c r="E11">
        <v>60</v>
      </c>
      <c r="F11" s="26">
        <f>+D11*E11</f>
        <v>34002000</v>
      </c>
      <c r="G11" s="26">
        <f>+F11*2</f>
        <v>68004000</v>
      </c>
      <c r="H11" s="26">
        <f>+G11*64</f>
        <v>4352256000</v>
      </c>
    </row>
    <row r="12" spans="4:8" x14ac:dyDescent="0.25">
      <c r="F12" s="26">
        <f>+G12/60</f>
        <v>535600</v>
      </c>
      <c r="G12" s="26">
        <f>+H12/64</f>
        <v>32136000</v>
      </c>
      <c r="H12" s="26">
        <v>2056704000</v>
      </c>
    </row>
    <row r="17" spans="3:8" x14ac:dyDescent="0.25">
      <c r="F17" s="28"/>
    </row>
    <row r="18" spans="3:8" x14ac:dyDescent="0.25">
      <c r="G18" s="26"/>
    </row>
    <row r="19" spans="3:8" x14ac:dyDescent="0.25">
      <c r="C19" s="26">
        <f>+D19+E19+F19+G19+H19</f>
        <v>1555373.6333858897</v>
      </c>
      <c r="D19">
        <v>1122725.8872302992</v>
      </c>
      <c r="E19">
        <v>28940.568475452201</v>
      </c>
      <c r="F19">
        <v>301808.78552971571</v>
      </c>
      <c r="G19">
        <v>37424.196241009973</v>
      </c>
      <c r="H19">
        <v>64474.19590941252</v>
      </c>
    </row>
  </sheetData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38"/>
  <sheetViews>
    <sheetView topLeftCell="A16" zoomScaleNormal="100" workbookViewId="0">
      <selection activeCell="K5" sqref="K5"/>
    </sheetView>
  </sheetViews>
  <sheetFormatPr baseColWidth="10" defaultColWidth="11.42578125" defaultRowHeight="12.75" x14ac:dyDescent="0.25"/>
  <cols>
    <col min="1" max="1" width="5.140625" style="87" customWidth="1"/>
    <col min="2" max="2" width="54.5703125" style="87" customWidth="1"/>
    <col min="3" max="3" width="18.42578125" style="87" bestFit="1" customWidth="1"/>
    <col min="4" max="4" width="6.140625" style="188" bestFit="1" customWidth="1"/>
    <col min="5" max="5" width="15.42578125" style="87" bestFit="1" customWidth="1"/>
    <col min="6" max="6" width="14.42578125" style="87" customWidth="1"/>
    <col min="7" max="7" width="15.42578125" style="87" bestFit="1" customWidth="1"/>
    <col min="8" max="8" width="11.42578125" style="87" customWidth="1"/>
    <col min="9" max="9" width="10.5703125" style="87" customWidth="1"/>
    <col min="10" max="16384" width="11.42578125" style="87"/>
  </cols>
  <sheetData>
    <row r="1" spans="2:12" x14ac:dyDescent="0.25">
      <c r="B1" s="88"/>
    </row>
    <row r="2" spans="2:12" ht="13.5" thickBot="1" x14ac:dyDescent="0.3">
      <c r="B2" s="89"/>
      <c r="C2" s="90"/>
      <c r="D2" s="189"/>
      <c r="E2" s="90"/>
      <c r="F2" s="90"/>
      <c r="G2" s="90"/>
    </row>
    <row r="3" spans="2:12" ht="16.5" x14ac:dyDescent="0.25">
      <c r="B3" s="292" t="s">
        <v>78</v>
      </c>
      <c r="C3" s="298" t="s">
        <v>131</v>
      </c>
      <c r="D3" s="299"/>
      <c r="E3" s="299"/>
      <c r="F3" s="299"/>
      <c r="G3" s="299"/>
      <c r="H3" s="83"/>
      <c r="I3" s="83"/>
    </row>
    <row r="4" spans="2:12" ht="16.5" x14ac:dyDescent="0.25">
      <c r="B4" s="293"/>
      <c r="C4" s="294" t="s">
        <v>132</v>
      </c>
      <c r="D4" s="295"/>
      <c r="E4" s="295"/>
      <c r="F4" s="295"/>
      <c r="G4" s="295"/>
      <c r="H4" s="84"/>
    </row>
    <row r="5" spans="2:12" ht="33.75" customHeight="1" x14ac:dyDescent="0.25">
      <c r="B5" s="293"/>
      <c r="C5" s="296" t="s">
        <v>134</v>
      </c>
      <c r="D5" s="297"/>
      <c r="E5" s="297"/>
      <c r="F5" s="297"/>
      <c r="G5" s="297"/>
      <c r="H5" s="85"/>
      <c r="I5" s="85"/>
    </row>
    <row r="6" spans="2:12" ht="16.5" x14ac:dyDescent="0.25">
      <c r="B6" s="293"/>
      <c r="C6" s="300" t="s">
        <v>53</v>
      </c>
      <c r="D6" s="301"/>
      <c r="E6" s="301"/>
      <c r="F6" s="301"/>
      <c r="G6" s="301"/>
      <c r="H6" s="86"/>
      <c r="I6" s="86"/>
    </row>
    <row r="7" spans="2:12" ht="17.25" thickBot="1" x14ac:dyDescent="0.3">
      <c r="B7" s="293"/>
      <c r="C7" s="300" t="s">
        <v>126</v>
      </c>
      <c r="D7" s="301"/>
      <c r="E7" s="301"/>
      <c r="F7" s="301"/>
      <c r="G7" s="301"/>
      <c r="H7" s="86"/>
      <c r="I7" s="86"/>
    </row>
    <row r="8" spans="2:12" ht="25.5" x14ac:dyDescent="0.25">
      <c r="B8" s="91" t="s">
        <v>0</v>
      </c>
      <c r="C8" s="80" t="s">
        <v>14</v>
      </c>
      <c r="D8" s="190" t="s">
        <v>1</v>
      </c>
      <c r="E8" s="81" t="s">
        <v>2</v>
      </c>
      <c r="F8" s="81" t="s">
        <v>54</v>
      </c>
      <c r="G8" s="82" t="s">
        <v>4</v>
      </c>
      <c r="L8" s="92"/>
    </row>
    <row r="9" spans="2:12" x14ac:dyDescent="0.25">
      <c r="B9" s="163" t="s">
        <v>104</v>
      </c>
      <c r="C9" s="153"/>
      <c r="D9" s="191"/>
      <c r="E9" s="155"/>
      <c r="F9" s="154"/>
      <c r="G9" s="156"/>
    </row>
    <row r="10" spans="2:12" x14ac:dyDescent="0.25">
      <c r="B10" s="183" t="s">
        <v>96</v>
      </c>
      <c r="C10" s="173">
        <v>16738493111.9</v>
      </c>
      <c r="D10" s="187">
        <v>2</v>
      </c>
      <c r="E10" s="157">
        <f t="shared" ref="E10:E20" si="0">(C10*D10/1000)/365*$B$38</f>
        <v>33476986.2238</v>
      </c>
      <c r="F10" s="157">
        <f>+E10*0.19</f>
        <v>6360627.382522</v>
      </c>
      <c r="G10" s="158">
        <f>+E10+F10</f>
        <v>39837613.606321998</v>
      </c>
    </row>
    <row r="11" spans="2:12" x14ac:dyDescent="0.25">
      <c r="B11" s="183" t="s">
        <v>116</v>
      </c>
      <c r="C11" s="173">
        <v>643127009.9999795</v>
      </c>
      <c r="D11" s="187">
        <f>D10</f>
        <v>2</v>
      </c>
      <c r="E11" s="157">
        <f t="shared" si="0"/>
        <v>1286254.019999959</v>
      </c>
      <c r="F11" s="157">
        <f t="shared" ref="F11:F20" si="1">+E11*0.19</f>
        <v>244388.26379999222</v>
      </c>
      <c r="G11" s="158">
        <f t="shared" ref="G11:G20" si="2">+E11+F11</f>
        <v>1530642.2837999512</v>
      </c>
    </row>
    <row r="12" spans="2:12" x14ac:dyDescent="0.25">
      <c r="B12" s="183" t="s">
        <v>117</v>
      </c>
      <c r="C12" s="173">
        <v>368235745</v>
      </c>
      <c r="D12" s="187">
        <f>D10</f>
        <v>2</v>
      </c>
      <c r="E12" s="157">
        <f t="shared" si="0"/>
        <v>736471.49</v>
      </c>
      <c r="F12" s="157">
        <f t="shared" si="1"/>
        <v>139929.58309999999</v>
      </c>
      <c r="G12" s="158">
        <f t="shared" si="2"/>
        <v>876401.07309999992</v>
      </c>
    </row>
    <row r="13" spans="2:12" x14ac:dyDescent="0.25">
      <c r="B13" s="183" t="s">
        <v>118</v>
      </c>
      <c r="C13" s="173">
        <v>205233173.84098333</v>
      </c>
      <c r="D13" s="187">
        <f>D10</f>
        <v>2</v>
      </c>
      <c r="E13" s="157">
        <f t="shared" si="0"/>
        <v>410466.34768196661</v>
      </c>
      <c r="F13" s="157">
        <f t="shared" si="1"/>
        <v>77988.606059573664</v>
      </c>
      <c r="G13" s="158">
        <f t="shared" si="2"/>
        <v>488454.95374154026</v>
      </c>
    </row>
    <row r="14" spans="2:12" x14ac:dyDescent="0.25">
      <c r="B14" s="183" t="s">
        <v>119</v>
      </c>
      <c r="C14" s="173">
        <v>118680761</v>
      </c>
      <c r="D14" s="187">
        <f>D10</f>
        <v>2</v>
      </c>
      <c r="E14" s="157">
        <f t="shared" si="0"/>
        <v>237361.522</v>
      </c>
      <c r="F14" s="157">
        <f t="shared" si="1"/>
        <v>45098.689180000001</v>
      </c>
      <c r="G14" s="158">
        <f t="shared" si="2"/>
        <v>282460.21117999998</v>
      </c>
    </row>
    <row r="15" spans="2:12" x14ac:dyDescent="0.25">
      <c r="B15" s="183" t="s">
        <v>120</v>
      </c>
      <c r="C15" s="173">
        <v>289061590.11000001</v>
      </c>
      <c r="D15" s="187">
        <f>D10</f>
        <v>2</v>
      </c>
      <c r="E15" s="157">
        <f t="shared" si="0"/>
        <v>578123.18021999998</v>
      </c>
      <c r="F15" s="157">
        <f t="shared" si="1"/>
        <v>109843.4042418</v>
      </c>
      <c r="G15" s="158">
        <f t="shared" si="2"/>
        <v>687966.58446179994</v>
      </c>
    </row>
    <row r="16" spans="2:12" x14ac:dyDescent="0.25">
      <c r="B16" s="183" t="s">
        <v>121</v>
      </c>
      <c r="C16" s="173">
        <v>72444160.020000011</v>
      </c>
      <c r="D16" s="187">
        <f>D10</f>
        <v>2</v>
      </c>
      <c r="E16" s="157">
        <f t="shared" si="0"/>
        <v>144888.32004000002</v>
      </c>
      <c r="F16" s="157">
        <f t="shared" si="1"/>
        <v>27528.780807600004</v>
      </c>
      <c r="G16" s="158">
        <f t="shared" si="2"/>
        <v>172417.10084760003</v>
      </c>
    </row>
    <row r="17" spans="2:7" x14ac:dyDescent="0.25">
      <c r="B17" s="183" t="s">
        <v>122</v>
      </c>
      <c r="C17" s="173">
        <v>10000000</v>
      </c>
      <c r="D17" s="187">
        <f>D10</f>
        <v>2</v>
      </c>
      <c r="E17" s="157">
        <f t="shared" si="0"/>
        <v>20000</v>
      </c>
      <c r="F17" s="157">
        <f t="shared" si="1"/>
        <v>3800</v>
      </c>
      <c r="G17" s="158">
        <f t="shared" si="2"/>
        <v>23800</v>
      </c>
    </row>
    <row r="18" spans="2:7" x14ac:dyDescent="0.25">
      <c r="B18" s="183" t="s">
        <v>123</v>
      </c>
      <c r="C18" s="173">
        <v>50000000</v>
      </c>
      <c r="D18" s="187">
        <f>D10</f>
        <v>2</v>
      </c>
      <c r="E18" s="157">
        <f t="shared" si="0"/>
        <v>100000</v>
      </c>
      <c r="F18" s="157">
        <f t="shared" si="1"/>
        <v>19000</v>
      </c>
      <c r="G18" s="158">
        <f t="shared" si="2"/>
        <v>119000</v>
      </c>
    </row>
    <row r="19" spans="2:7" x14ac:dyDescent="0.25">
      <c r="B19" s="183" t="s">
        <v>124</v>
      </c>
      <c r="C19" s="173">
        <v>1000000000</v>
      </c>
      <c r="D19" s="187">
        <v>2</v>
      </c>
      <c r="E19" s="157">
        <f t="shared" si="0"/>
        <v>2000000</v>
      </c>
      <c r="F19" s="157">
        <f t="shared" ref="F19" si="3">+E19*0.19</f>
        <v>380000</v>
      </c>
      <c r="G19" s="158">
        <f t="shared" ref="G19" si="4">+E19+F19</f>
        <v>2380000</v>
      </c>
    </row>
    <row r="20" spans="2:7" x14ac:dyDescent="0.25">
      <c r="B20" s="183" t="s">
        <v>84</v>
      </c>
      <c r="C20" s="173">
        <v>1000000000</v>
      </c>
      <c r="D20" s="187">
        <f>D10</f>
        <v>2</v>
      </c>
      <c r="E20" s="157">
        <f t="shared" si="0"/>
        <v>2000000</v>
      </c>
      <c r="F20" s="157">
        <f t="shared" si="1"/>
        <v>380000</v>
      </c>
      <c r="G20" s="158">
        <f t="shared" si="2"/>
        <v>2380000</v>
      </c>
    </row>
    <row r="21" spans="2:7" x14ac:dyDescent="0.25">
      <c r="B21" s="174" t="s">
        <v>105</v>
      </c>
      <c r="C21" s="159">
        <f>SUM(C10:C20)</f>
        <v>20495275551.870964</v>
      </c>
      <c r="D21" s="192"/>
      <c r="E21" s="159">
        <f>SUM(E10:E20)</f>
        <v>40990551.103741936</v>
      </c>
      <c r="F21" s="159">
        <f>SUM(F10:F20)</f>
        <v>7788204.7097109668</v>
      </c>
      <c r="G21" s="159">
        <f>SUM(G10:G20)</f>
        <v>48778755.813452899</v>
      </c>
    </row>
    <row r="22" spans="2:7" x14ac:dyDescent="0.25">
      <c r="B22" s="183" t="s">
        <v>106</v>
      </c>
      <c r="C22" s="157">
        <v>1343004265</v>
      </c>
      <c r="D22" s="187">
        <v>7</v>
      </c>
      <c r="E22" s="157">
        <f>(C22*D22/1000)/365*$B$38</f>
        <v>9401029.8550000004</v>
      </c>
      <c r="F22" s="157">
        <f t="shared" ref="F22" si="5">+E22*0.19</f>
        <v>1786195.6724500002</v>
      </c>
      <c r="G22" s="158">
        <f t="shared" ref="G22" si="6">+E22+F22</f>
        <v>11187225.527450001</v>
      </c>
    </row>
    <row r="23" spans="2:7" x14ac:dyDescent="0.25">
      <c r="B23" s="183" t="s">
        <v>107</v>
      </c>
      <c r="C23" s="157">
        <v>100000000</v>
      </c>
      <c r="D23" s="187">
        <v>5</v>
      </c>
      <c r="E23" s="157">
        <f>(C23*D23/100)/365*$B$38</f>
        <v>5000000</v>
      </c>
      <c r="F23" s="157">
        <f t="shared" ref="F23" si="7">+E23*0.19</f>
        <v>950000</v>
      </c>
      <c r="G23" s="158">
        <f t="shared" ref="G23" si="8">+E23+F23</f>
        <v>5950000</v>
      </c>
    </row>
    <row r="24" spans="2:7" x14ac:dyDescent="0.25">
      <c r="B24" s="184" t="s">
        <v>133</v>
      </c>
      <c r="C24" s="157">
        <v>100000000</v>
      </c>
      <c r="D24" s="187">
        <v>2.86</v>
      </c>
      <c r="E24" s="157">
        <f>((C24*D24/100)/365)*$B$38</f>
        <v>2860000</v>
      </c>
      <c r="F24" s="157">
        <f t="shared" ref="F24:F26" si="9">+E24*0.19</f>
        <v>543400</v>
      </c>
      <c r="G24" s="158">
        <f t="shared" ref="G24:G29" si="10">+E24+F24</f>
        <v>3403400</v>
      </c>
    </row>
    <row r="25" spans="2:7" x14ac:dyDescent="0.25">
      <c r="B25" s="184" t="s">
        <v>114</v>
      </c>
      <c r="C25" s="157">
        <v>100000000</v>
      </c>
      <c r="D25" s="187">
        <v>4</v>
      </c>
      <c r="E25" s="157">
        <f>((C25*D25/100)/365)*$B$38</f>
        <v>4000000</v>
      </c>
      <c r="F25" s="157">
        <f t="shared" si="9"/>
        <v>760000</v>
      </c>
      <c r="G25" s="158">
        <f t="shared" si="10"/>
        <v>4760000</v>
      </c>
    </row>
    <row r="26" spans="2:7" x14ac:dyDescent="0.25">
      <c r="B26" s="184" t="s">
        <v>108</v>
      </c>
      <c r="C26" s="157">
        <v>1582900000</v>
      </c>
      <c r="D26" s="187">
        <v>4</v>
      </c>
      <c r="E26" s="157">
        <f>(C26*D26/100)/365*$B$38</f>
        <v>63316000</v>
      </c>
      <c r="F26" s="157">
        <f t="shared" si="9"/>
        <v>12030040</v>
      </c>
      <c r="G26" s="158">
        <f t="shared" si="10"/>
        <v>75346040</v>
      </c>
    </row>
    <row r="27" spans="2:7" x14ac:dyDescent="0.25">
      <c r="B27" s="184" t="s">
        <v>109</v>
      </c>
      <c r="C27" s="157" t="s">
        <v>97</v>
      </c>
      <c r="D27" s="187"/>
      <c r="E27" s="157">
        <v>1100000</v>
      </c>
      <c r="F27" s="157">
        <f t="shared" ref="F27" si="11">+E27*0.19</f>
        <v>209000</v>
      </c>
      <c r="G27" s="158">
        <f t="shared" ref="G27" si="12">+E27+F27</f>
        <v>1309000</v>
      </c>
    </row>
    <row r="28" spans="2:7" x14ac:dyDescent="0.25">
      <c r="B28" s="184" t="s">
        <v>110</v>
      </c>
      <c r="C28" s="157">
        <v>1501441040</v>
      </c>
      <c r="D28" s="187">
        <v>0.84</v>
      </c>
      <c r="E28" s="157">
        <f>(C28*D28/100)/365*$B$38</f>
        <v>12612104.736</v>
      </c>
      <c r="F28" s="157">
        <v>0</v>
      </c>
      <c r="G28" s="158">
        <f>+E28+F28+75709</f>
        <v>12687813.736</v>
      </c>
    </row>
    <row r="29" spans="2:7" x14ac:dyDescent="0.25">
      <c r="B29" s="184" t="s">
        <v>111</v>
      </c>
      <c r="C29" s="157">
        <v>13578390</v>
      </c>
      <c r="D29" s="187"/>
      <c r="E29" s="157">
        <f>C29</f>
        <v>13578390</v>
      </c>
      <c r="F29" s="157">
        <v>0</v>
      </c>
      <c r="G29" s="158">
        <f t="shared" si="10"/>
        <v>13578390</v>
      </c>
    </row>
    <row r="30" spans="2:7" x14ac:dyDescent="0.25">
      <c r="B30" s="184" t="s">
        <v>112</v>
      </c>
      <c r="C30" s="160">
        <v>5000000</v>
      </c>
      <c r="D30" s="187"/>
      <c r="E30" s="160">
        <f>C30</f>
        <v>5000000</v>
      </c>
      <c r="F30" s="160">
        <v>0</v>
      </c>
      <c r="G30" s="175">
        <f>C30</f>
        <v>5000000</v>
      </c>
    </row>
    <row r="31" spans="2:7" x14ac:dyDescent="0.25">
      <c r="B31" s="164" t="s">
        <v>105</v>
      </c>
      <c r="C31" s="161">
        <f>SUM(C22:C30)</f>
        <v>4745923695</v>
      </c>
      <c r="D31" s="193"/>
      <c r="E31" s="161">
        <f>SUM(E22:E30)</f>
        <v>116867524.59100001</v>
      </c>
      <c r="F31" s="161">
        <f>SUM(F22:F30)</f>
        <v>16278635.67245</v>
      </c>
      <c r="G31" s="176">
        <f>SUM(G22:G30)</f>
        <v>133221869.26345</v>
      </c>
    </row>
    <row r="32" spans="2:7" x14ac:dyDescent="0.25">
      <c r="B32" s="164" t="s">
        <v>113</v>
      </c>
      <c r="C32" s="161">
        <f>C21+C31</f>
        <v>25241199246.870964</v>
      </c>
      <c r="D32" s="194"/>
      <c r="E32" s="161">
        <f>E21+E31</f>
        <v>157858075.69474193</v>
      </c>
      <c r="F32" s="161">
        <f>F21+F31</f>
        <v>24066840.382160969</v>
      </c>
      <c r="G32" s="176">
        <f>G21+G31</f>
        <v>182000625.0769029</v>
      </c>
    </row>
    <row r="33" spans="2:7" ht="13.5" thickBot="1" x14ac:dyDescent="0.3">
      <c r="B33" s="162"/>
      <c r="C33" s="150"/>
      <c r="D33" s="195"/>
      <c r="E33" s="151"/>
      <c r="F33" s="151"/>
      <c r="G33" s="152"/>
    </row>
    <row r="34" spans="2:7" ht="13.5" thickBot="1" x14ac:dyDescent="0.3">
      <c r="B34" s="93"/>
      <c r="C34" s="88"/>
      <c r="D34" s="196"/>
      <c r="E34" s="94"/>
    </row>
    <row r="35" spans="2:7" x14ac:dyDescent="0.25">
      <c r="B35" s="290"/>
      <c r="C35" s="291"/>
      <c r="D35" s="196"/>
    </row>
    <row r="36" spans="2:7" x14ac:dyDescent="0.25">
      <c r="B36" s="185" t="s">
        <v>42</v>
      </c>
      <c r="C36" s="186">
        <v>46345</v>
      </c>
      <c r="D36" s="196"/>
    </row>
    <row r="37" spans="2:7" x14ac:dyDescent="0.25">
      <c r="B37" s="185" t="s">
        <v>43</v>
      </c>
      <c r="C37" s="186">
        <v>46710</v>
      </c>
      <c r="D37" s="196"/>
    </row>
    <row r="38" spans="2:7" ht="13.5" thickBot="1" x14ac:dyDescent="0.3">
      <c r="B38" s="148">
        <f>C37-C36</f>
        <v>365</v>
      </c>
      <c r="C38" s="149" t="s">
        <v>44</v>
      </c>
      <c r="D38" s="196"/>
    </row>
  </sheetData>
  <mergeCells count="7">
    <mergeCell ref="B35:C35"/>
    <mergeCell ref="B3:B7"/>
    <mergeCell ref="C4:G4"/>
    <mergeCell ref="C5:G5"/>
    <mergeCell ref="C3:G3"/>
    <mergeCell ref="C6:G6"/>
    <mergeCell ref="C7:G7"/>
  </mergeCells>
  <phoneticPr fontId="11" type="noConversion"/>
  <printOptions horizontalCentered="1" verticalCentered="1"/>
  <pageMargins left="0.31496062992125984" right="0.27559055118110237" top="0.31496062992125984" bottom="0.31496062992125984" header="0.31496062992125984" footer="0.31496062992125984"/>
  <pageSetup scale="67" orientation="portrait" r:id="rId1"/>
  <ignoredErrors>
    <ignoredError sqref="E25 E21:G21 G2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EB4A0-BF0E-4216-8CE7-53F0FCB81891}">
  <dimension ref="B1:L38"/>
  <sheetViews>
    <sheetView topLeftCell="A19" workbookViewId="0">
      <selection activeCell="C30" sqref="C30"/>
    </sheetView>
  </sheetViews>
  <sheetFormatPr baseColWidth="10" defaultColWidth="11.42578125" defaultRowHeight="12.75" x14ac:dyDescent="0.25"/>
  <cols>
    <col min="1" max="1" width="5.140625" style="87" customWidth="1"/>
    <col min="2" max="2" width="54.5703125" style="87" customWidth="1"/>
    <col min="3" max="3" width="18.42578125" style="87" bestFit="1" customWidth="1"/>
    <col min="4" max="4" width="6.140625" style="188" bestFit="1" customWidth="1"/>
    <col min="5" max="5" width="15.42578125" style="87" bestFit="1" customWidth="1"/>
    <col min="6" max="6" width="14.42578125" style="87" customWidth="1"/>
    <col min="7" max="7" width="15.42578125" style="87" bestFit="1" customWidth="1"/>
    <col min="8" max="8" width="11.42578125" style="87"/>
    <col min="9" max="9" width="10.5703125" style="87" customWidth="1"/>
    <col min="10" max="16384" width="11.42578125" style="87"/>
  </cols>
  <sheetData>
    <row r="1" spans="2:12" x14ac:dyDescent="0.25">
      <c r="B1" s="88"/>
    </row>
    <row r="2" spans="2:12" ht="13.5" thickBot="1" x14ac:dyDescent="0.3">
      <c r="B2" s="89"/>
      <c r="C2" s="90"/>
      <c r="D2" s="189"/>
      <c r="E2" s="90"/>
      <c r="F2" s="90"/>
      <c r="G2" s="90"/>
    </row>
    <row r="3" spans="2:12" ht="16.5" x14ac:dyDescent="0.25">
      <c r="B3" s="292" t="s">
        <v>78</v>
      </c>
      <c r="C3" s="298" t="s">
        <v>131</v>
      </c>
      <c r="D3" s="299"/>
      <c r="E3" s="299"/>
      <c r="F3" s="299"/>
      <c r="G3" s="299"/>
      <c r="H3" s="83"/>
      <c r="I3" s="83"/>
    </row>
    <row r="4" spans="2:12" ht="16.5" x14ac:dyDescent="0.25">
      <c r="B4" s="293"/>
      <c r="C4" s="294" t="s">
        <v>132</v>
      </c>
      <c r="D4" s="295"/>
      <c r="E4" s="295"/>
      <c r="F4" s="295"/>
      <c r="G4" s="295"/>
      <c r="H4" s="84"/>
    </row>
    <row r="5" spans="2:12" ht="33.75" customHeight="1" x14ac:dyDescent="0.25">
      <c r="B5" s="293"/>
      <c r="C5" s="296" t="s">
        <v>134</v>
      </c>
      <c r="D5" s="297"/>
      <c r="E5" s="297"/>
      <c r="F5" s="297"/>
      <c r="G5" s="297"/>
      <c r="H5" s="85"/>
      <c r="I5" s="85"/>
    </row>
    <row r="6" spans="2:12" ht="16.5" x14ac:dyDescent="0.25">
      <c r="B6" s="293"/>
      <c r="C6" s="300" t="s">
        <v>53</v>
      </c>
      <c r="D6" s="301"/>
      <c r="E6" s="301"/>
      <c r="F6" s="301"/>
      <c r="G6" s="301"/>
      <c r="H6" s="86"/>
      <c r="I6" s="86"/>
    </row>
    <row r="7" spans="2:12" ht="17.25" thickBot="1" x14ac:dyDescent="0.3">
      <c r="B7" s="293"/>
      <c r="C7" s="300" t="s">
        <v>126</v>
      </c>
      <c r="D7" s="301"/>
      <c r="E7" s="301"/>
      <c r="F7" s="301"/>
      <c r="G7" s="301"/>
      <c r="H7" s="86"/>
      <c r="I7" s="86"/>
    </row>
    <row r="8" spans="2:12" ht="25.5" x14ac:dyDescent="0.25">
      <c r="B8" s="91" t="s">
        <v>0</v>
      </c>
      <c r="C8" s="80" t="s">
        <v>14</v>
      </c>
      <c r="D8" s="190" t="s">
        <v>1</v>
      </c>
      <c r="E8" s="81" t="s">
        <v>2</v>
      </c>
      <c r="F8" s="81" t="s">
        <v>54</v>
      </c>
      <c r="G8" s="82" t="s">
        <v>4</v>
      </c>
      <c r="L8" s="92"/>
    </row>
    <row r="9" spans="2:12" x14ac:dyDescent="0.25">
      <c r="B9" s="235" t="s">
        <v>104</v>
      </c>
      <c r="C9" s="236"/>
      <c r="D9" s="237"/>
      <c r="E9" s="238"/>
      <c r="F9" s="239"/>
      <c r="G9" s="240"/>
    </row>
    <row r="10" spans="2:12" x14ac:dyDescent="0.25">
      <c r="B10" s="183" t="s">
        <v>96</v>
      </c>
      <c r="C10" s="173">
        <v>16738493111.9</v>
      </c>
      <c r="D10" s="187">
        <v>1.8</v>
      </c>
      <c r="E10" s="157">
        <f t="shared" ref="E10:E20" si="0">(C10*D10/1000)/365*$B$38</f>
        <v>30129287.601419996</v>
      </c>
      <c r="F10" s="157">
        <f>+E10*0.19</f>
        <v>5724564.6442697998</v>
      </c>
      <c r="G10" s="158">
        <f>+E10+F10</f>
        <v>35853852.245689794</v>
      </c>
    </row>
    <row r="11" spans="2:12" x14ac:dyDescent="0.25">
      <c r="B11" s="183" t="s">
        <v>116</v>
      </c>
      <c r="C11" s="173">
        <v>643127009.9999795</v>
      </c>
      <c r="D11" s="187">
        <f>D10</f>
        <v>1.8</v>
      </c>
      <c r="E11" s="157">
        <f t="shared" si="0"/>
        <v>1157628.617999963</v>
      </c>
      <c r="F11" s="157">
        <f t="shared" ref="F11:F20" si="1">+E11*0.19</f>
        <v>219949.43741999296</v>
      </c>
      <c r="G11" s="158">
        <f t="shared" ref="G11:G20" si="2">+E11+F11</f>
        <v>1377578.0554199559</v>
      </c>
    </row>
    <row r="12" spans="2:12" x14ac:dyDescent="0.25">
      <c r="B12" s="183" t="s">
        <v>117</v>
      </c>
      <c r="C12" s="173">
        <v>368235745</v>
      </c>
      <c r="D12" s="187">
        <f>D10</f>
        <v>1.8</v>
      </c>
      <c r="E12" s="157">
        <f t="shared" si="0"/>
        <v>662824.34100000001</v>
      </c>
      <c r="F12" s="157">
        <f t="shared" si="1"/>
        <v>125936.62479</v>
      </c>
      <c r="G12" s="158">
        <f t="shared" si="2"/>
        <v>788760.96579000005</v>
      </c>
    </row>
    <row r="13" spans="2:12" x14ac:dyDescent="0.25">
      <c r="B13" s="183" t="s">
        <v>118</v>
      </c>
      <c r="C13" s="173">
        <v>205233173.84098333</v>
      </c>
      <c r="D13" s="187">
        <f>D10</f>
        <v>1.8</v>
      </c>
      <c r="E13" s="157">
        <f t="shared" si="0"/>
        <v>369419.71291377</v>
      </c>
      <c r="F13" s="157">
        <f t="shared" si="1"/>
        <v>70189.745453616299</v>
      </c>
      <c r="G13" s="158">
        <f t="shared" si="2"/>
        <v>439609.45836738631</v>
      </c>
    </row>
    <row r="14" spans="2:12" x14ac:dyDescent="0.25">
      <c r="B14" s="183" t="s">
        <v>119</v>
      </c>
      <c r="C14" s="173">
        <v>118680761</v>
      </c>
      <c r="D14" s="187">
        <f>D10</f>
        <v>1.8</v>
      </c>
      <c r="E14" s="157">
        <f t="shared" si="0"/>
        <v>213625.36980000004</v>
      </c>
      <c r="F14" s="157">
        <f t="shared" si="1"/>
        <v>40588.820262000008</v>
      </c>
      <c r="G14" s="158">
        <f t="shared" si="2"/>
        <v>254214.19006200007</v>
      </c>
    </row>
    <row r="15" spans="2:12" x14ac:dyDescent="0.25">
      <c r="B15" s="183" t="s">
        <v>120</v>
      </c>
      <c r="C15" s="173">
        <v>289061590.11000001</v>
      </c>
      <c r="D15" s="187">
        <f>D10</f>
        <v>1.8</v>
      </c>
      <c r="E15" s="157">
        <f t="shared" si="0"/>
        <v>520310.86219800002</v>
      </c>
      <c r="F15" s="157">
        <f t="shared" si="1"/>
        <v>98859.063817620001</v>
      </c>
      <c r="G15" s="158">
        <f t="shared" si="2"/>
        <v>619169.92601562</v>
      </c>
    </row>
    <row r="16" spans="2:12" x14ac:dyDescent="0.25">
      <c r="B16" s="183" t="s">
        <v>121</v>
      </c>
      <c r="C16" s="173">
        <v>72444160.020000011</v>
      </c>
      <c r="D16" s="187">
        <f>D10</f>
        <v>1.8</v>
      </c>
      <c r="E16" s="157">
        <f t="shared" si="0"/>
        <v>130399.48803600001</v>
      </c>
      <c r="F16" s="157">
        <f t="shared" si="1"/>
        <v>24775.902726840002</v>
      </c>
      <c r="G16" s="158">
        <f t="shared" si="2"/>
        <v>155175.39076284002</v>
      </c>
    </row>
    <row r="17" spans="2:7" x14ac:dyDescent="0.25">
      <c r="B17" s="183" t="s">
        <v>122</v>
      </c>
      <c r="C17" s="173">
        <v>10000000</v>
      </c>
      <c r="D17" s="187">
        <f>D10</f>
        <v>1.8</v>
      </c>
      <c r="E17" s="157">
        <f t="shared" si="0"/>
        <v>18000</v>
      </c>
      <c r="F17" s="157">
        <f t="shared" si="1"/>
        <v>3420</v>
      </c>
      <c r="G17" s="158">
        <f t="shared" si="2"/>
        <v>21420</v>
      </c>
    </row>
    <row r="18" spans="2:7" x14ac:dyDescent="0.25">
      <c r="B18" s="183" t="s">
        <v>123</v>
      </c>
      <c r="C18" s="173">
        <v>50000000</v>
      </c>
      <c r="D18" s="187">
        <f>D10</f>
        <v>1.8</v>
      </c>
      <c r="E18" s="157">
        <f t="shared" si="0"/>
        <v>90000</v>
      </c>
      <c r="F18" s="157">
        <f t="shared" si="1"/>
        <v>17100</v>
      </c>
      <c r="G18" s="158">
        <f t="shared" si="2"/>
        <v>107100</v>
      </c>
    </row>
    <row r="19" spans="2:7" x14ac:dyDescent="0.25">
      <c r="B19" s="183" t="s">
        <v>124</v>
      </c>
      <c r="C19" s="173">
        <v>1000000000</v>
      </c>
      <c r="D19" s="187">
        <v>1.8</v>
      </c>
      <c r="E19" s="157">
        <f t="shared" si="0"/>
        <v>1800000</v>
      </c>
      <c r="F19" s="157">
        <f t="shared" si="1"/>
        <v>342000</v>
      </c>
      <c r="G19" s="158">
        <f t="shared" si="2"/>
        <v>2142000</v>
      </c>
    </row>
    <row r="20" spans="2:7" x14ac:dyDescent="0.25">
      <c r="B20" s="183" t="s">
        <v>84</v>
      </c>
      <c r="C20" s="173">
        <v>1000000000</v>
      </c>
      <c r="D20" s="187">
        <f>D10</f>
        <v>1.8</v>
      </c>
      <c r="E20" s="157">
        <f t="shared" si="0"/>
        <v>1800000</v>
      </c>
      <c r="F20" s="157">
        <f t="shared" si="1"/>
        <v>342000</v>
      </c>
      <c r="G20" s="158">
        <f t="shared" si="2"/>
        <v>2142000</v>
      </c>
    </row>
    <row r="21" spans="2:7" x14ac:dyDescent="0.25">
      <c r="B21" s="241" t="s">
        <v>105</v>
      </c>
      <c r="C21" s="242">
        <f>SUM(C10:C20)</f>
        <v>20495275551.870964</v>
      </c>
      <c r="D21" s="243"/>
      <c r="E21" s="242">
        <f>SUM(E10:E20)</f>
        <v>36891495.993367732</v>
      </c>
      <c r="F21" s="242">
        <f>SUM(F10:F20)</f>
        <v>7009384.2387398696</v>
      </c>
      <c r="G21" s="242">
        <f>SUM(G10:G20)</f>
        <v>43900880.23210761</v>
      </c>
    </row>
    <row r="22" spans="2:7" x14ac:dyDescent="0.25">
      <c r="B22" s="183" t="s">
        <v>106</v>
      </c>
      <c r="C22" s="157">
        <v>1343004265</v>
      </c>
      <c r="D22" s="187">
        <v>8</v>
      </c>
      <c r="E22" s="157">
        <f>(C22*D22/1000)/365*$B$38</f>
        <v>10744034.119999999</v>
      </c>
      <c r="F22" s="157">
        <f t="shared" ref="F22:F27" si="3">+E22*0.19</f>
        <v>2041366.4827999999</v>
      </c>
      <c r="G22" s="158">
        <f t="shared" ref="G22:G29" si="4">+E22+F22</f>
        <v>12785400.602799999</v>
      </c>
    </row>
    <row r="23" spans="2:7" x14ac:dyDescent="0.25">
      <c r="B23" s="183" t="s">
        <v>107</v>
      </c>
      <c r="C23" s="157">
        <v>100000000</v>
      </c>
      <c r="D23" s="187">
        <v>6</v>
      </c>
      <c r="E23" s="157">
        <f>(C23*D23/100)/365*$B$38</f>
        <v>5999999.9999999991</v>
      </c>
      <c r="F23" s="157">
        <f t="shared" si="3"/>
        <v>1139999.9999999998</v>
      </c>
      <c r="G23" s="158">
        <f t="shared" si="4"/>
        <v>7139999.9999999991</v>
      </c>
    </row>
    <row r="24" spans="2:7" x14ac:dyDescent="0.25">
      <c r="B24" s="184" t="s">
        <v>133</v>
      </c>
      <c r="C24" s="157">
        <v>100000000</v>
      </c>
      <c r="D24" s="187">
        <v>3.016</v>
      </c>
      <c r="E24" s="157">
        <f>((C24*D24/100)/365)*$B$38</f>
        <v>3016000</v>
      </c>
      <c r="F24" s="157">
        <f t="shared" si="3"/>
        <v>573040</v>
      </c>
      <c r="G24" s="158">
        <f t="shared" si="4"/>
        <v>3589040</v>
      </c>
    </row>
    <row r="25" spans="2:7" x14ac:dyDescent="0.25">
      <c r="B25" s="184" t="s">
        <v>114</v>
      </c>
      <c r="C25" s="157">
        <v>100000000</v>
      </c>
      <c r="D25" s="187">
        <v>5.6</v>
      </c>
      <c r="E25" s="157">
        <f>((C25*D25/100)/365)*$B$38</f>
        <v>5600000</v>
      </c>
      <c r="F25" s="157">
        <f t="shared" si="3"/>
        <v>1064000</v>
      </c>
      <c r="G25" s="158">
        <f t="shared" si="4"/>
        <v>6664000</v>
      </c>
    </row>
    <row r="26" spans="2:7" x14ac:dyDescent="0.25">
      <c r="B26" s="184" t="s">
        <v>108</v>
      </c>
      <c r="C26" s="157">
        <v>1582900000</v>
      </c>
      <c r="D26" s="187">
        <v>4</v>
      </c>
      <c r="E26" s="157">
        <f>(C26*D26/100)/365*$B$38</f>
        <v>63316000</v>
      </c>
      <c r="F26" s="157">
        <f t="shared" si="3"/>
        <v>12030040</v>
      </c>
      <c r="G26" s="158">
        <f t="shared" si="4"/>
        <v>75346040</v>
      </c>
    </row>
    <row r="27" spans="2:7" x14ac:dyDescent="0.25">
      <c r="B27" s="184" t="s">
        <v>109</v>
      </c>
      <c r="C27" s="157" t="s">
        <v>135</v>
      </c>
      <c r="D27" s="187"/>
      <c r="E27" s="157">
        <v>1100000</v>
      </c>
      <c r="F27" s="157">
        <f t="shared" si="3"/>
        <v>209000</v>
      </c>
      <c r="G27" s="158">
        <f t="shared" si="4"/>
        <v>1309000</v>
      </c>
    </row>
    <row r="28" spans="2:7" x14ac:dyDescent="0.25">
      <c r="B28" s="184" t="s">
        <v>110</v>
      </c>
      <c r="C28" s="157">
        <v>1501441040</v>
      </c>
      <c r="D28" s="187">
        <v>0.84</v>
      </c>
      <c r="E28" s="157">
        <f>(C28*D28/100)/365*$B$38</f>
        <v>12612104.736</v>
      </c>
      <c r="F28" s="157">
        <v>0</v>
      </c>
      <c r="G28" s="158">
        <f>+E28+F28+75709</f>
        <v>12687813.736</v>
      </c>
    </row>
    <row r="29" spans="2:7" x14ac:dyDescent="0.25">
      <c r="B29" s="184" t="s">
        <v>111</v>
      </c>
      <c r="C29" s="157">
        <v>13578390</v>
      </c>
      <c r="D29" s="187"/>
      <c r="E29" s="157">
        <f>C29</f>
        <v>13578390</v>
      </c>
      <c r="F29" s="157">
        <v>0</v>
      </c>
      <c r="G29" s="158">
        <f t="shared" si="4"/>
        <v>13578390</v>
      </c>
    </row>
    <row r="30" spans="2:7" x14ac:dyDescent="0.25">
      <c r="B30" s="184" t="s">
        <v>112</v>
      </c>
      <c r="C30" s="160">
        <v>5000000</v>
      </c>
      <c r="D30" s="187"/>
      <c r="E30" s="160">
        <f>C30</f>
        <v>5000000</v>
      </c>
      <c r="F30" s="160">
        <v>0</v>
      </c>
      <c r="G30" s="175">
        <f>C30</f>
        <v>5000000</v>
      </c>
    </row>
    <row r="31" spans="2:7" x14ac:dyDescent="0.25">
      <c r="B31" s="244" t="s">
        <v>105</v>
      </c>
      <c r="C31" s="245">
        <f>SUM(C22:C30)</f>
        <v>4745923695</v>
      </c>
      <c r="D31" s="246"/>
      <c r="E31" s="245">
        <f>SUM(E22:E30)</f>
        <v>120966528.85600001</v>
      </c>
      <c r="F31" s="245">
        <f>SUM(F22:F30)</f>
        <v>17057446.482799999</v>
      </c>
      <c r="G31" s="247">
        <f>SUM(G22:G30)</f>
        <v>138099684.33880001</v>
      </c>
    </row>
    <row r="32" spans="2:7" x14ac:dyDescent="0.25">
      <c r="B32" s="244" t="s">
        <v>113</v>
      </c>
      <c r="C32" s="245">
        <f>C21+C31</f>
        <v>25241199246.870964</v>
      </c>
      <c r="D32" s="248"/>
      <c r="E32" s="245">
        <f>E21+E31</f>
        <v>157858024.84936774</v>
      </c>
      <c r="F32" s="245">
        <f>F21+F31</f>
        <v>24066830.72153987</v>
      </c>
      <c r="G32" s="247">
        <f>G21+G31</f>
        <v>182000564.57090762</v>
      </c>
    </row>
    <row r="33" spans="2:7" ht="13.5" thickBot="1" x14ac:dyDescent="0.3">
      <c r="B33" s="162"/>
      <c r="C33" s="150"/>
      <c r="D33" s="195"/>
      <c r="E33" s="151"/>
      <c r="F33" s="151"/>
      <c r="G33" s="152"/>
    </row>
    <row r="34" spans="2:7" ht="13.5" thickBot="1" x14ac:dyDescent="0.3">
      <c r="B34" s="93"/>
      <c r="C34" s="88"/>
      <c r="D34" s="196"/>
      <c r="E34" s="94"/>
    </row>
    <row r="35" spans="2:7" x14ac:dyDescent="0.25">
      <c r="B35" s="302"/>
      <c r="C35" s="303"/>
      <c r="D35" s="196"/>
    </row>
    <row r="36" spans="2:7" x14ac:dyDescent="0.25">
      <c r="B36" s="185" t="s">
        <v>42</v>
      </c>
      <c r="C36" s="186">
        <v>46345</v>
      </c>
      <c r="D36" s="196"/>
    </row>
    <row r="37" spans="2:7" x14ac:dyDescent="0.25">
      <c r="B37" s="185" t="s">
        <v>43</v>
      </c>
      <c r="C37" s="186">
        <v>46710</v>
      </c>
      <c r="D37" s="196"/>
    </row>
    <row r="38" spans="2:7" ht="13.5" thickBot="1" x14ac:dyDescent="0.3">
      <c r="B38" s="249">
        <f>C37-C36</f>
        <v>365</v>
      </c>
      <c r="C38" s="250" t="s">
        <v>44</v>
      </c>
      <c r="D38" s="196"/>
    </row>
  </sheetData>
  <mergeCells count="7">
    <mergeCell ref="B35:C35"/>
    <mergeCell ref="B3:B7"/>
    <mergeCell ref="C3:G3"/>
    <mergeCell ref="C4:G4"/>
    <mergeCell ref="C5:G5"/>
    <mergeCell ref="C6:G6"/>
    <mergeCell ref="C7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E1FE-CB41-459E-9406-438EBCAFB469}">
  <dimension ref="A1:U77"/>
  <sheetViews>
    <sheetView topLeftCell="A34" workbookViewId="0">
      <selection activeCell="I5" sqref="I5"/>
    </sheetView>
  </sheetViews>
  <sheetFormatPr baseColWidth="10" defaultColWidth="10.85546875" defaultRowHeight="10.5" x14ac:dyDescent="0.25"/>
  <cols>
    <col min="1" max="2" width="1.140625" style="99" customWidth="1"/>
    <col min="3" max="3" width="52.140625" style="128" customWidth="1"/>
    <col min="4" max="5" width="14.7109375" style="99" customWidth="1"/>
    <col min="6" max="6" width="7.140625" style="99" bestFit="1" customWidth="1"/>
    <col min="7" max="7" width="6.42578125" style="95" bestFit="1" customWidth="1"/>
    <col min="8" max="8" width="10.42578125" style="99" bestFit="1" customWidth="1"/>
    <col min="9" max="12" width="11.85546875" style="99" customWidth="1"/>
    <col min="13" max="14" width="1.140625" style="99" customWidth="1"/>
    <col min="15" max="15" width="12.85546875" style="99" customWidth="1"/>
    <col min="16" max="16" width="11.28515625" style="99" bestFit="1" customWidth="1"/>
    <col min="17" max="16384" width="10.85546875" style="99"/>
  </cols>
  <sheetData>
    <row r="1" spans="1:21" ht="11.45" customHeight="1" x14ac:dyDescent="0.25">
      <c r="A1" s="96"/>
      <c r="B1" s="307" t="s">
        <v>82</v>
      </c>
      <c r="C1" s="307"/>
      <c r="D1" s="96"/>
      <c r="E1" s="96"/>
      <c r="F1" s="96"/>
      <c r="G1" s="129"/>
      <c r="H1" s="97"/>
      <c r="I1" s="96"/>
      <c r="J1" s="96"/>
      <c r="K1" s="96"/>
      <c r="L1" s="98"/>
      <c r="M1" s="96"/>
      <c r="N1" s="147"/>
    </row>
    <row r="2" spans="1:21" ht="3" customHeight="1" x14ac:dyDescent="0.25">
      <c r="A2" s="96"/>
      <c r="B2" s="165"/>
      <c r="C2" s="308"/>
      <c r="D2" s="309"/>
      <c r="E2" s="309"/>
      <c r="F2" s="309"/>
      <c r="G2" s="309"/>
      <c r="H2" s="309"/>
      <c r="I2" s="309"/>
      <c r="J2" s="309"/>
      <c r="K2" s="309"/>
      <c r="L2" s="309"/>
      <c r="M2" s="203"/>
      <c r="N2" s="147"/>
    </row>
    <row r="3" spans="1:21" ht="12" customHeight="1" x14ac:dyDescent="0.25">
      <c r="A3" s="96"/>
      <c r="B3" s="100"/>
      <c r="C3" s="310" t="s">
        <v>129</v>
      </c>
      <c r="D3" s="311"/>
      <c r="E3" s="311"/>
      <c r="F3" s="311"/>
      <c r="G3" s="311"/>
      <c r="H3" s="311"/>
      <c r="I3" s="311"/>
      <c r="J3" s="311"/>
      <c r="K3" s="311"/>
      <c r="L3" s="311"/>
      <c r="M3" s="204"/>
      <c r="N3" s="147"/>
    </row>
    <row r="4" spans="1:21" ht="11.45" customHeight="1" x14ac:dyDescent="0.25">
      <c r="A4" s="96"/>
      <c r="B4" s="100"/>
      <c r="C4" s="312" t="s">
        <v>130</v>
      </c>
      <c r="D4" s="312"/>
      <c r="E4" s="312"/>
      <c r="F4" s="312"/>
      <c r="G4" s="312"/>
      <c r="H4" s="312"/>
      <c r="I4" s="312"/>
      <c r="J4" s="312"/>
      <c r="K4" s="312"/>
      <c r="L4" s="312"/>
      <c r="M4" s="204"/>
      <c r="N4" s="147"/>
    </row>
    <row r="5" spans="1:21" ht="11.45" customHeight="1" x14ac:dyDescent="0.25">
      <c r="A5" s="96"/>
      <c r="B5" s="100"/>
      <c r="C5" s="233" t="s">
        <v>57</v>
      </c>
      <c r="D5" s="313">
        <v>46345</v>
      </c>
      <c r="E5" s="313"/>
      <c r="F5" s="313"/>
      <c r="G5" s="130"/>
      <c r="H5" s="101"/>
      <c r="I5" s="101"/>
      <c r="J5" s="101"/>
      <c r="K5" s="101"/>
      <c r="L5" s="101"/>
      <c r="M5" s="204"/>
      <c r="N5" s="147"/>
      <c r="U5" s="102"/>
    </row>
    <row r="6" spans="1:21" ht="11.45" customHeight="1" x14ac:dyDescent="0.25">
      <c r="A6" s="96"/>
      <c r="B6" s="100"/>
      <c r="C6" s="233" t="s">
        <v>58</v>
      </c>
      <c r="D6" s="313">
        <v>46710</v>
      </c>
      <c r="E6" s="313"/>
      <c r="F6" s="313"/>
      <c r="G6" s="131"/>
      <c r="H6" s="101"/>
      <c r="I6" s="101"/>
      <c r="J6" s="101"/>
      <c r="K6" s="101"/>
      <c r="L6" s="101"/>
      <c r="M6" s="204"/>
      <c r="N6" s="147"/>
    </row>
    <row r="7" spans="1:21" ht="11.45" customHeight="1" x14ac:dyDescent="0.25">
      <c r="A7" s="96"/>
      <c r="B7" s="100"/>
      <c r="C7" s="233" t="s">
        <v>73</v>
      </c>
      <c r="D7" s="314">
        <f>+D6-D5</f>
        <v>365</v>
      </c>
      <c r="E7" s="314"/>
      <c r="F7" s="314"/>
      <c r="G7" s="131"/>
      <c r="H7" s="101"/>
      <c r="I7" s="101"/>
      <c r="J7" s="101"/>
      <c r="K7" s="101"/>
      <c r="L7" s="101"/>
      <c r="M7" s="204"/>
      <c r="N7" s="147"/>
    </row>
    <row r="8" spans="1:21" ht="11.45" customHeight="1" x14ac:dyDescent="0.25">
      <c r="A8" s="96"/>
      <c r="B8" s="100"/>
      <c r="C8" s="233" t="s">
        <v>74</v>
      </c>
      <c r="D8" s="315">
        <v>0</v>
      </c>
      <c r="E8" s="315"/>
      <c r="F8" s="315"/>
      <c r="G8" s="131"/>
      <c r="H8" s="101"/>
      <c r="I8" s="101"/>
      <c r="J8" s="101"/>
      <c r="K8" s="101"/>
      <c r="L8" s="101"/>
      <c r="M8" s="204"/>
      <c r="N8" s="147"/>
    </row>
    <row r="9" spans="1:21" ht="11.45" customHeight="1" x14ac:dyDescent="0.25">
      <c r="A9" s="96"/>
      <c r="B9" s="100"/>
      <c r="C9" s="233" t="s">
        <v>75</v>
      </c>
      <c r="D9" s="314">
        <f>+D6-D5</f>
        <v>365</v>
      </c>
      <c r="E9" s="314"/>
      <c r="F9" s="314"/>
      <c r="G9" s="131"/>
      <c r="H9" s="101"/>
      <c r="I9" s="101"/>
      <c r="J9" s="101"/>
      <c r="K9" s="101"/>
      <c r="L9" s="101"/>
      <c r="M9" s="204"/>
      <c r="N9" s="147"/>
      <c r="U9" s="102"/>
    </row>
    <row r="10" spans="1:21" ht="6" customHeight="1" x14ac:dyDescent="0.25">
      <c r="A10" s="96"/>
      <c r="B10" s="100"/>
      <c r="C10" s="103"/>
      <c r="D10" s="96"/>
      <c r="E10" s="96"/>
      <c r="F10" s="96"/>
      <c r="G10" s="129"/>
      <c r="H10" s="97"/>
      <c r="I10" s="96"/>
      <c r="J10" s="96"/>
      <c r="K10" s="96"/>
      <c r="L10" s="98"/>
      <c r="M10" s="204"/>
      <c r="N10" s="147"/>
    </row>
    <row r="11" spans="1:21" ht="27" customHeight="1" x14ac:dyDescent="0.25">
      <c r="A11" s="132"/>
      <c r="B11" s="104"/>
      <c r="C11" s="234" t="s">
        <v>59</v>
      </c>
      <c r="D11" s="234" t="s">
        <v>60</v>
      </c>
      <c r="E11" s="234" t="s">
        <v>61</v>
      </c>
      <c r="F11" s="234" t="s">
        <v>62</v>
      </c>
      <c r="G11" s="316" t="s">
        <v>63</v>
      </c>
      <c r="H11" s="317"/>
      <c r="I11" s="234" t="s">
        <v>64</v>
      </c>
      <c r="J11" s="234" t="s">
        <v>65</v>
      </c>
      <c r="K11" s="234" t="s">
        <v>66</v>
      </c>
      <c r="L11" s="105" t="s">
        <v>67</v>
      </c>
      <c r="M11" s="205"/>
      <c r="N11" s="166"/>
    </row>
    <row r="12" spans="1:21" ht="6" customHeight="1" x14ac:dyDescent="0.25">
      <c r="A12" s="96"/>
      <c r="B12" s="100"/>
      <c r="C12" s="101"/>
      <c r="D12" s="106"/>
      <c r="E12" s="106"/>
      <c r="F12" s="106"/>
      <c r="G12" s="129"/>
      <c r="H12" s="107"/>
      <c r="I12" s="106"/>
      <c r="J12" s="106"/>
      <c r="K12" s="106"/>
      <c r="L12" s="98"/>
      <c r="M12" s="204"/>
      <c r="N12" s="147"/>
    </row>
    <row r="13" spans="1:21" ht="18" thickBot="1" x14ac:dyDescent="0.3">
      <c r="A13" s="96"/>
      <c r="B13" s="100"/>
      <c r="C13" s="318" t="s">
        <v>68</v>
      </c>
      <c r="D13" s="318"/>
      <c r="E13" s="318"/>
      <c r="F13" s="318"/>
      <c r="G13" s="318"/>
      <c r="H13" s="318"/>
      <c r="I13" s="318"/>
      <c r="J13" s="318"/>
      <c r="K13" s="318"/>
      <c r="L13" s="318"/>
      <c r="M13" s="204"/>
      <c r="N13" s="147"/>
    </row>
    <row r="14" spans="1:21" ht="11.45" customHeight="1" x14ac:dyDescent="0.25">
      <c r="A14" s="96"/>
      <c r="B14" s="100"/>
      <c r="C14" s="304" t="s">
        <v>83</v>
      </c>
      <c r="D14" s="305"/>
      <c r="E14" s="305"/>
      <c r="F14" s="305"/>
      <c r="G14" s="305"/>
      <c r="H14" s="305"/>
      <c r="I14" s="305"/>
      <c r="J14" s="305"/>
      <c r="K14" s="305"/>
      <c r="L14" s="306"/>
      <c r="M14" s="204"/>
      <c r="N14" s="147"/>
    </row>
    <row r="15" spans="1:21" ht="11.45" customHeight="1" x14ac:dyDescent="0.25">
      <c r="A15" s="96"/>
      <c r="B15" s="100"/>
      <c r="C15" s="230" t="s">
        <v>96</v>
      </c>
      <c r="D15" s="134">
        <f>[1]RESUMEN!D7</f>
        <v>16738493111.9</v>
      </c>
      <c r="E15" s="108">
        <f>((D15*F15)/365)*$D$9</f>
        <v>1004309586.7140001</v>
      </c>
      <c r="F15" s="109">
        <v>0.06</v>
      </c>
      <c r="G15" s="133">
        <v>2</v>
      </c>
      <c r="H15" s="110" t="s">
        <v>69</v>
      </c>
      <c r="I15" s="111">
        <f t="shared" ref="I15:I25" si="0">(((D15*(G15)/1000)/365)*$D$9)</f>
        <v>33476986.2238</v>
      </c>
      <c r="J15" s="111">
        <f>(((E15*(G15/2))/1000)/365)*$D$9</f>
        <v>1004309.5867140001</v>
      </c>
      <c r="K15" s="111">
        <f t="shared" ref="K15:K25" si="1">(I15+J15)*(19/100)</f>
        <v>6551446.2039976604</v>
      </c>
      <c r="L15" s="112">
        <f t="shared" ref="L15:L25" si="2">(I15+J15)+K15</f>
        <v>41032742.01451166</v>
      </c>
      <c r="M15" s="204"/>
      <c r="N15" s="147"/>
    </row>
    <row r="16" spans="1:21" ht="11.45" customHeight="1" x14ac:dyDescent="0.25">
      <c r="A16" s="96"/>
      <c r="B16" s="100"/>
      <c r="C16" s="230" t="s">
        <v>116</v>
      </c>
      <c r="D16" s="134">
        <f>[1]RESUMEN!D13</f>
        <v>643127009.9999795</v>
      </c>
      <c r="E16" s="108">
        <f>((D16*F16)/365)*$D$9</f>
        <v>38587620.599998765</v>
      </c>
      <c r="F16" s="109">
        <v>0.06</v>
      </c>
      <c r="G16" s="133">
        <f t="shared" ref="G16:G23" si="3">$G$15</f>
        <v>2</v>
      </c>
      <c r="H16" s="110" t="s">
        <v>69</v>
      </c>
      <c r="I16" s="111">
        <f t="shared" si="0"/>
        <v>1286254.019999959</v>
      </c>
      <c r="J16" s="111">
        <f>(((E16*(G16/2))/1000)/365)*$D$9</f>
        <v>38587.620599998765</v>
      </c>
      <c r="K16" s="111">
        <f t="shared" si="1"/>
        <v>251719.91171399201</v>
      </c>
      <c r="L16" s="112">
        <f t="shared" si="2"/>
        <v>1576561.5523139499</v>
      </c>
      <c r="M16" s="204"/>
      <c r="N16" s="147"/>
      <c r="O16" s="143"/>
    </row>
    <row r="17" spans="1:15" ht="11.45" customHeight="1" x14ac:dyDescent="0.25">
      <c r="A17" s="96"/>
      <c r="B17" s="100"/>
      <c r="C17" s="230" t="s">
        <v>117</v>
      </c>
      <c r="D17" s="134">
        <f>[1]RESUMEN!D8</f>
        <v>368235745</v>
      </c>
      <c r="E17" s="108">
        <f>((D17*F17)/365)*$D$9</f>
        <v>22094144.699999999</v>
      </c>
      <c r="F17" s="109">
        <v>0.06</v>
      </c>
      <c r="G17" s="133">
        <f t="shared" si="3"/>
        <v>2</v>
      </c>
      <c r="H17" s="110" t="s">
        <v>69</v>
      </c>
      <c r="I17" s="111">
        <f t="shared" si="0"/>
        <v>736471.49</v>
      </c>
      <c r="J17" s="111">
        <f>(((E17*(G17/2))/1000)/365)*$D$9</f>
        <v>22094.144700000001</v>
      </c>
      <c r="K17" s="111">
        <f t="shared" si="1"/>
        <v>144127.47059299998</v>
      </c>
      <c r="L17" s="112">
        <f t="shared" si="2"/>
        <v>902693.10529299988</v>
      </c>
      <c r="M17" s="204"/>
      <c r="N17" s="147"/>
    </row>
    <row r="18" spans="1:15" ht="11.45" customHeight="1" x14ac:dyDescent="0.25">
      <c r="A18" s="96"/>
      <c r="B18" s="100"/>
      <c r="C18" s="230" t="s">
        <v>118</v>
      </c>
      <c r="D18" s="134">
        <f>[1]RESUMEN!D9</f>
        <v>205233173.84098333</v>
      </c>
      <c r="E18" s="322"/>
      <c r="F18" s="323"/>
      <c r="G18" s="133">
        <f t="shared" si="3"/>
        <v>2</v>
      </c>
      <c r="H18" s="110" t="s">
        <v>69</v>
      </c>
      <c r="I18" s="111">
        <f t="shared" si="0"/>
        <v>410466.34768196661</v>
      </c>
      <c r="J18" s="113"/>
      <c r="K18" s="111">
        <f t="shared" si="1"/>
        <v>77988.606059573664</v>
      </c>
      <c r="L18" s="112">
        <f t="shared" si="2"/>
        <v>488454.95374154026</v>
      </c>
      <c r="M18" s="204"/>
      <c r="N18" s="147"/>
    </row>
    <row r="19" spans="1:15" ht="11.45" customHeight="1" x14ac:dyDescent="0.25">
      <c r="A19" s="96"/>
      <c r="B19" s="100"/>
      <c r="C19" s="230" t="s">
        <v>119</v>
      </c>
      <c r="D19" s="134">
        <f>[1]RESUMEN!D10</f>
        <v>118680761</v>
      </c>
      <c r="E19" s="322"/>
      <c r="F19" s="323"/>
      <c r="G19" s="133">
        <f t="shared" si="3"/>
        <v>2</v>
      </c>
      <c r="H19" s="110" t="s">
        <v>69</v>
      </c>
      <c r="I19" s="111">
        <f t="shared" si="0"/>
        <v>237361.522</v>
      </c>
      <c r="J19" s="113"/>
      <c r="K19" s="111">
        <f t="shared" si="1"/>
        <v>45098.689180000001</v>
      </c>
      <c r="L19" s="112">
        <f t="shared" si="2"/>
        <v>282460.21117999998</v>
      </c>
      <c r="M19" s="204"/>
      <c r="N19" s="147"/>
    </row>
    <row r="20" spans="1:15" ht="11.45" customHeight="1" x14ac:dyDescent="0.25">
      <c r="A20" s="96"/>
      <c r="B20" s="100"/>
      <c r="C20" s="230" t="s">
        <v>120</v>
      </c>
      <c r="D20" s="134">
        <f>[1]RESUMEN!D14</f>
        <v>289061590.11000001</v>
      </c>
      <c r="E20" s="108">
        <f>((D20*F20)/365)*$D$9</f>
        <v>17343695.406599998</v>
      </c>
      <c r="F20" s="109">
        <f>$F$15</f>
        <v>0.06</v>
      </c>
      <c r="G20" s="133">
        <f t="shared" si="3"/>
        <v>2</v>
      </c>
      <c r="H20" s="110" t="s">
        <v>69</v>
      </c>
      <c r="I20" s="111">
        <f t="shared" si="0"/>
        <v>578123.18021999998</v>
      </c>
      <c r="J20" s="111">
        <f>(((E20*(G20/2))/1000)/365)*$D$9</f>
        <v>17343.6954066</v>
      </c>
      <c r="K20" s="111">
        <f t="shared" si="1"/>
        <v>113138.70636905399</v>
      </c>
      <c r="L20" s="112">
        <f t="shared" si="2"/>
        <v>708605.58199565404</v>
      </c>
      <c r="M20" s="204"/>
      <c r="N20" s="147"/>
    </row>
    <row r="21" spans="1:15" ht="11.45" customHeight="1" x14ac:dyDescent="0.25">
      <c r="A21" s="96"/>
      <c r="B21" s="100"/>
      <c r="C21" s="180" t="s">
        <v>121</v>
      </c>
      <c r="D21" s="181">
        <f>[1]RESUMEN!D15</f>
        <v>72444160.020000011</v>
      </c>
      <c r="E21" s="108">
        <f>((D21*F21)/365)*$D$9</f>
        <v>4346649.6012000004</v>
      </c>
      <c r="F21" s="167">
        <v>0.06</v>
      </c>
      <c r="G21" s="168">
        <f t="shared" si="3"/>
        <v>2</v>
      </c>
      <c r="H21" s="169" t="s">
        <v>69</v>
      </c>
      <c r="I21" s="108">
        <f t="shared" si="0"/>
        <v>144888.32004000002</v>
      </c>
      <c r="J21" s="108">
        <f>(((E21*(G21/2))/1000)/365)*$D$9</f>
        <v>4346.6496012000007</v>
      </c>
      <c r="K21" s="108">
        <f t="shared" si="1"/>
        <v>28354.644231828006</v>
      </c>
      <c r="L21" s="170">
        <f t="shared" si="2"/>
        <v>177589.61387302805</v>
      </c>
      <c r="M21" s="204"/>
      <c r="N21" s="147"/>
    </row>
    <row r="22" spans="1:15" ht="11.45" customHeight="1" x14ac:dyDescent="0.25">
      <c r="A22" s="96"/>
      <c r="B22" s="100"/>
      <c r="C22" s="230" t="s">
        <v>122</v>
      </c>
      <c r="D22" s="134">
        <v>10000000</v>
      </c>
      <c r="E22" s="322"/>
      <c r="F22" s="323"/>
      <c r="G22" s="133">
        <f t="shared" si="3"/>
        <v>2</v>
      </c>
      <c r="H22" s="110" t="s">
        <v>69</v>
      </c>
      <c r="I22" s="111">
        <f t="shared" si="0"/>
        <v>20000</v>
      </c>
      <c r="J22" s="113"/>
      <c r="K22" s="111">
        <f t="shared" si="1"/>
        <v>3800</v>
      </c>
      <c r="L22" s="112">
        <f t="shared" si="2"/>
        <v>23800</v>
      </c>
      <c r="M22" s="204"/>
      <c r="N22" s="147"/>
    </row>
    <row r="23" spans="1:15" ht="11.45" customHeight="1" x14ac:dyDescent="0.25">
      <c r="A23" s="96"/>
      <c r="B23" s="100"/>
      <c r="C23" s="230" t="s">
        <v>123</v>
      </c>
      <c r="D23" s="134">
        <v>50000000</v>
      </c>
      <c r="E23" s="322"/>
      <c r="F23" s="323"/>
      <c r="G23" s="133">
        <f t="shared" si="3"/>
        <v>2</v>
      </c>
      <c r="H23" s="110" t="s">
        <v>69</v>
      </c>
      <c r="I23" s="111">
        <f t="shared" si="0"/>
        <v>100000</v>
      </c>
      <c r="J23" s="113"/>
      <c r="K23" s="111">
        <f t="shared" si="1"/>
        <v>19000</v>
      </c>
      <c r="L23" s="112">
        <f t="shared" si="2"/>
        <v>119000</v>
      </c>
      <c r="M23" s="204"/>
      <c r="N23" s="147"/>
    </row>
    <row r="24" spans="1:15" ht="11.45" customHeight="1" x14ac:dyDescent="0.25">
      <c r="A24" s="96"/>
      <c r="B24" s="100"/>
      <c r="C24" s="230" t="s">
        <v>124</v>
      </c>
      <c r="D24" s="134">
        <v>1000000000</v>
      </c>
      <c r="E24" s="231"/>
      <c r="F24" s="232"/>
      <c r="G24" s="133">
        <f>G15</f>
        <v>2</v>
      </c>
      <c r="H24" s="110" t="str">
        <f>H15</f>
        <v>‰ (por mil)</v>
      </c>
      <c r="I24" s="111">
        <f t="shared" si="0"/>
        <v>2000000</v>
      </c>
      <c r="J24" s="113"/>
      <c r="K24" s="111">
        <f t="shared" si="1"/>
        <v>380000</v>
      </c>
      <c r="L24" s="112">
        <f t="shared" si="2"/>
        <v>2380000</v>
      </c>
      <c r="M24" s="204"/>
      <c r="N24" s="147"/>
    </row>
    <row r="25" spans="1:15" ht="11.45" customHeight="1" x14ac:dyDescent="0.25">
      <c r="A25" s="96"/>
      <c r="B25" s="100"/>
      <c r="C25" s="230" t="s">
        <v>84</v>
      </c>
      <c r="D25" s="134">
        <v>1000000000</v>
      </c>
      <c r="E25" s="231"/>
      <c r="F25" s="232"/>
      <c r="G25" s="133">
        <f>G15</f>
        <v>2</v>
      </c>
      <c r="H25" s="110" t="str">
        <f>H15</f>
        <v>‰ (por mil)</v>
      </c>
      <c r="I25" s="111">
        <f t="shared" si="0"/>
        <v>2000000</v>
      </c>
      <c r="J25" s="113"/>
      <c r="K25" s="111">
        <f t="shared" si="1"/>
        <v>380000</v>
      </c>
      <c r="L25" s="112">
        <f t="shared" si="2"/>
        <v>2380000</v>
      </c>
      <c r="M25" s="204"/>
      <c r="N25" s="147"/>
      <c r="O25" s="251"/>
    </row>
    <row r="26" spans="1:15" s="139" customFormat="1" ht="11.45" customHeight="1" x14ac:dyDescent="0.25">
      <c r="A26" s="135"/>
      <c r="B26" s="114"/>
      <c r="C26" s="229" t="s">
        <v>4</v>
      </c>
      <c r="D26" s="136">
        <f>SUM(D15:D25)</f>
        <v>20495275551.870964</v>
      </c>
      <c r="E26" s="136">
        <f>SUM(E15:E25)</f>
        <v>1086681697.0217991</v>
      </c>
      <c r="F26" s="137"/>
      <c r="G26" s="138"/>
      <c r="H26" s="115"/>
      <c r="I26" s="136">
        <f>SUM(I15:I25)</f>
        <v>40990551.103741936</v>
      </c>
      <c r="J26" s="136">
        <f>SUM(J15:J25)</f>
        <v>1086681.6970217987</v>
      </c>
      <c r="K26" s="136">
        <f>SUM(K15:K25)</f>
        <v>7994674.2321451074</v>
      </c>
      <c r="L26" s="182">
        <f>SUM(L15:L25)</f>
        <v>50071907.032908835</v>
      </c>
      <c r="M26" s="206"/>
      <c r="N26" s="171"/>
      <c r="O26" s="251"/>
    </row>
    <row r="27" spans="1:15" ht="6" customHeight="1" x14ac:dyDescent="0.25">
      <c r="A27" s="96"/>
      <c r="B27" s="100"/>
      <c r="C27" s="116"/>
      <c r="D27" s="117"/>
      <c r="E27" s="117"/>
      <c r="F27" s="117"/>
      <c r="G27" s="133"/>
      <c r="H27" s="118"/>
      <c r="I27" s="117"/>
      <c r="J27" s="117"/>
      <c r="K27" s="117"/>
      <c r="L27" s="112"/>
      <c r="M27" s="204"/>
      <c r="N27" s="147"/>
      <c r="O27" s="251"/>
    </row>
    <row r="28" spans="1:15" ht="11.45" customHeight="1" x14ac:dyDescent="0.25">
      <c r="A28" s="96"/>
      <c r="B28" s="100"/>
      <c r="C28" s="319" t="s">
        <v>85</v>
      </c>
      <c r="D28" s="320"/>
      <c r="E28" s="320"/>
      <c r="F28" s="320"/>
      <c r="G28" s="320"/>
      <c r="H28" s="320"/>
      <c r="I28" s="320"/>
      <c r="J28" s="320"/>
      <c r="K28" s="320"/>
      <c r="L28" s="321"/>
      <c r="M28" s="204"/>
      <c r="N28" s="147"/>
      <c r="O28" s="251"/>
    </row>
    <row r="29" spans="1:15" ht="11.45" customHeight="1" x14ac:dyDescent="0.25">
      <c r="A29" s="96"/>
      <c r="B29" s="100"/>
      <c r="C29" s="230" t="s">
        <v>76</v>
      </c>
      <c r="D29" s="134">
        <f>[1]RESUMEN!D22</f>
        <v>1143004265</v>
      </c>
      <c r="E29" s="108">
        <f>((D29*F29)/365)*$D$9</f>
        <v>80010298.550000012</v>
      </c>
      <c r="F29" s="109">
        <v>7.0000000000000007E-2</v>
      </c>
      <c r="G29" s="133">
        <v>8.3000000000000007</v>
      </c>
      <c r="H29" s="110" t="s">
        <v>69</v>
      </c>
      <c r="I29" s="111">
        <f>(((D29*(G29)/1000)/365)*$D$9)</f>
        <v>9486935.3994999994</v>
      </c>
      <c r="J29" s="111">
        <f>(((E29*(G29/2))/1000)/365)*$D$9</f>
        <v>332042.7389825001</v>
      </c>
      <c r="K29" s="111">
        <f>(I29+J29)*(19/100)</f>
        <v>1865605.8463116749</v>
      </c>
      <c r="L29" s="112">
        <f>(I29+J29)+K29</f>
        <v>11684583.984794175</v>
      </c>
      <c r="M29" s="204"/>
      <c r="N29" s="147"/>
      <c r="O29" s="251"/>
    </row>
    <row r="30" spans="1:15" ht="11.45" customHeight="1" x14ac:dyDescent="0.25">
      <c r="A30" s="96"/>
      <c r="B30" s="100"/>
      <c r="C30" s="230" t="s">
        <v>86</v>
      </c>
      <c r="D30" s="134">
        <v>200000000</v>
      </c>
      <c r="E30" s="322"/>
      <c r="F30" s="323"/>
      <c r="G30" s="133">
        <v>3.6</v>
      </c>
      <c r="H30" s="110" t="s">
        <v>69</v>
      </c>
      <c r="I30" s="111">
        <f>(((D30*(G30)/1000)/365)*$D$9)</f>
        <v>720000</v>
      </c>
      <c r="J30" s="113"/>
      <c r="K30" s="111">
        <f>(I30+J30)*(19/100)</f>
        <v>136800</v>
      </c>
      <c r="L30" s="112">
        <f>(I30+J30)+K30</f>
        <v>856800</v>
      </c>
      <c r="M30" s="204"/>
      <c r="N30" s="147"/>
      <c r="O30" s="251"/>
    </row>
    <row r="31" spans="1:15" ht="11.45" customHeight="1" x14ac:dyDescent="0.25">
      <c r="A31" s="96"/>
      <c r="B31" s="100"/>
      <c r="C31" s="229" t="s">
        <v>4</v>
      </c>
      <c r="D31" s="136">
        <f>SUM(D29:D30)</f>
        <v>1343004265</v>
      </c>
      <c r="E31" s="119">
        <f>SUM(E29:E30)</f>
        <v>80010298.550000012</v>
      </c>
      <c r="F31" s="137"/>
      <c r="G31" s="138"/>
      <c r="H31" s="115"/>
      <c r="I31" s="119">
        <f>SUM(I29:I30)</f>
        <v>10206935.399499999</v>
      </c>
      <c r="J31" s="119">
        <f>SUM(J29:J30)</f>
        <v>332042.7389825001</v>
      </c>
      <c r="K31" s="119">
        <f>SUM(K29:K30)</f>
        <v>2002405.8463116749</v>
      </c>
      <c r="L31" s="120">
        <f>SUM(L29:L30)</f>
        <v>12541383.984794175</v>
      </c>
      <c r="M31" s="204"/>
      <c r="N31" s="147"/>
      <c r="O31" s="251"/>
    </row>
    <row r="32" spans="1:15" ht="6" customHeight="1" x14ac:dyDescent="0.25">
      <c r="A32" s="96"/>
      <c r="B32" s="100"/>
      <c r="C32" s="116"/>
      <c r="D32" s="117"/>
      <c r="E32" s="117"/>
      <c r="F32" s="117"/>
      <c r="G32" s="133"/>
      <c r="H32" s="118"/>
      <c r="I32" s="117"/>
      <c r="J32" s="117"/>
      <c r="K32" s="117"/>
      <c r="L32" s="112"/>
      <c r="M32" s="204"/>
      <c r="N32" s="147"/>
      <c r="O32" s="251"/>
    </row>
    <row r="33" spans="1:18" ht="11.45" customHeight="1" x14ac:dyDescent="0.25">
      <c r="A33" s="96"/>
      <c r="B33" s="100"/>
      <c r="C33" s="319" t="s">
        <v>87</v>
      </c>
      <c r="D33" s="320"/>
      <c r="E33" s="320"/>
      <c r="F33" s="320"/>
      <c r="G33" s="320"/>
      <c r="H33" s="320"/>
      <c r="I33" s="320"/>
      <c r="J33" s="320"/>
      <c r="K33" s="320"/>
      <c r="L33" s="321"/>
      <c r="M33" s="204"/>
      <c r="N33" s="147"/>
      <c r="O33" s="251"/>
    </row>
    <row r="34" spans="1:18" ht="11.45" customHeight="1" x14ac:dyDescent="0.25">
      <c r="A34" s="96"/>
      <c r="B34" s="100"/>
      <c r="C34" s="230" t="s">
        <v>70</v>
      </c>
      <c r="D34" s="140">
        <f>[1]RESUMEN!D18</f>
        <v>100000000</v>
      </c>
      <c r="E34" s="322"/>
      <c r="F34" s="323"/>
      <c r="G34" s="133">
        <v>4</v>
      </c>
      <c r="H34" s="110" t="s">
        <v>71</v>
      </c>
      <c r="I34" s="111">
        <f>(((D34*(G34)/100)/365)*$D$9)</f>
        <v>4000000</v>
      </c>
      <c r="J34" s="113"/>
      <c r="K34" s="111">
        <f>(I34+J34)*(19/100)</f>
        <v>760000</v>
      </c>
      <c r="L34" s="112">
        <f>(I34+J34)+K34</f>
        <v>4760000</v>
      </c>
      <c r="M34" s="204"/>
      <c r="N34" s="147"/>
      <c r="O34" s="251"/>
    </row>
    <row r="35" spans="1:18" ht="11.25" customHeight="1" x14ac:dyDescent="0.25">
      <c r="A35" s="96"/>
      <c r="B35" s="121"/>
      <c r="C35" s="229" t="s">
        <v>4</v>
      </c>
      <c r="D35" s="122"/>
      <c r="E35" s="122"/>
      <c r="F35" s="122"/>
      <c r="G35" s="122"/>
      <c r="H35" s="122"/>
      <c r="I35" s="122"/>
      <c r="J35" s="122"/>
      <c r="K35" s="122" t="s">
        <v>4</v>
      </c>
      <c r="L35" s="120">
        <f>+L34</f>
        <v>4760000</v>
      </c>
      <c r="M35" s="204"/>
      <c r="N35" s="147"/>
      <c r="O35" s="251"/>
    </row>
    <row r="36" spans="1:18" ht="6" customHeight="1" x14ac:dyDescent="0.25">
      <c r="A36" s="96"/>
      <c r="B36" s="100"/>
      <c r="C36" s="116"/>
      <c r="D36" s="117"/>
      <c r="E36" s="117"/>
      <c r="F36" s="117"/>
      <c r="G36" s="133"/>
      <c r="H36" s="118"/>
      <c r="I36" s="117"/>
      <c r="J36" s="117"/>
      <c r="K36" s="117"/>
      <c r="L36" s="112"/>
      <c r="M36" s="204"/>
      <c r="N36" s="147"/>
      <c r="O36" s="251"/>
    </row>
    <row r="37" spans="1:18" ht="11.45" customHeight="1" x14ac:dyDescent="0.25">
      <c r="A37" s="96"/>
      <c r="B37" s="100"/>
      <c r="C37" s="319" t="s">
        <v>88</v>
      </c>
      <c r="D37" s="320"/>
      <c r="E37" s="320"/>
      <c r="F37" s="320"/>
      <c r="G37" s="320"/>
      <c r="H37" s="320"/>
      <c r="I37" s="320"/>
      <c r="J37" s="320"/>
      <c r="K37" s="320"/>
      <c r="L37" s="321"/>
      <c r="M37" s="204"/>
      <c r="N37" s="147"/>
      <c r="O37" s="251"/>
      <c r="R37" s="123"/>
    </row>
    <row r="38" spans="1:18" ht="11.45" customHeight="1" x14ac:dyDescent="0.25">
      <c r="A38" s="96"/>
      <c r="B38" s="100"/>
      <c r="C38" s="230" t="s">
        <v>70</v>
      </c>
      <c r="D38" s="140">
        <f>[1]RESUMEN!D17</f>
        <v>100000000</v>
      </c>
      <c r="E38" s="322"/>
      <c r="F38" s="323"/>
      <c r="G38" s="133">
        <v>1</v>
      </c>
      <c r="H38" s="110" t="s">
        <v>71</v>
      </c>
      <c r="I38" s="111">
        <f>(((D38*(G38)/100)/365)*$D$9)</f>
        <v>1000000</v>
      </c>
      <c r="J38" s="113"/>
      <c r="K38" s="111">
        <f>(I38+J38)*(19/100)</f>
        <v>190000</v>
      </c>
      <c r="L38" s="112">
        <f>(I38+J38)+K38</f>
        <v>1190000</v>
      </c>
      <c r="M38" s="204"/>
      <c r="N38" s="147"/>
      <c r="O38" s="251"/>
    </row>
    <row r="39" spans="1:18" ht="11.25" customHeight="1" x14ac:dyDescent="0.25">
      <c r="A39" s="96"/>
      <c r="B39" s="100"/>
      <c r="C39" s="324" t="s">
        <v>4</v>
      </c>
      <c r="D39" s="325"/>
      <c r="E39" s="325"/>
      <c r="F39" s="325"/>
      <c r="G39" s="325"/>
      <c r="H39" s="325"/>
      <c r="I39" s="325"/>
      <c r="J39" s="325"/>
      <c r="K39" s="325"/>
      <c r="L39" s="120">
        <f>+L38</f>
        <v>1190000</v>
      </c>
      <c r="M39" s="204"/>
      <c r="N39" s="147"/>
      <c r="O39" s="251"/>
    </row>
    <row r="40" spans="1:18" ht="6" customHeight="1" x14ac:dyDescent="0.25">
      <c r="A40" s="96"/>
      <c r="B40" s="100"/>
      <c r="C40" s="116"/>
      <c r="D40" s="117"/>
      <c r="E40" s="117"/>
      <c r="F40" s="117"/>
      <c r="G40" s="133"/>
      <c r="H40" s="118"/>
      <c r="I40" s="117"/>
      <c r="J40" s="117"/>
      <c r="K40" s="117"/>
      <c r="L40" s="112"/>
      <c r="M40" s="204"/>
      <c r="N40" s="147"/>
      <c r="O40" s="251"/>
    </row>
    <row r="41" spans="1:18" ht="11.45" customHeight="1" x14ac:dyDescent="0.25">
      <c r="A41" s="96"/>
      <c r="B41" s="100"/>
      <c r="C41" s="319" t="s">
        <v>89</v>
      </c>
      <c r="D41" s="320"/>
      <c r="E41" s="320"/>
      <c r="F41" s="320"/>
      <c r="G41" s="320"/>
      <c r="H41" s="320"/>
      <c r="I41" s="320"/>
      <c r="J41" s="320"/>
      <c r="K41" s="320"/>
      <c r="L41" s="321"/>
      <c r="M41" s="204"/>
      <c r="N41" s="147"/>
      <c r="O41" s="251"/>
    </row>
    <row r="42" spans="1:18" ht="11.45" customHeight="1" x14ac:dyDescent="0.25">
      <c r="A42" s="96"/>
      <c r="B42" s="100"/>
      <c r="C42" s="230" t="s">
        <v>70</v>
      </c>
      <c r="D42" s="140">
        <f>[1]RESUMEN!D23</f>
        <v>100000000</v>
      </c>
      <c r="E42" s="322"/>
      <c r="F42" s="323"/>
      <c r="G42" s="133">
        <v>5</v>
      </c>
      <c r="H42" s="110" t="s">
        <v>71</v>
      </c>
      <c r="I42" s="111">
        <f>(((D42*(G42)/100)/365)*$D$9)</f>
        <v>5000000</v>
      </c>
      <c r="J42" s="113"/>
      <c r="K42" s="111">
        <f>(I42+J42)*(19/100)</f>
        <v>950000</v>
      </c>
      <c r="L42" s="112">
        <f>(I42+J42)+K42</f>
        <v>5950000</v>
      </c>
      <c r="M42" s="204"/>
      <c r="N42" s="147"/>
      <c r="O42" s="251"/>
    </row>
    <row r="43" spans="1:18" ht="11.25" customHeight="1" x14ac:dyDescent="0.25">
      <c r="A43" s="96"/>
      <c r="B43" s="100"/>
      <c r="C43" s="324" t="s">
        <v>4</v>
      </c>
      <c r="D43" s="325"/>
      <c r="E43" s="325"/>
      <c r="F43" s="325"/>
      <c r="G43" s="325"/>
      <c r="H43" s="325"/>
      <c r="I43" s="325"/>
      <c r="J43" s="325"/>
      <c r="K43" s="325"/>
      <c r="L43" s="120">
        <f>+L42</f>
        <v>5950000</v>
      </c>
      <c r="M43" s="204"/>
      <c r="N43" s="147"/>
      <c r="O43" s="251"/>
    </row>
    <row r="44" spans="1:18" ht="6" customHeight="1" x14ac:dyDescent="0.25">
      <c r="A44" s="96"/>
      <c r="B44" s="100"/>
      <c r="C44" s="116"/>
      <c r="D44" s="117"/>
      <c r="E44" s="117"/>
      <c r="F44" s="117"/>
      <c r="G44" s="133"/>
      <c r="H44" s="118"/>
      <c r="I44" s="117"/>
      <c r="J44" s="117"/>
      <c r="K44" s="117"/>
      <c r="L44" s="112"/>
      <c r="M44" s="204"/>
      <c r="N44" s="147"/>
      <c r="O44" s="251"/>
    </row>
    <row r="45" spans="1:18" ht="11.45" customHeight="1" x14ac:dyDescent="0.25">
      <c r="A45" s="96"/>
      <c r="B45" s="100"/>
      <c r="C45" s="319" t="s">
        <v>90</v>
      </c>
      <c r="D45" s="320"/>
      <c r="E45" s="320"/>
      <c r="F45" s="320"/>
      <c r="G45" s="320"/>
      <c r="H45" s="320"/>
      <c r="I45" s="320"/>
      <c r="J45" s="320"/>
      <c r="K45" s="320"/>
      <c r="L45" s="321"/>
      <c r="M45" s="204"/>
      <c r="N45" s="147"/>
      <c r="O45" s="251"/>
    </row>
    <row r="46" spans="1:18" ht="11.45" customHeight="1" x14ac:dyDescent="0.25">
      <c r="A46" s="96"/>
      <c r="B46" s="100"/>
      <c r="C46" s="230" t="s">
        <v>77</v>
      </c>
      <c r="D46" s="140">
        <f>[1]RESUMEN!D20</f>
        <v>1530900000</v>
      </c>
      <c r="E46" s="322"/>
      <c r="F46" s="323"/>
      <c r="G46" s="133">
        <v>4</v>
      </c>
      <c r="H46" s="110" t="s">
        <v>71</v>
      </c>
      <c r="I46" s="111">
        <f>(((D46*G46)/100)/365)*$D$9</f>
        <v>61236000</v>
      </c>
      <c r="J46" s="113"/>
      <c r="K46" s="111">
        <f>(I46+J46)*(19/100)</f>
        <v>11634840</v>
      </c>
      <c r="L46" s="112">
        <f>(I46+J46)+K46</f>
        <v>72870840</v>
      </c>
      <c r="M46" s="204"/>
      <c r="N46" s="147"/>
      <c r="O46" s="251"/>
    </row>
    <row r="47" spans="1:18" ht="11.45" customHeight="1" x14ac:dyDescent="0.25">
      <c r="A47" s="96"/>
      <c r="B47" s="100"/>
      <c r="C47" s="230" t="s">
        <v>91</v>
      </c>
      <c r="D47" s="140">
        <f>[1]RESUMEN!D21</f>
        <v>52000000</v>
      </c>
      <c r="E47" s="322"/>
      <c r="F47" s="323"/>
      <c r="G47" s="133">
        <v>7</v>
      </c>
      <c r="H47" s="110" t="s">
        <v>71</v>
      </c>
      <c r="I47" s="111">
        <f>(((D47*G47)/100)/365)*$D$9</f>
        <v>3640000</v>
      </c>
      <c r="J47" s="113"/>
      <c r="K47" s="111">
        <f>(I47+J47)*(19/100)</f>
        <v>691600</v>
      </c>
      <c r="L47" s="112">
        <f>(I47+J47)+K47</f>
        <v>4331600</v>
      </c>
      <c r="M47" s="204"/>
      <c r="N47" s="147"/>
      <c r="O47" s="251"/>
    </row>
    <row r="48" spans="1:18" ht="11.25" customHeight="1" x14ac:dyDescent="0.25">
      <c r="A48" s="96"/>
      <c r="B48" s="100"/>
      <c r="C48" s="172"/>
      <c r="D48" s="207">
        <f>SUM(D46:D47)</f>
        <v>1582900000</v>
      </c>
      <c r="E48" s="115"/>
      <c r="F48" s="115"/>
      <c r="G48" s="115"/>
      <c r="H48" s="115"/>
      <c r="I48" s="115"/>
      <c r="J48" s="115"/>
      <c r="K48" s="208" t="s">
        <v>4</v>
      </c>
      <c r="L48" s="120">
        <f>SUM(L46:L47)</f>
        <v>77202440</v>
      </c>
      <c r="M48" s="204"/>
      <c r="N48" s="147"/>
      <c r="O48" s="251"/>
    </row>
    <row r="49" spans="1:20" ht="6" customHeight="1" x14ac:dyDescent="0.25">
      <c r="A49" s="96"/>
      <c r="B49" s="100"/>
      <c r="C49" s="116"/>
      <c r="D49" s="117"/>
      <c r="E49" s="117"/>
      <c r="F49" s="117"/>
      <c r="G49" s="133"/>
      <c r="H49" s="118"/>
      <c r="I49" s="117"/>
      <c r="J49" s="117"/>
      <c r="K49" s="117"/>
      <c r="L49" s="112"/>
      <c r="M49" s="204"/>
      <c r="N49" s="147"/>
      <c r="O49" s="251"/>
    </row>
    <row r="50" spans="1:20" ht="11.45" customHeight="1" x14ac:dyDescent="0.25">
      <c r="A50" s="96"/>
      <c r="B50" s="100"/>
      <c r="C50" s="319" t="s">
        <v>80</v>
      </c>
      <c r="D50" s="320"/>
      <c r="E50" s="320"/>
      <c r="F50" s="320"/>
      <c r="G50" s="320"/>
      <c r="H50" s="320"/>
      <c r="I50" s="320"/>
      <c r="J50" s="320"/>
      <c r="K50" s="320"/>
      <c r="L50" s="321"/>
      <c r="M50" s="204"/>
      <c r="N50" s="147"/>
      <c r="O50" s="251"/>
    </row>
    <row r="51" spans="1:20" ht="11.45" customHeight="1" x14ac:dyDescent="0.25">
      <c r="A51" s="96"/>
      <c r="B51" s="100"/>
      <c r="C51" s="230" t="s">
        <v>77</v>
      </c>
      <c r="D51" s="141" t="s">
        <v>97</v>
      </c>
      <c r="E51" s="322"/>
      <c r="F51" s="323"/>
      <c r="G51" s="322"/>
      <c r="H51" s="323"/>
      <c r="I51" s="111">
        <v>1000000</v>
      </c>
      <c r="J51" s="113"/>
      <c r="K51" s="111">
        <f>(I51+J51)*(19/100)</f>
        <v>190000</v>
      </c>
      <c r="L51" s="112">
        <f>(I51+J51)+K51</f>
        <v>1190000</v>
      </c>
      <c r="M51" s="204"/>
      <c r="N51" s="147"/>
      <c r="O51" s="251"/>
    </row>
    <row r="52" spans="1:20" ht="11.25" customHeight="1" x14ac:dyDescent="0.25">
      <c r="A52" s="96"/>
      <c r="B52" s="100"/>
      <c r="C52" s="324" t="s">
        <v>4</v>
      </c>
      <c r="D52" s="325"/>
      <c r="E52" s="325"/>
      <c r="F52" s="325"/>
      <c r="G52" s="325"/>
      <c r="H52" s="325"/>
      <c r="I52" s="325"/>
      <c r="J52" s="325"/>
      <c r="K52" s="325"/>
      <c r="L52" s="120">
        <f>+L51</f>
        <v>1190000</v>
      </c>
      <c r="M52" s="204"/>
      <c r="N52" s="147"/>
      <c r="O52" s="251"/>
      <c r="P52" s="144"/>
      <c r="Q52" s="143"/>
    </row>
    <row r="53" spans="1:20" ht="6" customHeight="1" x14ac:dyDescent="0.25">
      <c r="A53" s="96"/>
      <c r="B53" s="100"/>
      <c r="C53" s="116"/>
      <c r="D53" s="117"/>
      <c r="E53" s="117"/>
      <c r="F53" s="117"/>
      <c r="G53" s="133"/>
      <c r="H53" s="118"/>
      <c r="I53" s="117"/>
      <c r="J53" s="117"/>
      <c r="K53" s="117"/>
      <c r="L53" s="112"/>
      <c r="M53" s="204"/>
      <c r="N53" s="147"/>
      <c r="O53" s="251"/>
    </row>
    <row r="54" spans="1:20" ht="11.45" customHeight="1" x14ac:dyDescent="0.25">
      <c r="A54" s="96"/>
      <c r="B54" s="100"/>
      <c r="C54" s="319" t="s">
        <v>92</v>
      </c>
      <c r="D54" s="320"/>
      <c r="E54" s="320"/>
      <c r="F54" s="320"/>
      <c r="G54" s="320"/>
      <c r="H54" s="320"/>
      <c r="I54" s="320"/>
      <c r="J54" s="320"/>
      <c r="K54" s="320"/>
      <c r="L54" s="321"/>
      <c r="M54" s="204"/>
      <c r="N54" s="147"/>
      <c r="O54" s="251"/>
    </row>
    <row r="55" spans="1:20" ht="11.45" customHeight="1" x14ac:dyDescent="0.25">
      <c r="A55" s="96"/>
      <c r="B55" s="100"/>
      <c r="C55" s="230" t="s">
        <v>93</v>
      </c>
      <c r="D55" s="140">
        <f>+[2]RESUMEN!D26</f>
        <v>1501441040</v>
      </c>
      <c r="E55" s="322"/>
      <c r="F55" s="323"/>
      <c r="G55" s="133">
        <v>7</v>
      </c>
      <c r="H55" s="110" t="s">
        <v>69</v>
      </c>
      <c r="I55" s="111">
        <f>(((D55*G55)/1000)/365)*$D$9</f>
        <v>10510087.279999999</v>
      </c>
      <c r="J55" s="113"/>
      <c r="K55" s="113"/>
      <c r="L55" s="112">
        <f>I55</f>
        <v>10510087.279999999</v>
      </c>
      <c r="M55" s="204"/>
      <c r="N55" s="147"/>
      <c r="O55" s="251"/>
    </row>
    <row r="56" spans="1:20" ht="11.25" customHeight="1" x14ac:dyDescent="0.25">
      <c r="A56" s="96"/>
      <c r="B56" s="100"/>
      <c r="C56" s="324" t="s">
        <v>4</v>
      </c>
      <c r="D56" s="325"/>
      <c r="E56" s="325"/>
      <c r="F56" s="325"/>
      <c r="G56" s="325"/>
      <c r="H56" s="325"/>
      <c r="I56" s="325"/>
      <c r="J56" s="325"/>
      <c r="K56" s="325"/>
      <c r="L56" s="120">
        <f>+L55</f>
        <v>10510087.279999999</v>
      </c>
      <c r="M56" s="204"/>
      <c r="N56" s="147"/>
      <c r="O56" s="251"/>
    </row>
    <row r="57" spans="1:20" ht="6" customHeight="1" x14ac:dyDescent="0.25">
      <c r="A57" s="96"/>
      <c r="B57" s="100"/>
      <c r="C57" s="116"/>
      <c r="D57" s="117"/>
      <c r="E57" s="117"/>
      <c r="F57" s="117"/>
      <c r="G57" s="133"/>
      <c r="H57" s="118"/>
      <c r="I57" s="117"/>
      <c r="J57" s="117"/>
      <c r="K57" s="117"/>
      <c r="L57" s="112"/>
      <c r="M57" s="204"/>
      <c r="N57" s="147"/>
      <c r="O57" s="251"/>
    </row>
    <row r="58" spans="1:20" ht="11.45" customHeight="1" x14ac:dyDescent="0.25">
      <c r="A58" s="96"/>
      <c r="B58" s="100"/>
      <c r="C58" s="319" t="s">
        <v>94</v>
      </c>
      <c r="D58" s="320"/>
      <c r="E58" s="320"/>
      <c r="F58" s="320"/>
      <c r="G58" s="320"/>
      <c r="H58" s="320"/>
      <c r="I58" s="320"/>
      <c r="J58" s="320"/>
      <c r="K58" s="320"/>
      <c r="L58" s="321"/>
      <c r="M58" s="204"/>
      <c r="N58" s="147"/>
      <c r="O58" s="251"/>
    </row>
    <row r="59" spans="1:20" ht="11.25" customHeight="1" x14ac:dyDescent="0.25">
      <c r="A59" s="96"/>
      <c r="B59" s="100"/>
      <c r="C59" s="230" t="s">
        <v>77</v>
      </c>
      <c r="D59" s="330"/>
      <c r="E59" s="330"/>
      <c r="F59" s="330"/>
      <c r="G59" s="330"/>
      <c r="H59" s="330"/>
      <c r="I59" s="330"/>
      <c r="J59" s="330"/>
      <c r="K59" s="330"/>
      <c r="L59" s="112">
        <f>[1]RESUMEN!D25</f>
        <v>13578390</v>
      </c>
      <c r="M59" s="204"/>
      <c r="N59" s="147"/>
      <c r="O59" s="251"/>
      <c r="T59" s="144"/>
    </row>
    <row r="60" spans="1:20" ht="11.25" customHeight="1" x14ac:dyDescent="0.25">
      <c r="A60" s="96"/>
      <c r="B60" s="100"/>
      <c r="C60" s="324" t="s">
        <v>4</v>
      </c>
      <c r="D60" s="325"/>
      <c r="E60" s="325"/>
      <c r="F60" s="325"/>
      <c r="G60" s="325"/>
      <c r="H60" s="325"/>
      <c r="I60" s="325"/>
      <c r="J60" s="325"/>
      <c r="K60" s="325"/>
      <c r="L60" s="120">
        <f>+L59</f>
        <v>13578390</v>
      </c>
      <c r="M60" s="204"/>
      <c r="N60" s="147"/>
      <c r="O60" s="144"/>
    </row>
    <row r="61" spans="1:20" ht="6" customHeight="1" thickBot="1" x14ac:dyDescent="0.3">
      <c r="A61" s="96"/>
      <c r="B61" s="100"/>
      <c r="C61" s="116"/>
      <c r="D61" s="117"/>
      <c r="E61" s="117"/>
      <c r="F61" s="117"/>
      <c r="G61" s="133"/>
      <c r="H61" s="118"/>
      <c r="I61" s="117"/>
      <c r="J61" s="117"/>
      <c r="K61" s="117"/>
      <c r="L61" s="112"/>
      <c r="M61" s="204"/>
      <c r="N61" s="147"/>
    </row>
    <row r="62" spans="1:20" ht="11.45" customHeight="1" x14ac:dyDescent="0.25">
      <c r="A62" s="96"/>
      <c r="B62" s="100"/>
      <c r="C62" s="319" t="s">
        <v>95</v>
      </c>
      <c r="D62" s="320"/>
      <c r="E62" s="320"/>
      <c r="F62" s="320"/>
      <c r="G62" s="320"/>
      <c r="H62" s="320"/>
      <c r="I62" s="320"/>
      <c r="J62" s="320"/>
      <c r="K62" s="320"/>
      <c r="L62" s="321"/>
      <c r="M62" s="204"/>
      <c r="N62" s="147"/>
      <c r="O62" s="209" t="s">
        <v>98</v>
      </c>
      <c r="P62" s="210">
        <f>+L26+L31+L35+L39+L43+L48+L52</f>
        <v>152905731.017703</v>
      </c>
    </row>
    <row r="63" spans="1:20" ht="11.45" customHeight="1" x14ac:dyDescent="0.25">
      <c r="A63" s="96"/>
      <c r="B63" s="100"/>
      <c r="C63" s="331" t="s">
        <v>81</v>
      </c>
      <c r="D63" s="332"/>
      <c r="E63" s="332"/>
      <c r="F63" s="332"/>
      <c r="G63" s="332"/>
      <c r="H63" s="332"/>
      <c r="I63" s="332"/>
      <c r="J63" s="332"/>
      <c r="K63" s="332"/>
      <c r="L63" s="112">
        <v>5000000</v>
      </c>
      <c r="M63" s="204"/>
      <c r="N63" s="147"/>
      <c r="O63" s="211" t="s">
        <v>99</v>
      </c>
      <c r="P63" s="112">
        <f>+L56</f>
        <v>10510087.279999999</v>
      </c>
    </row>
    <row r="64" spans="1:20" ht="11.25" customHeight="1" x14ac:dyDescent="0.25">
      <c r="A64" s="96"/>
      <c r="B64" s="100"/>
      <c r="C64" s="324" t="s">
        <v>4</v>
      </c>
      <c r="D64" s="325"/>
      <c r="E64" s="325"/>
      <c r="F64" s="325"/>
      <c r="G64" s="325"/>
      <c r="H64" s="325"/>
      <c r="I64" s="325"/>
      <c r="J64" s="325"/>
      <c r="K64" s="325"/>
      <c r="L64" s="120">
        <f>+L63</f>
        <v>5000000</v>
      </c>
      <c r="M64" s="204"/>
      <c r="N64" s="147"/>
      <c r="O64" s="211" t="s">
        <v>100</v>
      </c>
      <c r="P64" s="112">
        <f>+L60</f>
        <v>13578390</v>
      </c>
    </row>
    <row r="65" spans="1:17" x14ac:dyDescent="0.25">
      <c r="A65" s="96"/>
      <c r="B65" s="100"/>
      <c r="C65" s="116"/>
      <c r="D65" s="117"/>
      <c r="E65" s="117"/>
      <c r="F65" s="117"/>
      <c r="G65" s="133"/>
      <c r="H65" s="118"/>
      <c r="I65" s="117"/>
      <c r="J65" s="117"/>
      <c r="K65" s="117"/>
      <c r="L65" s="112"/>
      <c r="M65" s="204"/>
      <c r="N65" s="147"/>
      <c r="O65" s="211" t="s">
        <v>102</v>
      </c>
      <c r="P65" s="112">
        <f>+L64</f>
        <v>5000000</v>
      </c>
    </row>
    <row r="66" spans="1:17" ht="12" customHeight="1" x14ac:dyDescent="0.25">
      <c r="A66" s="96"/>
      <c r="B66" s="100"/>
      <c r="C66" s="326" t="s">
        <v>72</v>
      </c>
      <c r="D66" s="327"/>
      <c r="E66" s="327"/>
      <c r="F66" s="327"/>
      <c r="G66" s="327"/>
      <c r="H66" s="327"/>
      <c r="I66" s="327"/>
      <c r="J66" s="327"/>
      <c r="K66" s="327"/>
      <c r="L66" s="145">
        <f>L26+L31+L35+L39+L43+L48+L52+L56+L60+L64</f>
        <v>181994208.297703</v>
      </c>
      <c r="M66" s="204"/>
      <c r="N66" s="147"/>
      <c r="O66" s="212" t="s">
        <v>4</v>
      </c>
      <c r="P66" s="145">
        <f>SUM(P62:P65)</f>
        <v>181994208.297703</v>
      </c>
      <c r="Q66" s="143"/>
    </row>
    <row r="67" spans="1:17" ht="12" customHeight="1" thickBot="1" x14ac:dyDescent="0.3">
      <c r="A67" s="96"/>
      <c r="B67" s="100"/>
      <c r="C67" s="326" t="s">
        <v>101</v>
      </c>
      <c r="D67" s="327"/>
      <c r="E67" s="327"/>
      <c r="F67" s="327"/>
      <c r="G67" s="327"/>
      <c r="H67" s="327"/>
      <c r="I67" s="327"/>
      <c r="J67" s="327"/>
      <c r="K67" s="327"/>
      <c r="L67" s="145">
        <v>182000000</v>
      </c>
      <c r="M67" s="204"/>
      <c r="N67" s="147"/>
      <c r="O67" s="213" t="s">
        <v>125</v>
      </c>
      <c r="P67" s="214">
        <f>+P66/1300000</f>
        <v>139.99554484438693</v>
      </c>
    </row>
    <row r="68" spans="1:17" ht="12" customHeight="1" thickBot="1" x14ac:dyDescent="0.3">
      <c r="A68" s="96"/>
      <c r="B68" s="100"/>
      <c r="C68" s="328" t="s">
        <v>103</v>
      </c>
      <c r="D68" s="329"/>
      <c r="E68" s="329"/>
      <c r="F68" s="329"/>
      <c r="G68" s="329"/>
      <c r="H68" s="329"/>
      <c r="I68" s="329"/>
      <c r="J68" s="329"/>
      <c r="K68" s="329"/>
      <c r="L68" s="146">
        <f>L66-L67</f>
        <v>-5791.7022970020771</v>
      </c>
      <c r="M68" s="204"/>
      <c r="N68" s="147"/>
    </row>
    <row r="69" spans="1:17" ht="11.45" customHeight="1" x14ac:dyDescent="0.25">
      <c r="B69" s="124"/>
      <c r="C69" s="125"/>
      <c r="D69" s="126"/>
      <c r="E69" s="126"/>
      <c r="F69" s="126"/>
      <c r="G69" s="142"/>
      <c r="H69" s="126"/>
      <c r="I69" s="126"/>
      <c r="J69" s="126"/>
      <c r="K69" s="126"/>
      <c r="L69" s="126"/>
      <c r="M69" s="127"/>
    </row>
    <row r="72" spans="1:17" x14ac:dyDescent="0.25">
      <c r="H72" s="144"/>
    </row>
    <row r="75" spans="1:17" x14ac:dyDescent="0.25">
      <c r="P75" s="215"/>
    </row>
    <row r="76" spans="1:17" x14ac:dyDescent="0.25">
      <c r="P76" s="215"/>
    </row>
    <row r="77" spans="1:17" x14ac:dyDescent="0.25">
      <c r="P77" s="215"/>
    </row>
  </sheetData>
  <mergeCells count="45">
    <mergeCell ref="C66:K66"/>
    <mergeCell ref="C67:K67"/>
    <mergeCell ref="C68:K68"/>
    <mergeCell ref="C58:L58"/>
    <mergeCell ref="D59:K59"/>
    <mergeCell ref="C60:K60"/>
    <mergeCell ref="C62:L62"/>
    <mergeCell ref="C63:K63"/>
    <mergeCell ref="C64:K64"/>
    <mergeCell ref="C56:K56"/>
    <mergeCell ref="E42:F42"/>
    <mergeCell ref="C43:K43"/>
    <mergeCell ref="C45:L45"/>
    <mergeCell ref="E46:F46"/>
    <mergeCell ref="E47:F47"/>
    <mergeCell ref="C50:L50"/>
    <mergeCell ref="E51:F51"/>
    <mergeCell ref="G51:H51"/>
    <mergeCell ref="C52:K52"/>
    <mergeCell ref="C54:L54"/>
    <mergeCell ref="E55:F55"/>
    <mergeCell ref="C41:L41"/>
    <mergeCell ref="E18:F18"/>
    <mergeCell ref="E19:F19"/>
    <mergeCell ref="E22:F22"/>
    <mergeCell ref="E23:F23"/>
    <mergeCell ref="C28:L28"/>
    <mergeCell ref="E30:F30"/>
    <mergeCell ref="C33:L33"/>
    <mergeCell ref="E34:F34"/>
    <mergeCell ref="C37:L37"/>
    <mergeCell ref="E38:F38"/>
    <mergeCell ref="C39:K39"/>
    <mergeCell ref="C14:L14"/>
    <mergeCell ref="B1:C1"/>
    <mergeCell ref="C2:L2"/>
    <mergeCell ref="C3:L3"/>
    <mergeCell ref="C4:L4"/>
    <mergeCell ref="D5:F5"/>
    <mergeCell ref="D6:F6"/>
    <mergeCell ref="D7:F7"/>
    <mergeCell ref="D8:F8"/>
    <mergeCell ref="D9:F9"/>
    <mergeCell ref="G11:H11"/>
    <mergeCell ref="C13:L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BCDF0-E631-4534-B004-0B77DDB3C2F2}">
  <dimension ref="A1:I36"/>
  <sheetViews>
    <sheetView tabSelected="1" workbookViewId="0">
      <selection activeCell="K34" sqref="K33:K34"/>
    </sheetView>
  </sheetViews>
  <sheetFormatPr baseColWidth="10" defaultColWidth="11.42578125" defaultRowHeight="12.75" x14ac:dyDescent="0.25"/>
  <cols>
    <col min="1" max="1" width="5.140625" style="179" customWidth="1"/>
    <col min="2" max="2" width="39.42578125" style="179" customWidth="1"/>
    <col min="3" max="3" width="14.42578125" style="179" bestFit="1" customWidth="1"/>
    <col min="4" max="6" width="13.85546875" style="197" bestFit="1" customWidth="1"/>
    <col min="7" max="7" width="13.85546875" style="179" bestFit="1" customWidth="1"/>
    <col min="8" max="8" width="11.5703125" style="179" bestFit="1" customWidth="1"/>
    <col min="9" max="16384" width="11.42578125" style="179"/>
  </cols>
  <sheetData>
    <row r="1" spans="2:7" x14ac:dyDescent="0.25">
      <c r="B1" s="177"/>
    </row>
    <row r="2" spans="2:7" x14ac:dyDescent="0.25">
      <c r="B2" s="178"/>
      <c r="C2" s="198"/>
    </row>
    <row r="3" spans="2:7" x14ac:dyDescent="0.25">
      <c r="B3" s="334"/>
      <c r="C3" s="335" t="s">
        <v>128</v>
      </c>
      <c r="D3" s="335"/>
      <c r="E3" s="335"/>
      <c r="F3" s="335"/>
      <c r="G3" s="335"/>
    </row>
    <row r="4" spans="2:7" ht="26.25" customHeight="1" x14ac:dyDescent="0.25">
      <c r="B4" s="334"/>
      <c r="C4" s="333" t="s">
        <v>136</v>
      </c>
      <c r="D4" s="333"/>
      <c r="E4" s="333"/>
      <c r="F4" s="333"/>
      <c r="G4" s="333"/>
    </row>
    <row r="5" spans="2:7" x14ac:dyDescent="0.25">
      <c r="B5" s="334"/>
      <c r="C5" s="333" t="s">
        <v>53</v>
      </c>
      <c r="D5" s="333"/>
      <c r="E5" s="333"/>
      <c r="F5" s="333"/>
      <c r="G5" s="333"/>
    </row>
    <row r="6" spans="2:7" ht="23.25" customHeight="1" thickBot="1" x14ac:dyDescent="0.3">
      <c r="B6" s="334"/>
      <c r="C6" s="333" t="s">
        <v>127</v>
      </c>
      <c r="D6" s="333"/>
      <c r="E6" s="333"/>
      <c r="F6" s="333"/>
      <c r="G6" s="333"/>
    </row>
    <row r="7" spans="2:7" ht="26.25" thickBot="1" x14ac:dyDescent="0.3">
      <c r="B7" s="256" t="s">
        <v>0</v>
      </c>
      <c r="C7" s="257" t="s">
        <v>14</v>
      </c>
      <c r="D7" s="258" t="s">
        <v>115</v>
      </c>
      <c r="E7" s="259" t="s">
        <v>55</v>
      </c>
      <c r="F7" s="260" t="s">
        <v>79</v>
      </c>
      <c r="G7" s="261" t="s">
        <v>56</v>
      </c>
    </row>
    <row r="8" spans="2:7" ht="13.5" thickBot="1" x14ac:dyDescent="0.3">
      <c r="B8" s="266" t="s">
        <v>104</v>
      </c>
      <c r="C8" s="267"/>
      <c r="D8" s="267"/>
      <c r="E8" s="267"/>
      <c r="F8" s="267"/>
      <c r="G8" s="268"/>
    </row>
    <row r="9" spans="2:7" x14ac:dyDescent="0.25">
      <c r="B9" s="262" t="s">
        <v>96</v>
      </c>
      <c r="C9" s="263">
        <v>16738493111.9</v>
      </c>
      <c r="D9" s="264">
        <f>'COMPAÑIA UNO'!G10</f>
        <v>39837613.606321998</v>
      </c>
      <c r="E9" s="263">
        <f>'COMPAÑIA DOS'!G10</f>
        <v>35853852.245689794</v>
      </c>
      <c r="F9" s="265">
        <f>'COMPAÑIA TRES'!L15</f>
        <v>41032742.01451166</v>
      </c>
      <c r="G9" s="264">
        <f>(D9+E9+F9)/3</f>
        <v>38908069.288841151</v>
      </c>
    </row>
    <row r="10" spans="2:7" x14ac:dyDescent="0.25">
      <c r="B10" s="216" t="s">
        <v>116</v>
      </c>
      <c r="C10" s="252">
        <v>643127009.9999795</v>
      </c>
      <c r="D10" s="253">
        <f>'COMPAÑIA UNO'!G11</f>
        <v>1530642.2837999512</v>
      </c>
      <c r="E10" s="252">
        <f>'COMPAÑIA DOS'!G11</f>
        <v>1377578.0554199559</v>
      </c>
      <c r="F10" s="254">
        <f>'COMPAÑIA TRES'!L16</f>
        <v>1576561.5523139499</v>
      </c>
      <c r="G10" s="253">
        <f t="shared" ref="G10:G19" si="0">(D10+E10+F10)/3</f>
        <v>1494927.2971779525</v>
      </c>
    </row>
    <row r="11" spans="2:7" x14ac:dyDescent="0.25">
      <c r="B11" s="216" t="s">
        <v>117</v>
      </c>
      <c r="C11" s="252">
        <v>368235745</v>
      </c>
      <c r="D11" s="253">
        <f>'COMPAÑIA UNO'!G12</f>
        <v>876401.07309999992</v>
      </c>
      <c r="E11" s="252">
        <f>'COMPAÑIA DOS'!G12</f>
        <v>788760.96579000005</v>
      </c>
      <c r="F11" s="254">
        <f>'COMPAÑIA TRES'!L17</f>
        <v>902693.10529299988</v>
      </c>
      <c r="G11" s="253">
        <f t="shared" si="0"/>
        <v>855951.71472766658</v>
      </c>
    </row>
    <row r="12" spans="2:7" x14ac:dyDescent="0.25">
      <c r="B12" s="216" t="s">
        <v>118</v>
      </c>
      <c r="C12" s="252">
        <v>205233173.84098333</v>
      </c>
      <c r="D12" s="253">
        <f>'COMPAÑIA UNO'!G13</f>
        <v>488454.95374154026</v>
      </c>
      <c r="E12" s="252">
        <f>'COMPAÑIA DOS'!G13</f>
        <v>439609.45836738631</v>
      </c>
      <c r="F12" s="254">
        <f>'COMPAÑIA TRES'!L18</f>
        <v>488454.95374154026</v>
      </c>
      <c r="G12" s="253">
        <f t="shared" si="0"/>
        <v>472173.12195015559</v>
      </c>
    </row>
    <row r="13" spans="2:7" ht="25.5" x14ac:dyDescent="0.25">
      <c r="B13" s="216" t="s">
        <v>119</v>
      </c>
      <c r="C13" s="252">
        <v>118680761</v>
      </c>
      <c r="D13" s="253">
        <f>'COMPAÑIA UNO'!G14</f>
        <v>282460.21117999998</v>
      </c>
      <c r="E13" s="252">
        <f>'COMPAÑIA DOS'!G14</f>
        <v>254214.19006200007</v>
      </c>
      <c r="F13" s="254">
        <f>'COMPAÑIA TRES'!L19</f>
        <v>282460.21117999998</v>
      </c>
      <c r="G13" s="253">
        <f t="shared" si="0"/>
        <v>273044.87080733333</v>
      </c>
    </row>
    <row r="14" spans="2:7" x14ac:dyDescent="0.25">
      <c r="B14" s="216" t="s">
        <v>120</v>
      </c>
      <c r="C14" s="252">
        <v>289061590.11000001</v>
      </c>
      <c r="D14" s="253">
        <f>'COMPAÑIA UNO'!G15</f>
        <v>687966.58446179994</v>
      </c>
      <c r="E14" s="252">
        <f>'COMPAÑIA DOS'!G15</f>
        <v>619169.92601562</v>
      </c>
      <c r="F14" s="254">
        <f>'COMPAÑIA TRES'!L20</f>
        <v>708605.58199565404</v>
      </c>
      <c r="G14" s="253">
        <f t="shared" si="0"/>
        <v>671914.03082435799</v>
      </c>
    </row>
    <row r="15" spans="2:7" x14ac:dyDescent="0.25">
      <c r="B15" s="216" t="s">
        <v>121</v>
      </c>
      <c r="C15" s="252">
        <v>72444160.020000011</v>
      </c>
      <c r="D15" s="253">
        <f>'COMPAÑIA UNO'!G16</f>
        <v>172417.10084760003</v>
      </c>
      <c r="E15" s="252">
        <f>'COMPAÑIA DOS'!G16</f>
        <v>155175.39076284002</v>
      </c>
      <c r="F15" s="254">
        <f>'COMPAÑIA TRES'!L21</f>
        <v>177589.61387302805</v>
      </c>
      <c r="G15" s="253">
        <f t="shared" si="0"/>
        <v>168394.03516115606</v>
      </c>
    </row>
    <row r="16" spans="2:7" x14ac:dyDescent="0.25">
      <c r="B16" s="216" t="s">
        <v>122</v>
      </c>
      <c r="C16" s="252">
        <v>10000000</v>
      </c>
      <c r="D16" s="253">
        <f>'COMPAÑIA UNO'!G17</f>
        <v>23800</v>
      </c>
      <c r="E16" s="252">
        <f>'COMPAÑIA DOS'!G17</f>
        <v>21420</v>
      </c>
      <c r="F16" s="254">
        <f>'COMPAÑIA TRES'!L22</f>
        <v>23800</v>
      </c>
      <c r="G16" s="253">
        <f t="shared" si="0"/>
        <v>23006.666666666668</v>
      </c>
    </row>
    <row r="17" spans="2:9" x14ac:dyDescent="0.25">
      <c r="B17" s="216" t="s">
        <v>123</v>
      </c>
      <c r="C17" s="252">
        <v>50000000</v>
      </c>
      <c r="D17" s="253">
        <f>'COMPAÑIA UNO'!G18</f>
        <v>119000</v>
      </c>
      <c r="E17" s="252">
        <f>'COMPAÑIA DOS'!G18</f>
        <v>107100</v>
      </c>
      <c r="F17" s="254">
        <f>'COMPAÑIA TRES'!L23</f>
        <v>119000</v>
      </c>
      <c r="G17" s="253">
        <f t="shared" si="0"/>
        <v>115033.33333333333</v>
      </c>
    </row>
    <row r="18" spans="2:9" ht="25.5" x14ac:dyDescent="0.25">
      <c r="B18" s="216" t="s">
        <v>124</v>
      </c>
      <c r="C18" s="252">
        <v>1000000000</v>
      </c>
      <c r="D18" s="253">
        <f>'COMPAÑIA UNO'!G19</f>
        <v>2380000</v>
      </c>
      <c r="E18" s="252">
        <f>'COMPAÑIA DOS'!G19</f>
        <v>2142000</v>
      </c>
      <c r="F18" s="254">
        <f>'COMPAÑIA TRES'!L24</f>
        <v>2380000</v>
      </c>
      <c r="G18" s="253">
        <f t="shared" si="0"/>
        <v>2300666.6666666665</v>
      </c>
    </row>
    <row r="19" spans="2:9" ht="13.5" thickBot="1" x14ac:dyDescent="0.3">
      <c r="B19" s="219" t="s">
        <v>84</v>
      </c>
      <c r="C19" s="269">
        <v>1000000000</v>
      </c>
      <c r="D19" s="270">
        <f>'COMPAÑIA UNO'!G20</f>
        <v>2380000</v>
      </c>
      <c r="E19" s="269">
        <f>'COMPAÑIA DOS'!G20</f>
        <v>2142000</v>
      </c>
      <c r="F19" s="271">
        <f>'COMPAÑIA TRES'!L25</f>
        <v>2380000</v>
      </c>
      <c r="G19" s="270">
        <f t="shared" si="0"/>
        <v>2300666.6666666665</v>
      </c>
    </row>
    <row r="20" spans="2:9" ht="13.5" thickBot="1" x14ac:dyDescent="0.3">
      <c r="B20" s="272" t="s">
        <v>105</v>
      </c>
      <c r="C20" s="222">
        <f>SUM(C9:C19)</f>
        <v>20495275551.870964</v>
      </c>
      <c r="D20" s="222">
        <f>SUM(D9:D19)</f>
        <v>48778755.813452899</v>
      </c>
      <c r="E20" s="225">
        <f>SUM(E9:E19)</f>
        <v>43900880.23210761</v>
      </c>
      <c r="F20" s="225">
        <f>SUM(F9:F19)</f>
        <v>50071907.032908835</v>
      </c>
      <c r="G20" s="228">
        <f>SUM(G9:G19)</f>
        <v>47583847.692823105</v>
      </c>
    </row>
    <row r="21" spans="2:9" x14ac:dyDescent="0.25">
      <c r="B21" s="217" t="s">
        <v>106</v>
      </c>
      <c r="C21" s="263">
        <v>1343004265</v>
      </c>
      <c r="D21" s="264">
        <f>'COMPAÑIA UNO'!G22</f>
        <v>11187225.527450001</v>
      </c>
      <c r="E21" s="263">
        <f>'COMPAÑIA DOS'!G22</f>
        <v>12785400.602799999</v>
      </c>
      <c r="F21" s="265">
        <f>'COMPAÑIA TRES'!L31</f>
        <v>12541383.984794175</v>
      </c>
      <c r="G21" s="264">
        <f>(D21+E21+F21)/3</f>
        <v>12171336.705014726</v>
      </c>
    </row>
    <row r="22" spans="2:9" x14ac:dyDescent="0.25">
      <c r="B22" s="218" t="s">
        <v>107</v>
      </c>
      <c r="C22" s="252">
        <v>100000000</v>
      </c>
      <c r="D22" s="253">
        <f>'COMPAÑIA UNO'!G23</f>
        <v>5950000</v>
      </c>
      <c r="E22" s="252">
        <f>'COMPAÑIA DOS'!G23</f>
        <v>7139999.9999999991</v>
      </c>
      <c r="F22" s="255">
        <f>'COMPAÑIA TRES'!L35</f>
        <v>4760000</v>
      </c>
      <c r="G22" s="253">
        <f t="shared" ref="G22:G29" si="1">(D22+E22+F22)/3</f>
        <v>5950000</v>
      </c>
    </row>
    <row r="23" spans="2:9" ht="25.5" x14ac:dyDescent="0.25">
      <c r="B23" s="216" t="s">
        <v>133</v>
      </c>
      <c r="C23" s="252">
        <v>100000000</v>
      </c>
      <c r="D23" s="253">
        <f>'COMPAÑIA UNO'!G24</f>
        <v>3403400</v>
      </c>
      <c r="E23" s="252">
        <f>'COMPAÑIA DOS'!G24</f>
        <v>3589040</v>
      </c>
      <c r="F23" s="255">
        <f>'COMPAÑIA TRES'!L39</f>
        <v>1190000</v>
      </c>
      <c r="G23" s="253">
        <f t="shared" si="1"/>
        <v>2727480</v>
      </c>
    </row>
    <row r="24" spans="2:9" ht="11.25" customHeight="1" x14ac:dyDescent="0.25">
      <c r="B24" s="216" t="s">
        <v>114</v>
      </c>
      <c r="C24" s="252">
        <v>100000000</v>
      </c>
      <c r="D24" s="253">
        <f>'COMPAÑIA UNO'!G25</f>
        <v>4760000</v>
      </c>
      <c r="E24" s="252">
        <f>'COMPAÑIA DOS'!G25</f>
        <v>6664000</v>
      </c>
      <c r="F24" s="255">
        <f>'COMPAÑIA TRES'!L43</f>
        <v>5950000</v>
      </c>
      <c r="G24" s="253">
        <f t="shared" si="1"/>
        <v>5791333.333333333</v>
      </c>
    </row>
    <row r="25" spans="2:9" ht="15" customHeight="1" x14ac:dyDescent="0.25">
      <c r="B25" s="216" t="s">
        <v>108</v>
      </c>
      <c r="C25" s="252">
        <v>1582900000</v>
      </c>
      <c r="D25" s="253">
        <f>'COMPAÑIA UNO'!G26</f>
        <v>75346040</v>
      </c>
      <c r="E25" s="252">
        <f>'COMPAÑIA DOS'!G26</f>
        <v>75346040</v>
      </c>
      <c r="F25" s="252">
        <f>'COMPAÑIA TRES'!L48</f>
        <v>77202440</v>
      </c>
      <c r="G25" s="253">
        <f t="shared" si="1"/>
        <v>75964840</v>
      </c>
    </row>
    <row r="26" spans="2:9" ht="25.5" x14ac:dyDescent="0.25">
      <c r="B26" s="216" t="s">
        <v>109</v>
      </c>
      <c r="C26" s="157" t="s">
        <v>97</v>
      </c>
      <c r="D26" s="253">
        <f>'COMPAÑIA UNO'!G27</f>
        <v>1309000</v>
      </c>
      <c r="E26" s="252">
        <f>'COMPAÑIA DOS'!G27</f>
        <v>1309000</v>
      </c>
      <c r="F26" s="252">
        <f>'COMPAÑIA TRES'!L52</f>
        <v>1190000</v>
      </c>
      <c r="G26" s="253">
        <f t="shared" si="1"/>
        <v>1269333.3333333333</v>
      </c>
      <c r="H26" s="199"/>
    </row>
    <row r="27" spans="2:9" x14ac:dyDescent="0.25">
      <c r="B27" s="216" t="s">
        <v>110</v>
      </c>
      <c r="C27" s="252">
        <v>1501441040</v>
      </c>
      <c r="D27" s="253">
        <f>'COMPAÑIA UNO'!G28</f>
        <v>12687813.736</v>
      </c>
      <c r="E27" s="252">
        <f>'COMPAÑIA DOS'!G28</f>
        <v>12687813.736</v>
      </c>
      <c r="F27" s="252">
        <f>'COMPAÑIA TRES'!L56</f>
        <v>10510087.279999999</v>
      </c>
      <c r="G27" s="253">
        <f t="shared" si="1"/>
        <v>11961904.917333333</v>
      </c>
    </row>
    <row r="28" spans="2:9" ht="25.5" x14ac:dyDescent="0.25">
      <c r="B28" s="216" t="s">
        <v>111</v>
      </c>
      <c r="C28" s="252">
        <v>13578390</v>
      </c>
      <c r="D28" s="253">
        <f>'COMPAÑIA UNO'!G29</f>
        <v>13578390</v>
      </c>
      <c r="E28" s="252">
        <f>'COMPAÑIA DOS'!G29</f>
        <v>13578390</v>
      </c>
      <c r="F28" s="252">
        <f>'COMPAÑIA TRES'!L60</f>
        <v>13578390</v>
      </c>
      <c r="G28" s="253">
        <f t="shared" si="1"/>
        <v>13578390</v>
      </c>
    </row>
    <row r="29" spans="2:9" ht="13.5" thickBot="1" x14ac:dyDescent="0.3">
      <c r="B29" s="219" t="s">
        <v>112</v>
      </c>
      <c r="C29" s="269">
        <v>5000000</v>
      </c>
      <c r="D29" s="270">
        <f>'COMPAÑIA UNO'!G30</f>
        <v>5000000</v>
      </c>
      <c r="E29" s="269">
        <f>'COMPAÑIA DOS'!G30</f>
        <v>5000000</v>
      </c>
      <c r="F29" s="269">
        <f>'COMPAÑIA TRES'!L64</f>
        <v>5000000</v>
      </c>
      <c r="G29" s="270">
        <f t="shared" si="1"/>
        <v>5000000</v>
      </c>
    </row>
    <row r="30" spans="2:9" x14ac:dyDescent="0.25">
      <c r="B30" s="220" t="s">
        <v>105</v>
      </c>
      <c r="C30" s="223">
        <f>SUM(C21:C29)</f>
        <v>4745923695</v>
      </c>
      <c r="D30" s="226">
        <f>SUM(D21:D29)</f>
        <v>133221869.26345</v>
      </c>
      <c r="E30" s="226">
        <f>SUM(E21:E29)</f>
        <v>138099684.33880001</v>
      </c>
      <c r="F30" s="226">
        <f>SUM(F21:F29)</f>
        <v>131922301.26479417</v>
      </c>
      <c r="G30" s="273">
        <f>(D30+E30+F30)/3</f>
        <v>134414618.28901473</v>
      </c>
    </row>
    <row r="31" spans="2:9" ht="13.5" thickBot="1" x14ac:dyDescent="0.3">
      <c r="B31" s="221" t="s">
        <v>113</v>
      </c>
      <c r="C31" s="224">
        <f>C20+C30</f>
        <v>25241199246.870964</v>
      </c>
      <c r="D31" s="227">
        <f>D20+D30</f>
        <v>182000625.0769029</v>
      </c>
      <c r="E31" s="227">
        <f>E20+E30</f>
        <v>182000564.57090762</v>
      </c>
      <c r="F31" s="227">
        <f>F20+F30</f>
        <v>181994208.297703</v>
      </c>
      <c r="G31" s="274">
        <f>(D31+E31+F31)/3+1534</f>
        <v>181999999.98183784</v>
      </c>
      <c r="H31" s="275" t="s">
        <v>125</v>
      </c>
      <c r="I31" s="276">
        <f>G31/1750905</f>
        <v>103.94624493152845</v>
      </c>
    </row>
    <row r="33" spans="1:8" x14ac:dyDescent="0.25">
      <c r="A33" s="197"/>
      <c r="G33" s="200"/>
      <c r="H33" s="199"/>
    </row>
    <row r="34" spans="1:8" x14ac:dyDescent="0.25">
      <c r="A34" s="197"/>
      <c r="G34" s="202"/>
    </row>
    <row r="35" spans="1:8" x14ac:dyDescent="0.25">
      <c r="A35" s="197"/>
      <c r="G35" s="201"/>
    </row>
    <row r="36" spans="1:8" x14ac:dyDescent="0.25">
      <c r="A36" s="197"/>
    </row>
  </sheetData>
  <mergeCells count="5">
    <mergeCell ref="C4:G4"/>
    <mergeCell ref="C5:G5"/>
    <mergeCell ref="C6:G6"/>
    <mergeCell ref="B3:B6"/>
    <mergeCell ref="C3:G3"/>
  </mergeCells>
  <pageMargins left="0.7" right="0.7" top="0.75" bottom="0.75" header="0.3" footer="0.3"/>
  <pageSetup orientation="portrait" r:id="rId1"/>
  <ignoredErrors>
    <ignoredError sqref="G2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PRORROGA  30-11-11 (3)</vt:lpstr>
      <vt:lpstr>autos</vt:lpstr>
      <vt:lpstr>Hoja3</vt:lpstr>
      <vt:lpstr>COMPAÑIA UNO</vt:lpstr>
      <vt:lpstr>COMPAÑIA DOS</vt:lpstr>
      <vt:lpstr>COMPAÑIA TRES</vt:lpstr>
      <vt:lpstr>COMPARATIVO</vt:lpstr>
      <vt:lpstr>'COMPAÑIA UNO'!Área_de_impresión</vt:lpstr>
      <vt:lpstr>'PRORROGA  30-11-11 (3)'!Área_de_impresión</vt:lpstr>
      <vt:lpstr>'COMPAÑIA UNO'!Títulos_a_imprimir</vt:lpstr>
      <vt:lpstr>'PRORROGA  30-11-11 (3)'!Títulos_a_imprimir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EMILCEN YANNETH VILLAMIL MORALES</dc:creator>
  <cp:lastModifiedBy>USUARIO</cp:lastModifiedBy>
  <cp:lastPrinted>2025-03-11T19:24:55Z</cp:lastPrinted>
  <dcterms:created xsi:type="dcterms:W3CDTF">2011-11-23T15:30:24Z</dcterms:created>
  <dcterms:modified xsi:type="dcterms:W3CDTF">2026-10-22T19:31:35Z</dcterms:modified>
</cp:coreProperties>
</file>