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zuletav\Documents\10. Estudios previos 2026\7. LICITACIÓN PÚBLICA\01 LP-01-2026 SERVICIO VIGILANCIA Y SEGURIDAD PRIVADA 2026-2027 VF\01Estructuración\02DocumentosParaJuntaContratacion\"/>
    </mc:Choice>
  </mc:AlternateContent>
  <xr:revisionPtr revIDLastSave="0" documentId="13_ncr:1_{379D47E8-BB1E-45EA-B0D3-C96DFF7EE717}" xr6:coauthVersionLast="47" xr6:coauthVersionMax="47" xr10:uidLastSave="{00000000-0000-0000-0000-000000000000}"/>
  <bookViews>
    <workbookView xWindow="-28920" yWindow="-120" windowWidth="29040" windowHeight="15720" xr2:uid="{5EE46C92-81AC-4B38-95AA-0511A79754AD}"/>
  </bookViews>
  <sheets>
    <sheet name="VIGILANCIA" sheetId="1" r:id="rId1"/>
  </sheets>
  <definedNames>
    <definedName name="_xlnm._FilterDatabase" localSheetId="0" hidden="1">VIGILANCIA!$B$6:$S$33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33" i="1" l="1"/>
  <c r="P35" i="1"/>
  <c r="P31" i="1"/>
  <c r="G27" i="1"/>
  <c r="H18" i="1"/>
  <c r="I18" i="1" s="1"/>
  <c r="J18" i="1" s="1"/>
  <c r="L18" i="1"/>
  <c r="M18" i="1" s="1"/>
  <c r="N18" i="1" s="1"/>
  <c r="K30" i="1"/>
  <c r="L30" i="1" s="1"/>
  <c r="H30" i="1"/>
  <c r="I30" i="1" s="1"/>
  <c r="J30" i="1" s="1"/>
  <c r="G26" i="1"/>
  <c r="G25" i="1"/>
  <c r="G24" i="1"/>
  <c r="G23" i="1"/>
  <c r="G22" i="1"/>
  <c r="G21" i="1"/>
  <c r="G20" i="1"/>
  <c r="H20" i="1" s="1"/>
  <c r="I20" i="1" s="1"/>
  <c r="J20" i="1" s="1"/>
  <c r="K20" i="1" s="1"/>
  <c r="L20" i="1" s="1"/>
  <c r="G19" i="1"/>
  <c r="H19" i="1" s="1"/>
  <c r="I19" i="1" s="1"/>
  <c r="J19" i="1" s="1"/>
  <c r="K19" i="1" s="1"/>
  <c r="L19" i="1" s="1"/>
  <c r="G17" i="1"/>
  <c r="G16" i="1"/>
  <c r="G15" i="1"/>
  <c r="G14" i="1"/>
  <c r="G13" i="1"/>
  <c r="G12" i="1"/>
  <c r="G11" i="1"/>
  <c r="G10" i="1"/>
  <c r="G9" i="1"/>
  <c r="G8" i="1"/>
  <c r="G7" i="1"/>
  <c r="H7" i="1" s="1"/>
  <c r="H26" i="1" l="1"/>
  <c r="I26" i="1" s="1"/>
  <c r="J26" i="1" s="1"/>
  <c r="K26" i="1" s="1"/>
  <c r="L26" i="1" s="1"/>
  <c r="H25" i="1"/>
  <c r="I25" i="1" s="1"/>
  <c r="J25" i="1"/>
  <c r="K25" i="1" s="1"/>
  <c r="L25" i="1" s="1"/>
  <c r="H24" i="1"/>
  <c r="I24" i="1" s="1"/>
  <c r="J24" i="1"/>
  <c r="K24" i="1" s="1"/>
  <c r="L24" i="1" s="1"/>
  <c r="H23" i="1"/>
  <c r="I23" i="1" s="1"/>
  <c r="J23" i="1"/>
  <c r="K23" i="1" s="1"/>
  <c r="L23" i="1" s="1"/>
  <c r="J22" i="1"/>
  <c r="K22" i="1" s="1"/>
  <c r="L22" i="1" s="1"/>
  <c r="H22" i="1"/>
  <c r="I22" i="1" s="1"/>
  <c r="H21" i="1"/>
  <c r="I21" i="1" s="1"/>
  <c r="J21" i="1" s="1"/>
  <c r="K21" i="1" s="1"/>
  <c r="L21" i="1" s="1"/>
  <c r="H17" i="1"/>
  <c r="I17" i="1" s="1"/>
  <c r="J17" i="1" s="1"/>
  <c r="K17" i="1" s="1"/>
  <c r="L17" i="1" s="1"/>
  <c r="H16" i="1"/>
  <c r="I16" i="1" s="1"/>
  <c r="J16" i="1" s="1"/>
  <c r="K16" i="1" s="1"/>
  <c r="L16" i="1" s="1"/>
  <c r="H15" i="1"/>
  <c r="I15" i="1" s="1"/>
  <c r="J15" i="1"/>
  <c r="K15" i="1" s="1"/>
  <c r="L15" i="1" s="1"/>
  <c r="H14" i="1"/>
  <c r="I14" i="1" s="1"/>
  <c r="J14" i="1"/>
  <c r="K14" i="1" s="1"/>
  <c r="L14" i="1" s="1"/>
  <c r="H13" i="1"/>
  <c r="I13" i="1" s="1"/>
  <c r="J13" i="1" s="1"/>
  <c r="K13" i="1" s="1"/>
  <c r="L13" i="1" s="1"/>
  <c r="H12" i="1"/>
  <c r="I12" i="1" s="1"/>
  <c r="J12" i="1" s="1"/>
  <c r="K12" i="1" s="1"/>
  <c r="L12" i="1" s="1"/>
  <c r="H11" i="1"/>
  <c r="I11" i="1" s="1"/>
  <c r="J11" i="1"/>
  <c r="K11" i="1" s="1"/>
  <c r="L11" i="1" s="1"/>
  <c r="H10" i="1"/>
  <c r="I10" i="1" s="1"/>
  <c r="J10" i="1"/>
  <c r="K10" i="1" s="1"/>
  <c r="L10" i="1" s="1"/>
  <c r="H9" i="1"/>
  <c r="I9" i="1" s="1"/>
  <c r="J9" i="1" s="1"/>
  <c r="K9" i="1" s="1"/>
  <c r="L9" i="1" s="1"/>
  <c r="H8" i="1"/>
  <c r="I8" i="1" s="1"/>
  <c r="J8" i="1"/>
  <c r="K8" i="1" s="1"/>
  <c r="L8" i="1" s="1"/>
  <c r="H27" i="1"/>
  <c r="I27" i="1" s="1"/>
  <c r="J27" i="1" s="1"/>
  <c r="K27" i="1" s="1"/>
  <c r="L27" i="1" s="1"/>
  <c r="M20" i="1"/>
  <c r="N20" i="1" s="1"/>
  <c r="O20" i="1" s="1"/>
  <c r="P20" i="1" s="1"/>
  <c r="M19" i="1"/>
  <c r="N19" i="1" s="1"/>
  <c r="O19" i="1"/>
  <c r="P19" i="1" s="1"/>
  <c r="M30" i="1"/>
  <c r="N30" i="1" s="1"/>
  <c r="O30" i="1"/>
  <c r="O18" i="1"/>
  <c r="P18" i="1" s="1"/>
  <c r="I7" i="1"/>
  <c r="J7" i="1" s="1"/>
  <c r="M26" i="1" l="1"/>
  <c r="N26" i="1" s="1"/>
  <c r="O26" i="1" s="1"/>
  <c r="P26" i="1" s="1"/>
  <c r="M25" i="1"/>
  <c r="N25" i="1" s="1"/>
  <c r="O25" i="1"/>
  <c r="P25" i="1" s="1"/>
  <c r="O24" i="1"/>
  <c r="P24" i="1" s="1"/>
  <c r="M24" i="1"/>
  <c r="N24" i="1" s="1"/>
  <c r="M23" i="1"/>
  <c r="N23" i="1" s="1"/>
  <c r="O23" i="1" s="1"/>
  <c r="P23" i="1" s="1"/>
  <c r="M22" i="1"/>
  <c r="N22" i="1" s="1"/>
  <c r="O22" i="1" s="1"/>
  <c r="P22" i="1" s="1"/>
  <c r="M21" i="1"/>
  <c r="N21" i="1" s="1"/>
  <c r="O21" i="1" s="1"/>
  <c r="P21" i="1" s="1"/>
  <c r="M17" i="1"/>
  <c r="N17" i="1" s="1"/>
  <c r="O17" i="1" s="1"/>
  <c r="P17" i="1" s="1"/>
  <c r="M16" i="1"/>
  <c r="N16" i="1" s="1"/>
  <c r="O16" i="1" s="1"/>
  <c r="P16" i="1" s="1"/>
  <c r="M15" i="1"/>
  <c r="N15" i="1" s="1"/>
  <c r="O15" i="1" s="1"/>
  <c r="P15" i="1" s="1"/>
  <c r="M14" i="1"/>
  <c r="N14" i="1" s="1"/>
  <c r="O14" i="1"/>
  <c r="P14" i="1" s="1"/>
  <c r="M13" i="1"/>
  <c r="N13" i="1" s="1"/>
  <c r="O13" i="1"/>
  <c r="P13" i="1" s="1"/>
  <c r="M12" i="1"/>
  <c r="N12" i="1" s="1"/>
  <c r="O12" i="1" s="1"/>
  <c r="P12" i="1" s="1"/>
  <c r="M11" i="1"/>
  <c r="N11" i="1" s="1"/>
  <c r="O11" i="1" s="1"/>
  <c r="P11" i="1" s="1"/>
  <c r="M10" i="1"/>
  <c r="N10" i="1" s="1"/>
  <c r="O10" i="1"/>
  <c r="P10" i="1" s="1"/>
  <c r="M9" i="1"/>
  <c r="N9" i="1" s="1"/>
  <c r="O9" i="1" s="1"/>
  <c r="P9" i="1" s="1"/>
  <c r="M8" i="1"/>
  <c r="N8" i="1" s="1"/>
  <c r="O8" i="1" s="1"/>
  <c r="P8" i="1" s="1"/>
  <c r="M27" i="1"/>
  <c r="N27" i="1" s="1"/>
  <c r="O27" i="1" s="1"/>
  <c r="P27" i="1" s="1"/>
  <c r="P30" i="1"/>
  <c r="K7" i="1"/>
  <c r="L7" i="1" s="1"/>
  <c r="M7" i="1" l="1"/>
  <c r="N7" i="1" s="1"/>
  <c r="O7" i="1" s="1"/>
  <c r="P7" i="1" l="1"/>
</calcChain>
</file>

<file path=xl/sharedStrings.xml><?xml version="1.0" encoding="utf-8"?>
<sst xmlns="http://schemas.openxmlformats.org/spreadsheetml/2006/main" count="85" uniqueCount="61">
  <si>
    <t>ANEXO Nº 7</t>
  </si>
  <si>
    <t>COMPROMISO DE VALOR A PAGAR POR EL SERVICIO DEL PERSONAL HUMANO REGULADO, NO REGULADO Y MEDIOS ELECTRÓNICOS</t>
  </si>
  <si>
    <t>SERVICIO DE SEGURIDAD HUMANA DEL 1 DE DICIEMBRE DE 2026 AL 30 DE SEPTIEMBRE DE 2027</t>
  </si>
  <si>
    <t>ITEM</t>
  </si>
  <si>
    <t>DESCRIPCION DEL SERVICIO</t>
  </si>
  <si>
    <t>SERVICIOS DE VIGILANCIA</t>
  </si>
  <si>
    <t>CANTIDAD</t>
  </si>
  <si>
    <t>VALOR UNITARIO MENSUAL 23 DE JULIO A 31 DE JULIO 2026</t>
  </si>
  <si>
    <t>VALOR UNITARIO MENSUAL DEL 01 DE DICIEMBRE AL 31 DE DICIEMBRE DE 2026</t>
  </si>
  <si>
    <t>TOTAL DICIEMBRE 2026 IVA INCLUIDO</t>
  </si>
  <si>
    <t>VALOR MENSUAL DEL 01 DE ENERO AL 30 DE SEPTIMBRE 2027</t>
  </si>
  <si>
    <t>VALOR TOTAL AÑO 2026 Y 2027</t>
  </si>
  <si>
    <t>Un (1) servicio de 24 horas , lunes a domingo con festivo con arma y medio de comunicación, sin canino</t>
  </si>
  <si>
    <t>Uno (1) puesto de  ronda en  el  Palacio de Justicia de Pereira, ronda interna y externa.</t>
  </si>
  <si>
    <t>Dos (2) servicios de 24 horas , lunes a domingo con festivo con arma y medio de comunicación, sin canino</t>
  </si>
  <si>
    <t>Uno (1) puesto control ingreso en la portería principal del Palacio de Justicia.</t>
  </si>
  <si>
    <t>Un (1 ) servicio de 7:00 a.m. a 17:00 p.m.  De lunes  a viernes  sin festivos, sin arma y medio de comunicación, sin canino</t>
  </si>
  <si>
    <t>Control de acceso Edificio Torre C, ubicada en la Calle 42 cra. 7ª BIOMETRICO</t>
  </si>
  <si>
    <t>un (1) servicios de 6:00 a.m. a 18:00 pm. De lunes a viernes sin festivos, con arma y medio comunicación sin canino. </t>
  </si>
  <si>
    <t>un (1) puesto Portería en el Edificio Torre C, ubicada en la Calle 42 cra. 7ª</t>
  </si>
  <si>
    <t>Un (1) servicios de 24 horas , lunes a domingo con festivo con arma y medio de comunicación, sin canino</t>
  </si>
  <si>
    <t>Un (1) puesto de ronda para el Edificio Torre C, ubicada en la Calle 42 cra. 7ª.</t>
  </si>
  <si>
    <t>Un (1) puesto en la sala de monitores, ubicado en el Parqueadero del complejo judicial de Pereira; con certificación de capacitación en: Manejo de alarmas y monitoreo de cámaras de seguridad.</t>
  </si>
  <si>
    <t>un (1) puesto Portería en el complejo ubicado en la carrera 5B No. 39-08 piso 2, Ingreso JUZGADOS</t>
  </si>
  <si>
    <t>Un (1) puesto control ingreso en el inmueble ubicado en la carrera 5B No. 39-08 piso 3 y 4 BIOMETRICO</t>
  </si>
  <si>
    <t>Dos (2) servicios de 6:00 a.m. a 18:00 p.m de lunes a sabado sin festivos diurno, CON arma, con medio de comunicación, sin canino.</t>
  </si>
  <si>
    <t>Dos (2) puestos de vigilancia movil, medio de comunicación que tenga cobertura en todo el departamento de Risaralda</t>
  </si>
  <si>
    <t>un (1) puesto Portería en Administración Judicial carrera 5B No. 39-08 piso 3</t>
  </si>
  <si>
    <t>un (1) puesto Portería en el inmueble ubicado en la carrera 5B No. 39-08 piso 3 y 4, Ingreso JUZGADOS</t>
  </si>
  <si>
    <t>Un (1) puesto control ingreso-rayos X-ronda para el complejo judicial</t>
  </si>
  <si>
    <t>Un (1) puesto RONDA en el inmueble ubicado en la carrera 5B No. 39-08 piso 1, 2, 3 y 4</t>
  </si>
  <si>
    <t>Un  (1) servicio de 6:00 a.m. a 18:00 p.m.  De lunes  a domingo, con festivos,  con arma y medio de comunicación, sin canino</t>
  </si>
  <si>
    <t>Un (1) puesto en el inmueble destinado a los Juzgados de Responsabilidad Penal para Adolescentes</t>
  </si>
  <si>
    <t>Un (1) puesto en el inmueble  en Santa Rosa de Cabal </t>
  </si>
  <si>
    <t>Un (1) Servicios de vigilancia física con medio humano, con arma y medio de comunicación, sin canino: Un (1) servicios  de lunes a viernes sin festivo, dos  (2) servicio de 24 horas, lunes a domingo con festivo.</t>
  </si>
  <si>
    <t>Un (1) servicio 24 horas, lunes a domingo con festivo con arma y medio de comunicación, sin canino, Apia</t>
  </si>
  <si>
    <t>Un (1) servicio 24 horas, lunes a domingo con festivo con arma y medio de comunicación, sin canino Quinchia</t>
  </si>
  <si>
    <t>Un  (1) servicio De 7:00 a 12:00 m y de 13:00 a 17:00 p.m. De lunes  a viernes SIN festivos, con arma y medio de comunicación, sin canino</t>
  </si>
  <si>
    <t>Un (1) La Virginia (De 7:00 a 12:00 m y de 13:00 a 17:00 p.m.)</t>
  </si>
  <si>
    <t>Un (1) servicio de 24 horas , lunes a domingo con festivos SIN arma y medio de comunicación, sin canino</t>
  </si>
  <si>
    <t>Un (1) puesto en el Palacio de Justicia de Belén de Umbría</t>
  </si>
  <si>
    <t>SERVICIOS DE VIGILANCIA NO REGULADOS</t>
  </si>
  <si>
    <t>Un (1) Coordinador de Sala de Audiencias, Sin arma  que tenga cobertura en el Area Metropilitana quien asistirá y acompañará al Juez o Magistrado a las Audiencias que estos funcionarios soliciten.</t>
  </si>
  <si>
    <t>SERVICIOS DE VIGILANCIA CON MEDIOS ELECTRONICOS</t>
  </si>
  <si>
    <t>ARMA</t>
  </si>
  <si>
    <t>Un  (1) servicio de  6:00 a.m. a 18:00 p.m.  De lunes  a viernes SIN festivos, con arma y medio de comunicación, sin canino</t>
  </si>
  <si>
    <t>Un (1) Servicios de vigilancia física con medio humano, con arma y medio de comunicación, sin canino:lunes a domingo con festivo.</t>
  </si>
  <si>
    <t>VALOR UNITARIO MENSUAL AÑO 2027 ( INCREMENTO DEL 4,8%)</t>
  </si>
  <si>
    <t>Servicio de Seguridad con Medios Tecnológicos (con equipos de seguridad electrónica) (EQUIPOS CCTV Y ALARMAS), Se adiciona: Servicio de vigilancia electrónica en la nueva sede donde consta de alarma, cámaras, cableado, computador completo, rack y servicio de internet en los municipio de Pueblo Rico, Belen de Umbría, Dosquebradas CC Guadalupe. Se adiciona Complejo Judicial Calle 39: Servicio de vigilancia electrónica en la nueva sede donde consta de alarma, cámaras, cableado.</t>
  </si>
  <si>
    <t>Servicio de Seguridad con Medios Tecnológicos ( con Equipos de seguridad electrónica )TODAS LAS SEDES JUDICIALES Y ADMINISTRATIVAS DEL DISTRITO JUDICIAL DE PEREIRA (condiciones ver pliegos electronicos)</t>
  </si>
  <si>
    <t>REGULADOS Y FIJADOS POR LA ENTIDAD</t>
  </si>
  <si>
    <t>ESTE SERVICIO NO SE REQUIERE PARA ESTE PERIODO, PERO SI PARA LA PROXIMA VIGENCIA</t>
  </si>
  <si>
    <t>EVALUABLE OFERTA ECONOMICA</t>
  </si>
  <si>
    <t>SERVICIOS ELECTRONICO</t>
  </si>
  <si>
    <r>
      <t xml:space="preserve">Dos (1) servicio de 6:00 a.m. a 18:00 p.m.  De lunes a viernes, </t>
    </r>
    <r>
      <rPr>
        <b/>
        <sz val="10"/>
        <color rgb="FF000000"/>
        <rFont val="Aptos"/>
        <family val="2"/>
      </rPr>
      <t>SIN</t>
    </r>
    <r>
      <rPr>
        <sz val="10"/>
        <color rgb="FF000000"/>
        <rFont val="Aptos"/>
        <family val="2"/>
      </rPr>
      <t> festivos,  con arma y medio de comunicación, sin canino</t>
    </r>
  </si>
  <si>
    <t>1 GLOBAL</t>
  </si>
  <si>
    <t>VALOR UNITARIO MENSUAL AÑO 2027</t>
  </si>
  <si>
    <t>VALOR UNITARIO MENSUAL AÑO 2026</t>
  </si>
  <si>
    <t>VALOR TOTAL DEL 1 DE ENERO AL 30 SEPTIEMBRE 2027 IVA INCLUIDO</t>
  </si>
  <si>
    <t>Total Vigilancia Humana</t>
  </si>
  <si>
    <t>TOTAL DEL SERVICIO DE 1 DICIEMBRE DE  2026 AL 30 DE SEPTIEMBRE DE 2027 Vigilancia humana + Electronica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</si>
</sst>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Montserrat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ptos"/>
      <family val="2"/>
    </font>
    <font>
      <b/>
      <sz val="10"/>
      <color theme="1"/>
      <name val="Calibri"/>
      <family val="2"/>
      <scheme val="minor"/>
    </font>
    <font>
      <sz val="10"/>
      <color rgb="FF000000"/>
      <name val="Aptos"/>
      <family val="2"/>
    </font>
    <font>
      <sz val="10"/>
      <color theme="1"/>
      <name val="Aptos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68">
    <xf numFmtId="0" fontId="0" fillId="0" borderId="0" xfId="0"/>
    <xf numFmtId="6" fontId="3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0" xfId="3" applyFont="1" applyFill="1" applyAlignment="1">
      <alignment horizontal="center" vertical="center" wrapText="1"/>
    </xf>
    <xf numFmtId="0" fontId="5" fillId="2" borderId="0" xfId="3" applyFont="1" applyFill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9" fontId="6" fillId="0" borderId="7" xfId="0" applyNumberFormat="1" applyFont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center" vertical="center" wrapText="1"/>
    </xf>
    <xf numFmtId="164" fontId="8" fillId="0" borderId="7" xfId="2" applyNumberFormat="1" applyFont="1" applyFill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0" fontId="4" fillId="4" borderId="0" xfId="0" applyFont="1" applyFill="1"/>
    <xf numFmtId="165" fontId="4" fillId="4" borderId="0" xfId="0" applyNumberFormat="1" applyFont="1" applyFill="1"/>
    <xf numFmtId="164" fontId="9" fillId="0" borderId="7" xfId="2" applyNumberFormat="1" applyFont="1" applyFill="1" applyBorder="1" applyAlignment="1">
      <alignment horizontal="center" vertical="center" wrapText="1"/>
    </xf>
    <xf numFmtId="164" fontId="4" fillId="4" borderId="0" xfId="0" applyNumberFormat="1" applyFont="1" applyFill="1"/>
    <xf numFmtId="164" fontId="9" fillId="0" borderId="7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justify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4" fillId="0" borderId="7" xfId="0" applyFont="1" applyBorder="1"/>
    <xf numFmtId="164" fontId="8" fillId="4" borderId="7" xfId="0" applyNumberFormat="1" applyFont="1" applyFill="1" applyBorder="1" applyAlignment="1">
      <alignment horizontal="center" vertical="center" wrapText="1"/>
    </xf>
    <xf numFmtId="164" fontId="6" fillId="4" borderId="7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center" wrapText="1"/>
    </xf>
    <xf numFmtId="164" fontId="8" fillId="4" borderId="7" xfId="2" applyNumberFormat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164" fontId="4" fillId="0" borderId="0" xfId="0" applyNumberFormat="1" applyFont="1"/>
    <xf numFmtId="0" fontId="7" fillId="6" borderId="7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164" fontId="8" fillId="6" borderId="4" xfId="2" applyNumberFormat="1" applyFont="1" applyFill="1" applyBorder="1" applyAlignment="1">
      <alignment horizontal="center" vertical="center" wrapText="1"/>
    </xf>
    <xf numFmtId="164" fontId="9" fillId="6" borderId="4" xfId="2" applyNumberFormat="1" applyFont="1" applyFill="1" applyBorder="1" applyAlignment="1">
      <alignment horizontal="center" vertical="center" wrapText="1"/>
    </xf>
    <xf numFmtId="164" fontId="8" fillId="6" borderId="4" xfId="0" applyNumberFormat="1" applyFont="1" applyFill="1" applyBorder="1" applyAlignment="1">
      <alignment horizontal="center" vertical="center" wrapText="1"/>
    </xf>
    <xf numFmtId="164" fontId="8" fillId="6" borderId="1" xfId="2" applyNumberFormat="1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3" fontId="10" fillId="8" borderId="4" xfId="0" applyNumberFormat="1" applyFont="1" applyFill="1" applyBorder="1" applyAlignment="1">
      <alignment horizontal="center" vertical="center"/>
    </xf>
    <xf numFmtId="3" fontId="10" fillId="8" borderId="5" xfId="0" applyNumberFormat="1" applyFont="1" applyFill="1" applyBorder="1" applyAlignment="1">
      <alignment horizontal="center" vertical="center"/>
    </xf>
    <xf numFmtId="164" fontId="7" fillId="8" borderId="5" xfId="0" applyNumberFormat="1" applyFont="1" applyFill="1" applyBorder="1"/>
    <xf numFmtId="0" fontId="4" fillId="8" borderId="5" xfId="0" applyFont="1" applyFill="1" applyBorder="1"/>
    <xf numFmtId="164" fontId="7" fillId="8" borderId="2" xfId="0" applyNumberFormat="1" applyFont="1" applyFill="1" applyBorder="1"/>
    <xf numFmtId="43" fontId="4" fillId="0" borderId="0" xfId="1" applyFont="1"/>
    <xf numFmtId="43" fontId="4" fillId="0" borderId="0" xfId="0" applyNumberFormat="1" applyFont="1"/>
    <xf numFmtId="3" fontId="4" fillId="0" borderId="0" xfId="0" applyNumberFormat="1" applyFont="1"/>
    <xf numFmtId="3" fontId="4" fillId="0" borderId="0" xfId="1" applyNumberFormat="1" applyFont="1"/>
    <xf numFmtId="3" fontId="4" fillId="4" borderId="0" xfId="0" applyNumberFormat="1" applyFont="1" applyFill="1"/>
    <xf numFmtId="0" fontId="6" fillId="0" borderId="8" xfId="0" applyFont="1" applyBorder="1" applyAlignment="1">
      <alignment horizontal="center" vertical="center" wrapText="1"/>
    </xf>
    <xf numFmtId="164" fontId="8" fillId="4" borderId="9" xfId="0" applyNumberFormat="1" applyFont="1" applyFill="1" applyBorder="1" applyAlignment="1">
      <alignment horizontal="center" vertical="center" wrapText="1"/>
    </xf>
    <xf numFmtId="164" fontId="6" fillId="4" borderId="9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9" fontId="6" fillId="0" borderId="1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6" fillId="0" borderId="12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</cellXfs>
  <cellStyles count="4">
    <cellStyle name="Excel Built-in Normal 1" xfId="3" xr:uid="{ED68F3A0-F5B4-47BE-B438-2F5DABA9FDFE}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DC478-48CE-4747-857C-5A5C6F0543AA}">
  <dimension ref="A1:S44"/>
  <sheetViews>
    <sheetView tabSelected="1" topLeftCell="A17" zoomScale="80" zoomScaleNormal="80" zoomScaleSheetLayoutView="50" workbookViewId="0">
      <selection activeCell="K39" sqref="K39"/>
    </sheetView>
  </sheetViews>
  <sheetFormatPr baseColWidth="10" defaultRowHeight="12.75" x14ac:dyDescent="0.2"/>
  <cols>
    <col min="1" max="1" width="12.85546875" style="2" customWidth="1"/>
    <col min="2" max="2" width="5.85546875" style="2" bestFit="1" customWidth="1"/>
    <col min="3" max="4" width="63.85546875" style="2" customWidth="1"/>
    <col min="5" max="5" width="15.140625" style="2" bestFit="1" customWidth="1"/>
    <col min="6" max="6" width="17.42578125" style="2" hidden="1" customWidth="1"/>
    <col min="7" max="7" width="20.85546875" style="2" customWidth="1"/>
    <col min="8" max="8" width="14.140625" style="2" customWidth="1"/>
    <col min="9" max="9" width="15.5703125" style="2" bestFit="1" customWidth="1"/>
    <col min="10" max="10" width="19.42578125" style="2" bestFit="1" customWidth="1"/>
    <col min="11" max="11" width="20.85546875" style="2" customWidth="1"/>
    <col min="12" max="12" width="21.7109375" style="2" bestFit="1" customWidth="1"/>
    <col min="13" max="14" width="16.42578125" style="2" bestFit="1" customWidth="1"/>
    <col min="15" max="16" width="25.140625" style="2" bestFit="1" customWidth="1"/>
    <col min="17" max="17" width="20.7109375" style="2" bestFit="1" customWidth="1"/>
    <col min="18" max="18" width="18.28515625" style="2" bestFit="1" customWidth="1"/>
    <col min="19" max="19" width="11.85546875" style="2" bestFit="1" customWidth="1"/>
    <col min="20" max="16384" width="11.42578125" style="2"/>
  </cols>
  <sheetData>
    <row r="1" spans="1:19" x14ac:dyDescent="0.2">
      <c r="C1" s="3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</row>
    <row r="2" spans="1:19" x14ac:dyDescent="0.2">
      <c r="C2" s="3" t="s">
        <v>1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4"/>
    </row>
    <row r="3" spans="1:19" x14ac:dyDescent="0.2">
      <c r="C3" s="5" t="s">
        <v>2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  <c r="R3" s="6"/>
    </row>
    <row r="6" spans="1:19" ht="54" x14ac:dyDescent="0.2">
      <c r="B6" s="7" t="s">
        <v>3</v>
      </c>
      <c r="C6" s="7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8">
        <v>0.1</v>
      </c>
      <c r="I6" s="8">
        <v>0.19</v>
      </c>
      <c r="J6" s="8" t="s">
        <v>9</v>
      </c>
      <c r="K6" s="7" t="s">
        <v>47</v>
      </c>
      <c r="L6" s="7" t="s">
        <v>10</v>
      </c>
      <c r="M6" s="8">
        <v>0.1</v>
      </c>
      <c r="N6" s="8">
        <v>0.19</v>
      </c>
      <c r="O6" s="7" t="s">
        <v>58</v>
      </c>
      <c r="P6" s="7" t="s">
        <v>11</v>
      </c>
    </row>
    <row r="7" spans="1:19" s="17" customFormat="1" ht="27" x14ac:dyDescent="0.2">
      <c r="A7" s="9" t="s">
        <v>50</v>
      </c>
      <c r="B7" s="10">
        <v>1</v>
      </c>
      <c r="C7" s="11" t="s">
        <v>12</v>
      </c>
      <c r="D7" s="12" t="s">
        <v>13</v>
      </c>
      <c r="E7" s="13">
        <v>1</v>
      </c>
      <c r="F7" s="14"/>
      <c r="G7" s="14">
        <f>(ROUND(((((1750905*10.21)))*(1.1)*0.4759/30*30/13*13),0)+ROUND(((((1750905*10.21)))*(1.1)*0.5241/30*30/11*11),0))*E7</f>
        <v>19664414</v>
      </c>
      <c r="H7" s="15">
        <f>G7*$M$6</f>
        <v>1966441.4000000001</v>
      </c>
      <c r="I7" s="15">
        <f t="shared" ref="I7" si="0">H7*$N$6</f>
        <v>373623.86600000004</v>
      </c>
      <c r="J7" s="15">
        <f>+G7+I7</f>
        <v>20038037.866</v>
      </c>
      <c r="K7" s="14">
        <f>J7*1.048</f>
        <v>20999863.683568001</v>
      </c>
      <c r="L7" s="14">
        <f t="shared" ref="L7:L19" si="1">K7*9</f>
        <v>188998773.15211201</v>
      </c>
      <c r="M7" s="15">
        <f>L7*$M$6</f>
        <v>18899877.315211203</v>
      </c>
      <c r="N7" s="15">
        <f t="shared" ref="N7:N19" si="2">M7*$N$6</f>
        <v>3590976.6898901286</v>
      </c>
      <c r="O7" s="15">
        <f>+L7+N7</f>
        <v>192589749.84200212</v>
      </c>
      <c r="P7" s="16">
        <f>+O7+J7</f>
        <v>212627787.70800212</v>
      </c>
    </row>
    <row r="8" spans="1:19" s="17" customFormat="1" ht="27" x14ac:dyDescent="0.2">
      <c r="A8" s="9"/>
      <c r="B8" s="10"/>
      <c r="C8" s="11" t="s">
        <v>14</v>
      </c>
      <c r="D8" s="12" t="s">
        <v>15</v>
      </c>
      <c r="E8" s="13">
        <v>1</v>
      </c>
      <c r="F8" s="14"/>
      <c r="G8" s="14">
        <f>(ROUND(((((1750905*10.21)))*(1.1)*0.4759/30*30/13*13),0)+ROUND(((((1750905*10.21)))*(1.1)*0.5241/30*30/11*11),0))</f>
        <v>19664414</v>
      </c>
      <c r="H8" s="15">
        <f t="shared" ref="H8:H27" si="3">G8*$M$6</f>
        <v>1966441.4000000001</v>
      </c>
      <c r="I8" s="15">
        <f t="shared" ref="I8:I17" si="4">H8*$N$6</f>
        <v>373623.86600000004</v>
      </c>
      <c r="J8" s="15">
        <f t="shared" ref="J8:J17" si="5">+G8+I8</f>
        <v>20038037.866</v>
      </c>
      <c r="K8" s="14">
        <f t="shared" ref="K8:K27" si="6">J8*1.048</f>
        <v>20999863.683568001</v>
      </c>
      <c r="L8" s="14">
        <f t="shared" ref="L8:L17" si="7">K8*9</f>
        <v>188998773.15211201</v>
      </c>
      <c r="M8" s="15">
        <f t="shared" ref="M8:M27" si="8">L8*$M$6</f>
        <v>18899877.315211203</v>
      </c>
      <c r="N8" s="15">
        <f t="shared" ref="N8:N17" si="9">M8*$N$6</f>
        <v>3590976.6898901286</v>
      </c>
      <c r="O8" s="15">
        <f t="shared" ref="O8:O17" si="10">+L8+N8</f>
        <v>192589749.84200212</v>
      </c>
      <c r="P8" s="16">
        <f t="shared" ref="P8:P17" si="11">+O8+J8</f>
        <v>212627787.70800212</v>
      </c>
    </row>
    <row r="9" spans="1:19" s="17" customFormat="1" ht="27" x14ac:dyDescent="0.2">
      <c r="A9" s="9"/>
      <c r="B9" s="10">
        <v>2</v>
      </c>
      <c r="C9" s="11" t="s">
        <v>16</v>
      </c>
      <c r="D9" s="11" t="s">
        <v>17</v>
      </c>
      <c r="E9" s="13">
        <v>1</v>
      </c>
      <c r="F9" s="14"/>
      <c r="G9" s="14">
        <f>(ROUND(((((1750905*10.21)))*(1.08)*0.4759/30*20/13*10),0))*E9</f>
        <v>4711869</v>
      </c>
      <c r="H9" s="15">
        <f t="shared" si="3"/>
        <v>471186.9</v>
      </c>
      <c r="I9" s="15">
        <f t="shared" si="4"/>
        <v>89525.510999999999</v>
      </c>
      <c r="J9" s="15">
        <f t="shared" si="5"/>
        <v>4801394.5109999999</v>
      </c>
      <c r="K9" s="14">
        <f t="shared" si="6"/>
        <v>5031861.447528</v>
      </c>
      <c r="L9" s="14">
        <f t="shared" si="7"/>
        <v>45286753.027751997</v>
      </c>
      <c r="M9" s="15">
        <f t="shared" si="8"/>
        <v>4528675.3027751995</v>
      </c>
      <c r="N9" s="15">
        <f t="shared" si="9"/>
        <v>860448.30752728786</v>
      </c>
      <c r="O9" s="15">
        <f t="shared" si="10"/>
        <v>46147201.335279286</v>
      </c>
      <c r="P9" s="16">
        <f t="shared" si="11"/>
        <v>50948595.846279286</v>
      </c>
    </row>
    <row r="10" spans="1:19" s="17" customFormat="1" ht="27" x14ac:dyDescent="0.2">
      <c r="A10" s="9"/>
      <c r="B10" s="10"/>
      <c r="C10" s="12" t="s">
        <v>18</v>
      </c>
      <c r="D10" s="12" t="s">
        <v>19</v>
      </c>
      <c r="E10" s="13">
        <v>1</v>
      </c>
      <c r="F10" s="14"/>
      <c r="G10" s="14">
        <f>(ROUND(((((1750905*10.21)))*(1.1)*0.4759/30*20/13*12),0))*E10</f>
        <v>5758951</v>
      </c>
      <c r="H10" s="15">
        <f t="shared" si="3"/>
        <v>575895.1</v>
      </c>
      <c r="I10" s="15">
        <f t="shared" si="4"/>
        <v>109420.069</v>
      </c>
      <c r="J10" s="15">
        <f t="shared" si="5"/>
        <v>5868371.0690000001</v>
      </c>
      <c r="K10" s="14">
        <f t="shared" si="6"/>
        <v>6150052.8803120004</v>
      </c>
      <c r="L10" s="14">
        <f t="shared" si="7"/>
        <v>55350475.922808006</v>
      </c>
      <c r="M10" s="15">
        <f t="shared" si="8"/>
        <v>5535047.5922808014</v>
      </c>
      <c r="N10" s="15">
        <f t="shared" si="9"/>
        <v>1051659.0425333523</v>
      </c>
      <c r="O10" s="15">
        <f t="shared" si="10"/>
        <v>56402134.965341359</v>
      </c>
      <c r="P10" s="16">
        <f t="shared" si="11"/>
        <v>62270506.034341358</v>
      </c>
    </row>
    <row r="11" spans="1:19" s="17" customFormat="1" ht="27" x14ac:dyDescent="0.2">
      <c r="A11" s="9"/>
      <c r="B11" s="10"/>
      <c r="C11" s="12" t="s">
        <v>20</v>
      </c>
      <c r="D11" s="12" t="s">
        <v>21</v>
      </c>
      <c r="E11" s="13">
        <v>1</v>
      </c>
      <c r="F11" s="14"/>
      <c r="G11" s="14">
        <f>(ROUND(((((1750905*10.21)))*(1.1)*0.4759/30*30/13*13),0)+ROUND(((((1750905*10.21)))*(1.1)*0.5241/30*30/11*11),0))*E11</f>
        <v>19664414</v>
      </c>
      <c r="H11" s="15">
        <f t="shared" si="3"/>
        <v>1966441.4000000001</v>
      </c>
      <c r="I11" s="15">
        <f t="shared" si="4"/>
        <v>373623.86600000004</v>
      </c>
      <c r="J11" s="15">
        <f t="shared" si="5"/>
        <v>20038037.866</v>
      </c>
      <c r="K11" s="14">
        <f t="shared" si="6"/>
        <v>20999863.683568001</v>
      </c>
      <c r="L11" s="14">
        <f t="shared" si="7"/>
        <v>188998773.15211201</v>
      </c>
      <c r="M11" s="15">
        <f t="shared" si="8"/>
        <v>18899877.315211203</v>
      </c>
      <c r="N11" s="15">
        <f t="shared" si="9"/>
        <v>3590976.6898901286</v>
      </c>
      <c r="O11" s="15">
        <f t="shared" si="10"/>
        <v>192589749.84200212</v>
      </c>
      <c r="P11" s="16">
        <f t="shared" si="11"/>
        <v>212627787.70800212</v>
      </c>
      <c r="Q11" s="18"/>
    </row>
    <row r="12" spans="1:19" s="17" customFormat="1" ht="40.5" x14ac:dyDescent="0.2">
      <c r="A12" s="9"/>
      <c r="B12" s="10">
        <v>3</v>
      </c>
      <c r="C12" s="11" t="s">
        <v>12</v>
      </c>
      <c r="D12" s="12" t="s">
        <v>22</v>
      </c>
      <c r="E12" s="13">
        <v>1</v>
      </c>
      <c r="F12" s="14"/>
      <c r="G12" s="14">
        <f>(ROUND(((((1750905*10.21)))*(1.1)*0.4759/30*30/13*13),0)+ROUND(((((1750905*10.21)))*(1.1)*0.5241/30*30/11*11),0))*E12</f>
        <v>19664414</v>
      </c>
      <c r="H12" s="15">
        <f t="shared" si="3"/>
        <v>1966441.4000000001</v>
      </c>
      <c r="I12" s="15">
        <f t="shared" si="4"/>
        <v>373623.86600000004</v>
      </c>
      <c r="J12" s="15">
        <f t="shared" si="5"/>
        <v>20038037.866</v>
      </c>
      <c r="K12" s="14">
        <f t="shared" si="6"/>
        <v>20999863.683568001</v>
      </c>
      <c r="L12" s="14">
        <f t="shared" si="7"/>
        <v>188998773.15211201</v>
      </c>
      <c r="M12" s="15">
        <f t="shared" si="8"/>
        <v>18899877.315211203</v>
      </c>
      <c r="N12" s="15">
        <f t="shared" si="9"/>
        <v>3590976.6898901286</v>
      </c>
      <c r="O12" s="15">
        <f t="shared" si="10"/>
        <v>192589749.84200212</v>
      </c>
      <c r="P12" s="16">
        <f t="shared" si="11"/>
        <v>212627787.70800212</v>
      </c>
    </row>
    <row r="13" spans="1:19" s="17" customFormat="1" ht="27" x14ac:dyDescent="0.2">
      <c r="A13" s="9"/>
      <c r="B13" s="10"/>
      <c r="C13" s="11" t="s">
        <v>54</v>
      </c>
      <c r="D13" s="12" t="s">
        <v>23</v>
      </c>
      <c r="E13" s="13">
        <v>1</v>
      </c>
      <c r="F13" s="14"/>
      <c r="G13" s="19">
        <f>(ROUND(((((1750905*10.21)))*(1.1)*0.4759/30*20/13*12),0))*E13</f>
        <v>5758951</v>
      </c>
      <c r="H13" s="15">
        <f t="shared" si="3"/>
        <v>575895.1</v>
      </c>
      <c r="I13" s="15">
        <f t="shared" si="4"/>
        <v>109420.069</v>
      </c>
      <c r="J13" s="15">
        <f t="shared" si="5"/>
        <v>5868371.0690000001</v>
      </c>
      <c r="K13" s="14">
        <f t="shared" si="6"/>
        <v>6150052.8803120004</v>
      </c>
      <c r="L13" s="14">
        <f t="shared" si="7"/>
        <v>55350475.922808006</v>
      </c>
      <c r="M13" s="15">
        <f t="shared" si="8"/>
        <v>5535047.5922808014</v>
      </c>
      <c r="N13" s="15">
        <f t="shared" si="9"/>
        <v>1051659.0425333523</v>
      </c>
      <c r="O13" s="15">
        <f t="shared" si="10"/>
        <v>56402134.965341359</v>
      </c>
      <c r="P13" s="16">
        <f t="shared" si="11"/>
        <v>62270506.034341358</v>
      </c>
    </row>
    <row r="14" spans="1:19" s="17" customFormat="1" ht="27" x14ac:dyDescent="0.2">
      <c r="A14" s="9"/>
      <c r="B14" s="10"/>
      <c r="C14" s="11" t="s">
        <v>16</v>
      </c>
      <c r="D14" s="11" t="s">
        <v>24</v>
      </c>
      <c r="E14" s="13">
        <v>1</v>
      </c>
      <c r="F14" s="14"/>
      <c r="G14" s="19">
        <f>(ROUND(((((1750905*10.21)))*(1.08)*0.4759/30*20/13*10),0))*E14</f>
        <v>4711869</v>
      </c>
      <c r="H14" s="15">
        <f t="shared" si="3"/>
        <v>471186.9</v>
      </c>
      <c r="I14" s="15">
        <f t="shared" si="4"/>
        <v>89525.510999999999</v>
      </c>
      <c r="J14" s="15">
        <f t="shared" si="5"/>
        <v>4801394.5109999999</v>
      </c>
      <c r="K14" s="14">
        <f t="shared" si="6"/>
        <v>5031861.447528</v>
      </c>
      <c r="L14" s="14">
        <f t="shared" si="7"/>
        <v>45286753.027751997</v>
      </c>
      <c r="M14" s="15">
        <f t="shared" si="8"/>
        <v>4528675.3027751995</v>
      </c>
      <c r="N14" s="15">
        <f t="shared" si="9"/>
        <v>860448.30752728786</v>
      </c>
      <c r="O14" s="15">
        <f t="shared" si="10"/>
        <v>46147201.335279286</v>
      </c>
      <c r="P14" s="16">
        <f t="shared" si="11"/>
        <v>50948595.846279286</v>
      </c>
    </row>
    <row r="15" spans="1:19" s="17" customFormat="1" ht="27" x14ac:dyDescent="0.2">
      <c r="A15" s="9"/>
      <c r="B15" s="10"/>
      <c r="C15" s="12" t="s">
        <v>25</v>
      </c>
      <c r="D15" s="12" t="s">
        <v>26</v>
      </c>
      <c r="E15" s="13">
        <v>2</v>
      </c>
      <c r="F15" s="14"/>
      <c r="G15" s="19">
        <f>(ROUND(((((1750905*10.21)))*(1.1)*0.4759/30*24/13*12),0))*E15</f>
        <v>13821482</v>
      </c>
      <c r="H15" s="15">
        <f t="shared" si="3"/>
        <v>1382148.2000000002</v>
      </c>
      <c r="I15" s="15">
        <f t="shared" si="4"/>
        <v>262608.15800000005</v>
      </c>
      <c r="J15" s="15">
        <f t="shared" si="5"/>
        <v>14084090.158</v>
      </c>
      <c r="K15" s="14">
        <f t="shared" si="6"/>
        <v>14760126.485584</v>
      </c>
      <c r="L15" s="14">
        <f t="shared" si="7"/>
        <v>132841138.37025601</v>
      </c>
      <c r="M15" s="15">
        <f t="shared" si="8"/>
        <v>13284113.837025601</v>
      </c>
      <c r="N15" s="15">
        <f t="shared" si="9"/>
        <v>2523981.6290348643</v>
      </c>
      <c r="O15" s="15">
        <f t="shared" si="10"/>
        <v>135365119.99929088</v>
      </c>
      <c r="P15" s="16">
        <f t="shared" si="11"/>
        <v>149449210.15729088</v>
      </c>
      <c r="R15" s="20"/>
      <c r="S15" s="20"/>
    </row>
    <row r="16" spans="1:19" s="17" customFormat="1" ht="27" x14ac:dyDescent="0.2">
      <c r="A16" s="9"/>
      <c r="B16" s="10"/>
      <c r="C16" s="12" t="s">
        <v>18</v>
      </c>
      <c r="D16" s="12" t="s">
        <v>27</v>
      </c>
      <c r="E16" s="13">
        <v>1</v>
      </c>
      <c r="F16" s="14"/>
      <c r="G16" s="19">
        <f>(ROUND(((((1750905*10.21)))*(1.1)*0.4759/30*20/13*12),0))*E16</f>
        <v>5758951</v>
      </c>
      <c r="H16" s="15">
        <f t="shared" si="3"/>
        <v>575895.1</v>
      </c>
      <c r="I16" s="15">
        <f t="shared" si="4"/>
        <v>109420.069</v>
      </c>
      <c r="J16" s="15">
        <f t="shared" si="5"/>
        <v>5868371.0690000001</v>
      </c>
      <c r="K16" s="14">
        <f t="shared" si="6"/>
        <v>6150052.8803120004</v>
      </c>
      <c r="L16" s="14">
        <f t="shared" si="7"/>
        <v>55350475.922808006</v>
      </c>
      <c r="M16" s="15">
        <f t="shared" si="8"/>
        <v>5535047.5922808014</v>
      </c>
      <c r="N16" s="15">
        <f t="shared" si="9"/>
        <v>1051659.0425333523</v>
      </c>
      <c r="O16" s="15">
        <f t="shared" si="10"/>
        <v>56402134.965341359</v>
      </c>
      <c r="P16" s="16">
        <f t="shared" si="11"/>
        <v>62270506.034341358</v>
      </c>
    </row>
    <row r="17" spans="1:19" s="17" customFormat="1" ht="27" x14ac:dyDescent="0.2">
      <c r="A17" s="9"/>
      <c r="B17" s="10"/>
      <c r="C17" s="12" t="s">
        <v>18</v>
      </c>
      <c r="D17" s="12" t="s">
        <v>28</v>
      </c>
      <c r="E17" s="13">
        <v>1</v>
      </c>
      <c r="F17" s="14"/>
      <c r="G17" s="19">
        <f>(ROUND(((((1750905*10.21)))*(1.1)*0.4759/30*20/13*12),0))*E17</f>
        <v>5758951</v>
      </c>
      <c r="H17" s="15">
        <f t="shared" si="3"/>
        <v>575895.1</v>
      </c>
      <c r="I17" s="15">
        <f t="shared" si="4"/>
        <v>109420.069</v>
      </c>
      <c r="J17" s="15">
        <f t="shared" si="5"/>
        <v>5868371.0690000001</v>
      </c>
      <c r="K17" s="14">
        <f t="shared" si="6"/>
        <v>6150052.8803120004</v>
      </c>
      <c r="L17" s="14">
        <f t="shared" si="7"/>
        <v>55350475.922808006</v>
      </c>
      <c r="M17" s="15">
        <f t="shared" si="8"/>
        <v>5535047.5922808014</v>
      </c>
      <c r="N17" s="15">
        <f t="shared" si="9"/>
        <v>1051659.0425333523</v>
      </c>
      <c r="O17" s="15">
        <f t="shared" si="10"/>
        <v>56402134.965341359</v>
      </c>
      <c r="P17" s="16">
        <f t="shared" si="11"/>
        <v>62270506.034341358</v>
      </c>
    </row>
    <row r="18" spans="1:19" s="17" customFormat="1" ht="27" x14ac:dyDescent="0.2">
      <c r="A18" s="9"/>
      <c r="B18" s="10"/>
      <c r="C18" s="12" t="s">
        <v>18</v>
      </c>
      <c r="D18" s="12" t="s">
        <v>29</v>
      </c>
      <c r="E18" s="13">
        <v>1</v>
      </c>
      <c r="F18" s="14"/>
      <c r="G18" s="19">
        <v>0</v>
      </c>
      <c r="H18" s="21">
        <f t="shared" ref="H18" si="12">G18*$M$6</f>
        <v>0</v>
      </c>
      <c r="I18" s="21">
        <f t="shared" ref="I18:I19" si="13">H18*$N$6</f>
        <v>0</v>
      </c>
      <c r="J18" s="21">
        <f t="shared" ref="J18:J19" si="14">+G18+I18</f>
        <v>0</v>
      </c>
      <c r="K18" s="14">
        <v>6150568.6818080004</v>
      </c>
      <c r="L18" s="14">
        <f t="shared" si="1"/>
        <v>55355118.136272006</v>
      </c>
      <c r="M18" s="15">
        <f t="shared" ref="M18:M30" si="15">L18*$M$6</f>
        <v>5535511.8136272011</v>
      </c>
      <c r="N18" s="15">
        <f t="shared" si="2"/>
        <v>1051747.2445891681</v>
      </c>
      <c r="O18" s="15">
        <f t="shared" ref="O18:O31" si="16">+L18+N18</f>
        <v>56406865.380861171</v>
      </c>
      <c r="P18" s="16">
        <f t="shared" ref="P18:P33" si="17">+O18+J18</f>
        <v>56406865.380861171</v>
      </c>
    </row>
    <row r="19" spans="1:19" s="17" customFormat="1" ht="27" x14ac:dyDescent="0.2">
      <c r="A19" s="9"/>
      <c r="B19" s="10"/>
      <c r="C19" s="12" t="s">
        <v>20</v>
      </c>
      <c r="D19" s="12" t="s">
        <v>30</v>
      </c>
      <c r="E19" s="13">
        <v>1</v>
      </c>
      <c r="F19" s="14"/>
      <c r="G19" s="19">
        <f>(ROUND(((((1750905*10.21)))*(1.1)*0.4759/30*30/13*13),0)+ROUND(((((1750905*10.21)))*(1.1)*0.5241/30*30/11*11),0))*E19</f>
        <v>19664414</v>
      </c>
      <c r="H19" s="21">
        <f t="shared" si="3"/>
        <v>1966441.4000000001</v>
      </c>
      <c r="I19" s="21">
        <f t="shared" si="13"/>
        <v>373623.86600000004</v>
      </c>
      <c r="J19" s="21">
        <f t="shared" si="14"/>
        <v>20038037.866</v>
      </c>
      <c r="K19" s="14">
        <f t="shared" si="6"/>
        <v>20999863.683568001</v>
      </c>
      <c r="L19" s="14">
        <f t="shared" si="1"/>
        <v>188998773.15211201</v>
      </c>
      <c r="M19" s="15">
        <f t="shared" si="8"/>
        <v>18899877.315211203</v>
      </c>
      <c r="N19" s="15">
        <f t="shared" si="2"/>
        <v>3590976.6898901286</v>
      </c>
      <c r="O19" s="15">
        <f t="shared" si="16"/>
        <v>192589749.84200212</v>
      </c>
      <c r="P19" s="16">
        <f t="shared" si="17"/>
        <v>212627787.70800212</v>
      </c>
    </row>
    <row r="20" spans="1:19" s="17" customFormat="1" ht="27" x14ac:dyDescent="0.2">
      <c r="A20" s="9"/>
      <c r="B20" s="10"/>
      <c r="C20" s="12" t="s">
        <v>20</v>
      </c>
      <c r="D20" s="12" t="s">
        <v>30</v>
      </c>
      <c r="E20" s="13">
        <v>1</v>
      </c>
      <c r="F20" s="14"/>
      <c r="G20" s="14">
        <f>(ROUND(((((1750905*10.21)))*(1.1)*0.4759/30*30/13*13),0)+ROUND(((((1750905*10.21)))*(1.1)*0.5241/30*30/11*11),0))*E20</f>
        <v>19664414</v>
      </c>
      <c r="H20" s="21">
        <f t="shared" si="3"/>
        <v>1966441.4000000001</v>
      </c>
      <c r="I20" s="21">
        <f t="shared" ref="I20:I27" si="18">H20*$N$6</f>
        <v>373623.86600000004</v>
      </c>
      <c r="J20" s="21">
        <f t="shared" ref="J20:J27" si="19">+G20+I20</f>
        <v>20038037.866</v>
      </c>
      <c r="K20" s="14">
        <f t="shared" si="6"/>
        <v>20999863.683568001</v>
      </c>
      <c r="L20" s="14">
        <f t="shared" ref="L20:L27" si="20">K20*9</f>
        <v>188998773.15211201</v>
      </c>
      <c r="M20" s="15">
        <f t="shared" si="8"/>
        <v>18899877.315211203</v>
      </c>
      <c r="N20" s="15">
        <f t="shared" ref="N20:N27" si="21">M20*$N$6</f>
        <v>3590976.6898901286</v>
      </c>
      <c r="O20" s="15">
        <f t="shared" ref="O20:O27" si="22">+L20+N20</f>
        <v>192589749.84200212</v>
      </c>
      <c r="P20" s="16">
        <f t="shared" ref="P20:P27" si="23">+O20+J20</f>
        <v>212627787.70800212</v>
      </c>
    </row>
    <row r="21" spans="1:19" s="17" customFormat="1" ht="27" x14ac:dyDescent="0.2">
      <c r="A21" s="9"/>
      <c r="B21" s="10">
        <v>4</v>
      </c>
      <c r="C21" s="12" t="s">
        <v>31</v>
      </c>
      <c r="D21" s="12" t="s">
        <v>32</v>
      </c>
      <c r="E21" s="13">
        <v>1</v>
      </c>
      <c r="F21" s="14"/>
      <c r="G21" s="14">
        <f>(ROUND(((((1750905*10.21)))*(1.1)*0.4759/30*30/13*12),0))*E21</f>
        <v>8638426</v>
      </c>
      <c r="H21" s="21">
        <f t="shared" si="3"/>
        <v>863842.60000000009</v>
      </c>
      <c r="I21" s="21">
        <f t="shared" si="18"/>
        <v>164130.09400000001</v>
      </c>
      <c r="J21" s="21">
        <f t="shared" si="19"/>
        <v>8802556.0940000005</v>
      </c>
      <c r="K21" s="14">
        <f t="shared" si="6"/>
        <v>9225078.7865120005</v>
      </c>
      <c r="L21" s="14">
        <f t="shared" si="20"/>
        <v>83025709.078608006</v>
      </c>
      <c r="M21" s="15">
        <f t="shared" si="8"/>
        <v>8302570.9078608006</v>
      </c>
      <c r="N21" s="15">
        <f t="shared" si="21"/>
        <v>1577488.4724935521</v>
      </c>
      <c r="O21" s="15">
        <f t="shared" si="22"/>
        <v>84603197.551101565</v>
      </c>
      <c r="P21" s="16">
        <f t="shared" si="23"/>
        <v>93405753.645101562</v>
      </c>
    </row>
    <row r="22" spans="1:19" s="17" customFormat="1" ht="27" x14ac:dyDescent="0.2">
      <c r="A22" s="9"/>
      <c r="B22" s="10"/>
      <c r="C22" s="22" t="s">
        <v>45</v>
      </c>
      <c r="D22" s="12" t="s">
        <v>32</v>
      </c>
      <c r="E22" s="13">
        <v>1</v>
      </c>
      <c r="F22" s="14"/>
      <c r="G22" s="14">
        <f>(ROUND(((((1750905*10.21)))*(1.1)*0.4759/30*20/13*12),0))*E22</f>
        <v>5758951</v>
      </c>
      <c r="H22" s="21">
        <f t="shared" si="3"/>
        <v>575895.1</v>
      </c>
      <c r="I22" s="21">
        <f t="shared" si="18"/>
        <v>109420.069</v>
      </c>
      <c r="J22" s="21">
        <f t="shared" si="19"/>
        <v>5868371.0690000001</v>
      </c>
      <c r="K22" s="14">
        <f t="shared" si="6"/>
        <v>6150052.8803120004</v>
      </c>
      <c r="L22" s="14">
        <f t="shared" si="20"/>
        <v>55350475.922808006</v>
      </c>
      <c r="M22" s="15">
        <f t="shared" si="8"/>
        <v>5535047.5922808014</v>
      </c>
      <c r="N22" s="15">
        <f t="shared" si="21"/>
        <v>1051659.0425333523</v>
      </c>
      <c r="O22" s="15">
        <f t="shared" si="22"/>
        <v>56402134.965341359</v>
      </c>
      <c r="P22" s="16">
        <f t="shared" si="23"/>
        <v>62270506.034341358</v>
      </c>
    </row>
    <row r="23" spans="1:19" s="17" customFormat="1" ht="27" x14ac:dyDescent="0.2">
      <c r="A23" s="9"/>
      <c r="B23" s="10">
        <v>5</v>
      </c>
      <c r="C23" s="12" t="s">
        <v>45</v>
      </c>
      <c r="D23" s="12" t="s">
        <v>33</v>
      </c>
      <c r="E23" s="13">
        <v>1</v>
      </c>
      <c r="F23" s="14"/>
      <c r="G23" s="14">
        <f>(ROUND(((((1750905*10.21)))*(1.1)*0.4759/30*20/13*12),0))*E23</f>
        <v>5758951</v>
      </c>
      <c r="H23" s="21">
        <f t="shared" si="3"/>
        <v>575895.1</v>
      </c>
      <c r="I23" s="21">
        <f t="shared" si="18"/>
        <v>109420.069</v>
      </c>
      <c r="J23" s="21">
        <f t="shared" si="19"/>
        <v>5868371.0690000001</v>
      </c>
      <c r="K23" s="14">
        <f t="shared" si="6"/>
        <v>6150052.8803120004</v>
      </c>
      <c r="L23" s="14">
        <f t="shared" si="20"/>
        <v>55350475.922808006</v>
      </c>
      <c r="M23" s="15">
        <f t="shared" si="8"/>
        <v>5535047.5922808014</v>
      </c>
      <c r="N23" s="15">
        <f t="shared" si="21"/>
        <v>1051659.0425333523</v>
      </c>
      <c r="O23" s="15">
        <f t="shared" si="22"/>
        <v>56402134.965341359</v>
      </c>
      <c r="P23" s="16">
        <f t="shared" si="23"/>
        <v>62270506.034341358</v>
      </c>
    </row>
    <row r="24" spans="1:19" s="17" customFormat="1" ht="40.5" x14ac:dyDescent="0.2">
      <c r="A24" s="9"/>
      <c r="B24" s="10"/>
      <c r="C24" s="11" t="s">
        <v>34</v>
      </c>
      <c r="D24" s="12" t="s">
        <v>35</v>
      </c>
      <c r="E24" s="13">
        <v>1</v>
      </c>
      <c r="F24" s="14"/>
      <c r="G24" s="14">
        <f>(ROUND(((((1750905*10.21)))*(1.1)*0.4759/30*30/13*13),0)+ROUND(((((1750905*10.21)))*(1.1)*0.5241/30*30/11*11),0))*E24</f>
        <v>19664414</v>
      </c>
      <c r="H24" s="21">
        <f t="shared" si="3"/>
        <v>1966441.4000000001</v>
      </c>
      <c r="I24" s="21">
        <f t="shared" si="18"/>
        <v>373623.86600000004</v>
      </c>
      <c r="J24" s="21">
        <f t="shared" si="19"/>
        <v>20038037.866</v>
      </c>
      <c r="K24" s="14">
        <f t="shared" si="6"/>
        <v>20999863.683568001</v>
      </c>
      <c r="L24" s="14">
        <f t="shared" si="20"/>
        <v>188998773.15211201</v>
      </c>
      <c r="M24" s="15">
        <f t="shared" si="8"/>
        <v>18899877.315211203</v>
      </c>
      <c r="N24" s="15">
        <f t="shared" si="21"/>
        <v>3590976.6898901286</v>
      </c>
      <c r="O24" s="15">
        <f t="shared" si="22"/>
        <v>192589749.84200212</v>
      </c>
      <c r="P24" s="16">
        <f t="shared" si="23"/>
        <v>212627787.70800212</v>
      </c>
    </row>
    <row r="25" spans="1:19" s="17" customFormat="1" ht="27" x14ac:dyDescent="0.2">
      <c r="A25" s="9"/>
      <c r="B25" s="10"/>
      <c r="C25" s="11" t="s">
        <v>46</v>
      </c>
      <c r="D25" s="12" t="s">
        <v>36</v>
      </c>
      <c r="E25" s="13">
        <v>1</v>
      </c>
      <c r="F25" s="14"/>
      <c r="G25" s="14">
        <f>(ROUND(((((1750905*10.21)))*(1.1)*0.4759/30*30/13*13),0)+ROUND(((((1750905*10.21)))*(1.1)*0.5241/30*30/11*11),0))*E25</f>
        <v>19664414</v>
      </c>
      <c r="H25" s="21">
        <f t="shared" si="3"/>
        <v>1966441.4000000001</v>
      </c>
      <c r="I25" s="21">
        <f t="shared" si="18"/>
        <v>373623.86600000004</v>
      </c>
      <c r="J25" s="21">
        <f t="shared" si="19"/>
        <v>20038037.866</v>
      </c>
      <c r="K25" s="14">
        <f t="shared" si="6"/>
        <v>20999863.683568001</v>
      </c>
      <c r="L25" s="14">
        <f t="shared" si="20"/>
        <v>188998773.15211201</v>
      </c>
      <c r="M25" s="15">
        <f t="shared" si="8"/>
        <v>18899877.315211203</v>
      </c>
      <c r="N25" s="15">
        <f t="shared" si="21"/>
        <v>3590976.6898901286</v>
      </c>
      <c r="O25" s="15">
        <f t="shared" si="22"/>
        <v>192589749.84200212</v>
      </c>
      <c r="P25" s="16">
        <f t="shared" si="23"/>
        <v>212627787.70800212</v>
      </c>
    </row>
    <row r="26" spans="1:19" s="17" customFormat="1" ht="27" x14ac:dyDescent="0.2">
      <c r="A26" s="9"/>
      <c r="B26" s="10"/>
      <c r="C26" s="12" t="s">
        <v>37</v>
      </c>
      <c r="D26" s="12" t="s">
        <v>38</v>
      </c>
      <c r="E26" s="13">
        <v>1</v>
      </c>
      <c r="F26" s="14"/>
      <c r="G26" s="14">
        <f>(ROUND(((((1750905*10.21)))*(1.1)*0.4759/30*20/13*9),0))*E26</f>
        <v>4319213</v>
      </c>
      <c r="H26" s="21">
        <f t="shared" si="3"/>
        <v>431921.30000000005</v>
      </c>
      <c r="I26" s="21">
        <f t="shared" si="18"/>
        <v>82065.047000000006</v>
      </c>
      <c r="J26" s="21">
        <f t="shared" si="19"/>
        <v>4401278.0470000003</v>
      </c>
      <c r="K26" s="14">
        <f t="shared" si="6"/>
        <v>4612539.3932560002</v>
      </c>
      <c r="L26" s="14">
        <f t="shared" si="20"/>
        <v>41512854.539304003</v>
      </c>
      <c r="M26" s="15">
        <f t="shared" si="8"/>
        <v>4151285.4539304003</v>
      </c>
      <c r="N26" s="15">
        <f t="shared" si="21"/>
        <v>788744.23624677607</v>
      </c>
      <c r="O26" s="15">
        <f t="shared" si="22"/>
        <v>42301598.775550783</v>
      </c>
      <c r="P26" s="16">
        <f t="shared" si="23"/>
        <v>46702876.822550781</v>
      </c>
    </row>
    <row r="27" spans="1:19" s="17" customFormat="1" ht="27" x14ac:dyDescent="0.2">
      <c r="A27" s="9"/>
      <c r="B27" s="10"/>
      <c r="C27" s="12" t="s">
        <v>39</v>
      </c>
      <c r="D27" s="12" t="s">
        <v>40</v>
      </c>
      <c r="E27" s="13">
        <v>1</v>
      </c>
      <c r="F27" s="14"/>
      <c r="G27" s="14">
        <f>(ROUND(((((1750905*10.21)))*(1.08)*0.4759/30*30/13*13),0)+ROUND(((((1750905*10.21)))*(1.08)*0.5241/30*30/11*11),0))*E27</f>
        <v>19306879</v>
      </c>
      <c r="H27" s="21">
        <f t="shared" si="3"/>
        <v>1930687.9000000001</v>
      </c>
      <c r="I27" s="21">
        <f t="shared" si="18"/>
        <v>366830.70100000006</v>
      </c>
      <c r="J27" s="21">
        <f t="shared" si="19"/>
        <v>19673709.701000001</v>
      </c>
      <c r="K27" s="14">
        <f t="shared" si="6"/>
        <v>20618047.766648002</v>
      </c>
      <c r="L27" s="14">
        <f t="shared" si="20"/>
        <v>185562429.89983201</v>
      </c>
      <c r="M27" s="15">
        <f t="shared" si="8"/>
        <v>18556242.989983201</v>
      </c>
      <c r="N27" s="15">
        <f t="shared" si="21"/>
        <v>3525686.1680968083</v>
      </c>
      <c r="O27" s="15">
        <f t="shared" si="22"/>
        <v>189088116.06792882</v>
      </c>
      <c r="P27" s="16">
        <f t="shared" si="23"/>
        <v>208761825.76892883</v>
      </c>
    </row>
    <row r="28" spans="1:19" ht="13.5" x14ac:dyDescent="0.2">
      <c r="A28" s="9"/>
      <c r="B28" s="23" t="s">
        <v>41</v>
      </c>
      <c r="C28" s="23"/>
      <c r="D28" s="23"/>
      <c r="E28" s="23"/>
      <c r="F28" s="24"/>
      <c r="G28" s="24"/>
      <c r="H28" s="24"/>
      <c r="I28" s="24"/>
      <c r="J28" s="24"/>
      <c r="K28" s="24"/>
      <c r="L28" s="24"/>
      <c r="M28" s="25"/>
      <c r="N28" s="24"/>
      <c r="O28" s="25"/>
      <c r="P28" s="26"/>
    </row>
    <row r="29" spans="1:19" ht="13.5" x14ac:dyDescent="0.2">
      <c r="A29" s="9"/>
      <c r="B29" s="27" t="s">
        <v>3</v>
      </c>
      <c r="C29" s="27" t="s">
        <v>4</v>
      </c>
      <c r="D29" s="27" t="s">
        <v>5</v>
      </c>
      <c r="E29" s="27" t="s">
        <v>6</v>
      </c>
      <c r="F29" s="24"/>
      <c r="G29" s="28" t="s">
        <v>51</v>
      </c>
      <c r="H29" s="28"/>
      <c r="I29" s="28"/>
      <c r="J29" s="28"/>
      <c r="K29" s="24"/>
      <c r="L29" s="24"/>
      <c r="M29" s="25"/>
      <c r="N29" s="24"/>
      <c r="O29" s="25"/>
      <c r="P29" s="26"/>
    </row>
    <row r="30" spans="1:19" s="17" customFormat="1" ht="40.5" x14ac:dyDescent="0.2">
      <c r="A30" s="9"/>
      <c r="B30" s="29">
        <v>6</v>
      </c>
      <c r="C30" s="30" t="s">
        <v>42</v>
      </c>
      <c r="D30" s="29" t="s">
        <v>42</v>
      </c>
      <c r="E30" s="29">
        <v>3</v>
      </c>
      <c r="F30" s="31"/>
      <c r="G30" s="31">
        <v>0</v>
      </c>
      <c r="H30" s="25">
        <f>G30*$M$6</f>
        <v>0</v>
      </c>
      <c r="I30" s="25">
        <f>H30*$N$6</f>
        <v>0</v>
      </c>
      <c r="J30" s="25">
        <f t="shared" ref="J30" si="24">+G30+I30</f>
        <v>0</v>
      </c>
      <c r="K30" s="31">
        <f>24381265*1.048</f>
        <v>25551565.720000003</v>
      </c>
      <c r="L30" s="31">
        <f>K30*9</f>
        <v>229964091.48000002</v>
      </c>
      <c r="M30" s="25">
        <f t="shared" si="15"/>
        <v>22996409.148000002</v>
      </c>
      <c r="N30" s="25">
        <f t="shared" ref="N30" si="25">M30*$N$6</f>
        <v>4369317.7381200008</v>
      </c>
      <c r="O30" s="25">
        <f t="shared" si="16"/>
        <v>234333409.21812001</v>
      </c>
      <c r="P30" s="26">
        <f t="shared" si="17"/>
        <v>234333409.21812001</v>
      </c>
      <c r="R30" s="20"/>
      <c r="S30" s="20"/>
    </row>
    <row r="31" spans="1:19" ht="14.25" thickBot="1" x14ac:dyDescent="0.25">
      <c r="A31" s="24"/>
      <c r="B31" s="32" t="s">
        <v>43</v>
      </c>
      <c r="C31" s="33"/>
      <c r="D31" s="34"/>
      <c r="E31" s="35" t="s">
        <v>6</v>
      </c>
      <c r="G31" s="17"/>
      <c r="H31" s="17"/>
      <c r="I31" s="17"/>
      <c r="J31" s="17"/>
      <c r="K31" s="17"/>
      <c r="L31" s="17"/>
      <c r="M31" s="17"/>
      <c r="N31" s="17"/>
      <c r="O31" s="59" t="s">
        <v>59</v>
      </c>
      <c r="P31" s="60">
        <f>SUM(P7:P30)</f>
        <v>2965602470.5554771</v>
      </c>
      <c r="R31" s="36"/>
    </row>
    <row r="32" spans="1:19" ht="54.75" thickBot="1" x14ac:dyDescent="0.25">
      <c r="B32" s="7" t="s">
        <v>3</v>
      </c>
      <c r="C32" s="58" t="s">
        <v>4</v>
      </c>
      <c r="D32" s="61" t="s">
        <v>53</v>
      </c>
      <c r="E32" s="62" t="s">
        <v>6</v>
      </c>
      <c r="F32" s="62" t="s">
        <v>7</v>
      </c>
      <c r="G32" s="62" t="s">
        <v>57</v>
      </c>
      <c r="H32" s="63">
        <v>0.1</v>
      </c>
      <c r="I32" s="65">
        <v>0.19</v>
      </c>
      <c r="J32" s="67" t="s">
        <v>9</v>
      </c>
      <c r="K32" s="66" t="s">
        <v>56</v>
      </c>
      <c r="L32" s="62" t="s">
        <v>10</v>
      </c>
      <c r="M32" s="63">
        <v>0.1</v>
      </c>
      <c r="N32" s="65">
        <v>0.19</v>
      </c>
      <c r="O32" s="64" t="s">
        <v>58</v>
      </c>
      <c r="P32" s="64" t="s">
        <v>11</v>
      </c>
    </row>
    <row r="33" spans="1:18" s="17" customFormat="1" ht="114.75" customHeight="1" thickBot="1" x14ac:dyDescent="0.25">
      <c r="A33" s="37" t="s">
        <v>52</v>
      </c>
      <c r="B33" s="38">
        <v>1</v>
      </c>
      <c r="C33" s="39" t="s">
        <v>48</v>
      </c>
      <c r="D33" s="40" t="s">
        <v>49</v>
      </c>
      <c r="E33" s="41" t="s">
        <v>55</v>
      </c>
      <c r="F33" s="42"/>
      <c r="G33" s="42"/>
      <c r="H33" s="42"/>
      <c r="I33" s="43"/>
      <c r="J33" s="44"/>
      <c r="K33" s="42"/>
      <c r="L33" s="45"/>
      <c r="M33" s="46"/>
      <c r="N33" s="46"/>
      <c r="O33" s="46"/>
      <c r="P33" s="47">
        <f>+O33+J3</f>
        <v>0</v>
      </c>
      <c r="R33" s="20"/>
    </row>
    <row r="34" spans="1:18" ht="13.5" thickBot="1" x14ac:dyDescent="0.25">
      <c r="R34" s="36"/>
    </row>
    <row r="35" spans="1:18" ht="13.5" thickBot="1" x14ac:dyDescent="0.25">
      <c r="D35" s="48" t="s">
        <v>60</v>
      </c>
      <c r="E35" s="49"/>
      <c r="F35" s="49"/>
      <c r="G35" s="49"/>
      <c r="H35" s="49"/>
      <c r="I35" s="49"/>
      <c r="J35" s="49"/>
      <c r="K35" s="50"/>
      <c r="L35" s="50"/>
      <c r="M35" s="51"/>
      <c r="N35" s="51"/>
      <c r="O35" s="50"/>
      <c r="P35" s="52">
        <f>SUM(P7:P30)+P33</f>
        <v>2965602470.5554771</v>
      </c>
      <c r="Q35" s="53"/>
      <c r="R35" s="54"/>
    </row>
    <row r="36" spans="1:18" x14ac:dyDescent="0.2">
      <c r="G36" s="55"/>
      <c r="H36" s="55"/>
      <c r="I36" s="55"/>
      <c r="J36" s="55"/>
    </row>
    <row r="37" spans="1:18" x14ac:dyDescent="0.2">
      <c r="F37" s="2" t="s">
        <v>44</v>
      </c>
      <c r="G37" s="56"/>
      <c r="H37" s="56"/>
      <c r="I37" s="56"/>
      <c r="J37" s="56"/>
      <c r="N37" s="36"/>
    </row>
    <row r="38" spans="1:18" x14ac:dyDescent="0.2">
      <c r="G38" s="57"/>
      <c r="H38" s="57"/>
      <c r="I38" s="57"/>
      <c r="J38" s="57"/>
      <c r="O38" s="55"/>
      <c r="P38" s="36"/>
    </row>
    <row r="39" spans="1:18" x14ac:dyDescent="0.2">
      <c r="G39" s="55"/>
      <c r="H39" s="55"/>
      <c r="I39" s="55"/>
      <c r="J39" s="55"/>
      <c r="P39" s="36"/>
    </row>
    <row r="40" spans="1:18" x14ac:dyDescent="0.2">
      <c r="J40" s="55"/>
      <c r="K40" s="55"/>
    </row>
    <row r="41" spans="1:18" x14ac:dyDescent="0.2">
      <c r="K41" s="55"/>
      <c r="O41" s="53"/>
      <c r="P41" s="54"/>
    </row>
    <row r="42" spans="1:18" ht="15" x14ac:dyDescent="0.3">
      <c r="L42" s="1"/>
    </row>
    <row r="44" spans="1:18" x14ac:dyDescent="0.2">
      <c r="L44" s="36"/>
      <c r="P44" s="54"/>
    </row>
  </sheetData>
  <mergeCells count="13">
    <mergeCell ref="A7:A30"/>
    <mergeCell ref="G29:J29"/>
    <mergeCell ref="B12:B20"/>
    <mergeCell ref="C1:P1"/>
    <mergeCell ref="C2:P2"/>
    <mergeCell ref="C3:P3"/>
    <mergeCell ref="B7:B8"/>
    <mergeCell ref="B9:B11"/>
    <mergeCell ref="B21:B22"/>
    <mergeCell ref="B23:B27"/>
    <mergeCell ref="B28:E28"/>
    <mergeCell ref="B31:D31"/>
    <mergeCell ref="D35:J35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VIGILANCIA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Mahmud Lopez</dc:creator>
  <cp:lastModifiedBy>Profesional Coordinación Administrativa y Financiera -</cp:lastModifiedBy>
  <dcterms:created xsi:type="dcterms:W3CDTF">2026-10-21T17:29:26Z</dcterms:created>
  <dcterms:modified xsi:type="dcterms:W3CDTF">2026-10-21T18:47:58Z</dcterms:modified>
</cp:coreProperties>
</file>